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Liquidaciones\Grillas\DOCENTE\2019\"/>
    </mc:Choice>
  </mc:AlternateContent>
  <bookViews>
    <workbookView xWindow="1608" yWindow="2640" windowWidth="16380" windowHeight="5712" tabRatio="500" firstSheet="1" activeTab="1"/>
  </bookViews>
  <sheets>
    <sheet name="Valores" sheetId="1" state="hidden" r:id="rId1"/>
    <sheet name="Escala Docente" sheetId="2" r:id="rId2"/>
    <sheet name="UPC" sheetId="3" state="hidden" r:id="rId3"/>
  </sheets>
  <definedNames>
    <definedName name="_xlnm._FilterDatabase" localSheetId="1" hidden="1">'Escala Docente'!$A$6:$BD$327</definedName>
    <definedName name="_xlnm._FilterDatabase" localSheetId="2" hidden="1">UPC!$A$5:$K$37</definedName>
    <definedName name="_xlnm._FilterDatabase" localSheetId="0" hidden="1">Valores!$A$1:$J$85</definedName>
    <definedName name="_xlnm.Print_Area" localSheetId="1">'Escala Docente'!$C$5:$AM$327</definedName>
    <definedName name="_xlnm.Print_Area" localSheetId="2">UPC!$A$2:$J$37</definedName>
    <definedName name="_xlnm.Print_Area" localSheetId="0">Valores!$A$1:$F$60</definedName>
    <definedName name="_xlnm.Print_Titles" localSheetId="1">'Escala Docente'!$C:$F,'Escala Docente'!$5:$6</definedName>
    <definedName name="wrn.Planilla._.de._.Sueldos._.Docentes." localSheetId="1">{#N/A,#N/A,TRUE,"CARGOS"}</definedName>
    <definedName name="wrn.Planilla._.de._.Sueldos._.Docentes.">{#N/A,#N/A,TRUE,"CARGOS"}</definedName>
  </definedNames>
  <calcPr calcId="162913" calcMode="manual"/>
</workbook>
</file>

<file path=xl/calcChain.xml><?xml version="1.0" encoding="utf-8"?>
<calcChain xmlns="http://schemas.openxmlformats.org/spreadsheetml/2006/main">
  <c r="C52" i="1" l="1"/>
  <c r="C85" i="1"/>
  <c r="U47" i="3" l="1"/>
  <c r="S47" i="3"/>
  <c r="R47" i="3"/>
  <c r="Q47" i="3"/>
  <c r="K47" i="3"/>
  <c r="I47" i="3"/>
  <c r="X46" i="3"/>
  <c r="V46" i="3"/>
  <c r="U46" i="3"/>
  <c r="T46" i="3"/>
  <c r="R46" i="3"/>
  <c r="Q46" i="3"/>
  <c r="K46" i="3"/>
  <c r="I46" i="3"/>
  <c r="W46" i="3" s="1"/>
  <c r="K45" i="3"/>
  <c r="I45" i="3"/>
  <c r="T45" i="3" s="1"/>
  <c r="S44" i="3"/>
  <c r="R44" i="3"/>
  <c r="K44" i="3"/>
  <c r="I44" i="3"/>
  <c r="V43" i="3"/>
  <c r="R43" i="3"/>
  <c r="Q43" i="3"/>
  <c r="K43" i="3"/>
  <c r="G43" i="3"/>
  <c r="I43" i="3" s="1"/>
  <c r="V42" i="3"/>
  <c r="U42" i="3"/>
  <c r="R42" i="3"/>
  <c r="Q42" i="3"/>
  <c r="K42" i="3"/>
  <c r="I42" i="3"/>
  <c r="V41" i="3"/>
  <c r="U41" i="3"/>
  <c r="T41" i="3"/>
  <c r="R41" i="3"/>
  <c r="Q41" i="3"/>
  <c r="K41" i="3"/>
  <c r="X41" i="3" s="1"/>
  <c r="I41" i="3"/>
  <c r="W41" i="3" s="1"/>
  <c r="T40" i="3"/>
  <c r="K40" i="3"/>
  <c r="I40" i="3"/>
  <c r="W39" i="3"/>
  <c r="S39" i="3"/>
  <c r="R39" i="3"/>
  <c r="K39" i="3"/>
  <c r="I39" i="3"/>
  <c r="W38" i="3"/>
  <c r="V38" i="3"/>
  <c r="U38" i="3"/>
  <c r="S38" i="3"/>
  <c r="R38" i="3"/>
  <c r="Q38" i="3"/>
  <c r="Y38" i="3" s="1"/>
  <c r="I38" i="3"/>
  <c r="T37" i="3"/>
  <c r="K37" i="3"/>
  <c r="I37" i="3"/>
  <c r="W36" i="3"/>
  <c r="S36" i="3"/>
  <c r="R36" i="3"/>
  <c r="K36" i="3"/>
  <c r="I36" i="3"/>
  <c r="K35" i="3"/>
  <c r="G35" i="3"/>
  <c r="I35" i="3" s="1"/>
  <c r="Y33" i="3"/>
  <c r="X33" i="3"/>
  <c r="K32" i="3"/>
  <c r="G32" i="3"/>
  <c r="I32" i="3" s="1"/>
  <c r="D32" i="3"/>
  <c r="K31" i="3"/>
  <c r="G31" i="3"/>
  <c r="D31" i="3"/>
  <c r="K30" i="3"/>
  <c r="G30" i="3"/>
  <c r="D30" i="3"/>
  <c r="K29" i="3"/>
  <c r="G29" i="3"/>
  <c r="I29" i="3" s="1"/>
  <c r="D29" i="3"/>
  <c r="K28" i="3"/>
  <c r="G28" i="3"/>
  <c r="I28" i="3" s="1"/>
  <c r="S28" i="3" s="1"/>
  <c r="D28" i="3"/>
  <c r="K27" i="3"/>
  <c r="G27" i="3"/>
  <c r="D27" i="3"/>
  <c r="K26" i="3"/>
  <c r="G26" i="3"/>
  <c r="D26" i="3"/>
  <c r="K25" i="3"/>
  <c r="G25" i="3"/>
  <c r="I25" i="3" s="1"/>
  <c r="S25" i="3" s="1"/>
  <c r="D25" i="3"/>
  <c r="K24" i="3"/>
  <c r="I24" i="3"/>
  <c r="W24" i="3" s="1"/>
  <c r="G24" i="3"/>
  <c r="D24" i="3"/>
  <c r="K23" i="3"/>
  <c r="H23" i="3"/>
  <c r="G23" i="3"/>
  <c r="D23" i="3"/>
  <c r="K22" i="3"/>
  <c r="G22" i="3"/>
  <c r="I22" i="3" s="1"/>
  <c r="S22" i="3" s="1"/>
  <c r="D22" i="3"/>
  <c r="K21" i="3"/>
  <c r="G21" i="3"/>
  <c r="D21" i="3"/>
  <c r="K20" i="3"/>
  <c r="H20" i="3"/>
  <c r="O19" i="3"/>
  <c r="O20" i="3" s="1"/>
  <c r="N19" i="3"/>
  <c r="N20" i="3" s="1"/>
  <c r="K19" i="3"/>
  <c r="H19" i="3"/>
  <c r="G19" i="3"/>
  <c r="D19" i="3"/>
  <c r="C19" i="3"/>
  <c r="K18" i="3"/>
  <c r="G18" i="3"/>
  <c r="C18" i="3"/>
  <c r="D18" i="3" s="1"/>
  <c r="O17" i="3"/>
  <c r="K17" i="3"/>
  <c r="O16" i="3"/>
  <c r="N16" i="3"/>
  <c r="K16" i="3"/>
  <c r="H16" i="3"/>
  <c r="C16" i="3"/>
  <c r="K15" i="3"/>
  <c r="H15" i="3"/>
  <c r="C15" i="3"/>
  <c r="G15" i="3" s="1"/>
  <c r="K14" i="3"/>
  <c r="H14" i="3"/>
  <c r="K13" i="3"/>
  <c r="H13" i="3"/>
  <c r="G13" i="3"/>
  <c r="C13" i="3"/>
  <c r="D13" i="3" s="1"/>
  <c r="K12" i="3"/>
  <c r="H12" i="3"/>
  <c r="C12" i="3"/>
  <c r="K11" i="3"/>
  <c r="H11" i="3"/>
  <c r="H17" i="3" s="1"/>
  <c r="C11" i="3"/>
  <c r="K10" i="3"/>
  <c r="G10" i="3"/>
  <c r="D10" i="3"/>
  <c r="K9" i="3"/>
  <c r="G9" i="3"/>
  <c r="D9" i="3"/>
  <c r="K8" i="3"/>
  <c r="H8" i="3"/>
  <c r="C8" i="3"/>
  <c r="K7" i="3"/>
  <c r="H7" i="3"/>
  <c r="C7" i="3"/>
  <c r="G7" i="3" s="1"/>
  <c r="K6" i="3"/>
  <c r="H6" i="3"/>
  <c r="H18" i="3" s="1"/>
  <c r="G6" i="3"/>
  <c r="D6" i="3"/>
  <c r="C6" i="3"/>
  <c r="A1" i="3"/>
  <c r="Y329" i="2"/>
  <c r="AK327" i="2"/>
  <c r="AN327" i="2" s="1"/>
  <c r="AF327" i="2"/>
  <c r="T327" i="2"/>
  <c r="N327" i="2"/>
  <c r="L327" i="2"/>
  <c r="J327" i="2"/>
  <c r="H327" i="2"/>
  <c r="E327" i="2"/>
  <c r="AK326" i="2"/>
  <c r="AN326" i="2" s="1"/>
  <c r="AF326" i="2"/>
  <c r="T326" i="2"/>
  <c r="N326" i="2"/>
  <c r="L326" i="2"/>
  <c r="J326" i="2"/>
  <c r="H326" i="2"/>
  <c r="E326" i="2"/>
  <c r="AK325" i="2"/>
  <c r="AN325" i="2" s="1"/>
  <c r="AF325" i="2"/>
  <c r="T325" i="2"/>
  <c r="N325" i="2"/>
  <c r="L325" i="2"/>
  <c r="J325" i="2"/>
  <c r="H325" i="2"/>
  <c r="E325" i="2"/>
  <c r="AK324" i="2"/>
  <c r="AN324" i="2" s="1"/>
  <c r="AF324" i="2"/>
  <c r="T324" i="2"/>
  <c r="N324" i="2"/>
  <c r="L324" i="2"/>
  <c r="J324" i="2"/>
  <c r="H324" i="2"/>
  <c r="E324" i="2"/>
  <c r="AN323" i="2"/>
  <c r="AK323" i="2"/>
  <c r="AF323" i="2"/>
  <c r="T323" i="2"/>
  <c r="N323" i="2"/>
  <c r="L323" i="2"/>
  <c r="J323" i="2"/>
  <c r="H323" i="2"/>
  <c r="E323" i="2"/>
  <c r="AK322" i="2"/>
  <c r="AN322" i="2" s="1"/>
  <c r="AF322" i="2"/>
  <c r="T322" i="2"/>
  <c r="N322" i="2"/>
  <c r="L322" i="2"/>
  <c r="J322" i="2"/>
  <c r="H322" i="2"/>
  <c r="E322" i="2"/>
  <c r="AF321" i="2"/>
  <c r="N321" i="2"/>
  <c r="L321" i="2"/>
  <c r="J321" i="2"/>
  <c r="E321" i="2"/>
  <c r="AF320" i="2"/>
  <c r="N320" i="2"/>
  <c r="L320" i="2"/>
  <c r="J320" i="2"/>
  <c r="E320" i="2"/>
  <c r="AF319" i="2"/>
  <c r="N319" i="2"/>
  <c r="L319" i="2"/>
  <c r="J319" i="2"/>
  <c r="E319" i="2"/>
  <c r="AF318" i="2"/>
  <c r="N318" i="2"/>
  <c r="L318" i="2"/>
  <c r="J318" i="2"/>
  <c r="E318" i="2"/>
  <c r="AF317" i="2"/>
  <c r="N317" i="2"/>
  <c r="L317" i="2"/>
  <c r="J317" i="2"/>
  <c r="E317" i="2"/>
  <c r="AF316" i="2"/>
  <c r="N316" i="2"/>
  <c r="L316" i="2"/>
  <c r="J316" i="2"/>
  <c r="E316" i="2"/>
  <c r="AF315" i="2"/>
  <c r="N315" i="2"/>
  <c r="L315" i="2"/>
  <c r="J315" i="2"/>
  <c r="E315" i="2"/>
  <c r="AF314" i="2"/>
  <c r="N314" i="2"/>
  <c r="L314" i="2"/>
  <c r="J314" i="2"/>
  <c r="E314" i="2"/>
  <c r="AF313" i="2"/>
  <c r="N313" i="2"/>
  <c r="L313" i="2"/>
  <c r="J313" i="2"/>
  <c r="E313" i="2"/>
  <c r="AF312" i="2"/>
  <c r="N312" i="2"/>
  <c r="L312" i="2"/>
  <c r="J312" i="2"/>
  <c r="E312" i="2"/>
  <c r="AF311" i="2"/>
  <c r="N311" i="2"/>
  <c r="L311" i="2"/>
  <c r="J311" i="2"/>
  <c r="E311" i="2"/>
  <c r="AF310" i="2"/>
  <c r="N310" i="2"/>
  <c r="L310" i="2"/>
  <c r="J310" i="2"/>
  <c r="E310" i="2"/>
  <c r="AF309" i="2"/>
  <c r="N309" i="2"/>
  <c r="L309" i="2"/>
  <c r="J309" i="2"/>
  <c r="E309" i="2"/>
  <c r="AF308" i="2"/>
  <c r="N308" i="2"/>
  <c r="L308" i="2"/>
  <c r="J308" i="2"/>
  <c r="E308" i="2"/>
  <c r="AF307" i="2"/>
  <c r="N307" i="2"/>
  <c r="L307" i="2"/>
  <c r="J307" i="2"/>
  <c r="G307" i="2"/>
  <c r="G308" i="2" s="1"/>
  <c r="E307" i="2"/>
  <c r="AK306" i="2"/>
  <c r="AN306" i="2" s="1"/>
  <c r="AF306" i="2"/>
  <c r="T306" i="2"/>
  <c r="T307" i="2" s="1"/>
  <c r="T308" i="2" s="1"/>
  <c r="T309" i="2" s="1"/>
  <c r="T310" i="2" s="1"/>
  <c r="T311" i="2" s="1"/>
  <c r="T312" i="2" s="1"/>
  <c r="T313" i="2" s="1"/>
  <c r="T314" i="2" s="1"/>
  <c r="T315" i="2" s="1"/>
  <c r="T316" i="2" s="1"/>
  <c r="T317" i="2" s="1"/>
  <c r="T318" i="2" s="1"/>
  <c r="T319" i="2" s="1"/>
  <c r="T320" i="2" s="1"/>
  <c r="T321" i="2" s="1"/>
  <c r="N306" i="2"/>
  <c r="L306" i="2"/>
  <c r="J306" i="2"/>
  <c r="H306" i="2"/>
  <c r="E306" i="2"/>
  <c r="AK305" i="2"/>
  <c r="AN305" i="2" s="1"/>
  <c r="AF305" i="2"/>
  <c r="T305" i="2"/>
  <c r="N305" i="2"/>
  <c r="L305" i="2"/>
  <c r="J305" i="2"/>
  <c r="H305" i="2"/>
  <c r="E305" i="2"/>
  <c r="AK304" i="2"/>
  <c r="AN304" i="2" s="1"/>
  <c r="AF304" i="2"/>
  <c r="T304" i="2"/>
  <c r="N304" i="2"/>
  <c r="L304" i="2"/>
  <c r="J304" i="2"/>
  <c r="H304" i="2"/>
  <c r="E304" i="2"/>
  <c r="AK303" i="2"/>
  <c r="AN303" i="2" s="1"/>
  <c r="AF303" i="2"/>
  <c r="T303" i="2"/>
  <c r="N303" i="2"/>
  <c r="L303" i="2"/>
  <c r="J303" i="2"/>
  <c r="H303" i="2"/>
  <c r="E303" i="2"/>
  <c r="AL302" i="2"/>
  <c r="AK302" i="2"/>
  <c r="AH302" i="2"/>
  <c r="AG302" i="2"/>
  <c r="AF302" i="2"/>
  <c r="T302" i="2"/>
  <c r="N302" i="2"/>
  <c r="L302" i="2"/>
  <c r="J302" i="2"/>
  <c r="H302" i="2"/>
  <c r="E302" i="2"/>
  <c r="BC301" i="2"/>
  <c r="AL301" i="2"/>
  <c r="AF301" i="2"/>
  <c r="Z301" i="2"/>
  <c r="U301" i="2"/>
  <c r="T301" i="2"/>
  <c r="Q301" i="2"/>
  <c r="N301" i="2"/>
  <c r="L301" i="2"/>
  <c r="J301" i="2"/>
  <c r="H301" i="2"/>
  <c r="E301" i="2"/>
  <c r="BC300" i="2"/>
  <c r="AL300" i="2"/>
  <c r="AF300" i="2"/>
  <c r="Z300" i="2"/>
  <c r="U300" i="2"/>
  <c r="T300" i="2"/>
  <c r="Q300" i="2"/>
  <c r="N300" i="2"/>
  <c r="L300" i="2"/>
  <c r="J300" i="2"/>
  <c r="G300" i="2"/>
  <c r="H300" i="2" s="1"/>
  <c r="F300" i="2"/>
  <c r="E300" i="2" s="1"/>
  <c r="BC299" i="2"/>
  <c r="AL299" i="2"/>
  <c r="AF299" i="2"/>
  <c r="Z299" i="2"/>
  <c r="U299" i="2"/>
  <c r="T299" i="2"/>
  <c r="Q299" i="2"/>
  <c r="N299" i="2"/>
  <c r="L299" i="2"/>
  <c r="J299" i="2"/>
  <c r="G299" i="2"/>
  <c r="H299" i="2" s="1"/>
  <c r="F299" i="2"/>
  <c r="E299" i="2" s="1"/>
  <c r="BC298" i="2"/>
  <c r="AL298" i="2"/>
  <c r="AF298" i="2"/>
  <c r="Z298" i="2"/>
  <c r="U298" i="2"/>
  <c r="T298" i="2"/>
  <c r="Q298" i="2"/>
  <c r="N298" i="2"/>
  <c r="L298" i="2"/>
  <c r="J298" i="2"/>
  <c r="G298" i="2"/>
  <c r="H298" i="2" s="1"/>
  <c r="F298" i="2"/>
  <c r="E298" i="2" s="1"/>
  <c r="BC297" i="2"/>
  <c r="AL297" i="2"/>
  <c r="AF297" i="2"/>
  <c r="Z297" i="2"/>
  <c r="U297" i="2"/>
  <c r="T297" i="2"/>
  <c r="Q297" i="2"/>
  <c r="N297" i="2"/>
  <c r="L297" i="2"/>
  <c r="J297" i="2"/>
  <c r="G297" i="2"/>
  <c r="H297" i="2" s="1"/>
  <c r="F297" i="2"/>
  <c r="E297" i="2" s="1"/>
  <c r="BC296" i="2"/>
  <c r="AL296" i="2"/>
  <c r="AF296" i="2"/>
  <c r="Z296" i="2"/>
  <c r="U296" i="2"/>
  <c r="T296" i="2"/>
  <c r="Q296" i="2"/>
  <c r="N296" i="2"/>
  <c r="L296" i="2"/>
  <c r="J296" i="2"/>
  <c r="G296" i="2"/>
  <c r="H296" i="2" s="1"/>
  <c r="F296" i="2"/>
  <c r="E296" i="2" s="1"/>
  <c r="BC295" i="2"/>
  <c r="AL295" i="2"/>
  <c r="AF295" i="2"/>
  <c r="Z295" i="2"/>
  <c r="U295" i="2"/>
  <c r="T295" i="2"/>
  <c r="Q295" i="2"/>
  <c r="N295" i="2"/>
  <c r="L295" i="2"/>
  <c r="J295" i="2"/>
  <c r="G295" i="2"/>
  <c r="H295" i="2" s="1"/>
  <c r="F295" i="2"/>
  <c r="E295" i="2" s="1"/>
  <c r="BC294" i="2"/>
  <c r="AL294" i="2"/>
  <c r="AF294" i="2"/>
  <c r="Z294" i="2"/>
  <c r="U294" i="2"/>
  <c r="T294" i="2"/>
  <c r="Q294" i="2"/>
  <c r="N294" i="2"/>
  <c r="L294" i="2"/>
  <c r="J294" i="2"/>
  <c r="G294" i="2"/>
  <c r="H294" i="2" s="1"/>
  <c r="F294" i="2"/>
  <c r="E294" i="2" s="1"/>
  <c r="BC293" i="2"/>
  <c r="AL293" i="2"/>
  <c r="AF293" i="2"/>
  <c r="Z293" i="2"/>
  <c r="U293" i="2"/>
  <c r="T293" i="2"/>
  <c r="Q293" i="2"/>
  <c r="N293" i="2"/>
  <c r="L293" i="2"/>
  <c r="J293" i="2"/>
  <c r="G293" i="2"/>
  <c r="H293" i="2" s="1"/>
  <c r="F293" i="2"/>
  <c r="E293" i="2" s="1"/>
  <c r="BC292" i="2"/>
  <c r="AL292" i="2"/>
  <c r="AF292" i="2"/>
  <c r="Z292" i="2"/>
  <c r="U292" i="2"/>
  <c r="T292" i="2"/>
  <c r="Q292" i="2"/>
  <c r="N292" i="2"/>
  <c r="L292" i="2"/>
  <c r="J292" i="2"/>
  <c r="G292" i="2"/>
  <c r="H292" i="2" s="1"/>
  <c r="F292" i="2"/>
  <c r="E292" i="2" s="1"/>
  <c r="BC291" i="2"/>
  <c r="AL291" i="2"/>
  <c r="AF291" i="2"/>
  <c r="Z291" i="2"/>
  <c r="U291" i="2"/>
  <c r="T291" i="2"/>
  <c r="Q291" i="2"/>
  <c r="N291" i="2"/>
  <c r="L291" i="2"/>
  <c r="J291" i="2"/>
  <c r="G291" i="2"/>
  <c r="H291" i="2" s="1"/>
  <c r="F291" i="2"/>
  <c r="E291" i="2" s="1"/>
  <c r="BC290" i="2"/>
  <c r="AL290" i="2"/>
  <c r="AF290" i="2"/>
  <c r="Z290" i="2"/>
  <c r="U290" i="2"/>
  <c r="T290" i="2"/>
  <c r="Q290" i="2"/>
  <c r="N290" i="2"/>
  <c r="L290" i="2"/>
  <c r="J290" i="2"/>
  <c r="G290" i="2"/>
  <c r="H290" i="2" s="1"/>
  <c r="F290" i="2"/>
  <c r="E290" i="2" s="1"/>
  <c r="BC289" i="2"/>
  <c r="AL289" i="2"/>
  <c r="AF289" i="2"/>
  <c r="Z289" i="2"/>
  <c r="U289" i="2"/>
  <c r="T289" i="2"/>
  <c r="Q289" i="2"/>
  <c r="N289" i="2"/>
  <c r="L289" i="2"/>
  <c r="J289" i="2"/>
  <c r="G289" i="2"/>
  <c r="H289" i="2" s="1"/>
  <c r="F289" i="2"/>
  <c r="E289" i="2" s="1"/>
  <c r="BC288" i="2"/>
  <c r="AL288" i="2"/>
  <c r="AF288" i="2"/>
  <c r="Z288" i="2"/>
  <c r="U288" i="2"/>
  <c r="T288" i="2"/>
  <c r="Q288" i="2"/>
  <c r="N288" i="2"/>
  <c r="L288" i="2"/>
  <c r="J288" i="2"/>
  <c r="G288" i="2"/>
  <c r="H288" i="2" s="1"/>
  <c r="F288" i="2"/>
  <c r="E288" i="2" s="1"/>
  <c r="BC287" i="2"/>
  <c r="AL287" i="2"/>
  <c r="AF287" i="2"/>
  <c r="Z287" i="2"/>
  <c r="U287" i="2"/>
  <c r="T287" i="2"/>
  <c r="Q287" i="2"/>
  <c r="N287" i="2"/>
  <c r="L287" i="2"/>
  <c r="J287" i="2"/>
  <c r="G287" i="2"/>
  <c r="H287" i="2" s="1"/>
  <c r="F287" i="2"/>
  <c r="E287" i="2" s="1"/>
  <c r="BC286" i="2"/>
  <c r="AL286" i="2"/>
  <c r="AF286" i="2"/>
  <c r="Z286" i="2"/>
  <c r="U286" i="2"/>
  <c r="T286" i="2"/>
  <c r="Q286" i="2"/>
  <c r="N286" i="2"/>
  <c r="L286" i="2"/>
  <c r="J286" i="2"/>
  <c r="G286" i="2"/>
  <c r="H286" i="2" s="1"/>
  <c r="F286" i="2"/>
  <c r="E286" i="2" s="1"/>
  <c r="BC285" i="2"/>
  <c r="AL285" i="2"/>
  <c r="AF285" i="2"/>
  <c r="Z285" i="2"/>
  <c r="U285" i="2"/>
  <c r="T285" i="2"/>
  <c r="Q285" i="2"/>
  <c r="N285" i="2"/>
  <c r="L285" i="2"/>
  <c r="J285" i="2"/>
  <c r="G285" i="2"/>
  <c r="H285" i="2" s="1"/>
  <c r="F285" i="2"/>
  <c r="E285" i="2" s="1"/>
  <c r="BC284" i="2"/>
  <c r="AL284" i="2"/>
  <c r="AF284" i="2"/>
  <c r="Z284" i="2"/>
  <c r="U284" i="2"/>
  <c r="T284" i="2"/>
  <c r="Q284" i="2"/>
  <c r="N284" i="2"/>
  <c r="L284" i="2"/>
  <c r="J284" i="2"/>
  <c r="G284" i="2"/>
  <c r="H284" i="2" s="1"/>
  <c r="F284" i="2"/>
  <c r="E284" i="2" s="1"/>
  <c r="BC283" i="2"/>
  <c r="AL283" i="2"/>
  <c r="AF283" i="2"/>
  <c r="Z283" i="2"/>
  <c r="U283" i="2"/>
  <c r="T283" i="2"/>
  <c r="Q283" i="2"/>
  <c r="N283" i="2"/>
  <c r="L283" i="2"/>
  <c r="J283" i="2"/>
  <c r="G283" i="2"/>
  <c r="H283" i="2" s="1"/>
  <c r="F283" i="2"/>
  <c r="E283" i="2" s="1"/>
  <c r="BC282" i="2"/>
  <c r="AL282" i="2"/>
  <c r="AF282" i="2"/>
  <c r="Z282" i="2"/>
  <c r="U282" i="2"/>
  <c r="T282" i="2"/>
  <c r="Q282" i="2"/>
  <c r="N282" i="2"/>
  <c r="L282" i="2"/>
  <c r="J282" i="2"/>
  <c r="G282" i="2"/>
  <c r="H282" i="2" s="1"/>
  <c r="F282" i="2"/>
  <c r="E282" i="2" s="1"/>
  <c r="BC281" i="2"/>
  <c r="AL281" i="2"/>
  <c r="AF281" i="2"/>
  <c r="Z281" i="2"/>
  <c r="U281" i="2"/>
  <c r="T281" i="2"/>
  <c r="Q281" i="2"/>
  <c r="N281" i="2"/>
  <c r="L281" i="2"/>
  <c r="J281" i="2"/>
  <c r="G281" i="2"/>
  <c r="H281" i="2" s="1"/>
  <c r="F281" i="2"/>
  <c r="E281" i="2" s="1"/>
  <c r="BC280" i="2"/>
  <c r="AL280" i="2"/>
  <c r="AF280" i="2"/>
  <c r="Z280" i="2"/>
  <c r="U280" i="2"/>
  <c r="T280" i="2"/>
  <c r="Q280" i="2"/>
  <c r="N280" i="2"/>
  <c r="L280" i="2"/>
  <c r="J280" i="2"/>
  <c r="G280" i="2"/>
  <c r="H280" i="2" s="1"/>
  <c r="F280" i="2"/>
  <c r="E280" i="2" s="1"/>
  <c r="BC279" i="2"/>
  <c r="AL279" i="2"/>
  <c r="AF279" i="2"/>
  <c r="Z279" i="2"/>
  <c r="U279" i="2"/>
  <c r="T279" i="2"/>
  <c r="Q279" i="2"/>
  <c r="N279" i="2"/>
  <c r="L279" i="2"/>
  <c r="J279" i="2"/>
  <c r="G279" i="2"/>
  <c r="H279" i="2" s="1"/>
  <c r="F279" i="2"/>
  <c r="E279" i="2" s="1"/>
  <c r="BC278" i="2"/>
  <c r="AL278" i="2"/>
  <c r="AF278" i="2"/>
  <c r="Z278" i="2"/>
  <c r="U278" i="2"/>
  <c r="T278" i="2"/>
  <c r="Q278" i="2"/>
  <c r="N278" i="2"/>
  <c r="L278" i="2"/>
  <c r="J278" i="2"/>
  <c r="G278" i="2"/>
  <c r="H278" i="2" s="1"/>
  <c r="F278" i="2"/>
  <c r="E278" i="2" s="1"/>
  <c r="BC277" i="2"/>
  <c r="AL277" i="2"/>
  <c r="AF277" i="2"/>
  <c r="Z277" i="2"/>
  <c r="U277" i="2"/>
  <c r="T277" i="2"/>
  <c r="Q277" i="2"/>
  <c r="N277" i="2"/>
  <c r="L277" i="2"/>
  <c r="J277" i="2"/>
  <c r="G277" i="2"/>
  <c r="H277" i="2" s="1"/>
  <c r="F277" i="2"/>
  <c r="E277" i="2" s="1"/>
  <c r="BC276" i="2"/>
  <c r="AL276" i="2"/>
  <c r="AF276" i="2"/>
  <c r="Z276" i="2"/>
  <c r="U276" i="2"/>
  <c r="T276" i="2"/>
  <c r="Q276" i="2"/>
  <c r="N276" i="2"/>
  <c r="L276" i="2"/>
  <c r="J276" i="2"/>
  <c r="G276" i="2"/>
  <c r="H276" i="2" s="1"/>
  <c r="F276" i="2"/>
  <c r="E276" i="2" s="1"/>
  <c r="BC275" i="2"/>
  <c r="AL275" i="2"/>
  <c r="AF275" i="2"/>
  <c r="Z275" i="2"/>
  <c r="U275" i="2"/>
  <c r="T275" i="2"/>
  <c r="Q275" i="2"/>
  <c r="N275" i="2"/>
  <c r="L275" i="2"/>
  <c r="J275" i="2"/>
  <c r="G275" i="2"/>
  <c r="H275" i="2" s="1"/>
  <c r="F275" i="2"/>
  <c r="E275" i="2" s="1"/>
  <c r="BC274" i="2"/>
  <c r="AL274" i="2"/>
  <c r="AF274" i="2"/>
  <c r="Z274" i="2"/>
  <c r="U274" i="2"/>
  <c r="T274" i="2"/>
  <c r="Q274" i="2"/>
  <c r="N274" i="2"/>
  <c r="L274" i="2"/>
  <c r="J274" i="2"/>
  <c r="G274" i="2"/>
  <c r="H274" i="2" s="1"/>
  <c r="F274" i="2"/>
  <c r="E274" i="2" s="1"/>
  <c r="BC273" i="2"/>
  <c r="AL273" i="2"/>
  <c r="AF273" i="2"/>
  <c r="Z273" i="2"/>
  <c r="U273" i="2"/>
  <c r="T273" i="2"/>
  <c r="Q273" i="2"/>
  <c r="N273" i="2"/>
  <c r="L273" i="2"/>
  <c r="J273" i="2"/>
  <c r="G273" i="2"/>
  <c r="H273" i="2" s="1"/>
  <c r="F273" i="2"/>
  <c r="E273" i="2" s="1"/>
  <c r="BC272" i="2"/>
  <c r="AL272" i="2"/>
  <c r="AF272" i="2"/>
  <c r="Z272" i="2"/>
  <c r="U272" i="2"/>
  <c r="T272" i="2"/>
  <c r="Q272" i="2"/>
  <c r="N272" i="2"/>
  <c r="L272" i="2"/>
  <c r="J272" i="2"/>
  <c r="G272" i="2"/>
  <c r="H272" i="2" s="1"/>
  <c r="F272" i="2"/>
  <c r="E272" i="2" s="1"/>
  <c r="BC271" i="2"/>
  <c r="AL271" i="2"/>
  <c r="AF271" i="2"/>
  <c r="Z271" i="2"/>
  <c r="U271" i="2"/>
  <c r="T271" i="2"/>
  <c r="Q271" i="2"/>
  <c r="N271" i="2"/>
  <c r="L271" i="2"/>
  <c r="J271" i="2"/>
  <c r="G271" i="2"/>
  <c r="H271" i="2" s="1"/>
  <c r="F271" i="2"/>
  <c r="E271" i="2" s="1"/>
  <c r="BC270" i="2"/>
  <c r="AL270" i="2"/>
  <c r="AF270" i="2"/>
  <c r="Z270" i="2"/>
  <c r="U270" i="2"/>
  <c r="T270" i="2"/>
  <c r="Q270" i="2"/>
  <c r="N270" i="2"/>
  <c r="L270" i="2"/>
  <c r="J270" i="2"/>
  <c r="G270" i="2"/>
  <c r="H270" i="2" s="1"/>
  <c r="F270" i="2"/>
  <c r="E270" i="2" s="1"/>
  <c r="BC269" i="2"/>
  <c r="AL269" i="2"/>
  <c r="AF269" i="2"/>
  <c r="Z269" i="2"/>
  <c r="U269" i="2"/>
  <c r="T269" i="2"/>
  <c r="Q269" i="2"/>
  <c r="N269" i="2"/>
  <c r="L269" i="2"/>
  <c r="J269" i="2"/>
  <c r="G269" i="2"/>
  <c r="H269" i="2" s="1"/>
  <c r="F269" i="2"/>
  <c r="E269" i="2" s="1"/>
  <c r="BC268" i="2"/>
  <c r="AL268" i="2"/>
  <c r="AF268" i="2"/>
  <c r="Z268" i="2"/>
  <c r="U268" i="2"/>
  <c r="T268" i="2"/>
  <c r="Q268" i="2"/>
  <c r="N268" i="2"/>
  <c r="L268" i="2"/>
  <c r="J268" i="2"/>
  <c r="G268" i="2"/>
  <c r="H268" i="2" s="1"/>
  <c r="F268" i="2"/>
  <c r="E268" i="2" s="1"/>
  <c r="BC267" i="2"/>
  <c r="AL267" i="2"/>
  <c r="AF267" i="2"/>
  <c r="Z267" i="2"/>
  <c r="U267" i="2"/>
  <c r="T267" i="2"/>
  <c r="Q267" i="2"/>
  <c r="N267" i="2"/>
  <c r="L267" i="2"/>
  <c r="J267" i="2"/>
  <c r="G267" i="2"/>
  <c r="H267" i="2" s="1"/>
  <c r="F267" i="2"/>
  <c r="E267" i="2" s="1"/>
  <c r="BC266" i="2"/>
  <c r="AL266" i="2"/>
  <c r="AF266" i="2"/>
  <c r="Z266" i="2"/>
  <c r="U266" i="2"/>
  <c r="T266" i="2"/>
  <c r="Q266" i="2"/>
  <c r="N266" i="2"/>
  <c r="L266" i="2"/>
  <c r="J266" i="2"/>
  <c r="G266" i="2"/>
  <c r="H266" i="2" s="1"/>
  <c r="F266" i="2"/>
  <c r="E266" i="2" s="1"/>
  <c r="BC265" i="2"/>
  <c r="AL265" i="2"/>
  <c r="AF265" i="2"/>
  <c r="Z265" i="2"/>
  <c r="U265" i="2"/>
  <c r="T265" i="2"/>
  <c r="Q265" i="2"/>
  <c r="N265" i="2"/>
  <c r="L265" i="2"/>
  <c r="J265" i="2"/>
  <c r="G265" i="2"/>
  <c r="H265" i="2" s="1"/>
  <c r="F265" i="2"/>
  <c r="E265" i="2" s="1"/>
  <c r="BC264" i="2"/>
  <c r="AL264" i="2"/>
  <c r="AF264" i="2"/>
  <c r="Z264" i="2"/>
  <c r="U264" i="2"/>
  <c r="T264" i="2"/>
  <c r="Q264" i="2"/>
  <c r="N264" i="2"/>
  <c r="L264" i="2"/>
  <c r="J264" i="2"/>
  <c r="G264" i="2"/>
  <c r="H264" i="2" s="1"/>
  <c r="F264" i="2"/>
  <c r="E264" i="2" s="1"/>
  <c r="BC263" i="2"/>
  <c r="AL263" i="2"/>
  <c r="AF263" i="2"/>
  <c r="Z263" i="2"/>
  <c r="U263" i="2"/>
  <c r="T263" i="2"/>
  <c r="Q263" i="2"/>
  <c r="N263" i="2"/>
  <c r="L263" i="2"/>
  <c r="J263" i="2"/>
  <c r="G263" i="2"/>
  <c r="H263" i="2" s="1"/>
  <c r="F263" i="2"/>
  <c r="E263" i="2" s="1"/>
  <c r="BC262" i="2"/>
  <c r="AL262" i="2"/>
  <c r="AF262" i="2"/>
  <c r="Z262" i="2"/>
  <c r="U262" i="2"/>
  <c r="T262" i="2"/>
  <c r="Q262" i="2"/>
  <c r="N262" i="2"/>
  <c r="L262" i="2"/>
  <c r="J262" i="2"/>
  <c r="G262" i="2"/>
  <c r="H262" i="2" s="1"/>
  <c r="F262" i="2"/>
  <c r="E262" i="2" s="1"/>
  <c r="BC261" i="2"/>
  <c r="AL261" i="2"/>
  <c r="AF261" i="2"/>
  <c r="Z261" i="2"/>
  <c r="U261" i="2"/>
  <c r="T261" i="2"/>
  <c r="Q261" i="2"/>
  <c r="N261" i="2"/>
  <c r="L261" i="2"/>
  <c r="J261" i="2"/>
  <c r="G261" i="2"/>
  <c r="H261" i="2" s="1"/>
  <c r="F261" i="2"/>
  <c r="E261" i="2" s="1"/>
  <c r="BC260" i="2"/>
  <c r="AL260" i="2"/>
  <c r="AF260" i="2"/>
  <c r="Z260" i="2"/>
  <c r="U260" i="2"/>
  <c r="T260" i="2"/>
  <c r="Q260" i="2"/>
  <c r="N260" i="2"/>
  <c r="L260" i="2"/>
  <c r="J260" i="2"/>
  <c r="G260" i="2"/>
  <c r="H260" i="2" s="1"/>
  <c r="F260" i="2"/>
  <c r="E260" i="2" s="1"/>
  <c r="BC259" i="2"/>
  <c r="AL259" i="2"/>
  <c r="AF259" i="2"/>
  <c r="Z259" i="2"/>
  <c r="U259" i="2"/>
  <c r="T259" i="2"/>
  <c r="Q259" i="2"/>
  <c r="N259" i="2"/>
  <c r="L259" i="2"/>
  <c r="J259" i="2"/>
  <c r="G259" i="2"/>
  <c r="H259" i="2" s="1"/>
  <c r="F259" i="2"/>
  <c r="E259" i="2" s="1"/>
  <c r="BC258" i="2"/>
  <c r="AL258" i="2"/>
  <c r="AF258" i="2"/>
  <c r="Z258" i="2"/>
  <c r="U258" i="2"/>
  <c r="T258" i="2"/>
  <c r="Q258" i="2"/>
  <c r="N258" i="2"/>
  <c r="L258" i="2"/>
  <c r="J258" i="2"/>
  <c r="G258" i="2"/>
  <c r="H258" i="2" s="1"/>
  <c r="F258" i="2"/>
  <c r="E258" i="2" s="1"/>
  <c r="BC257" i="2"/>
  <c r="AL257" i="2"/>
  <c r="AF257" i="2"/>
  <c r="Z257" i="2"/>
  <c r="U257" i="2"/>
  <c r="T257" i="2"/>
  <c r="Q257" i="2"/>
  <c r="N257" i="2"/>
  <c r="L257" i="2"/>
  <c r="J257" i="2"/>
  <c r="G257" i="2"/>
  <c r="H257" i="2" s="1"/>
  <c r="F257" i="2"/>
  <c r="E257" i="2" s="1"/>
  <c r="BC256" i="2"/>
  <c r="AL256" i="2"/>
  <c r="AF256" i="2"/>
  <c r="Z256" i="2"/>
  <c r="U256" i="2"/>
  <c r="T256" i="2"/>
  <c r="Q256" i="2"/>
  <c r="N256" i="2"/>
  <c r="L256" i="2"/>
  <c r="J256" i="2"/>
  <c r="G256" i="2"/>
  <c r="H256" i="2" s="1"/>
  <c r="F256" i="2"/>
  <c r="E256" i="2" s="1"/>
  <c r="BC255" i="2"/>
  <c r="AL255" i="2"/>
  <c r="AF255" i="2"/>
  <c r="Z255" i="2"/>
  <c r="U255" i="2"/>
  <c r="T255" i="2"/>
  <c r="Q255" i="2"/>
  <c r="N255" i="2"/>
  <c r="L255" i="2"/>
  <c r="J255" i="2"/>
  <c r="G255" i="2"/>
  <c r="H255" i="2" s="1"/>
  <c r="F255" i="2"/>
  <c r="E255" i="2" s="1"/>
  <c r="BC254" i="2"/>
  <c r="AL254" i="2"/>
  <c r="AF254" i="2"/>
  <c r="Z254" i="2"/>
  <c r="U254" i="2"/>
  <c r="T254" i="2"/>
  <c r="Q254" i="2"/>
  <c r="N254" i="2"/>
  <c r="L254" i="2"/>
  <c r="J254" i="2"/>
  <c r="G254" i="2"/>
  <c r="H254" i="2" s="1"/>
  <c r="F254" i="2"/>
  <c r="E254" i="2" s="1"/>
  <c r="BC253" i="2"/>
  <c r="AL253" i="2"/>
  <c r="AF253" i="2"/>
  <c r="Z253" i="2"/>
  <c r="U253" i="2"/>
  <c r="T253" i="2"/>
  <c r="Q253" i="2"/>
  <c r="N253" i="2"/>
  <c r="L253" i="2"/>
  <c r="J253" i="2"/>
  <c r="G253" i="2"/>
  <c r="H253" i="2" s="1"/>
  <c r="F253" i="2"/>
  <c r="E253" i="2" s="1"/>
  <c r="BC252" i="2"/>
  <c r="AL252" i="2"/>
  <c r="AF252" i="2"/>
  <c r="Z252" i="2"/>
  <c r="U252" i="2"/>
  <c r="T252" i="2"/>
  <c r="Q252" i="2"/>
  <c r="N252" i="2"/>
  <c r="L252" i="2"/>
  <c r="J252" i="2"/>
  <c r="G252" i="2"/>
  <c r="H252" i="2" s="1"/>
  <c r="F252" i="2"/>
  <c r="E252" i="2" s="1"/>
  <c r="BC251" i="2"/>
  <c r="AL251" i="2"/>
  <c r="AF251" i="2"/>
  <c r="Z251" i="2"/>
  <c r="U251" i="2"/>
  <c r="T251" i="2"/>
  <c r="Q251" i="2"/>
  <c r="N251" i="2"/>
  <c r="L251" i="2"/>
  <c r="J251" i="2"/>
  <c r="G251" i="2"/>
  <c r="H251" i="2" s="1"/>
  <c r="F251" i="2"/>
  <c r="E251" i="2" s="1"/>
  <c r="BC250" i="2"/>
  <c r="AL250" i="2"/>
  <c r="AF250" i="2"/>
  <c r="Z250" i="2"/>
  <c r="U250" i="2"/>
  <c r="T250" i="2"/>
  <c r="Q250" i="2"/>
  <c r="N250" i="2"/>
  <c r="L250" i="2"/>
  <c r="J250" i="2"/>
  <c r="G250" i="2"/>
  <c r="H250" i="2" s="1"/>
  <c r="F250" i="2"/>
  <c r="E250" i="2" s="1"/>
  <c r="BC249" i="2"/>
  <c r="AL249" i="2"/>
  <c r="AF249" i="2"/>
  <c r="Z249" i="2"/>
  <c r="U249" i="2"/>
  <c r="T249" i="2"/>
  <c r="Q249" i="2"/>
  <c r="N249" i="2"/>
  <c r="L249" i="2"/>
  <c r="J249" i="2"/>
  <c r="G249" i="2"/>
  <c r="H249" i="2" s="1"/>
  <c r="F249" i="2"/>
  <c r="E249" i="2" s="1"/>
  <c r="BC248" i="2"/>
  <c r="AL248" i="2"/>
  <c r="AF248" i="2"/>
  <c r="Z248" i="2"/>
  <c r="U248" i="2"/>
  <c r="T248" i="2"/>
  <c r="Q248" i="2"/>
  <c r="N248" i="2"/>
  <c r="L248" i="2"/>
  <c r="J248" i="2"/>
  <c r="G248" i="2"/>
  <c r="H248" i="2" s="1"/>
  <c r="F248" i="2"/>
  <c r="E248" i="2" s="1"/>
  <c r="BC247" i="2"/>
  <c r="AL247" i="2"/>
  <c r="AF247" i="2"/>
  <c r="Z247" i="2"/>
  <c r="U247" i="2"/>
  <c r="T247" i="2"/>
  <c r="Q247" i="2"/>
  <c r="N247" i="2"/>
  <c r="L247" i="2"/>
  <c r="J247" i="2"/>
  <c r="G247" i="2"/>
  <c r="H247" i="2" s="1"/>
  <c r="F247" i="2"/>
  <c r="E247" i="2" s="1"/>
  <c r="BC246" i="2"/>
  <c r="AL246" i="2"/>
  <c r="AF246" i="2"/>
  <c r="Z246" i="2"/>
  <c r="U246" i="2"/>
  <c r="T246" i="2"/>
  <c r="Q246" i="2"/>
  <c r="N246" i="2"/>
  <c r="L246" i="2"/>
  <c r="J246" i="2"/>
  <c r="G246" i="2"/>
  <c r="H246" i="2" s="1"/>
  <c r="F246" i="2"/>
  <c r="E246" i="2" s="1"/>
  <c r="BC245" i="2"/>
  <c r="AL245" i="2"/>
  <c r="AF245" i="2"/>
  <c r="Z245" i="2"/>
  <c r="U245" i="2"/>
  <c r="T245" i="2"/>
  <c r="Q245" i="2"/>
  <c r="N245" i="2"/>
  <c r="L245" i="2"/>
  <c r="J245" i="2"/>
  <c r="G245" i="2"/>
  <c r="H245" i="2" s="1"/>
  <c r="F245" i="2"/>
  <c r="E245" i="2" s="1"/>
  <c r="BC244" i="2"/>
  <c r="AL244" i="2"/>
  <c r="AF244" i="2"/>
  <c r="Z244" i="2"/>
  <c r="U244" i="2"/>
  <c r="T244" i="2"/>
  <c r="Q244" i="2"/>
  <c r="N244" i="2"/>
  <c r="L244" i="2"/>
  <c r="J244" i="2"/>
  <c r="G244" i="2"/>
  <c r="H244" i="2" s="1"/>
  <c r="F244" i="2"/>
  <c r="E244" i="2" s="1"/>
  <c r="BC243" i="2"/>
  <c r="AL243" i="2"/>
  <c r="AF243" i="2"/>
  <c r="Z243" i="2"/>
  <c r="U243" i="2"/>
  <c r="T243" i="2"/>
  <c r="Q243" i="2"/>
  <c r="N243" i="2"/>
  <c r="L243" i="2"/>
  <c r="J243" i="2"/>
  <c r="G243" i="2"/>
  <c r="H243" i="2" s="1"/>
  <c r="F243" i="2"/>
  <c r="E243" i="2" s="1"/>
  <c r="BC242" i="2"/>
  <c r="AL242" i="2"/>
  <c r="AF242" i="2"/>
  <c r="Z242" i="2"/>
  <c r="U242" i="2"/>
  <c r="T242" i="2"/>
  <c r="Q242" i="2"/>
  <c r="N242" i="2"/>
  <c r="L242" i="2"/>
  <c r="J242" i="2"/>
  <c r="G242" i="2"/>
  <c r="H242" i="2" s="1"/>
  <c r="F242" i="2"/>
  <c r="E242" i="2" s="1"/>
  <c r="BC241" i="2"/>
  <c r="AL241" i="2"/>
  <c r="AF241" i="2"/>
  <c r="Z241" i="2"/>
  <c r="U241" i="2"/>
  <c r="T241" i="2"/>
  <c r="Q241" i="2"/>
  <c r="N241" i="2"/>
  <c r="L241" i="2"/>
  <c r="J241" i="2"/>
  <c r="G241" i="2"/>
  <c r="H241" i="2" s="1"/>
  <c r="F241" i="2"/>
  <c r="E241" i="2" s="1"/>
  <c r="BC240" i="2"/>
  <c r="AL240" i="2"/>
  <c r="AF240" i="2"/>
  <c r="Z240" i="2"/>
  <c r="U240" i="2"/>
  <c r="T240" i="2"/>
  <c r="Q240" i="2"/>
  <c r="N240" i="2"/>
  <c r="L240" i="2"/>
  <c r="J240" i="2"/>
  <c r="G240" i="2"/>
  <c r="H240" i="2" s="1"/>
  <c r="F240" i="2"/>
  <c r="E240" i="2" s="1"/>
  <c r="BC239" i="2"/>
  <c r="AL239" i="2"/>
  <c r="AF239" i="2"/>
  <c r="Z239" i="2"/>
  <c r="U239" i="2"/>
  <c r="T239" i="2"/>
  <c r="Q239" i="2"/>
  <c r="N239" i="2"/>
  <c r="L239" i="2"/>
  <c r="J239" i="2"/>
  <c r="G239" i="2"/>
  <c r="H239" i="2" s="1"/>
  <c r="F239" i="2"/>
  <c r="E239" i="2" s="1"/>
  <c r="BC238" i="2"/>
  <c r="AL238" i="2"/>
  <c r="AF238" i="2"/>
  <c r="Z238" i="2"/>
  <c r="U238" i="2"/>
  <c r="T238" i="2"/>
  <c r="Q238" i="2"/>
  <c r="N238" i="2"/>
  <c r="L238" i="2"/>
  <c r="J238" i="2"/>
  <c r="G238" i="2"/>
  <c r="H238" i="2" s="1"/>
  <c r="F238" i="2"/>
  <c r="E238" i="2" s="1"/>
  <c r="BC237" i="2"/>
  <c r="AL237" i="2"/>
  <c r="AF237" i="2"/>
  <c r="Z237" i="2"/>
  <c r="U237" i="2"/>
  <c r="T237" i="2"/>
  <c r="Q237" i="2"/>
  <c r="N237" i="2"/>
  <c r="L237" i="2"/>
  <c r="J237" i="2"/>
  <c r="G237" i="2"/>
  <c r="H237" i="2" s="1"/>
  <c r="F237" i="2"/>
  <c r="E237" i="2" s="1"/>
  <c r="BC236" i="2"/>
  <c r="AL236" i="2"/>
  <c r="AF236" i="2"/>
  <c r="Z236" i="2"/>
  <c r="U236" i="2"/>
  <c r="T236" i="2"/>
  <c r="Q236" i="2"/>
  <c r="N236" i="2"/>
  <c r="L236" i="2"/>
  <c r="J236" i="2"/>
  <c r="G236" i="2"/>
  <c r="H236" i="2" s="1"/>
  <c r="F236" i="2"/>
  <c r="E236" i="2" s="1"/>
  <c r="BC235" i="2"/>
  <c r="AL235" i="2"/>
  <c r="AF235" i="2"/>
  <c r="Z235" i="2"/>
  <c r="U235" i="2"/>
  <c r="T235" i="2"/>
  <c r="Q235" i="2"/>
  <c r="N235" i="2"/>
  <c r="L235" i="2"/>
  <c r="J235" i="2"/>
  <c r="G235" i="2"/>
  <c r="H235" i="2" s="1"/>
  <c r="F235" i="2"/>
  <c r="E235" i="2" s="1"/>
  <c r="BC234" i="2"/>
  <c r="AL234" i="2"/>
  <c r="AF234" i="2"/>
  <c r="Z234" i="2"/>
  <c r="U234" i="2"/>
  <c r="T234" i="2"/>
  <c r="Q234" i="2"/>
  <c r="N234" i="2"/>
  <c r="L234" i="2"/>
  <c r="J234" i="2"/>
  <c r="G234" i="2"/>
  <c r="H234" i="2" s="1"/>
  <c r="F234" i="2"/>
  <c r="E234" i="2" s="1"/>
  <c r="BC233" i="2"/>
  <c r="AL233" i="2"/>
  <c r="AF233" i="2"/>
  <c r="Z233" i="2"/>
  <c r="U233" i="2"/>
  <c r="T233" i="2"/>
  <c r="Q233" i="2"/>
  <c r="N233" i="2"/>
  <c r="L233" i="2"/>
  <c r="J233" i="2"/>
  <c r="G233" i="2"/>
  <c r="H233" i="2" s="1"/>
  <c r="F233" i="2"/>
  <c r="E233" i="2" s="1"/>
  <c r="BC232" i="2"/>
  <c r="AL232" i="2"/>
  <c r="AF232" i="2"/>
  <c r="Z232" i="2"/>
  <c r="U232" i="2"/>
  <c r="T232" i="2"/>
  <c r="Q232" i="2"/>
  <c r="N232" i="2"/>
  <c r="L232" i="2"/>
  <c r="J232" i="2"/>
  <c r="G232" i="2"/>
  <c r="H232" i="2" s="1"/>
  <c r="F232" i="2"/>
  <c r="E232" i="2" s="1"/>
  <c r="BC231" i="2"/>
  <c r="AL231" i="2"/>
  <c r="AF231" i="2"/>
  <c r="Z231" i="2"/>
  <c r="U231" i="2"/>
  <c r="T231" i="2"/>
  <c r="Q231" i="2"/>
  <c r="N231" i="2"/>
  <c r="L231" i="2"/>
  <c r="J231" i="2"/>
  <c r="G231" i="2"/>
  <c r="H231" i="2" s="1"/>
  <c r="F231" i="2"/>
  <c r="E231" i="2" s="1"/>
  <c r="BC230" i="2"/>
  <c r="AL230" i="2"/>
  <c r="AF230" i="2"/>
  <c r="Z230" i="2"/>
  <c r="U230" i="2"/>
  <c r="T230" i="2"/>
  <c r="Q230" i="2"/>
  <c r="N230" i="2"/>
  <c r="L230" i="2"/>
  <c r="J230" i="2"/>
  <c r="G230" i="2"/>
  <c r="H230" i="2" s="1"/>
  <c r="F230" i="2"/>
  <c r="E230" i="2" s="1"/>
  <c r="BC229" i="2"/>
  <c r="AL229" i="2"/>
  <c r="AF229" i="2"/>
  <c r="Z229" i="2"/>
  <c r="U229" i="2"/>
  <c r="T229" i="2"/>
  <c r="Q229" i="2"/>
  <c r="N229" i="2"/>
  <c r="L229" i="2"/>
  <c r="J229" i="2"/>
  <c r="G229" i="2"/>
  <c r="H229" i="2" s="1"/>
  <c r="F229" i="2"/>
  <c r="E229" i="2" s="1"/>
  <c r="BC228" i="2"/>
  <c r="AL228" i="2"/>
  <c r="AF228" i="2"/>
  <c r="Z228" i="2"/>
  <c r="U228" i="2"/>
  <c r="T228" i="2"/>
  <c r="Q228" i="2"/>
  <c r="N228" i="2"/>
  <c r="L228" i="2"/>
  <c r="J228" i="2"/>
  <c r="G228" i="2"/>
  <c r="H228" i="2" s="1"/>
  <c r="F228" i="2"/>
  <c r="E228" i="2" s="1"/>
  <c r="BC227" i="2"/>
  <c r="AL227" i="2"/>
  <c r="AF227" i="2"/>
  <c r="Z227" i="2"/>
  <c r="U227" i="2"/>
  <c r="T227" i="2"/>
  <c r="Q227" i="2"/>
  <c r="N227" i="2"/>
  <c r="L227" i="2"/>
  <c r="J227" i="2"/>
  <c r="G227" i="2"/>
  <c r="H227" i="2" s="1"/>
  <c r="F227" i="2"/>
  <c r="E227" i="2" s="1"/>
  <c r="BC226" i="2"/>
  <c r="AL226" i="2"/>
  <c r="AF226" i="2"/>
  <c r="Z226" i="2"/>
  <c r="U226" i="2"/>
  <c r="T226" i="2"/>
  <c r="Q226" i="2"/>
  <c r="N226" i="2"/>
  <c r="L226" i="2"/>
  <c r="J226" i="2"/>
  <c r="G226" i="2"/>
  <c r="H226" i="2" s="1"/>
  <c r="F226" i="2"/>
  <c r="E226" i="2" s="1"/>
  <c r="BC225" i="2"/>
  <c r="AL225" i="2"/>
  <c r="AF225" i="2"/>
  <c r="Z225" i="2"/>
  <c r="U225" i="2"/>
  <c r="T225" i="2"/>
  <c r="Q225" i="2"/>
  <c r="N225" i="2"/>
  <c r="L225" i="2"/>
  <c r="J225" i="2"/>
  <c r="G225" i="2"/>
  <c r="H225" i="2" s="1"/>
  <c r="F225" i="2"/>
  <c r="E225" i="2" s="1"/>
  <c r="BC224" i="2"/>
  <c r="AL224" i="2"/>
  <c r="AF224" i="2"/>
  <c r="Z224" i="2"/>
  <c r="U224" i="2"/>
  <c r="T224" i="2"/>
  <c r="Q224" i="2"/>
  <c r="N224" i="2"/>
  <c r="L224" i="2"/>
  <c r="J224" i="2"/>
  <c r="G224" i="2"/>
  <c r="H224" i="2" s="1"/>
  <c r="F224" i="2"/>
  <c r="E224" i="2" s="1"/>
  <c r="BC223" i="2"/>
  <c r="AL223" i="2"/>
  <c r="AF223" i="2"/>
  <c r="Z223" i="2"/>
  <c r="U223" i="2"/>
  <c r="T223" i="2"/>
  <c r="Q223" i="2"/>
  <c r="N223" i="2"/>
  <c r="L223" i="2"/>
  <c r="J223" i="2"/>
  <c r="G223" i="2"/>
  <c r="H223" i="2" s="1"/>
  <c r="F223" i="2"/>
  <c r="E223" i="2" s="1"/>
  <c r="BC222" i="2"/>
  <c r="AL222" i="2"/>
  <c r="AF222" i="2"/>
  <c r="Z222" i="2"/>
  <c r="U222" i="2"/>
  <c r="T222" i="2"/>
  <c r="Q222" i="2"/>
  <c r="N222" i="2"/>
  <c r="L222" i="2"/>
  <c r="J222" i="2"/>
  <c r="G222" i="2"/>
  <c r="H222" i="2" s="1"/>
  <c r="F222" i="2"/>
  <c r="E222" i="2" s="1"/>
  <c r="BC221" i="2"/>
  <c r="AL221" i="2"/>
  <c r="AF221" i="2"/>
  <c r="Z221" i="2"/>
  <c r="U221" i="2"/>
  <c r="T221" i="2"/>
  <c r="Q221" i="2"/>
  <c r="N221" i="2"/>
  <c r="L221" i="2"/>
  <c r="J221" i="2"/>
  <c r="G221" i="2"/>
  <c r="H221" i="2" s="1"/>
  <c r="F221" i="2"/>
  <c r="E221" i="2" s="1"/>
  <c r="BC220" i="2"/>
  <c r="AL220" i="2"/>
  <c r="AF220" i="2"/>
  <c r="Z220" i="2"/>
  <c r="U220" i="2"/>
  <c r="T220" i="2"/>
  <c r="Q220" i="2"/>
  <c r="N220" i="2"/>
  <c r="L220" i="2"/>
  <c r="J220" i="2"/>
  <c r="G220" i="2"/>
  <c r="H220" i="2" s="1"/>
  <c r="F220" i="2"/>
  <c r="E220" i="2" s="1"/>
  <c r="BC219" i="2"/>
  <c r="AL219" i="2"/>
  <c r="AF219" i="2"/>
  <c r="Z219" i="2"/>
  <c r="U219" i="2"/>
  <c r="T219" i="2"/>
  <c r="Q219" i="2"/>
  <c r="N219" i="2"/>
  <c r="L219" i="2"/>
  <c r="J219" i="2"/>
  <c r="G219" i="2"/>
  <c r="H219" i="2" s="1"/>
  <c r="F219" i="2"/>
  <c r="E219" i="2" s="1"/>
  <c r="BC218" i="2"/>
  <c r="AL218" i="2"/>
  <c r="AF218" i="2"/>
  <c r="Z218" i="2"/>
  <c r="U218" i="2"/>
  <c r="T218" i="2"/>
  <c r="Q218" i="2"/>
  <c r="N218" i="2"/>
  <c r="L218" i="2"/>
  <c r="J218" i="2"/>
  <c r="G218" i="2"/>
  <c r="H218" i="2" s="1"/>
  <c r="F218" i="2"/>
  <c r="E218" i="2" s="1"/>
  <c r="BC217" i="2"/>
  <c r="AL217" i="2"/>
  <c r="AF217" i="2"/>
  <c r="Z217" i="2"/>
  <c r="U217" i="2"/>
  <c r="T217" i="2"/>
  <c r="Q217" i="2"/>
  <c r="N217" i="2"/>
  <c r="L217" i="2"/>
  <c r="J217" i="2"/>
  <c r="G217" i="2"/>
  <c r="H217" i="2" s="1"/>
  <c r="F217" i="2"/>
  <c r="E217" i="2" s="1"/>
  <c r="BC216" i="2"/>
  <c r="AL216" i="2"/>
  <c r="AF216" i="2"/>
  <c r="Z216" i="2"/>
  <c r="U216" i="2"/>
  <c r="T216" i="2"/>
  <c r="Q216" i="2"/>
  <c r="N216" i="2"/>
  <c r="L216" i="2"/>
  <c r="J216" i="2"/>
  <c r="G216" i="2"/>
  <c r="H216" i="2" s="1"/>
  <c r="F216" i="2"/>
  <c r="E216" i="2" s="1"/>
  <c r="BC215" i="2"/>
  <c r="AL215" i="2"/>
  <c r="AF215" i="2"/>
  <c r="Z215" i="2"/>
  <c r="U215" i="2"/>
  <c r="T215" i="2"/>
  <c r="Q215" i="2"/>
  <c r="N215" i="2"/>
  <c r="L215" i="2"/>
  <c r="J215" i="2"/>
  <c r="G215" i="2"/>
  <c r="H215" i="2" s="1"/>
  <c r="F215" i="2"/>
  <c r="E215" i="2" s="1"/>
  <c r="BC214" i="2"/>
  <c r="AL214" i="2"/>
  <c r="AF214" i="2"/>
  <c r="Z214" i="2"/>
  <c r="U214" i="2"/>
  <c r="T214" i="2"/>
  <c r="Q214" i="2"/>
  <c r="N214" i="2"/>
  <c r="L214" i="2"/>
  <c r="J214" i="2"/>
  <c r="G214" i="2"/>
  <c r="H214" i="2" s="1"/>
  <c r="F214" i="2"/>
  <c r="E214" i="2" s="1"/>
  <c r="BC213" i="2"/>
  <c r="AL213" i="2"/>
  <c r="AF213" i="2"/>
  <c r="Z213" i="2"/>
  <c r="U213" i="2"/>
  <c r="T213" i="2"/>
  <c r="Q213" i="2"/>
  <c r="N213" i="2"/>
  <c r="L213" i="2"/>
  <c r="J213" i="2"/>
  <c r="G213" i="2"/>
  <c r="H213" i="2" s="1"/>
  <c r="F213" i="2"/>
  <c r="E213" i="2" s="1"/>
  <c r="BC212" i="2"/>
  <c r="AL212" i="2"/>
  <c r="AF212" i="2"/>
  <c r="Z212" i="2"/>
  <c r="U212" i="2"/>
  <c r="T212" i="2"/>
  <c r="Q212" i="2"/>
  <c r="N212" i="2"/>
  <c r="L212" i="2"/>
  <c r="J212" i="2"/>
  <c r="G212" i="2"/>
  <c r="H212" i="2" s="1"/>
  <c r="F212" i="2"/>
  <c r="E212" i="2" s="1"/>
  <c r="BC211" i="2"/>
  <c r="AL211" i="2"/>
  <c r="AF211" i="2"/>
  <c r="Z211" i="2"/>
  <c r="U211" i="2"/>
  <c r="T211" i="2"/>
  <c r="Q211" i="2"/>
  <c r="N211" i="2"/>
  <c r="L211" i="2"/>
  <c r="J211" i="2"/>
  <c r="G211" i="2"/>
  <c r="H211" i="2" s="1"/>
  <c r="F211" i="2"/>
  <c r="E211" i="2" s="1"/>
  <c r="BC210" i="2"/>
  <c r="AL210" i="2"/>
  <c r="AF210" i="2"/>
  <c r="Z210" i="2"/>
  <c r="U210" i="2"/>
  <c r="T210" i="2"/>
  <c r="Q210" i="2"/>
  <c r="N210" i="2"/>
  <c r="L210" i="2"/>
  <c r="J210" i="2"/>
  <c r="G210" i="2"/>
  <c r="H210" i="2" s="1"/>
  <c r="F210" i="2"/>
  <c r="E210" i="2" s="1"/>
  <c r="BC209" i="2"/>
  <c r="AL209" i="2"/>
  <c r="AF209" i="2"/>
  <c r="Z209" i="2"/>
  <c r="U209" i="2"/>
  <c r="T209" i="2"/>
  <c r="Q209" i="2"/>
  <c r="N209" i="2"/>
  <c r="L209" i="2"/>
  <c r="J209" i="2"/>
  <c r="G209" i="2"/>
  <c r="H209" i="2" s="1"/>
  <c r="F209" i="2"/>
  <c r="E209" i="2" s="1"/>
  <c r="BC208" i="2"/>
  <c r="AL208" i="2"/>
  <c r="AF208" i="2"/>
  <c r="Z208" i="2"/>
  <c r="U208" i="2"/>
  <c r="T208" i="2"/>
  <c r="Q208" i="2"/>
  <c r="N208" i="2"/>
  <c r="L208" i="2"/>
  <c r="J208" i="2"/>
  <c r="G208" i="2"/>
  <c r="H208" i="2" s="1"/>
  <c r="F208" i="2"/>
  <c r="E208" i="2" s="1"/>
  <c r="BC207" i="2"/>
  <c r="AL207" i="2"/>
  <c r="AF207" i="2"/>
  <c r="Z207" i="2"/>
  <c r="U207" i="2"/>
  <c r="T207" i="2"/>
  <c r="Q207" i="2"/>
  <c r="N207" i="2"/>
  <c r="L207" i="2"/>
  <c r="J207" i="2"/>
  <c r="G207" i="2"/>
  <c r="H207" i="2" s="1"/>
  <c r="F207" i="2"/>
  <c r="E207" i="2" s="1"/>
  <c r="BC206" i="2"/>
  <c r="AL206" i="2"/>
  <c r="AF206" i="2"/>
  <c r="Z206" i="2"/>
  <c r="U206" i="2"/>
  <c r="T206" i="2"/>
  <c r="Q206" i="2"/>
  <c r="N206" i="2"/>
  <c r="L206" i="2"/>
  <c r="J206" i="2"/>
  <c r="G206" i="2"/>
  <c r="H206" i="2" s="1"/>
  <c r="F206" i="2"/>
  <c r="E206" i="2" s="1"/>
  <c r="BC205" i="2"/>
  <c r="AL205" i="2"/>
  <c r="AF205" i="2"/>
  <c r="Z205" i="2"/>
  <c r="U205" i="2"/>
  <c r="T205" i="2"/>
  <c r="Q205" i="2"/>
  <c r="N205" i="2"/>
  <c r="L205" i="2"/>
  <c r="J205" i="2"/>
  <c r="G205" i="2"/>
  <c r="H205" i="2" s="1"/>
  <c r="F205" i="2"/>
  <c r="E205" i="2" s="1"/>
  <c r="BC204" i="2"/>
  <c r="AL204" i="2"/>
  <c r="AF204" i="2"/>
  <c r="Z204" i="2"/>
  <c r="U204" i="2"/>
  <c r="T204" i="2"/>
  <c r="Q204" i="2"/>
  <c r="N204" i="2"/>
  <c r="L204" i="2"/>
  <c r="J204" i="2"/>
  <c r="G204" i="2"/>
  <c r="H204" i="2" s="1"/>
  <c r="F204" i="2"/>
  <c r="E204" i="2" s="1"/>
  <c r="BC203" i="2"/>
  <c r="AL203" i="2"/>
  <c r="AF203" i="2"/>
  <c r="Z203" i="2"/>
  <c r="U203" i="2"/>
  <c r="T203" i="2"/>
  <c r="Q203" i="2"/>
  <c r="N203" i="2"/>
  <c r="L203" i="2"/>
  <c r="J203" i="2"/>
  <c r="G203" i="2"/>
  <c r="H203" i="2" s="1"/>
  <c r="F203" i="2"/>
  <c r="E203" i="2" s="1"/>
  <c r="BC202" i="2"/>
  <c r="AL202" i="2"/>
  <c r="AF202" i="2"/>
  <c r="Z202" i="2"/>
  <c r="U202" i="2"/>
  <c r="T202" i="2"/>
  <c r="Q202" i="2"/>
  <c r="N202" i="2"/>
  <c r="L202" i="2"/>
  <c r="J202" i="2"/>
  <c r="G202" i="2"/>
  <c r="H202" i="2" s="1"/>
  <c r="F202" i="2"/>
  <c r="E202" i="2" s="1"/>
  <c r="BC201" i="2"/>
  <c r="AL201" i="2"/>
  <c r="AF201" i="2"/>
  <c r="Z201" i="2"/>
  <c r="U201" i="2"/>
  <c r="T201" i="2"/>
  <c r="Q201" i="2"/>
  <c r="N201" i="2"/>
  <c r="L201" i="2"/>
  <c r="J201" i="2"/>
  <c r="G201" i="2"/>
  <c r="H201" i="2" s="1"/>
  <c r="F201" i="2"/>
  <c r="E201" i="2" s="1"/>
  <c r="BC200" i="2"/>
  <c r="AL200" i="2"/>
  <c r="AF200" i="2"/>
  <c r="Z200" i="2"/>
  <c r="U200" i="2"/>
  <c r="T200" i="2"/>
  <c r="Q200" i="2"/>
  <c r="N200" i="2"/>
  <c r="L200" i="2"/>
  <c r="J200" i="2"/>
  <c r="G200" i="2"/>
  <c r="H200" i="2" s="1"/>
  <c r="F200" i="2"/>
  <c r="E200" i="2" s="1"/>
  <c r="BC199" i="2"/>
  <c r="AL199" i="2"/>
  <c r="AF199" i="2"/>
  <c r="Z199" i="2"/>
  <c r="U199" i="2"/>
  <c r="T199" i="2"/>
  <c r="Q199" i="2"/>
  <c r="N199" i="2"/>
  <c r="L199" i="2"/>
  <c r="J199" i="2"/>
  <c r="G199" i="2"/>
  <c r="H199" i="2" s="1"/>
  <c r="F199" i="2"/>
  <c r="E199" i="2" s="1"/>
  <c r="BC198" i="2"/>
  <c r="AL198" i="2"/>
  <c r="AF198" i="2"/>
  <c r="Z198" i="2"/>
  <c r="U198" i="2"/>
  <c r="T198" i="2"/>
  <c r="Q198" i="2"/>
  <c r="N198" i="2"/>
  <c r="L198" i="2"/>
  <c r="J198" i="2"/>
  <c r="G198" i="2"/>
  <c r="H198" i="2" s="1"/>
  <c r="F198" i="2"/>
  <c r="E198" i="2" s="1"/>
  <c r="BC197" i="2"/>
  <c r="AL197" i="2"/>
  <c r="AF197" i="2"/>
  <c r="Z197" i="2"/>
  <c r="U197" i="2"/>
  <c r="T197" i="2"/>
  <c r="Q197" i="2"/>
  <c r="N197" i="2"/>
  <c r="L197" i="2"/>
  <c r="J197" i="2"/>
  <c r="G197" i="2"/>
  <c r="H197" i="2" s="1"/>
  <c r="F197" i="2"/>
  <c r="E197" i="2" s="1"/>
  <c r="BC196" i="2"/>
  <c r="AL196" i="2"/>
  <c r="AF196" i="2"/>
  <c r="Z196" i="2"/>
  <c r="U196" i="2"/>
  <c r="T196" i="2"/>
  <c r="Q196" i="2"/>
  <c r="N196" i="2"/>
  <c r="L196" i="2"/>
  <c r="J196" i="2"/>
  <c r="G196" i="2"/>
  <c r="H196" i="2" s="1"/>
  <c r="F196" i="2"/>
  <c r="E196" i="2" s="1"/>
  <c r="BC195" i="2"/>
  <c r="AL195" i="2"/>
  <c r="AF195" i="2"/>
  <c r="Z195" i="2"/>
  <c r="U195" i="2"/>
  <c r="T195" i="2"/>
  <c r="Q195" i="2"/>
  <c r="N195" i="2"/>
  <c r="L195" i="2"/>
  <c r="J195" i="2"/>
  <c r="G195" i="2"/>
  <c r="H195" i="2" s="1"/>
  <c r="F195" i="2"/>
  <c r="E195" i="2" s="1"/>
  <c r="BC194" i="2"/>
  <c r="AL194" i="2"/>
  <c r="AF194" i="2"/>
  <c r="Z194" i="2"/>
  <c r="U194" i="2"/>
  <c r="T194" i="2"/>
  <c r="Q194" i="2"/>
  <c r="N194" i="2"/>
  <c r="L194" i="2"/>
  <c r="J194" i="2"/>
  <c r="G194" i="2"/>
  <c r="H194" i="2" s="1"/>
  <c r="F194" i="2"/>
  <c r="E194" i="2" s="1"/>
  <c r="BC193" i="2"/>
  <c r="AL193" i="2"/>
  <c r="AF193" i="2"/>
  <c r="Z193" i="2"/>
  <c r="U193" i="2"/>
  <c r="T193" i="2"/>
  <c r="Q193" i="2"/>
  <c r="N193" i="2"/>
  <c r="L193" i="2"/>
  <c r="J193" i="2"/>
  <c r="G193" i="2"/>
  <c r="H193" i="2" s="1"/>
  <c r="F193" i="2"/>
  <c r="E193" i="2" s="1"/>
  <c r="AL192" i="2"/>
  <c r="AK192" i="2"/>
  <c r="AJ192" i="2"/>
  <c r="AH192" i="2"/>
  <c r="AG192" i="2"/>
  <c r="AF192" i="2"/>
  <c r="AD192" i="2"/>
  <c r="AB192" i="2"/>
  <c r="Z192" i="2"/>
  <c r="U192" i="2"/>
  <c r="T192" i="2"/>
  <c r="S192" i="2"/>
  <c r="Q192" i="2"/>
  <c r="N192" i="2"/>
  <c r="L192" i="2"/>
  <c r="J192" i="2"/>
  <c r="H192" i="2"/>
  <c r="E192" i="2"/>
  <c r="AM191" i="2"/>
  <c r="AL191" i="2"/>
  <c r="AK191" i="2"/>
  <c r="AJ191" i="2"/>
  <c r="AH191" i="2"/>
  <c r="AG191" i="2"/>
  <c r="AF191" i="2"/>
  <c r="AD191" i="2"/>
  <c r="AB191" i="2"/>
  <c r="Z191" i="2"/>
  <c r="U191" i="2"/>
  <c r="T191" i="2"/>
  <c r="Q191" i="2"/>
  <c r="N191" i="2"/>
  <c r="L191" i="2"/>
  <c r="J191" i="2"/>
  <c r="H191" i="2"/>
  <c r="E191" i="2"/>
  <c r="AM190" i="2"/>
  <c r="AL190" i="2"/>
  <c r="AK190" i="2"/>
  <c r="AJ190" i="2"/>
  <c r="AH190" i="2"/>
  <c r="AG190" i="2"/>
  <c r="AF190" i="2"/>
  <c r="AD190" i="2"/>
  <c r="AB190" i="2"/>
  <c r="Z190" i="2"/>
  <c r="U190" i="2"/>
  <c r="T190" i="2"/>
  <c r="S190" i="2"/>
  <c r="Q190" i="2"/>
  <c r="N190" i="2"/>
  <c r="L190" i="2"/>
  <c r="J190" i="2"/>
  <c r="H190" i="2"/>
  <c r="E190" i="2"/>
  <c r="AL189" i="2"/>
  <c r="AK189" i="2"/>
  <c r="AJ189" i="2"/>
  <c r="AH189" i="2"/>
  <c r="AG189" i="2"/>
  <c r="AF189" i="2"/>
  <c r="AD189" i="2"/>
  <c r="AB189" i="2"/>
  <c r="Z189" i="2"/>
  <c r="U189" i="2"/>
  <c r="T189" i="2"/>
  <c r="Q189" i="2"/>
  <c r="N189" i="2"/>
  <c r="L189" i="2"/>
  <c r="J189" i="2"/>
  <c r="H189" i="2"/>
  <c r="E189" i="2"/>
  <c r="AL188" i="2"/>
  <c r="AK188" i="2"/>
  <c r="AJ188" i="2"/>
  <c r="AH188" i="2"/>
  <c r="AG188" i="2"/>
  <c r="AF188" i="2"/>
  <c r="AD188" i="2"/>
  <c r="AB188" i="2"/>
  <c r="Z188" i="2"/>
  <c r="U188" i="2"/>
  <c r="T188" i="2"/>
  <c r="Q188" i="2"/>
  <c r="N188" i="2"/>
  <c r="L188" i="2"/>
  <c r="J188" i="2"/>
  <c r="H188" i="2"/>
  <c r="E188" i="2"/>
  <c r="AL187" i="2"/>
  <c r="AK187" i="2"/>
  <c r="AJ187" i="2"/>
  <c r="AH187" i="2"/>
  <c r="AG187" i="2"/>
  <c r="AF187" i="2"/>
  <c r="AD187" i="2"/>
  <c r="AB187" i="2"/>
  <c r="Z187" i="2"/>
  <c r="U187" i="2"/>
  <c r="T187" i="2"/>
  <c r="Q187" i="2"/>
  <c r="N187" i="2"/>
  <c r="L187" i="2"/>
  <c r="J187" i="2"/>
  <c r="H187" i="2"/>
  <c r="E187" i="2"/>
  <c r="AL186" i="2"/>
  <c r="AK186" i="2"/>
  <c r="AJ186" i="2"/>
  <c r="AH186" i="2"/>
  <c r="AG186" i="2"/>
  <c r="AF186" i="2"/>
  <c r="AD186" i="2"/>
  <c r="AB186" i="2"/>
  <c r="Z186" i="2"/>
  <c r="U186" i="2"/>
  <c r="T186" i="2"/>
  <c r="S186" i="2"/>
  <c r="Q186" i="2"/>
  <c r="N186" i="2"/>
  <c r="L186" i="2"/>
  <c r="I186" i="2"/>
  <c r="J186" i="2" s="1"/>
  <c r="H186" i="2"/>
  <c r="E186" i="2"/>
  <c r="AM185" i="2"/>
  <c r="AL185" i="2"/>
  <c r="AK185" i="2"/>
  <c r="AJ185" i="2"/>
  <c r="AH185" i="2"/>
  <c r="AG185" i="2"/>
  <c r="AF185" i="2"/>
  <c r="AD185" i="2"/>
  <c r="AB185" i="2"/>
  <c r="Z185" i="2"/>
  <c r="U185" i="2"/>
  <c r="T185" i="2"/>
  <c r="S185" i="2"/>
  <c r="Q185" i="2"/>
  <c r="N185" i="2"/>
  <c r="L185" i="2"/>
  <c r="J185" i="2"/>
  <c r="H185" i="2"/>
  <c r="E185" i="2"/>
  <c r="AM184" i="2"/>
  <c r="AL184" i="2"/>
  <c r="AK184" i="2"/>
  <c r="AJ184" i="2"/>
  <c r="AH184" i="2"/>
  <c r="AG184" i="2"/>
  <c r="AF184" i="2"/>
  <c r="AD184" i="2"/>
  <c r="AB184" i="2"/>
  <c r="Z184" i="2"/>
  <c r="U184" i="2"/>
  <c r="T184" i="2"/>
  <c r="S184" i="2"/>
  <c r="Q184" i="2"/>
  <c r="N184" i="2"/>
  <c r="L184" i="2"/>
  <c r="J184" i="2"/>
  <c r="H184" i="2"/>
  <c r="E184" i="2"/>
  <c r="AM183" i="2"/>
  <c r="AL183" i="2"/>
  <c r="AK183" i="2"/>
  <c r="AJ183" i="2"/>
  <c r="AH183" i="2"/>
  <c r="AG183" i="2"/>
  <c r="AF183" i="2"/>
  <c r="AD183" i="2"/>
  <c r="AB183" i="2"/>
  <c r="Z183" i="2"/>
  <c r="U183" i="2"/>
  <c r="T183" i="2"/>
  <c r="S183" i="2"/>
  <c r="Q183" i="2"/>
  <c r="N183" i="2"/>
  <c r="L183" i="2"/>
  <c r="I183" i="2"/>
  <c r="J183" i="2" s="1"/>
  <c r="H183" i="2"/>
  <c r="E183" i="2"/>
  <c r="AM182" i="2"/>
  <c r="AL182" i="2"/>
  <c r="AK182" i="2"/>
  <c r="AJ182" i="2"/>
  <c r="AH182" i="2"/>
  <c r="AG182" i="2"/>
  <c r="AF182" i="2"/>
  <c r="AD182" i="2"/>
  <c r="AB182" i="2"/>
  <c r="Z182" i="2"/>
  <c r="U182" i="2"/>
  <c r="T182" i="2"/>
  <c r="S182" i="2"/>
  <c r="Q182" i="2"/>
  <c r="N182" i="2"/>
  <c r="L182" i="2"/>
  <c r="I182" i="2"/>
  <c r="J182" i="2" s="1"/>
  <c r="H182" i="2"/>
  <c r="E182" i="2"/>
  <c r="AM181" i="2"/>
  <c r="AL181" i="2"/>
  <c r="AK181" i="2"/>
  <c r="AJ181" i="2"/>
  <c r="AH181" i="2"/>
  <c r="AG181" i="2"/>
  <c r="AF181" i="2"/>
  <c r="AD181" i="2"/>
  <c r="AB181" i="2"/>
  <c r="Z181" i="2"/>
  <c r="U181" i="2"/>
  <c r="T181" i="2"/>
  <c r="S181" i="2"/>
  <c r="Q181" i="2"/>
  <c r="N181" i="2"/>
  <c r="L181" i="2"/>
  <c r="I181" i="2"/>
  <c r="J181" i="2" s="1"/>
  <c r="H181" i="2"/>
  <c r="E181" i="2"/>
  <c r="AM180" i="2"/>
  <c r="AL180" i="2"/>
  <c r="AK180" i="2"/>
  <c r="AJ180" i="2"/>
  <c r="AH180" i="2"/>
  <c r="AG180" i="2"/>
  <c r="AF180" i="2"/>
  <c r="AD180" i="2"/>
  <c r="AB180" i="2"/>
  <c r="Z180" i="2"/>
  <c r="U180" i="2"/>
  <c r="T180" i="2"/>
  <c r="S180" i="2"/>
  <c r="Q180" i="2"/>
  <c r="N180" i="2"/>
  <c r="L180" i="2"/>
  <c r="J180" i="2"/>
  <c r="H180" i="2"/>
  <c r="E180" i="2"/>
  <c r="AM179" i="2"/>
  <c r="AL179" i="2"/>
  <c r="AK179" i="2"/>
  <c r="AJ179" i="2"/>
  <c r="AH179" i="2"/>
  <c r="AG179" i="2"/>
  <c r="AF179" i="2"/>
  <c r="AD179" i="2"/>
  <c r="AB179" i="2"/>
  <c r="Z179" i="2"/>
  <c r="U179" i="2"/>
  <c r="T179" i="2"/>
  <c r="S179" i="2"/>
  <c r="Q179" i="2"/>
  <c r="N179" i="2"/>
  <c r="L179" i="2"/>
  <c r="J179" i="2"/>
  <c r="H179" i="2"/>
  <c r="E179" i="2"/>
  <c r="AM178" i="2"/>
  <c r="AL178" i="2"/>
  <c r="AK178" i="2"/>
  <c r="AJ178" i="2"/>
  <c r="AH178" i="2"/>
  <c r="AG178" i="2"/>
  <c r="AF178" i="2"/>
  <c r="AD178" i="2"/>
  <c r="AB178" i="2"/>
  <c r="Z178" i="2"/>
  <c r="U178" i="2"/>
  <c r="T178" i="2"/>
  <c r="S178" i="2"/>
  <c r="Q178" i="2"/>
  <c r="N178" i="2"/>
  <c r="L178" i="2"/>
  <c r="I178" i="2"/>
  <c r="J178" i="2" s="1"/>
  <c r="H178" i="2"/>
  <c r="E178" i="2"/>
  <c r="AM177" i="2"/>
  <c r="AL177" i="2"/>
  <c r="AK177" i="2"/>
  <c r="AJ177" i="2"/>
  <c r="AH177" i="2"/>
  <c r="AG177" i="2"/>
  <c r="AF177" i="2"/>
  <c r="AD177" i="2"/>
  <c r="AB177" i="2"/>
  <c r="Z177" i="2"/>
  <c r="U177" i="2"/>
  <c r="T177" i="2"/>
  <c r="S177" i="2"/>
  <c r="Q177" i="2"/>
  <c r="N177" i="2"/>
  <c r="L177" i="2"/>
  <c r="I177" i="2"/>
  <c r="J177" i="2" s="1"/>
  <c r="H177" i="2"/>
  <c r="E177" i="2"/>
  <c r="AM176" i="2"/>
  <c r="AL176" i="2"/>
  <c r="AK176" i="2"/>
  <c r="AJ176" i="2"/>
  <c r="AH176" i="2"/>
  <c r="AG176" i="2"/>
  <c r="AF176" i="2"/>
  <c r="AD176" i="2"/>
  <c r="AB176" i="2"/>
  <c r="Z176" i="2"/>
  <c r="U176" i="2"/>
  <c r="T176" i="2"/>
  <c r="S176" i="2"/>
  <c r="Q176" i="2"/>
  <c r="N176" i="2"/>
  <c r="L176" i="2"/>
  <c r="I176" i="2"/>
  <c r="J176" i="2" s="1"/>
  <c r="H176" i="2"/>
  <c r="E176" i="2"/>
  <c r="AM175" i="2"/>
  <c r="AL175" i="2"/>
  <c r="AK175" i="2"/>
  <c r="AJ175" i="2"/>
  <c r="AH175" i="2"/>
  <c r="AG175" i="2"/>
  <c r="AF175" i="2"/>
  <c r="AD175" i="2"/>
  <c r="AB175" i="2"/>
  <c r="Z175" i="2"/>
  <c r="U175" i="2"/>
  <c r="T175" i="2"/>
  <c r="S175" i="2"/>
  <c r="Q175" i="2"/>
  <c r="N175" i="2"/>
  <c r="L175" i="2"/>
  <c r="I175" i="2"/>
  <c r="J175" i="2" s="1"/>
  <c r="H175" i="2"/>
  <c r="E175" i="2"/>
  <c r="AM174" i="2"/>
  <c r="AL174" i="2"/>
  <c r="AK174" i="2"/>
  <c r="AJ174" i="2"/>
  <c r="AH174" i="2"/>
  <c r="AG174" i="2"/>
  <c r="AF174" i="2"/>
  <c r="AD174" i="2"/>
  <c r="AB174" i="2"/>
  <c r="Z174" i="2"/>
  <c r="U174" i="2"/>
  <c r="T174" i="2"/>
  <c r="Q174" i="2"/>
  <c r="N174" i="2"/>
  <c r="L174" i="2"/>
  <c r="J174" i="2"/>
  <c r="H174" i="2"/>
  <c r="E174" i="2"/>
  <c r="AL173" i="2"/>
  <c r="AK173" i="2"/>
  <c r="AJ173" i="2"/>
  <c r="AH173" i="2"/>
  <c r="AG173" i="2"/>
  <c r="AF173" i="2"/>
  <c r="AD173" i="2"/>
  <c r="AB173" i="2"/>
  <c r="Z173" i="2"/>
  <c r="U173" i="2"/>
  <c r="T173" i="2"/>
  <c r="Q173" i="2"/>
  <c r="N173" i="2"/>
  <c r="L173" i="2"/>
  <c r="J173" i="2"/>
  <c r="H173" i="2"/>
  <c r="E173" i="2"/>
  <c r="AL172" i="2"/>
  <c r="AK172" i="2"/>
  <c r="AJ172" i="2"/>
  <c r="AH172" i="2"/>
  <c r="AG172" i="2"/>
  <c r="AF172" i="2"/>
  <c r="AD172" i="2"/>
  <c r="AB172" i="2"/>
  <c r="Z172" i="2"/>
  <c r="U172" i="2"/>
  <c r="T172" i="2"/>
  <c r="Q172" i="2"/>
  <c r="N172" i="2"/>
  <c r="L172" i="2"/>
  <c r="J172" i="2"/>
  <c r="H172" i="2"/>
  <c r="E172" i="2"/>
  <c r="AL171" i="2"/>
  <c r="AK171" i="2"/>
  <c r="AJ171" i="2"/>
  <c r="AH171" i="2"/>
  <c r="AG171" i="2"/>
  <c r="AF171" i="2"/>
  <c r="AD171" i="2"/>
  <c r="AB171" i="2"/>
  <c r="Z171" i="2"/>
  <c r="U171" i="2"/>
  <c r="T171" i="2"/>
  <c r="Q171" i="2"/>
  <c r="N171" i="2"/>
  <c r="L171" i="2"/>
  <c r="J171" i="2"/>
  <c r="H171" i="2"/>
  <c r="E171" i="2"/>
  <c r="AL170" i="2"/>
  <c r="AK170" i="2"/>
  <c r="AJ170" i="2"/>
  <c r="AH170" i="2"/>
  <c r="AG170" i="2"/>
  <c r="AF170" i="2"/>
  <c r="AD170" i="2"/>
  <c r="AB170" i="2"/>
  <c r="Z170" i="2"/>
  <c r="U170" i="2"/>
  <c r="T170" i="2"/>
  <c r="Q170" i="2"/>
  <c r="N170" i="2"/>
  <c r="L170" i="2"/>
  <c r="J170" i="2"/>
  <c r="H170" i="2"/>
  <c r="E170" i="2"/>
  <c r="AL169" i="2"/>
  <c r="AK169" i="2"/>
  <c r="AJ169" i="2"/>
  <c r="AH169" i="2"/>
  <c r="AG169" i="2"/>
  <c r="AF169" i="2"/>
  <c r="AD169" i="2"/>
  <c r="AB169" i="2"/>
  <c r="Z169" i="2"/>
  <c r="U169" i="2"/>
  <c r="T169" i="2"/>
  <c r="Q169" i="2"/>
  <c r="N169" i="2"/>
  <c r="L169" i="2"/>
  <c r="J169" i="2"/>
  <c r="H169" i="2"/>
  <c r="E169" i="2"/>
  <c r="AL168" i="2"/>
  <c r="AK168" i="2"/>
  <c r="AJ168" i="2"/>
  <c r="AH168" i="2"/>
  <c r="AG168" i="2"/>
  <c r="AF168" i="2"/>
  <c r="AD168" i="2"/>
  <c r="AB168" i="2"/>
  <c r="Z168" i="2"/>
  <c r="U168" i="2"/>
  <c r="T168" i="2"/>
  <c r="Q168" i="2"/>
  <c r="N168" i="2"/>
  <c r="L168" i="2"/>
  <c r="J168" i="2"/>
  <c r="H168" i="2"/>
  <c r="E168" i="2"/>
  <c r="AL167" i="2"/>
  <c r="AK167" i="2"/>
  <c r="AJ167" i="2"/>
  <c r="AH167" i="2"/>
  <c r="AG167" i="2"/>
  <c r="AF167" i="2"/>
  <c r="AD167" i="2"/>
  <c r="AB167" i="2"/>
  <c r="Z167" i="2"/>
  <c r="U167" i="2"/>
  <c r="T167" i="2"/>
  <c r="S167" i="2"/>
  <c r="Q167" i="2"/>
  <c r="N167" i="2"/>
  <c r="L167" i="2"/>
  <c r="J167" i="2"/>
  <c r="H167" i="2"/>
  <c r="E167" i="2"/>
  <c r="AL166" i="2"/>
  <c r="AK166" i="2"/>
  <c r="AJ166" i="2"/>
  <c r="AH166" i="2"/>
  <c r="AG166" i="2"/>
  <c r="AF166" i="2"/>
  <c r="AD166" i="2"/>
  <c r="AB166" i="2"/>
  <c r="Z166" i="2"/>
  <c r="U166" i="2"/>
  <c r="T166" i="2"/>
  <c r="S166" i="2"/>
  <c r="Q166" i="2"/>
  <c r="N166" i="2"/>
  <c r="L166" i="2"/>
  <c r="J166" i="2"/>
  <c r="H166" i="2"/>
  <c r="E166" i="2"/>
  <c r="AL165" i="2"/>
  <c r="AK165" i="2"/>
  <c r="AJ165" i="2"/>
  <c r="AH165" i="2"/>
  <c r="AG165" i="2"/>
  <c r="AF165" i="2"/>
  <c r="AD165" i="2"/>
  <c r="AB165" i="2"/>
  <c r="Z165" i="2"/>
  <c r="U165" i="2"/>
  <c r="T165" i="2"/>
  <c r="S165" i="2"/>
  <c r="Q165" i="2"/>
  <c r="N165" i="2"/>
  <c r="L165" i="2"/>
  <c r="J165" i="2"/>
  <c r="H165" i="2"/>
  <c r="E165" i="2"/>
  <c r="AM164" i="2"/>
  <c r="AL164" i="2"/>
  <c r="AK164" i="2"/>
  <c r="AJ164" i="2"/>
  <c r="AH164" i="2"/>
  <c r="AG164" i="2"/>
  <c r="AF164" i="2"/>
  <c r="AD164" i="2"/>
  <c r="AB164" i="2"/>
  <c r="Z164" i="2"/>
  <c r="U164" i="2"/>
  <c r="T164" i="2"/>
  <c r="S164" i="2"/>
  <c r="Q164" i="2"/>
  <c r="N164" i="2"/>
  <c r="L164" i="2"/>
  <c r="J164" i="2"/>
  <c r="H164" i="2"/>
  <c r="E164" i="2"/>
  <c r="AM163" i="2"/>
  <c r="AL163" i="2"/>
  <c r="AK163" i="2"/>
  <c r="AJ163" i="2"/>
  <c r="AH163" i="2"/>
  <c r="AG163" i="2"/>
  <c r="AF163" i="2"/>
  <c r="AD163" i="2"/>
  <c r="AB163" i="2"/>
  <c r="Z163" i="2"/>
  <c r="U163" i="2"/>
  <c r="T163" i="2"/>
  <c r="S163" i="2"/>
  <c r="Q163" i="2"/>
  <c r="N163" i="2"/>
  <c r="L163" i="2"/>
  <c r="J163" i="2"/>
  <c r="H163" i="2"/>
  <c r="E163" i="2"/>
  <c r="AM162" i="2"/>
  <c r="AL162" i="2"/>
  <c r="AK162" i="2"/>
  <c r="AJ162" i="2"/>
  <c r="AH162" i="2"/>
  <c r="AG162" i="2"/>
  <c r="AF162" i="2"/>
  <c r="AD162" i="2"/>
  <c r="AB162" i="2"/>
  <c r="Z162" i="2"/>
  <c r="U162" i="2"/>
  <c r="T162" i="2"/>
  <c r="S162" i="2"/>
  <c r="Q162" i="2"/>
  <c r="N162" i="2"/>
  <c r="L162" i="2"/>
  <c r="J162" i="2"/>
  <c r="H162" i="2"/>
  <c r="E162" i="2"/>
  <c r="AN161" i="2"/>
  <c r="AH161" i="2"/>
  <c r="AG161" i="2"/>
  <c r="AF161" i="2"/>
  <c r="AD161" i="2"/>
  <c r="AB161" i="2"/>
  <c r="Z161" i="2"/>
  <c r="U161" i="2"/>
  <c r="S161" i="2"/>
  <c r="Q161" i="2"/>
  <c r="N161" i="2"/>
  <c r="L161" i="2"/>
  <c r="J161" i="2"/>
  <c r="H161" i="2"/>
  <c r="E161" i="2"/>
  <c r="AM160" i="2"/>
  <c r="AL160" i="2"/>
  <c r="AK160" i="2"/>
  <c r="AJ160" i="2"/>
  <c r="AH160" i="2"/>
  <c r="AG160" i="2"/>
  <c r="AF160" i="2"/>
  <c r="AD160" i="2"/>
  <c r="AB160" i="2"/>
  <c r="Z160" i="2"/>
  <c r="U160" i="2"/>
  <c r="T160" i="2"/>
  <c r="S160" i="2"/>
  <c r="Q160" i="2"/>
  <c r="N160" i="2"/>
  <c r="L160" i="2"/>
  <c r="J160" i="2"/>
  <c r="H160" i="2"/>
  <c r="E160" i="2"/>
  <c r="AM159" i="2"/>
  <c r="AL159" i="2"/>
  <c r="AK159" i="2"/>
  <c r="AJ159" i="2"/>
  <c r="AH159" i="2"/>
  <c r="AG159" i="2"/>
  <c r="AF159" i="2"/>
  <c r="AD159" i="2"/>
  <c r="AB159" i="2"/>
  <c r="Z159" i="2"/>
  <c r="U159" i="2"/>
  <c r="T159" i="2"/>
  <c r="S159" i="2"/>
  <c r="Q159" i="2"/>
  <c r="N159" i="2"/>
  <c r="L159" i="2"/>
  <c r="J159" i="2"/>
  <c r="H159" i="2"/>
  <c r="E159" i="2"/>
  <c r="AM158" i="2"/>
  <c r="AL158" i="2"/>
  <c r="AK158" i="2"/>
  <c r="AJ158" i="2"/>
  <c r="AH158" i="2"/>
  <c r="AG158" i="2"/>
  <c r="AF158" i="2"/>
  <c r="AD158" i="2"/>
  <c r="AB158" i="2"/>
  <c r="Z158" i="2"/>
  <c r="U158" i="2"/>
  <c r="T158" i="2"/>
  <c r="Q158" i="2"/>
  <c r="N158" i="2"/>
  <c r="L158" i="2"/>
  <c r="J158" i="2"/>
  <c r="G158" i="2"/>
  <c r="H158" i="2" s="1"/>
  <c r="E158" i="2"/>
  <c r="AM157" i="2"/>
  <c r="AL157" i="2"/>
  <c r="AK157" i="2"/>
  <c r="AJ157" i="2"/>
  <c r="AH157" i="2"/>
  <c r="AG157" i="2"/>
  <c r="AF157" i="2"/>
  <c r="AD157" i="2"/>
  <c r="AB157" i="2"/>
  <c r="Z157" i="2"/>
  <c r="U157" i="2"/>
  <c r="T157" i="2"/>
  <c r="S157" i="2"/>
  <c r="Q157" i="2"/>
  <c r="N157" i="2"/>
  <c r="L157" i="2"/>
  <c r="J157" i="2"/>
  <c r="H157" i="2"/>
  <c r="E157" i="2"/>
  <c r="AM156" i="2"/>
  <c r="AL156" i="2"/>
  <c r="AK156" i="2"/>
  <c r="AJ156" i="2"/>
  <c r="AH156" i="2"/>
  <c r="AG156" i="2"/>
  <c r="AF156" i="2"/>
  <c r="AD156" i="2"/>
  <c r="AB156" i="2"/>
  <c r="Z156" i="2"/>
  <c r="U156" i="2"/>
  <c r="T156" i="2"/>
  <c r="S156" i="2"/>
  <c r="Q156" i="2"/>
  <c r="N156" i="2"/>
  <c r="L156" i="2"/>
  <c r="J156" i="2"/>
  <c r="H156" i="2"/>
  <c r="E156" i="2"/>
  <c r="AM155" i="2"/>
  <c r="AL155" i="2"/>
  <c r="AK155" i="2"/>
  <c r="AJ155" i="2"/>
  <c r="AH155" i="2"/>
  <c r="AG155" i="2"/>
  <c r="AF155" i="2"/>
  <c r="AD155" i="2"/>
  <c r="AB155" i="2"/>
  <c r="Z155" i="2"/>
  <c r="U155" i="2"/>
  <c r="T155" i="2"/>
  <c r="S155" i="2"/>
  <c r="Q155" i="2"/>
  <c r="N155" i="2"/>
  <c r="L155" i="2"/>
  <c r="J155" i="2"/>
  <c r="H155" i="2"/>
  <c r="E155" i="2"/>
  <c r="AM154" i="2"/>
  <c r="AL154" i="2"/>
  <c r="AK154" i="2"/>
  <c r="AJ154" i="2"/>
  <c r="AH154" i="2"/>
  <c r="AG154" i="2"/>
  <c r="AF154" i="2"/>
  <c r="AD154" i="2"/>
  <c r="AB154" i="2"/>
  <c r="Z154" i="2"/>
  <c r="U154" i="2"/>
  <c r="T154" i="2"/>
  <c r="S154" i="2"/>
  <c r="Q154" i="2"/>
  <c r="N154" i="2"/>
  <c r="L154" i="2"/>
  <c r="J154" i="2"/>
  <c r="H154" i="2"/>
  <c r="E154" i="2"/>
  <c r="AM153" i="2"/>
  <c r="AL153" i="2"/>
  <c r="AK153" i="2"/>
  <c r="AJ153" i="2"/>
  <c r="AH153" i="2"/>
  <c r="AG153" i="2"/>
  <c r="AF153" i="2"/>
  <c r="AD153" i="2"/>
  <c r="AB153" i="2"/>
  <c r="Z153" i="2"/>
  <c r="U153" i="2"/>
  <c r="T153" i="2"/>
  <c r="S153" i="2"/>
  <c r="Q153" i="2"/>
  <c r="N153" i="2"/>
  <c r="L153" i="2"/>
  <c r="J153" i="2"/>
  <c r="H153" i="2"/>
  <c r="E153" i="2"/>
  <c r="AM152" i="2"/>
  <c r="AL152" i="2"/>
  <c r="AK152" i="2"/>
  <c r="AJ152" i="2"/>
  <c r="AH152" i="2"/>
  <c r="AG152" i="2"/>
  <c r="AF152" i="2"/>
  <c r="AD152" i="2"/>
  <c r="AB152" i="2"/>
  <c r="Z152" i="2"/>
  <c r="U152" i="2"/>
  <c r="T152" i="2"/>
  <c r="S152" i="2"/>
  <c r="Q152" i="2"/>
  <c r="N152" i="2"/>
  <c r="L152" i="2"/>
  <c r="J152" i="2"/>
  <c r="H152" i="2"/>
  <c r="E152" i="2"/>
  <c r="AM151" i="2"/>
  <c r="AL151" i="2"/>
  <c r="AK151" i="2"/>
  <c r="AJ151" i="2"/>
  <c r="AH151" i="2"/>
  <c r="AG151" i="2"/>
  <c r="AF151" i="2"/>
  <c r="AD151" i="2"/>
  <c r="AB151" i="2"/>
  <c r="Z151" i="2"/>
  <c r="U151" i="2"/>
  <c r="T151" i="2"/>
  <c r="S151" i="2"/>
  <c r="Q151" i="2"/>
  <c r="N151" i="2"/>
  <c r="L151" i="2"/>
  <c r="J151" i="2"/>
  <c r="H151" i="2"/>
  <c r="E151" i="2"/>
  <c r="AM150" i="2"/>
  <c r="AL150" i="2"/>
  <c r="AK150" i="2"/>
  <c r="AJ150" i="2"/>
  <c r="AH150" i="2"/>
  <c r="AG150" i="2"/>
  <c r="AF150" i="2"/>
  <c r="AD150" i="2"/>
  <c r="AB150" i="2"/>
  <c r="Z150" i="2"/>
  <c r="U150" i="2"/>
  <c r="T150" i="2"/>
  <c r="S150" i="2"/>
  <c r="Q150" i="2"/>
  <c r="N150" i="2"/>
  <c r="L150" i="2"/>
  <c r="J150" i="2"/>
  <c r="H150" i="2"/>
  <c r="E150" i="2"/>
  <c r="AM149" i="2"/>
  <c r="AL149" i="2"/>
  <c r="AK149" i="2"/>
  <c r="AJ149" i="2"/>
  <c r="AH149" i="2"/>
  <c r="AG149" i="2"/>
  <c r="AF149" i="2"/>
  <c r="AD149" i="2"/>
  <c r="AB149" i="2"/>
  <c r="Z149" i="2"/>
  <c r="U149" i="2"/>
  <c r="T149" i="2"/>
  <c r="Q149" i="2"/>
  <c r="N149" i="2"/>
  <c r="L149" i="2"/>
  <c r="J149" i="2"/>
  <c r="H149" i="2"/>
  <c r="E149" i="2"/>
  <c r="AM148" i="2"/>
  <c r="AL148" i="2"/>
  <c r="AK148" i="2"/>
  <c r="AJ148" i="2"/>
  <c r="AH148" i="2"/>
  <c r="AG148" i="2"/>
  <c r="AF148" i="2"/>
  <c r="AD148" i="2"/>
  <c r="AB148" i="2"/>
  <c r="Z148" i="2"/>
  <c r="U148" i="2"/>
  <c r="T148" i="2"/>
  <c r="Q148" i="2"/>
  <c r="N148" i="2"/>
  <c r="L148" i="2"/>
  <c r="J148" i="2"/>
  <c r="H148" i="2"/>
  <c r="E148" i="2"/>
  <c r="AM147" i="2"/>
  <c r="AL147" i="2"/>
  <c r="AK147" i="2"/>
  <c r="AJ147" i="2"/>
  <c r="AH147" i="2"/>
  <c r="AG147" i="2"/>
  <c r="AF147" i="2"/>
  <c r="AD147" i="2"/>
  <c r="AB147" i="2"/>
  <c r="Z147" i="2"/>
  <c r="U147" i="2"/>
  <c r="T147" i="2"/>
  <c r="S147" i="2"/>
  <c r="Q147" i="2"/>
  <c r="N147" i="2"/>
  <c r="L147" i="2"/>
  <c r="J147" i="2"/>
  <c r="H147" i="2"/>
  <c r="E147" i="2"/>
  <c r="AM146" i="2"/>
  <c r="AL146" i="2"/>
  <c r="AK146" i="2"/>
  <c r="AJ146" i="2"/>
  <c r="AH146" i="2"/>
  <c r="AG146" i="2"/>
  <c r="AF146" i="2"/>
  <c r="AD146" i="2"/>
  <c r="AB146" i="2"/>
  <c r="Z146" i="2"/>
  <c r="U146" i="2"/>
  <c r="T146" i="2"/>
  <c r="S146" i="2"/>
  <c r="Q146" i="2"/>
  <c r="N146" i="2"/>
  <c r="L146" i="2"/>
  <c r="J146" i="2"/>
  <c r="H146" i="2"/>
  <c r="E146" i="2"/>
  <c r="AM145" i="2"/>
  <c r="AL145" i="2"/>
  <c r="AK145" i="2"/>
  <c r="AJ145" i="2"/>
  <c r="AH145" i="2"/>
  <c r="AG145" i="2"/>
  <c r="AF145" i="2"/>
  <c r="AD145" i="2"/>
  <c r="AB145" i="2"/>
  <c r="Z145" i="2"/>
  <c r="U145" i="2"/>
  <c r="T145" i="2"/>
  <c r="S145" i="2"/>
  <c r="Q145" i="2"/>
  <c r="N145" i="2"/>
  <c r="L145" i="2"/>
  <c r="J145" i="2"/>
  <c r="H145" i="2"/>
  <c r="E145" i="2"/>
  <c r="AM144" i="2"/>
  <c r="AL144" i="2"/>
  <c r="AK144" i="2"/>
  <c r="AJ144" i="2"/>
  <c r="AH144" i="2"/>
  <c r="AG144" i="2"/>
  <c r="AF144" i="2"/>
  <c r="AD144" i="2"/>
  <c r="AB144" i="2"/>
  <c r="Z144" i="2"/>
  <c r="U144" i="2"/>
  <c r="T144" i="2"/>
  <c r="S144" i="2"/>
  <c r="Q144" i="2"/>
  <c r="N144" i="2"/>
  <c r="L144" i="2"/>
  <c r="J144" i="2"/>
  <c r="H144" i="2"/>
  <c r="E144" i="2"/>
  <c r="AM143" i="2"/>
  <c r="AL143" i="2"/>
  <c r="AK143" i="2"/>
  <c r="AJ143" i="2"/>
  <c r="AH143" i="2"/>
  <c r="AG143" i="2"/>
  <c r="AF143" i="2"/>
  <c r="AD143" i="2"/>
  <c r="AB143" i="2"/>
  <c r="Z143" i="2"/>
  <c r="U143" i="2"/>
  <c r="T143" i="2"/>
  <c r="S143" i="2"/>
  <c r="Q143" i="2"/>
  <c r="N143" i="2"/>
  <c r="L143" i="2"/>
  <c r="J143" i="2"/>
  <c r="H143" i="2"/>
  <c r="E143" i="2"/>
  <c r="AM142" i="2"/>
  <c r="AL142" i="2"/>
  <c r="AK142" i="2"/>
  <c r="AJ142" i="2"/>
  <c r="AH142" i="2"/>
  <c r="AG142" i="2"/>
  <c r="AF142" i="2"/>
  <c r="AD142" i="2"/>
  <c r="AB142" i="2"/>
  <c r="Z142" i="2"/>
  <c r="U142" i="2"/>
  <c r="T142" i="2"/>
  <c r="S142" i="2"/>
  <c r="Q142" i="2"/>
  <c r="N142" i="2"/>
  <c r="L142" i="2"/>
  <c r="J142" i="2"/>
  <c r="H142" i="2"/>
  <c r="D4" i="1" s="1"/>
  <c r="R56" i="2" s="1"/>
  <c r="E142" i="2"/>
  <c r="AM141" i="2"/>
  <c r="AL141" i="2"/>
  <c r="AK141" i="2"/>
  <c r="AJ141" i="2"/>
  <c r="AH141" i="2"/>
  <c r="AG141" i="2"/>
  <c r="AF141" i="2"/>
  <c r="AD141" i="2"/>
  <c r="AB141" i="2"/>
  <c r="Z141" i="2"/>
  <c r="U141" i="2"/>
  <c r="T141" i="2"/>
  <c r="S141" i="2"/>
  <c r="Q141" i="2"/>
  <c r="N141" i="2"/>
  <c r="L141" i="2"/>
  <c r="J141" i="2"/>
  <c r="H141" i="2"/>
  <c r="E141" i="2"/>
  <c r="AM140" i="2"/>
  <c r="AL140" i="2"/>
  <c r="AK140" i="2"/>
  <c r="AJ140" i="2"/>
  <c r="AH140" i="2"/>
  <c r="AG140" i="2"/>
  <c r="AF140" i="2"/>
  <c r="AD140" i="2"/>
  <c r="AB140" i="2"/>
  <c r="Z140" i="2"/>
  <c r="U140" i="2"/>
  <c r="T140" i="2"/>
  <c r="S140" i="2"/>
  <c r="Q140" i="2"/>
  <c r="N140" i="2"/>
  <c r="L140" i="2"/>
  <c r="J140" i="2"/>
  <c r="H140" i="2"/>
  <c r="E140" i="2"/>
  <c r="AM139" i="2"/>
  <c r="AL139" i="2"/>
  <c r="AK139" i="2"/>
  <c r="AJ139" i="2"/>
  <c r="AH139" i="2"/>
  <c r="AG139" i="2"/>
  <c r="AF139" i="2"/>
  <c r="AD139" i="2"/>
  <c r="AB139" i="2"/>
  <c r="Z139" i="2"/>
  <c r="U139" i="2"/>
  <c r="T139" i="2"/>
  <c r="Q139" i="2"/>
  <c r="N139" i="2"/>
  <c r="L139" i="2"/>
  <c r="J139" i="2"/>
  <c r="H139" i="2"/>
  <c r="E139" i="2"/>
  <c r="AM138" i="2"/>
  <c r="AL138" i="2"/>
  <c r="AK138" i="2"/>
  <c r="AJ138" i="2"/>
  <c r="AH138" i="2"/>
  <c r="AG138" i="2"/>
  <c r="AF138" i="2"/>
  <c r="AD138" i="2"/>
  <c r="AB138" i="2"/>
  <c r="Z138" i="2"/>
  <c r="U138" i="2"/>
  <c r="T138" i="2"/>
  <c r="S138" i="2"/>
  <c r="Q138" i="2"/>
  <c r="N138" i="2"/>
  <c r="L138" i="2"/>
  <c r="J138" i="2"/>
  <c r="H138" i="2"/>
  <c r="E138" i="2"/>
  <c r="AM137" i="2"/>
  <c r="AL137" i="2"/>
  <c r="AK137" i="2"/>
  <c r="AJ137" i="2"/>
  <c r="AH137" i="2"/>
  <c r="AG137" i="2"/>
  <c r="AF137" i="2"/>
  <c r="AD137" i="2"/>
  <c r="AB137" i="2"/>
  <c r="Z137" i="2"/>
  <c r="U137" i="2"/>
  <c r="T137" i="2"/>
  <c r="Q137" i="2"/>
  <c r="N137" i="2"/>
  <c r="L137" i="2"/>
  <c r="J137" i="2"/>
  <c r="H137" i="2"/>
  <c r="E137" i="2"/>
  <c r="AM136" i="2"/>
  <c r="AL136" i="2"/>
  <c r="AK136" i="2"/>
  <c r="AJ136" i="2"/>
  <c r="AH136" i="2"/>
  <c r="AG136" i="2"/>
  <c r="AF136" i="2"/>
  <c r="AD136" i="2"/>
  <c r="AB136" i="2"/>
  <c r="Z136" i="2"/>
  <c r="U136" i="2"/>
  <c r="T136" i="2"/>
  <c r="S136" i="2"/>
  <c r="Q136" i="2"/>
  <c r="N136" i="2"/>
  <c r="L136" i="2"/>
  <c r="J136" i="2"/>
  <c r="H136" i="2"/>
  <c r="E136" i="2"/>
  <c r="AM135" i="2"/>
  <c r="AL135" i="2"/>
  <c r="AK135" i="2"/>
  <c r="AJ135" i="2"/>
  <c r="AH135" i="2"/>
  <c r="AG135" i="2"/>
  <c r="AF135" i="2"/>
  <c r="AD135" i="2"/>
  <c r="AB135" i="2"/>
  <c r="Z135" i="2"/>
  <c r="U135" i="2"/>
  <c r="T135" i="2"/>
  <c r="S135" i="2"/>
  <c r="Q135" i="2"/>
  <c r="N135" i="2"/>
  <c r="L135" i="2"/>
  <c r="J135" i="2"/>
  <c r="H135" i="2"/>
  <c r="E135" i="2"/>
  <c r="AM134" i="2"/>
  <c r="AL134" i="2"/>
  <c r="AK134" i="2"/>
  <c r="AJ134" i="2"/>
  <c r="AH134" i="2"/>
  <c r="AG134" i="2"/>
  <c r="AF134" i="2"/>
  <c r="AD134" i="2"/>
  <c r="AB134" i="2"/>
  <c r="Z134" i="2"/>
  <c r="U134" i="2"/>
  <c r="T134" i="2"/>
  <c r="Q134" i="2"/>
  <c r="N134" i="2"/>
  <c r="L134" i="2"/>
  <c r="J134" i="2"/>
  <c r="H134" i="2"/>
  <c r="E134" i="2"/>
  <c r="AM133" i="2"/>
  <c r="AL133" i="2"/>
  <c r="AK133" i="2"/>
  <c r="AJ133" i="2"/>
  <c r="AH133" i="2"/>
  <c r="AG133" i="2"/>
  <c r="AF133" i="2"/>
  <c r="AD133" i="2"/>
  <c r="AB133" i="2"/>
  <c r="Z133" i="2"/>
  <c r="U133" i="2"/>
  <c r="T133" i="2"/>
  <c r="S133" i="2"/>
  <c r="Q133" i="2"/>
  <c r="N133" i="2"/>
  <c r="L133" i="2"/>
  <c r="J133" i="2"/>
  <c r="H133" i="2"/>
  <c r="E133" i="2"/>
  <c r="AM132" i="2"/>
  <c r="AL132" i="2"/>
  <c r="AK132" i="2"/>
  <c r="AJ132" i="2"/>
  <c r="AH132" i="2"/>
  <c r="AG132" i="2"/>
  <c r="AF132" i="2"/>
  <c r="AD132" i="2"/>
  <c r="AB132" i="2"/>
  <c r="Z132" i="2"/>
  <c r="U132" i="2"/>
  <c r="T132" i="2"/>
  <c r="S132" i="2"/>
  <c r="Q132" i="2"/>
  <c r="N132" i="2"/>
  <c r="L132" i="2"/>
  <c r="J132" i="2"/>
  <c r="H132" i="2"/>
  <c r="E132" i="2"/>
  <c r="AM131" i="2"/>
  <c r="AL131" i="2"/>
  <c r="AK131" i="2"/>
  <c r="AJ131" i="2"/>
  <c r="AH131" i="2"/>
  <c r="AG131" i="2"/>
  <c r="AF131" i="2"/>
  <c r="AD131" i="2"/>
  <c r="AB131" i="2"/>
  <c r="Z131" i="2"/>
  <c r="U131" i="2"/>
  <c r="T131" i="2"/>
  <c r="S131" i="2"/>
  <c r="Q131" i="2"/>
  <c r="N131" i="2"/>
  <c r="L131" i="2"/>
  <c r="J131" i="2"/>
  <c r="H131" i="2"/>
  <c r="E131" i="2"/>
  <c r="AM130" i="2"/>
  <c r="AL130" i="2"/>
  <c r="AK130" i="2"/>
  <c r="AJ130" i="2"/>
  <c r="AH130" i="2"/>
  <c r="AG130" i="2"/>
  <c r="AF130" i="2"/>
  <c r="AD130" i="2"/>
  <c r="AB130" i="2"/>
  <c r="Z130" i="2"/>
  <c r="U130" i="2"/>
  <c r="T130" i="2"/>
  <c r="Q130" i="2"/>
  <c r="N130" i="2"/>
  <c r="L130" i="2"/>
  <c r="J130" i="2"/>
  <c r="H130" i="2"/>
  <c r="E130" i="2"/>
  <c r="AM129" i="2"/>
  <c r="AL129" i="2"/>
  <c r="AK129" i="2"/>
  <c r="AJ129" i="2"/>
  <c r="AH129" i="2"/>
  <c r="AG129" i="2"/>
  <c r="AF129" i="2"/>
  <c r="AD129" i="2"/>
  <c r="AB129" i="2"/>
  <c r="Z129" i="2"/>
  <c r="U129" i="2"/>
  <c r="T129" i="2"/>
  <c r="S129" i="2"/>
  <c r="Q129" i="2"/>
  <c r="N129" i="2"/>
  <c r="L129" i="2"/>
  <c r="J129" i="2"/>
  <c r="H129" i="2"/>
  <c r="E129" i="2"/>
  <c r="AM128" i="2"/>
  <c r="AL128" i="2"/>
  <c r="AK128" i="2"/>
  <c r="AJ128" i="2"/>
  <c r="AH128" i="2"/>
  <c r="AG128" i="2"/>
  <c r="AF128" i="2"/>
  <c r="AD128" i="2"/>
  <c r="AB128" i="2"/>
  <c r="Z128" i="2"/>
  <c r="U128" i="2"/>
  <c r="T128" i="2"/>
  <c r="S128" i="2"/>
  <c r="Q128" i="2"/>
  <c r="N128" i="2"/>
  <c r="L128" i="2"/>
  <c r="J128" i="2"/>
  <c r="H128" i="2"/>
  <c r="E128" i="2"/>
  <c r="AM127" i="2"/>
  <c r="AL127" i="2"/>
  <c r="AK127" i="2"/>
  <c r="AJ127" i="2"/>
  <c r="AH127" i="2"/>
  <c r="AG127" i="2"/>
  <c r="AF127" i="2"/>
  <c r="AD127" i="2"/>
  <c r="AB127" i="2"/>
  <c r="Z127" i="2"/>
  <c r="U127" i="2"/>
  <c r="T127" i="2"/>
  <c r="S127" i="2"/>
  <c r="Q127" i="2"/>
  <c r="N127" i="2"/>
  <c r="L127" i="2"/>
  <c r="J127" i="2"/>
  <c r="H127" i="2"/>
  <c r="E127" i="2"/>
  <c r="AM126" i="2"/>
  <c r="AL126" i="2"/>
  <c r="AK126" i="2"/>
  <c r="AJ126" i="2"/>
  <c r="AH126" i="2"/>
  <c r="AG126" i="2"/>
  <c r="AF126" i="2"/>
  <c r="AD126" i="2"/>
  <c r="AB126" i="2"/>
  <c r="Z126" i="2"/>
  <c r="U126" i="2"/>
  <c r="T126" i="2"/>
  <c r="S126" i="2"/>
  <c r="Q126" i="2"/>
  <c r="N126" i="2"/>
  <c r="L126" i="2"/>
  <c r="J126" i="2"/>
  <c r="H126" i="2"/>
  <c r="E126" i="2"/>
  <c r="AM125" i="2"/>
  <c r="AL125" i="2"/>
  <c r="AK125" i="2"/>
  <c r="AJ125" i="2"/>
  <c r="AH125" i="2"/>
  <c r="AG125" i="2"/>
  <c r="AF125" i="2"/>
  <c r="AD125" i="2"/>
  <c r="AB125" i="2"/>
  <c r="Z125" i="2"/>
  <c r="U125" i="2"/>
  <c r="T125" i="2"/>
  <c r="S125" i="2"/>
  <c r="Q125" i="2"/>
  <c r="N125" i="2"/>
  <c r="L125" i="2"/>
  <c r="J125" i="2"/>
  <c r="H125" i="2"/>
  <c r="E125" i="2"/>
  <c r="AM124" i="2"/>
  <c r="AL124" i="2"/>
  <c r="AK124" i="2"/>
  <c r="AJ124" i="2"/>
  <c r="AH124" i="2"/>
  <c r="AG124" i="2"/>
  <c r="AF124" i="2"/>
  <c r="AD124" i="2"/>
  <c r="AB124" i="2"/>
  <c r="Z124" i="2"/>
  <c r="U124" i="2"/>
  <c r="T124" i="2"/>
  <c r="Q124" i="2"/>
  <c r="N124" i="2"/>
  <c r="L124" i="2"/>
  <c r="J124" i="2"/>
  <c r="H124" i="2"/>
  <c r="E124" i="2"/>
  <c r="AM123" i="2"/>
  <c r="AL123" i="2"/>
  <c r="AK123" i="2"/>
  <c r="AJ123" i="2"/>
  <c r="AH123" i="2"/>
  <c r="AG123" i="2"/>
  <c r="AF123" i="2"/>
  <c r="AD123" i="2"/>
  <c r="AB123" i="2"/>
  <c r="Z123" i="2"/>
  <c r="U123" i="2"/>
  <c r="T123" i="2"/>
  <c r="S123" i="2"/>
  <c r="Q123" i="2"/>
  <c r="N123" i="2"/>
  <c r="L123" i="2"/>
  <c r="J123" i="2"/>
  <c r="H123" i="2"/>
  <c r="E123" i="2"/>
  <c r="AM122" i="2"/>
  <c r="AL122" i="2"/>
  <c r="AK122" i="2"/>
  <c r="AJ122" i="2"/>
  <c r="AH122" i="2"/>
  <c r="AG122" i="2"/>
  <c r="AF122" i="2"/>
  <c r="AD122" i="2"/>
  <c r="AB122" i="2"/>
  <c r="Z122" i="2"/>
  <c r="U122" i="2"/>
  <c r="T122" i="2"/>
  <c r="S122" i="2"/>
  <c r="Q122" i="2"/>
  <c r="N122" i="2"/>
  <c r="L122" i="2"/>
  <c r="J122" i="2"/>
  <c r="H122" i="2"/>
  <c r="E122" i="2"/>
  <c r="AM121" i="2"/>
  <c r="AL121" i="2"/>
  <c r="AK121" i="2"/>
  <c r="AJ121" i="2"/>
  <c r="AH121" i="2"/>
  <c r="AG121" i="2"/>
  <c r="AF121" i="2"/>
  <c r="AD121" i="2"/>
  <c r="AB121" i="2"/>
  <c r="Z121" i="2"/>
  <c r="U121" i="2"/>
  <c r="T121" i="2"/>
  <c r="S121" i="2"/>
  <c r="Q121" i="2"/>
  <c r="N121" i="2"/>
  <c r="L121" i="2"/>
  <c r="J121" i="2"/>
  <c r="H121" i="2"/>
  <c r="E121" i="2"/>
  <c r="AM120" i="2"/>
  <c r="AL120" i="2"/>
  <c r="AK120" i="2"/>
  <c r="AJ120" i="2"/>
  <c r="AH120" i="2"/>
  <c r="AG120" i="2"/>
  <c r="AF120" i="2"/>
  <c r="AD120" i="2"/>
  <c r="AB120" i="2"/>
  <c r="Z120" i="2"/>
  <c r="U120" i="2"/>
  <c r="T120" i="2"/>
  <c r="S120" i="2"/>
  <c r="Q120" i="2"/>
  <c r="N120" i="2"/>
  <c r="L120" i="2"/>
  <c r="J120" i="2"/>
  <c r="H120" i="2"/>
  <c r="E120" i="2"/>
  <c r="AM119" i="2"/>
  <c r="AL119" i="2"/>
  <c r="AK119" i="2"/>
  <c r="AJ119" i="2"/>
  <c r="AH119" i="2"/>
  <c r="AG119" i="2"/>
  <c r="AF119" i="2"/>
  <c r="AD119" i="2"/>
  <c r="AB119" i="2"/>
  <c r="Z119" i="2"/>
  <c r="U119" i="2"/>
  <c r="T119" i="2"/>
  <c r="S119" i="2"/>
  <c r="Q119" i="2"/>
  <c r="N119" i="2"/>
  <c r="L119" i="2"/>
  <c r="J119" i="2"/>
  <c r="H119" i="2"/>
  <c r="E119" i="2"/>
  <c r="AM118" i="2"/>
  <c r="AL118" i="2"/>
  <c r="AK118" i="2"/>
  <c r="AJ118" i="2"/>
  <c r="AH118" i="2"/>
  <c r="AG118" i="2"/>
  <c r="AF118" i="2"/>
  <c r="AD118" i="2"/>
  <c r="AB118" i="2"/>
  <c r="Z118" i="2"/>
  <c r="U118" i="2"/>
  <c r="T118" i="2"/>
  <c r="S118" i="2"/>
  <c r="Q118" i="2"/>
  <c r="N118" i="2"/>
  <c r="L118" i="2"/>
  <c r="J118" i="2"/>
  <c r="H118" i="2"/>
  <c r="E118" i="2"/>
  <c r="AM117" i="2"/>
  <c r="AL117" i="2"/>
  <c r="AK117" i="2"/>
  <c r="AJ117" i="2"/>
  <c r="AH117" i="2"/>
  <c r="AG117" i="2"/>
  <c r="AF117" i="2"/>
  <c r="AD117" i="2"/>
  <c r="AB117" i="2"/>
  <c r="Z117" i="2"/>
  <c r="U117" i="2"/>
  <c r="T117" i="2"/>
  <c r="S117" i="2"/>
  <c r="Q117" i="2"/>
  <c r="N117" i="2"/>
  <c r="L117" i="2"/>
  <c r="J117" i="2"/>
  <c r="H117" i="2"/>
  <c r="G117" i="2"/>
  <c r="E117" i="2"/>
  <c r="AM116" i="2"/>
  <c r="AL116" i="2"/>
  <c r="AK116" i="2"/>
  <c r="AJ116" i="2"/>
  <c r="AH116" i="2"/>
  <c r="AG116" i="2"/>
  <c r="AF116" i="2"/>
  <c r="AD116" i="2"/>
  <c r="AB116" i="2"/>
  <c r="Z116" i="2"/>
  <c r="U116" i="2"/>
  <c r="T116" i="2"/>
  <c r="S116" i="2"/>
  <c r="Q116" i="2"/>
  <c r="N116" i="2"/>
  <c r="L116" i="2"/>
  <c r="J116" i="2"/>
  <c r="H116" i="2"/>
  <c r="G116" i="2"/>
  <c r="E116" i="2"/>
  <c r="AM115" i="2"/>
  <c r="AL115" i="2"/>
  <c r="AK115" i="2"/>
  <c r="AJ115" i="2"/>
  <c r="AH115" i="2"/>
  <c r="AG115" i="2"/>
  <c r="AF115" i="2"/>
  <c r="AD115" i="2"/>
  <c r="AB115" i="2"/>
  <c r="Z115" i="2"/>
  <c r="U115" i="2"/>
  <c r="T115" i="2"/>
  <c r="S115" i="2"/>
  <c r="Q115" i="2"/>
  <c r="N115" i="2"/>
  <c r="L115" i="2"/>
  <c r="J115" i="2"/>
  <c r="H115" i="2"/>
  <c r="G115" i="2"/>
  <c r="E115" i="2"/>
  <c r="AM114" i="2"/>
  <c r="AL114" i="2"/>
  <c r="AK114" i="2"/>
  <c r="AJ114" i="2"/>
  <c r="AH114" i="2"/>
  <c r="AG114" i="2"/>
  <c r="AF114" i="2"/>
  <c r="AD114" i="2"/>
  <c r="AB114" i="2"/>
  <c r="Z114" i="2"/>
  <c r="U114" i="2"/>
  <c r="T114" i="2"/>
  <c r="S114" i="2"/>
  <c r="Q114" i="2"/>
  <c r="N114" i="2"/>
  <c r="L114" i="2"/>
  <c r="J114" i="2"/>
  <c r="H114" i="2"/>
  <c r="G114" i="2"/>
  <c r="E114" i="2"/>
  <c r="AM113" i="2"/>
  <c r="AL113" i="2"/>
  <c r="AK113" i="2"/>
  <c r="AJ113" i="2"/>
  <c r="AH113" i="2"/>
  <c r="AG113" i="2"/>
  <c r="AF113" i="2"/>
  <c r="AD113" i="2"/>
  <c r="AB113" i="2"/>
  <c r="Z113" i="2"/>
  <c r="U113" i="2"/>
  <c r="T113" i="2"/>
  <c r="S113" i="2"/>
  <c r="Q113" i="2"/>
  <c r="N113" i="2"/>
  <c r="L113" i="2"/>
  <c r="J113" i="2"/>
  <c r="H113" i="2"/>
  <c r="G113" i="2"/>
  <c r="E113" i="2"/>
  <c r="AM112" i="2"/>
  <c r="AL112" i="2"/>
  <c r="AK112" i="2"/>
  <c r="AJ112" i="2"/>
  <c r="AH112" i="2"/>
  <c r="AG112" i="2"/>
  <c r="AF112" i="2"/>
  <c r="AD112" i="2"/>
  <c r="AB112" i="2"/>
  <c r="Z112" i="2"/>
  <c r="U112" i="2"/>
  <c r="T112" i="2"/>
  <c r="S112" i="2"/>
  <c r="Q112" i="2"/>
  <c r="N112" i="2"/>
  <c r="L112" i="2"/>
  <c r="J112" i="2"/>
  <c r="H112" i="2"/>
  <c r="E112" i="2"/>
  <c r="AM111" i="2"/>
  <c r="AL111" i="2"/>
  <c r="AK111" i="2"/>
  <c r="AJ111" i="2"/>
  <c r="AH111" i="2"/>
  <c r="AG111" i="2"/>
  <c r="AF111" i="2"/>
  <c r="AD111" i="2"/>
  <c r="AB111" i="2"/>
  <c r="Z111" i="2"/>
  <c r="U111" i="2"/>
  <c r="T111" i="2"/>
  <c r="S111" i="2"/>
  <c r="Q111" i="2"/>
  <c r="N111" i="2"/>
  <c r="L111" i="2"/>
  <c r="J111" i="2"/>
  <c r="H111" i="2"/>
  <c r="E111" i="2"/>
  <c r="AM110" i="2"/>
  <c r="AL110" i="2"/>
  <c r="AK110" i="2"/>
  <c r="AJ110" i="2"/>
  <c r="AH110" i="2"/>
  <c r="AG110" i="2"/>
  <c r="AF110" i="2"/>
  <c r="AD110" i="2"/>
  <c r="AB110" i="2"/>
  <c r="Z110" i="2"/>
  <c r="U110" i="2"/>
  <c r="T110" i="2"/>
  <c r="Q110" i="2"/>
  <c r="N110" i="2"/>
  <c r="L110" i="2"/>
  <c r="J110" i="2"/>
  <c r="H110" i="2"/>
  <c r="E110" i="2"/>
  <c r="AM109" i="2"/>
  <c r="AL109" i="2"/>
  <c r="AK109" i="2"/>
  <c r="AJ109" i="2"/>
  <c r="AH109" i="2"/>
  <c r="AG109" i="2"/>
  <c r="AF109" i="2"/>
  <c r="AD109" i="2"/>
  <c r="AB109" i="2"/>
  <c r="Z109" i="2"/>
  <c r="U109" i="2"/>
  <c r="T109" i="2"/>
  <c r="Q109" i="2"/>
  <c r="N109" i="2"/>
  <c r="L109" i="2"/>
  <c r="J109" i="2"/>
  <c r="H109" i="2"/>
  <c r="E109" i="2"/>
  <c r="AM108" i="2"/>
  <c r="AL108" i="2"/>
  <c r="AK108" i="2"/>
  <c r="AJ108" i="2"/>
  <c r="AH108" i="2"/>
  <c r="AG108" i="2"/>
  <c r="AF108" i="2"/>
  <c r="AD108" i="2"/>
  <c r="AB108" i="2"/>
  <c r="Z108" i="2"/>
  <c r="U108" i="2"/>
  <c r="T108" i="2"/>
  <c r="Q108" i="2"/>
  <c r="N108" i="2"/>
  <c r="L108" i="2"/>
  <c r="J108" i="2"/>
  <c r="H108" i="2"/>
  <c r="E108" i="2"/>
  <c r="AM107" i="2"/>
  <c r="AL107" i="2"/>
  <c r="AK107" i="2"/>
  <c r="AJ107" i="2"/>
  <c r="AH107" i="2"/>
  <c r="AG107" i="2"/>
  <c r="AF107" i="2"/>
  <c r="AD107" i="2"/>
  <c r="AB107" i="2"/>
  <c r="Z107" i="2"/>
  <c r="U107" i="2"/>
  <c r="T107" i="2"/>
  <c r="Q107" i="2"/>
  <c r="N107" i="2"/>
  <c r="L107" i="2"/>
  <c r="J107" i="2"/>
  <c r="H107" i="2"/>
  <c r="E107" i="2"/>
  <c r="AM106" i="2"/>
  <c r="AL106" i="2"/>
  <c r="AK106" i="2"/>
  <c r="AJ106" i="2"/>
  <c r="AH106" i="2"/>
  <c r="AG106" i="2"/>
  <c r="AF106" i="2"/>
  <c r="AD106" i="2"/>
  <c r="AB106" i="2"/>
  <c r="Z106" i="2"/>
  <c r="U106" i="2"/>
  <c r="T106" i="2"/>
  <c r="Q106" i="2"/>
  <c r="N106" i="2"/>
  <c r="L106" i="2"/>
  <c r="J106" i="2"/>
  <c r="H106" i="2"/>
  <c r="E106" i="2"/>
  <c r="AM105" i="2"/>
  <c r="AL105" i="2"/>
  <c r="AK105" i="2"/>
  <c r="AJ105" i="2"/>
  <c r="AH105" i="2"/>
  <c r="AG105" i="2"/>
  <c r="AF105" i="2"/>
  <c r="AD105" i="2"/>
  <c r="AB105" i="2"/>
  <c r="Z105" i="2"/>
  <c r="U105" i="2"/>
  <c r="T105" i="2"/>
  <c r="Q105" i="2"/>
  <c r="N105" i="2"/>
  <c r="L105" i="2"/>
  <c r="J105" i="2"/>
  <c r="H105" i="2"/>
  <c r="E105" i="2"/>
  <c r="AM104" i="2"/>
  <c r="AL104" i="2"/>
  <c r="AK104" i="2"/>
  <c r="AJ104" i="2"/>
  <c r="AH104" i="2"/>
  <c r="AG104" i="2"/>
  <c r="AF104" i="2"/>
  <c r="AD104" i="2"/>
  <c r="AB104" i="2"/>
  <c r="Z104" i="2"/>
  <c r="U104" i="2"/>
  <c r="T104" i="2"/>
  <c r="Q104" i="2"/>
  <c r="N104" i="2"/>
  <c r="L104" i="2"/>
  <c r="J104" i="2"/>
  <c r="H104" i="2"/>
  <c r="E104" i="2"/>
  <c r="AM103" i="2"/>
  <c r="AL103" i="2"/>
  <c r="AK103" i="2"/>
  <c r="AJ103" i="2"/>
  <c r="AH103" i="2"/>
  <c r="AG103" i="2"/>
  <c r="AF103" i="2"/>
  <c r="AD103" i="2"/>
  <c r="AB103" i="2"/>
  <c r="Z103" i="2"/>
  <c r="U103" i="2"/>
  <c r="T103" i="2"/>
  <c r="Q103" i="2"/>
  <c r="N103" i="2"/>
  <c r="L103" i="2"/>
  <c r="J103" i="2"/>
  <c r="H103" i="2"/>
  <c r="E103" i="2"/>
  <c r="AM102" i="2"/>
  <c r="AL102" i="2"/>
  <c r="AK102" i="2"/>
  <c r="AJ102" i="2"/>
  <c r="AH102" i="2"/>
  <c r="AG102" i="2"/>
  <c r="AF102" i="2"/>
  <c r="AD102" i="2"/>
  <c r="AB102" i="2"/>
  <c r="Z102" i="2"/>
  <c r="U102" i="2"/>
  <c r="T102" i="2"/>
  <c r="Q102" i="2"/>
  <c r="N102" i="2"/>
  <c r="L102" i="2"/>
  <c r="J102" i="2"/>
  <c r="H102" i="2"/>
  <c r="E102" i="2"/>
  <c r="AM101" i="2"/>
  <c r="AL101" i="2"/>
  <c r="AK101" i="2"/>
  <c r="AJ101" i="2"/>
  <c r="AH101" i="2"/>
  <c r="AG101" i="2"/>
  <c r="AF101" i="2"/>
  <c r="AD101" i="2"/>
  <c r="AB101" i="2"/>
  <c r="Z101" i="2"/>
  <c r="U101" i="2"/>
  <c r="T101" i="2"/>
  <c r="Q101" i="2"/>
  <c r="N101" i="2"/>
  <c r="L101" i="2"/>
  <c r="J101" i="2"/>
  <c r="H101" i="2"/>
  <c r="E101" i="2"/>
  <c r="AM100" i="2"/>
  <c r="AL100" i="2"/>
  <c r="AK100" i="2"/>
  <c r="AJ100" i="2"/>
  <c r="AH100" i="2"/>
  <c r="AG100" i="2"/>
  <c r="AF100" i="2"/>
  <c r="AD100" i="2"/>
  <c r="AB100" i="2"/>
  <c r="Z100" i="2"/>
  <c r="U100" i="2"/>
  <c r="T100" i="2"/>
  <c r="S100" i="2"/>
  <c r="Q100" i="2"/>
  <c r="N100" i="2"/>
  <c r="L100" i="2"/>
  <c r="J100" i="2"/>
  <c r="H100" i="2"/>
  <c r="E100" i="2"/>
  <c r="AM99" i="2"/>
  <c r="AL99" i="2"/>
  <c r="AK99" i="2"/>
  <c r="AJ99" i="2"/>
  <c r="AH99" i="2"/>
  <c r="AG99" i="2"/>
  <c r="AF99" i="2"/>
  <c r="AD99" i="2"/>
  <c r="AB99" i="2"/>
  <c r="Z99" i="2"/>
  <c r="U99" i="2"/>
  <c r="T99" i="2"/>
  <c r="S99" i="2"/>
  <c r="Q99" i="2"/>
  <c r="N99" i="2"/>
  <c r="L99" i="2"/>
  <c r="J99" i="2"/>
  <c r="H99" i="2"/>
  <c r="E99" i="2"/>
  <c r="AM98" i="2"/>
  <c r="AL98" i="2"/>
  <c r="AK98" i="2"/>
  <c r="AJ98" i="2"/>
  <c r="AH98" i="2"/>
  <c r="AG98" i="2"/>
  <c r="AF98" i="2"/>
  <c r="AD98" i="2"/>
  <c r="AB98" i="2"/>
  <c r="Z98" i="2"/>
  <c r="U98" i="2"/>
  <c r="T98" i="2"/>
  <c r="S98" i="2"/>
  <c r="Q98" i="2"/>
  <c r="N98" i="2"/>
  <c r="L98" i="2"/>
  <c r="J98" i="2"/>
  <c r="H98" i="2"/>
  <c r="E98" i="2"/>
  <c r="AM97" i="2"/>
  <c r="AL97" i="2"/>
  <c r="AK97" i="2"/>
  <c r="AJ97" i="2"/>
  <c r="AH97" i="2"/>
  <c r="AG97" i="2"/>
  <c r="AF97" i="2"/>
  <c r="AD97" i="2"/>
  <c r="AB97" i="2"/>
  <c r="Z97" i="2"/>
  <c r="U97" i="2"/>
  <c r="T97" i="2"/>
  <c r="S97" i="2"/>
  <c r="Q97" i="2"/>
  <c r="N97" i="2"/>
  <c r="L97" i="2"/>
  <c r="J97" i="2"/>
  <c r="H97" i="2"/>
  <c r="E97" i="2"/>
  <c r="AM96" i="2"/>
  <c r="AL96" i="2"/>
  <c r="AK96" i="2"/>
  <c r="AJ96" i="2"/>
  <c r="AH96" i="2"/>
  <c r="AG96" i="2"/>
  <c r="AF96" i="2"/>
  <c r="AD96" i="2"/>
  <c r="AB96" i="2"/>
  <c r="Z96" i="2"/>
  <c r="U96" i="2"/>
  <c r="T96" i="2"/>
  <c r="Q96" i="2"/>
  <c r="N96" i="2"/>
  <c r="L96" i="2"/>
  <c r="J96" i="2"/>
  <c r="H96" i="2"/>
  <c r="E96" i="2"/>
  <c r="AM95" i="2"/>
  <c r="AL95" i="2"/>
  <c r="AK95" i="2"/>
  <c r="AJ95" i="2"/>
  <c r="AH95" i="2"/>
  <c r="AG95" i="2"/>
  <c r="AF95" i="2"/>
  <c r="AD95" i="2"/>
  <c r="AB95" i="2"/>
  <c r="Z95" i="2"/>
  <c r="U95" i="2"/>
  <c r="T95" i="2"/>
  <c r="S95" i="2"/>
  <c r="Q95" i="2"/>
  <c r="N95" i="2"/>
  <c r="L95" i="2"/>
  <c r="J95" i="2"/>
  <c r="H95" i="2"/>
  <c r="E95" i="2"/>
  <c r="AM94" i="2"/>
  <c r="AL94" i="2"/>
  <c r="AK94" i="2"/>
  <c r="AJ94" i="2"/>
  <c r="AH94" i="2"/>
  <c r="AG94" i="2"/>
  <c r="AF94" i="2"/>
  <c r="AD94" i="2"/>
  <c r="AB94" i="2"/>
  <c r="Z94" i="2"/>
  <c r="U94" i="2"/>
  <c r="T94" i="2"/>
  <c r="S94" i="2"/>
  <c r="Q94" i="2"/>
  <c r="N94" i="2"/>
  <c r="L94" i="2"/>
  <c r="J94" i="2"/>
  <c r="H94" i="2"/>
  <c r="E94" i="2"/>
  <c r="AM93" i="2"/>
  <c r="AL93" i="2"/>
  <c r="AK93" i="2"/>
  <c r="AJ93" i="2"/>
  <c r="AH93" i="2"/>
  <c r="AG93" i="2"/>
  <c r="AF93" i="2"/>
  <c r="AD93" i="2"/>
  <c r="AB93" i="2"/>
  <c r="Z93" i="2"/>
  <c r="U93" i="2"/>
  <c r="T93" i="2"/>
  <c r="S93" i="2"/>
  <c r="Q93" i="2"/>
  <c r="N93" i="2"/>
  <c r="L93" i="2"/>
  <c r="I93" i="2"/>
  <c r="J93" i="2" s="1"/>
  <c r="H93" i="2"/>
  <c r="E93" i="2"/>
  <c r="AM92" i="2"/>
  <c r="AL92" i="2"/>
  <c r="AK92" i="2"/>
  <c r="AJ92" i="2"/>
  <c r="AH92" i="2"/>
  <c r="AG92" i="2"/>
  <c r="AF92" i="2"/>
  <c r="AD92" i="2"/>
  <c r="AB92" i="2"/>
  <c r="Z92" i="2"/>
  <c r="U92" i="2"/>
  <c r="T92" i="2"/>
  <c r="S92" i="2"/>
  <c r="Q92" i="2"/>
  <c r="N92" i="2"/>
  <c r="L92" i="2"/>
  <c r="I92" i="2"/>
  <c r="J92" i="2" s="1"/>
  <c r="H92" i="2"/>
  <c r="E92" i="2"/>
  <c r="AM91" i="2"/>
  <c r="AL91" i="2"/>
  <c r="AK91" i="2"/>
  <c r="AJ91" i="2"/>
  <c r="AH91" i="2"/>
  <c r="AG91" i="2"/>
  <c r="AF91" i="2"/>
  <c r="AD91" i="2"/>
  <c r="AB91" i="2"/>
  <c r="Z91" i="2"/>
  <c r="U91" i="2"/>
  <c r="T91" i="2"/>
  <c r="S91" i="2"/>
  <c r="Q91" i="2"/>
  <c r="N91" i="2"/>
  <c r="L91" i="2"/>
  <c r="J91" i="2"/>
  <c r="H91" i="2"/>
  <c r="E91" i="2"/>
  <c r="AM90" i="2"/>
  <c r="AL90" i="2"/>
  <c r="AK90" i="2"/>
  <c r="AJ90" i="2"/>
  <c r="AH90" i="2"/>
  <c r="AG90" i="2"/>
  <c r="AF90" i="2"/>
  <c r="AD90" i="2"/>
  <c r="AB90" i="2"/>
  <c r="Z90" i="2"/>
  <c r="U90" i="2"/>
  <c r="T90" i="2"/>
  <c r="S90" i="2"/>
  <c r="Q90" i="2"/>
  <c r="N90" i="2"/>
  <c r="L90" i="2"/>
  <c r="J90" i="2"/>
  <c r="H90" i="2"/>
  <c r="E90" i="2"/>
  <c r="AM89" i="2"/>
  <c r="AL89" i="2"/>
  <c r="AK89" i="2"/>
  <c r="AJ89" i="2"/>
  <c r="AH89" i="2"/>
  <c r="AG89" i="2"/>
  <c r="AF89" i="2"/>
  <c r="AD89" i="2"/>
  <c r="AB89" i="2"/>
  <c r="Z89" i="2"/>
  <c r="U89" i="2"/>
  <c r="T89" i="2"/>
  <c r="S89" i="2"/>
  <c r="Q89" i="2"/>
  <c r="N89" i="2"/>
  <c r="L89" i="2"/>
  <c r="J89" i="2"/>
  <c r="H89" i="2"/>
  <c r="G89" i="2"/>
  <c r="E89" i="2"/>
  <c r="AM88" i="2"/>
  <c r="AL88" i="2"/>
  <c r="AK88" i="2"/>
  <c r="AJ88" i="2"/>
  <c r="AH88" i="2"/>
  <c r="AG88" i="2"/>
  <c r="AF88" i="2"/>
  <c r="AD88" i="2"/>
  <c r="AB88" i="2"/>
  <c r="Z88" i="2"/>
  <c r="U88" i="2"/>
  <c r="T88" i="2"/>
  <c r="S88" i="2"/>
  <c r="Q88" i="2"/>
  <c r="N88" i="2"/>
  <c r="L88" i="2"/>
  <c r="I88" i="2"/>
  <c r="J88" i="2" s="1"/>
  <c r="H88" i="2"/>
  <c r="E88" i="2"/>
  <c r="AM87" i="2"/>
  <c r="AL87" i="2"/>
  <c r="AL45" i="2" s="1"/>
  <c r="AK87" i="2"/>
  <c r="AK45" i="2" s="1"/>
  <c r="AJ87" i="2"/>
  <c r="AH87" i="2"/>
  <c r="AG87" i="2"/>
  <c r="AF87" i="2"/>
  <c r="AD87" i="2"/>
  <c r="AB87" i="2"/>
  <c r="Z87" i="2"/>
  <c r="U87" i="2"/>
  <c r="U45" i="2" s="1"/>
  <c r="T87" i="2"/>
  <c r="S87" i="2"/>
  <c r="S45" i="2" s="1"/>
  <c r="Q87" i="2"/>
  <c r="Q45" i="2" s="1"/>
  <c r="N87" i="2"/>
  <c r="L87" i="2"/>
  <c r="I87" i="2"/>
  <c r="J87" i="2" s="1"/>
  <c r="H87" i="2"/>
  <c r="E87" i="2"/>
  <c r="AM86" i="2"/>
  <c r="AL86" i="2"/>
  <c r="AK86" i="2"/>
  <c r="AJ86" i="2"/>
  <c r="AH86" i="2"/>
  <c r="AG86" i="2"/>
  <c r="AF86" i="2"/>
  <c r="AD86" i="2"/>
  <c r="AB86" i="2"/>
  <c r="Z86" i="2"/>
  <c r="U86" i="2"/>
  <c r="T86" i="2"/>
  <c r="S86" i="2"/>
  <c r="Q86" i="2"/>
  <c r="N86" i="2"/>
  <c r="L86" i="2"/>
  <c r="I86" i="2"/>
  <c r="J86" i="2" s="1"/>
  <c r="H86" i="2"/>
  <c r="E86" i="2"/>
  <c r="AM85" i="2"/>
  <c r="AL85" i="2"/>
  <c r="AK85" i="2"/>
  <c r="AJ85" i="2"/>
  <c r="AH85" i="2"/>
  <c r="AG85" i="2"/>
  <c r="AF85" i="2"/>
  <c r="AD85" i="2"/>
  <c r="AB85" i="2"/>
  <c r="Z85" i="2"/>
  <c r="U85" i="2"/>
  <c r="T85" i="2"/>
  <c r="Q85" i="2"/>
  <c r="N85" i="2"/>
  <c r="L85" i="2"/>
  <c r="J85" i="2"/>
  <c r="H85" i="2"/>
  <c r="E85" i="2"/>
  <c r="AM84" i="2"/>
  <c r="AL84" i="2"/>
  <c r="AK84" i="2"/>
  <c r="AJ84" i="2"/>
  <c r="AH84" i="2"/>
  <c r="AG84" i="2"/>
  <c r="AF84" i="2"/>
  <c r="AD84" i="2"/>
  <c r="AB84" i="2"/>
  <c r="Z84" i="2"/>
  <c r="U84" i="2"/>
  <c r="T84" i="2"/>
  <c r="S84" i="2"/>
  <c r="Q84" i="2"/>
  <c r="N84" i="2"/>
  <c r="L84" i="2"/>
  <c r="J84" i="2"/>
  <c r="H84" i="2"/>
  <c r="E84" i="2"/>
  <c r="AM83" i="2"/>
  <c r="AL83" i="2"/>
  <c r="AK83" i="2"/>
  <c r="AJ83" i="2"/>
  <c r="AH83" i="2"/>
  <c r="AG83" i="2"/>
  <c r="AF83" i="2"/>
  <c r="AD83" i="2"/>
  <c r="AB83" i="2"/>
  <c r="Z83" i="2"/>
  <c r="U83" i="2"/>
  <c r="T83" i="2"/>
  <c r="S83" i="2"/>
  <c r="Q83" i="2"/>
  <c r="N83" i="2"/>
  <c r="L83" i="2"/>
  <c r="J83" i="2"/>
  <c r="H83" i="2"/>
  <c r="E83" i="2"/>
  <c r="AM82" i="2"/>
  <c r="AL82" i="2"/>
  <c r="AK82" i="2"/>
  <c r="AJ82" i="2"/>
  <c r="AH82" i="2"/>
  <c r="AG82" i="2"/>
  <c r="AF82" i="2"/>
  <c r="AD82" i="2"/>
  <c r="AB82" i="2"/>
  <c r="Z82" i="2"/>
  <c r="U82" i="2"/>
  <c r="T82" i="2"/>
  <c r="S82" i="2"/>
  <c r="Q82" i="2"/>
  <c r="N82" i="2"/>
  <c r="L82" i="2"/>
  <c r="J82" i="2"/>
  <c r="H82" i="2"/>
  <c r="E82" i="2"/>
  <c r="AM81" i="2"/>
  <c r="AL81" i="2"/>
  <c r="AK81" i="2"/>
  <c r="AJ81" i="2"/>
  <c r="AH81" i="2"/>
  <c r="AG81" i="2"/>
  <c r="AF81" i="2"/>
  <c r="AD81" i="2"/>
  <c r="AB81" i="2"/>
  <c r="Z81" i="2"/>
  <c r="U81" i="2"/>
  <c r="T81" i="2"/>
  <c r="Q81" i="2"/>
  <c r="N81" i="2"/>
  <c r="L81" i="2"/>
  <c r="J81" i="2"/>
  <c r="H81" i="2"/>
  <c r="E81" i="2"/>
  <c r="AM80" i="2"/>
  <c r="AL80" i="2"/>
  <c r="AK80" i="2"/>
  <c r="AJ80" i="2"/>
  <c r="AH80" i="2"/>
  <c r="AG80" i="2"/>
  <c r="AF80" i="2"/>
  <c r="AD80" i="2"/>
  <c r="AB80" i="2"/>
  <c r="Z80" i="2"/>
  <c r="U80" i="2"/>
  <c r="T80" i="2"/>
  <c r="S80" i="2"/>
  <c r="Q80" i="2"/>
  <c r="N80" i="2"/>
  <c r="L80" i="2"/>
  <c r="J80" i="2"/>
  <c r="H80" i="2"/>
  <c r="E80" i="2"/>
  <c r="AM79" i="2"/>
  <c r="AL79" i="2"/>
  <c r="AK79" i="2"/>
  <c r="AJ79" i="2"/>
  <c r="AH79" i="2"/>
  <c r="AG79" i="2"/>
  <c r="AF79" i="2"/>
  <c r="AD79" i="2"/>
  <c r="AB79" i="2"/>
  <c r="Z79" i="2"/>
  <c r="U79" i="2"/>
  <c r="T79" i="2"/>
  <c r="S79" i="2"/>
  <c r="Q79" i="2"/>
  <c r="N79" i="2"/>
  <c r="L79" i="2"/>
  <c r="J79" i="2"/>
  <c r="H79" i="2"/>
  <c r="E79" i="2"/>
  <c r="AM78" i="2"/>
  <c r="AL78" i="2"/>
  <c r="AK78" i="2"/>
  <c r="AJ78" i="2"/>
  <c r="AH78" i="2"/>
  <c r="AG78" i="2"/>
  <c r="AF78" i="2"/>
  <c r="AD78" i="2"/>
  <c r="AB78" i="2"/>
  <c r="Z78" i="2"/>
  <c r="U78" i="2"/>
  <c r="T78" i="2"/>
  <c r="S78" i="2"/>
  <c r="Q78" i="2"/>
  <c r="N78" i="2"/>
  <c r="L78" i="2"/>
  <c r="J78" i="2"/>
  <c r="H78" i="2"/>
  <c r="E78" i="2"/>
  <c r="AM77" i="2"/>
  <c r="AL77" i="2"/>
  <c r="AK77" i="2"/>
  <c r="AJ77" i="2"/>
  <c r="AH77" i="2"/>
  <c r="AG77" i="2"/>
  <c r="AF77" i="2"/>
  <c r="AD77" i="2"/>
  <c r="AB77" i="2"/>
  <c r="Z77" i="2"/>
  <c r="U77" i="2"/>
  <c r="T77" i="2"/>
  <c r="S77" i="2"/>
  <c r="Q77" i="2"/>
  <c r="N77" i="2"/>
  <c r="L77" i="2"/>
  <c r="J77" i="2"/>
  <c r="H77" i="2"/>
  <c r="E77" i="2"/>
  <c r="AL76" i="2"/>
  <c r="AK76" i="2"/>
  <c r="AJ76" i="2"/>
  <c r="AH76" i="2"/>
  <c r="AG76" i="2"/>
  <c r="AF76" i="2"/>
  <c r="AD76" i="2"/>
  <c r="AB76" i="2"/>
  <c r="Z76" i="2"/>
  <c r="T76" i="2"/>
  <c r="S76" i="2"/>
  <c r="Q76" i="2"/>
  <c r="N76" i="2"/>
  <c r="L76" i="2"/>
  <c r="J76" i="2"/>
  <c r="H76" i="2"/>
  <c r="E76" i="2"/>
  <c r="AL75" i="2"/>
  <c r="AK75" i="2"/>
  <c r="AJ75" i="2"/>
  <c r="AH75" i="2"/>
  <c r="AG75" i="2"/>
  <c r="AF75" i="2"/>
  <c r="AD75" i="2"/>
  <c r="AB75" i="2"/>
  <c r="Z75" i="2"/>
  <c r="U75" i="2"/>
  <c r="T75" i="2"/>
  <c r="S75" i="2"/>
  <c r="Q75" i="2"/>
  <c r="N75" i="2"/>
  <c r="L75" i="2"/>
  <c r="J75" i="2"/>
  <c r="H75" i="2"/>
  <c r="E75" i="2"/>
  <c r="AM74" i="2"/>
  <c r="AL74" i="2"/>
  <c r="AK74" i="2"/>
  <c r="AJ74" i="2"/>
  <c r="AH74" i="2"/>
  <c r="AG74" i="2"/>
  <c r="AF74" i="2"/>
  <c r="AD74" i="2"/>
  <c r="AB74" i="2"/>
  <c r="Z74" i="2"/>
  <c r="U74" i="2"/>
  <c r="T74" i="2"/>
  <c r="S74" i="2"/>
  <c r="Q74" i="2"/>
  <c r="N74" i="2"/>
  <c r="L74" i="2"/>
  <c r="J74" i="2"/>
  <c r="H74" i="2"/>
  <c r="E74" i="2"/>
  <c r="AM73" i="2"/>
  <c r="AL73" i="2"/>
  <c r="AK73" i="2"/>
  <c r="AJ73" i="2"/>
  <c r="AH73" i="2"/>
  <c r="AG73" i="2"/>
  <c r="AF73" i="2"/>
  <c r="AD73" i="2"/>
  <c r="AB73" i="2"/>
  <c r="Z73" i="2"/>
  <c r="U73" i="2"/>
  <c r="T73" i="2"/>
  <c r="Q73" i="2"/>
  <c r="N73" i="2"/>
  <c r="L73" i="2"/>
  <c r="J73" i="2"/>
  <c r="H73" i="2"/>
  <c r="E73" i="2"/>
  <c r="AM72" i="2"/>
  <c r="AL72" i="2"/>
  <c r="AK72" i="2"/>
  <c r="AJ72" i="2"/>
  <c r="AH72" i="2"/>
  <c r="AG72" i="2"/>
  <c r="AF72" i="2"/>
  <c r="AD72" i="2"/>
  <c r="AB72" i="2"/>
  <c r="Z72" i="2"/>
  <c r="U72" i="2"/>
  <c r="T72" i="2"/>
  <c r="S72" i="2"/>
  <c r="Q72" i="2"/>
  <c r="N72" i="2"/>
  <c r="L72" i="2"/>
  <c r="J72" i="2"/>
  <c r="H72" i="2"/>
  <c r="E72" i="2"/>
  <c r="AM71" i="2"/>
  <c r="AL71" i="2"/>
  <c r="AK71" i="2"/>
  <c r="AJ71" i="2"/>
  <c r="AH71" i="2"/>
  <c r="AG71" i="2"/>
  <c r="AF71" i="2"/>
  <c r="AD71" i="2"/>
  <c r="AB71" i="2"/>
  <c r="Z71" i="2"/>
  <c r="U71" i="2"/>
  <c r="T71" i="2"/>
  <c r="Q71" i="2"/>
  <c r="N71" i="2"/>
  <c r="L71" i="2"/>
  <c r="J71" i="2"/>
  <c r="H71" i="2"/>
  <c r="E71" i="2"/>
  <c r="AM70" i="2"/>
  <c r="AL70" i="2"/>
  <c r="AK70" i="2"/>
  <c r="AJ70" i="2"/>
  <c r="AH70" i="2"/>
  <c r="AG70" i="2"/>
  <c r="AF70" i="2"/>
  <c r="AD70" i="2"/>
  <c r="AB70" i="2"/>
  <c r="Z70" i="2"/>
  <c r="U70" i="2"/>
  <c r="T70" i="2"/>
  <c r="S70" i="2"/>
  <c r="Q70" i="2"/>
  <c r="N70" i="2"/>
  <c r="L70" i="2"/>
  <c r="J70" i="2"/>
  <c r="H70" i="2"/>
  <c r="E70" i="2"/>
  <c r="AM69" i="2"/>
  <c r="AL69" i="2"/>
  <c r="AK69" i="2"/>
  <c r="AJ69" i="2"/>
  <c r="AH69" i="2"/>
  <c r="AG69" i="2"/>
  <c r="AF69" i="2"/>
  <c r="AD69" i="2"/>
  <c r="AB69" i="2"/>
  <c r="Z69" i="2"/>
  <c r="U69" i="2"/>
  <c r="T69" i="2"/>
  <c r="S69" i="2"/>
  <c r="Q69" i="2"/>
  <c r="N69" i="2"/>
  <c r="L69" i="2"/>
  <c r="J69" i="2"/>
  <c r="H69" i="2"/>
  <c r="E69" i="2"/>
  <c r="AM68" i="2"/>
  <c r="AL68" i="2"/>
  <c r="AK68" i="2"/>
  <c r="AJ68" i="2"/>
  <c r="AH68" i="2"/>
  <c r="AG68" i="2"/>
  <c r="AF68" i="2"/>
  <c r="AD68" i="2"/>
  <c r="AB68" i="2"/>
  <c r="Z68" i="2"/>
  <c r="U68" i="2"/>
  <c r="T68" i="2"/>
  <c r="S68" i="2"/>
  <c r="Q68" i="2"/>
  <c r="N68" i="2"/>
  <c r="L68" i="2"/>
  <c r="J68" i="2"/>
  <c r="H68" i="2"/>
  <c r="E68" i="2"/>
  <c r="AM67" i="2"/>
  <c r="AL67" i="2"/>
  <c r="AK67" i="2"/>
  <c r="AJ67" i="2"/>
  <c r="AH67" i="2"/>
  <c r="AG67" i="2"/>
  <c r="AF67" i="2"/>
  <c r="AD67" i="2"/>
  <c r="AB67" i="2"/>
  <c r="Z67" i="2"/>
  <c r="U67" i="2"/>
  <c r="T67" i="2"/>
  <c r="Q67" i="2"/>
  <c r="N67" i="2"/>
  <c r="L67" i="2"/>
  <c r="J67" i="2"/>
  <c r="H67" i="2"/>
  <c r="E67" i="2"/>
  <c r="AM66" i="2"/>
  <c r="AL66" i="2"/>
  <c r="AK66" i="2"/>
  <c r="AJ66" i="2"/>
  <c r="AH66" i="2"/>
  <c r="AG66" i="2"/>
  <c r="AF66" i="2"/>
  <c r="AD66" i="2"/>
  <c r="AB66" i="2"/>
  <c r="Z66" i="2"/>
  <c r="U66" i="2"/>
  <c r="T66" i="2"/>
  <c r="S66" i="2"/>
  <c r="Q66" i="2"/>
  <c r="N66" i="2"/>
  <c r="L66" i="2"/>
  <c r="J66" i="2"/>
  <c r="H66" i="2"/>
  <c r="E66" i="2"/>
  <c r="AM65" i="2"/>
  <c r="AL65" i="2"/>
  <c r="AK65" i="2"/>
  <c r="AJ65" i="2"/>
  <c r="AH65" i="2"/>
  <c r="AG65" i="2"/>
  <c r="AF65" i="2"/>
  <c r="AD65" i="2"/>
  <c r="AB65" i="2"/>
  <c r="Z65" i="2"/>
  <c r="U65" i="2"/>
  <c r="T65" i="2"/>
  <c r="S65" i="2"/>
  <c r="Q65" i="2"/>
  <c r="N65" i="2"/>
  <c r="L65" i="2"/>
  <c r="J65" i="2"/>
  <c r="H65" i="2"/>
  <c r="E65" i="2"/>
  <c r="AM64" i="2"/>
  <c r="AL64" i="2"/>
  <c r="AK64" i="2"/>
  <c r="AJ64" i="2"/>
  <c r="AH64" i="2"/>
  <c r="AG64" i="2"/>
  <c r="AF64" i="2"/>
  <c r="AD64" i="2"/>
  <c r="AB64" i="2"/>
  <c r="Z64" i="2"/>
  <c r="U64" i="2"/>
  <c r="T64" i="2"/>
  <c r="S64" i="2"/>
  <c r="Q64" i="2"/>
  <c r="N64" i="2"/>
  <c r="L64" i="2"/>
  <c r="J64" i="2"/>
  <c r="H64" i="2"/>
  <c r="E64" i="2"/>
  <c r="AM63" i="2"/>
  <c r="AL63" i="2"/>
  <c r="AK63" i="2"/>
  <c r="AJ63" i="2"/>
  <c r="AH63" i="2"/>
  <c r="AG63" i="2"/>
  <c r="AF63" i="2"/>
  <c r="AD63" i="2"/>
  <c r="AB63" i="2"/>
  <c r="Z63" i="2"/>
  <c r="U63" i="2"/>
  <c r="T63" i="2"/>
  <c r="S63" i="2"/>
  <c r="Q63" i="2"/>
  <c r="N63" i="2"/>
  <c r="L63" i="2"/>
  <c r="J63" i="2"/>
  <c r="H63" i="2"/>
  <c r="E63" i="2"/>
  <c r="AM62" i="2"/>
  <c r="AL62" i="2"/>
  <c r="AK62" i="2"/>
  <c r="AJ62" i="2"/>
  <c r="AH62" i="2"/>
  <c r="AG62" i="2"/>
  <c r="AF62" i="2"/>
  <c r="AD62" i="2"/>
  <c r="AB62" i="2"/>
  <c r="Z62" i="2"/>
  <c r="U62" i="2"/>
  <c r="T62" i="2"/>
  <c r="S62" i="2"/>
  <c r="Q62" i="2"/>
  <c r="N62" i="2"/>
  <c r="L62" i="2"/>
  <c r="J62" i="2"/>
  <c r="H62" i="2"/>
  <c r="E62" i="2"/>
  <c r="AM61" i="2"/>
  <c r="AL61" i="2"/>
  <c r="AK61" i="2"/>
  <c r="AJ61" i="2"/>
  <c r="AH61" i="2"/>
  <c r="AG61" i="2"/>
  <c r="AF61" i="2"/>
  <c r="AD61" i="2"/>
  <c r="AB61" i="2"/>
  <c r="Z61" i="2"/>
  <c r="U61" i="2"/>
  <c r="T61" i="2"/>
  <c r="S61" i="2"/>
  <c r="Q61" i="2"/>
  <c r="N61" i="2"/>
  <c r="L61" i="2"/>
  <c r="J61" i="2"/>
  <c r="H61" i="2"/>
  <c r="E61" i="2"/>
  <c r="AM60" i="2"/>
  <c r="AL60" i="2"/>
  <c r="AK60" i="2"/>
  <c r="AJ60" i="2"/>
  <c r="AH60" i="2"/>
  <c r="AG60" i="2"/>
  <c r="AF60" i="2"/>
  <c r="AD60" i="2"/>
  <c r="AB60" i="2"/>
  <c r="Z60" i="2"/>
  <c r="U60" i="2"/>
  <c r="T60" i="2"/>
  <c r="S60" i="2"/>
  <c r="Q60" i="2"/>
  <c r="N60" i="2"/>
  <c r="L60" i="2"/>
  <c r="J60" i="2"/>
  <c r="H60" i="2"/>
  <c r="E60" i="2"/>
  <c r="AM59" i="2"/>
  <c r="AL59" i="2"/>
  <c r="AK59" i="2"/>
  <c r="AJ59" i="2"/>
  <c r="AH59" i="2"/>
  <c r="AG59" i="2"/>
  <c r="AF59" i="2"/>
  <c r="AD59" i="2"/>
  <c r="AB59" i="2"/>
  <c r="Z59" i="2"/>
  <c r="U59" i="2"/>
  <c r="T59" i="2"/>
  <c r="S59" i="2"/>
  <c r="Q59" i="2"/>
  <c r="N59" i="2"/>
  <c r="L59" i="2"/>
  <c r="J59" i="2"/>
  <c r="H59" i="2"/>
  <c r="E59" i="2"/>
  <c r="AM58" i="2"/>
  <c r="AL58" i="2"/>
  <c r="AK58" i="2"/>
  <c r="AJ58" i="2"/>
  <c r="AH58" i="2"/>
  <c r="AG58" i="2"/>
  <c r="AF58" i="2"/>
  <c r="AD58" i="2"/>
  <c r="AB58" i="2"/>
  <c r="Z58" i="2"/>
  <c r="U58" i="2"/>
  <c r="T58" i="2"/>
  <c r="S58" i="2"/>
  <c r="Q58" i="2"/>
  <c r="N58" i="2"/>
  <c r="L58" i="2"/>
  <c r="J58" i="2"/>
  <c r="H58" i="2"/>
  <c r="E58" i="2"/>
  <c r="AM57" i="2"/>
  <c r="AL57" i="2"/>
  <c r="AK57" i="2"/>
  <c r="AJ57" i="2"/>
  <c r="AH57" i="2"/>
  <c r="AG57" i="2"/>
  <c r="AF57" i="2"/>
  <c r="AD57" i="2"/>
  <c r="AB57" i="2"/>
  <c r="Z57" i="2"/>
  <c r="U57" i="2"/>
  <c r="T57" i="2"/>
  <c r="S57" i="2"/>
  <c r="Q57" i="2"/>
  <c r="N57" i="2"/>
  <c r="L57" i="2"/>
  <c r="J57" i="2"/>
  <c r="H57" i="2"/>
  <c r="E57" i="2"/>
  <c r="AM56" i="2"/>
  <c r="AL56" i="2"/>
  <c r="AK56" i="2"/>
  <c r="AJ56" i="2"/>
  <c r="AH56" i="2"/>
  <c r="AG56" i="2"/>
  <c r="AF56" i="2"/>
  <c r="AD56" i="2"/>
  <c r="AB56" i="2"/>
  <c r="Z56" i="2"/>
  <c r="U56" i="2"/>
  <c r="T56" i="2"/>
  <c r="S56" i="2"/>
  <c r="Q56" i="2"/>
  <c r="N56" i="2"/>
  <c r="L56" i="2"/>
  <c r="J56" i="2"/>
  <c r="H56" i="2"/>
  <c r="E56" i="2"/>
  <c r="AM55" i="2"/>
  <c r="AL55" i="2"/>
  <c r="AK55" i="2"/>
  <c r="AJ55" i="2"/>
  <c r="AH55" i="2"/>
  <c r="AG55" i="2"/>
  <c r="AF55" i="2"/>
  <c r="AD55" i="2"/>
  <c r="AB55" i="2"/>
  <c r="Z55" i="2"/>
  <c r="U55" i="2"/>
  <c r="T55" i="2"/>
  <c r="S55" i="2"/>
  <c r="Q55" i="2"/>
  <c r="N55" i="2"/>
  <c r="L55" i="2"/>
  <c r="J55" i="2"/>
  <c r="H55" i="2"/>
  <c r="E55" i="2"/>
  <c r="AM54" i="2"/>
  <c r="AL54" i="2"/>
  <c r="AK54" i="2"/>
  <c r="AJ54" i="2"/>
  <c r="AH54" i="2"/>
  <c r="AG54" i="2"/>
  <c r="AF54" i="2"/>
  <c r="AD54" i="2"/>
  <c r="AB54" i="2"/>
  <c r="Z54" i="2"/>
  <c r="U54" i="2"/>
  <c r="T54" i="2"/>
  <c r="S54" i="2"/>
  <c r="Q54" i="2"/>
  <c r="N54" i="2"/>
  <c r="L54" i="2"/>
  <c r="J54" i="2"/>
  <c r="H54" i="2"/>
  <c r="E54" i="2"/>
  <c r="AM53" i="2"/>
  <c r="AL53" i="2"/>
  <c r="AK53" i="2"/>
  <c r="AJ53" i="2"/>
  <c r="AH53" i="2"/>
  <c r="AG53" i="2"/>
  <c r="AF53" i="2"/>
  <c r="AD53" i="2"/>
  <c r="AB53" i="2"/>
  <c r="Z53" i="2"/>
  <c r="U53" i="2"/>
  <c r="T53" i="2"/>
  <c r="S53" i="2"/>
  <c r="Q53" i="2"/>
  <c r="N53" i="2"/>
  <c r="L53" i="2"/>
  <c r="J53" i="2"/>
  <c r="H53" i="2"/>
  <c r="E53" i="2"/>
  <c r="AM52" i="2"/>
  <c r="AL52" i="2"/>
  <c r="AK52" i="2"/>
  <c r="AJ52" i="2"/>
  <c r="AH52" i="2"/>
  <c r="AG52" i="2"/>
  <c r="AF52" i="2"/>
  <c r="AD52" i="2"/>
  <c r="AB52" i="2"/>
  <c r="Z52" i="2"/>
  <c r="U52" i="2"/>
  <c r="T52" i="2"/>
  <c r="Q52" i="2"/>
  <c r="N52" i="2"/>
  <c r="L52" i="2"/>
  <c r="J52" i="2"/>
  <c r="H52" i="2"/>
  <c r="E52" i="2"/>
  <c r="AM51" i="2"/>
  <c r="AL51" i="2"/>
  <c r="AK51" i="2"/>
  <c r="AJ51" i="2"/>
  <c r="AH51" i="2"/>
  <c r="AG51" i="2"/>
  <c r="AF51" i="2"/>
  <c r="AD51" i="2"/>
  <c r="AB51" i="2"/>
  <c r="Z51" i="2"/>
  <c r="U51" i="2"/>
  <c r="T51" i="2"/>
  <c r="S51" i="2"/>
  <c r="Q51" i="2"/>
  <c r="N51" i="2"/>
  <c r="L51" i="2"/>
  <c r="J51" i="2"/>
  <c r="H51" i="2"/>
  <c r="E51" i="2"/>
  <c r="AM50" i="2"/>
  <c r="AL50" i="2"/>
  <c r="AK50" i="2"/>
  <c r="AJ50" i="2"/>
  <c r="AH50" i="2"/>
  <c r="AG50" i="2"/>
  <c r="AF50" i="2"/>
  <c r="AD50" i="2"/>
  <c r="AB50" i="2"/>
  <c r="Z50" i="2"/>
  <c r="U50" i="2"/>
  <c r="T50" i="2"/>
  <c r="S50" i="2"/>
  <c r="Q50" i="2"/>
  <c r="N50" i="2"/>
  <c r="L50" i="2"/>
  <c r="J50" i="2"/>
  <c r="H50" i="2"/>
  <c r="E50" i="2"/>
  <c r="AM49" i="2"/>
  <c r="AL49" i="2"/>
  <c r="AK49" i="2"/>
  <c r="AJ49" i="2"/>
  <c r="AH49" i="2"/>
  <c r="AG49" i="2"/>
  <c r="AF49" i="2"/>
  <c r="AD49" i="2"/>
  <c r="AB49" i="2"/>
  <c r="Z49" i="2"/>
  <c r="U49" i="2"/>
  <c r="T49" i="2"/>
  <c r="S49" i="2"/>
  <c r="Q49" i="2"/>
  <c r="N49" i="2"/>
  <c r="L49" i="2"/>
  <c r="J49" i="2"/>
  <c r="H49" i="2"/>
  <c r="E49" i="2"/>
  <c r="AM48" i="2"/>
  <c r="AL48" i="2"/>
  <c r="AK48" i="2"/>
  <c r="AJ48" i="2"/>
  <c r="AH48" i="2"/>
  <c r="AG48" i="2"/>
  <c r="AF48" i="2"/>
  <c r="AD48" i="2"/>
  <c r="AB48" i="2"/>
  <c r="Z48" i="2"/>
  <c r="U48" i="2"/>
  <c r="T48" i="2"/>
  <c r="S48" i="2"/>
  <c r="Q48" i="2"/>
  <c r="N48" i="2"/>
  <c r="L48" i="2"/>
  <c r="J48" i="2"/>
  <c r="H48" i="2"/>
  <c r="E48" i="2"/>
  <c r="AM47" i="2"/>
  <c r="AL47" i="2"/>
  <c r="AK47" i="2"/>
  <c r="AJ47" i="2"/>
  <c r="AH47" i="2"/>
  <c r="AG47" i="2"/>
  <c r="AF47" i="2"/>
  <c r="AD47" i="2"/>
  <c r="AB47" i="2"/>
  <c r="Z47" i="2"/>
  <c r="U47" i="2"/>
  <c r="T47" i="2"/>
  <c r="S47" i="2"/>
  <c r="Q47" i="2"/>
  <c r="N47" i="2"/>
  <c r="L47" i="2"/>
  <c r="J47" i="2"/>
  <c r="H47" i="2"/>
  <c r="E47" i="2"/>
  <c r="AF46" i="2"/>
  <c r="AD46" i="2"/>
  <c r="Z46" i="2"/>
  <c r="S46" i="2"/>
  <c r="N46" i="2"/>
  <c r="L46" i="2"/>
  <c r="I46" i="2"/>
  <c r="J46" i="2" s="1"/>
  <c r="E46" i="2"/>
  <c r="AM45" i="2"/>
  <c r="AJ45" i="2"/>
  <c r="AH45" i="2"/>
  <c r="AG45" i="2"/>
  <c r="AF45" i="2"/>
  <c r="AD45" i="2"/>
  <c r="AB45" i="2"/>
  <c r="Z45" i="2"/>
  <c r="N45" i="2"/>
  <c r="L45" i="2"/>
  <c r="I45" i="2"/>
  <c r="J45" i="2" s="1"/>
  <c r="G45" i="2"/>
  <c r="H45" i="2" s="1"/>
  <c r="E45" i="2"/>
  <c r="AJ44" i="2"/>
  <c r="AH44" i="2"/>
  <c r="AG44" i="2"/>
  <c r="AF44" i="2"/>
  <c r="AD44" i="2"/>
  <c r="AB44" i="2"/>
  <c r="Z44" i="2"/>
  <c r="N44" i="2"/>
  <c r="K44" i="2"/>
  <c r="L44" i="2" s="1"/>
  <c r="I44" i="2"/>
  <c r="J44" i="2" s="1"/>
  <c r="G44" i="2"/>
  <c r="H44" i="2" s="1"/>
  <c r="E44" i="2"/>
  <c r="AM43" i="2"/>
  <c r="AL43" i="2"/>
  <c r="AK43" i="2"/>
  <c r="AJ43" i="2"/>
  <c r="AH43" i="2"/>
  <c r="AG43" i="2"/>
  <c r="AF43" i="2"/>
  <c r="AD43" i="2"/>
  <c r="AB43" i="2"/>
  <c r="Z43" i="2"/>
  <c r="U43" i="2"/>
  <c r="T43" i="2"/>
  <c r="Q43" i="2"/>
  <c r="N43" i="2"/>
  <c r="L43" i="2"/>
  <c r="J43" i="2"/>
  <c r="H43" i="2"/>
  <c r="E43" i="2"/>
  <c r="AM42" i="2"/>
  <c r="AL42" i="2"/>
  <c r="AK42" i="2"/>
  <c r="AJ42" i="2"/>
  <c r="AH42" i="2"/>
  <c r="AG42" i="2"/>
  <c r="AF42" i="2"/>
  <c r="AD42" i="2"/>
  <c r="AB42" i="2"/>
  <c r="Z42" i="2"/>
  <c r="U42" i="2"/>
  <c r="T42" i="2"/>
  <c r="Q42" i="2"/>
  <c r="N42" i="2"/>
  <c r="L42" i="2"/>
  <c r="J42" i="2"/>
  <c r="H42" i="2"/>
  <c r="E42" i="2"/>
  <c r="AM41" i="2"/>
  <c r="AL41" i="2"/>
  <c r="AK41" i="2"/>
  <c r="AJ41" i="2"/>
  <c r="AH41" i="2"/>
  <c r="AG41" i="2"/>
  <c r="AF41" i="2"/>
  <c r="AD41" i="2"/>
  <c r="AB41" i="2"/>
  <c r="Z41" i="2"/>
  <c r="U41" i="2"/>
  <c r="T41" i="2"/>
  <c r="Q41" i="2"/>
  <c r="N41" i="2"/>
  <c r="L41" i="2"/>
  <c r="J41" i="2"/>
  <c r="H41" i="2"/>
  <c r="E41" i="2"/>
  <c r="AM40" i="2"/>
  <c r="AL40" i="2"/>
  <c r="AK40" i="2"/>
  <c r="AJ40" i="2"/>
  <c r="AH40" i="2"/>
  <c r="AG40" i="2"/>
  <c r="AF40" i="2"/>
  <c r="AD40" i="2"/>
  <c r="AB40" i="2"/>
  <c r="Z40" i="2"/>
  <c r="U40" i="2"/>
  <c r="T40" i="2"/>
  <c r="Q40" i="2"/>
  <c r="N40" i="2"/>
  <c r="L40" i="2"/>
  <c r="J40" i="2"/>
  <c r="H40" i="2"/>
  <c r="E40" i="2"/>
  <c r="AM39" i="2"/>
  <c r="AL39" i="2"/>
  <c r="AK39" i="2"/>
  <c r="AJ39" i="2"/>
  <c r="AH39" i="2"/>
  <c r="AG39" i="2"/>
  <c r="AF39" i="2"/>
  <c r="AD39" i="2"/>
  <c r="AB39" i="2"/>
  <c r="Z39" i="2"/>
  <c r="U39" i="2"/>
  <c r="T39" i="2"/>
  <c r="Q39" i="2"/>
  <c r="N39" i="2"/>
  <c r="L39" i="2"/>
  <c r="J39" i="2"/>
  <c r="H39" i="2"/>
  <c r="E39" i="2"/>
  <c r="AM38" i="2"/>
  <c r="AM44" i="2" s="1"/>
  <c r="AL38" i="2"/>
  <c r="AL44" i="2" s="1"/>
  <c r="AK38" i="2"/>
  <c r="AK44" i="2" s="1"/>
  <c r="AJ38" i="2"/>
  <c r="AH38" i="2"/>
  <c r="AG38" i="2"/>
  <c r="AF38" i="2"/>
  <c r="AD38" i="2"/>
  <c r="AB38" i="2"/>
  <c r="Z38" i="2"/>
  <c r="U38" i="2"/>
  <c r="U44" i="2" s="1"/>
  <c r="T38" i="2"/>
  <c r="T44" i="2" s="1"/>
  <c r="Q38" i="2"/>
  <c r="Q44" i="2" s="1"/>
  <c r="N38" i="2"/>
  <c r="L38" i="2"/>
  <c r="J38" i="2"/>
  <c r="H38" i="2"/>
  <c r="E38" i="2"/>
  <c r="AM37" i="2"/>
  <c r="AL37" i="2"/>
  <c r="AK37" i="2"/>
  <c r="AJ37" i="2"/>
  <c r="AH37" i="2"/>
  <c r="AG37" i="2"/>
  <c r="AF37" i="2"/>
  <c r="AD37" i="2"/>
  <c r="AB37" i="2"/>
  <c r="Z37" i="2"/>
  <c r="U37" i="2"/>
  <c r="T37" i="2"/>
  <c r="Q37" i="2"/>
  <c r="N37" i="2"/>
  <c r="L37" i="2"/>
  <c r="J37" i="2"/>
  <c r="H37" i="2"/>
  <c r="E37" i="2"/>
  <c r="AM36" i="2"/>
  <c r="AL36" i="2"/>
  <c r="AK36" i="2"/>
  <c r="AJ36" i="2"/>
  <c r="AH36" i="2"/>
  <c r="AG36" i="2"/>
  <c r="AF36" i="2"/>
  <c r="AD36" i="2"/>
  <c r="AB36" i="2"/>
  <c r="Z36" i="2"/>
  <c r="U36" i="2"/>
  <c r="T36" i="2"/>
  <c r="Q36" i="2"/>
  <c r="N36" i="2"/>
  <c r="L36" i="2"/>
  <c r="J36" i="2"/>
  <c r="H36" i="2"/>
  <c r="E36" i="2"/>
  <c r="AM35" i="2"/>
  <c r="AL35" i="2"/>
  <c r="AK35" i="2"/>
  <c r="AJ35" i="2"/>
  <c r="AH35" i="2"/>
  <c r="AG35" i="2"/>
  <c r="AF35" i="2"/>
  <c r="AD35" i="2"/>
  <c r="AB35" i="2"/>
  <c r="Z35" i="2"/>
  <c r="U35" i="2"/>
  <c r="T35" i="2"/>
  <c r="Q35" i="2"/>
  <c r="N35" i="2"/>
  <c r="L35" i="2"/>
  <c r="J35" i="2"/>
  <c r="H35" i="2"/>
  <c r="E35" i="2"/>
  <c r="AM34" i="2"/>
  <c r="AL34" i="2"/>
  <c r="AK34" i="2"/>
  <c r="AJ34" i="2"/>
  <c r="AH34" i="2"/>
  <c r="AG34" i="2"/>
  <c r="AF34" i="2"/>
  <c r="AD34" i="2"/>
  <c r="AB34" i="2"/>
  <c r="Z34" i="2"/>
  <c r="U34" i="2"/>
  <c r="T34" i="2"/>
  <c r="Q34" i="2"/>
  <c r="N34" i="2"/>
  <c r="L34" i="2"/>
  <c r="J34" i="2"/>
  <c r="H34" i="2"/>
  <c r="E34" i="2"/>
  <c r="AM33" i="2"/>
  <c r="AL33" i="2"/>
  <c r="AK33" i="2"/>
  <c r="AJ33" i="2"/>
  <c r="AH33" i="2"/>
  <c r="AG33" i="2"/>
  <c r="AF33" i="2"/>
  <c r="AD33" i="2"/>
  <c r="AB33" i="2"/>
  <c r="Z33" i="2"/>
  <c r="U33" i="2"/>
  <c r="T33" i="2"/>
  <c r="Q33" i="2"/>
  <c r="N33" i="2"/>
  <c r="L33" i="2"/>
  <c r="J33" i="2"/>
  <c r="H33" i="2"/>
  <c r="E33" i="2"/>
  <c r="AM32" i="2"/>
  <c r="AL32" i="2"/>
  <c r="AK32" i="2"/>
  <c r="AJ32" i="2"/>
  <c r="AH32" i="2"/>
  <c r="AG32" i="2"/>
  <c r="AF32" i="2"/>
  <c r="AD32" i="2"/>
  <c r="AB32" i="2"/>
  <c r="Z32" i="2"/>
  <c r="U32" i="2"/>
  <c r="T32" i="2"/>
  <c r="Q32" i="2"/>
  <c r="N32" i="2"/>
  <c r="L32" i="2"/>
  <c r="J32" i="2"/>
  <c r="H32" i="2"/>
  <c r="E32" i="2"/>
  <c r="AM31" i="2"/>
  <c r="AL31" i="2"/>
  <c r="AK31" i="2"/>
  <c r="AJ31" i="2"/>
  <c r="AH31" i="2"/>
  <c r="AG31" i="2"/>
  <c r="AF31" i="2"/>
  <c r="AD31" i="2"/>
  <c r="AB31" i="2"/>
  <c r="Z31" i="2"/>
  <c r="U31" i="2"/>
  <c r="T31" i="2"/>
  <c r="Q31" i="2"/>
  <c r="N31" i="2"/>
  <c r="L31" i="2"/>
  <c r="J31" i="2"/>
  <c r="H31" i="2"/>
  <c r="E31" i="2"/>
  <c r="AM30" i="2"/>
  <c r="AL30" i="2"/>
  <c r="AK30" i="2"/>
  <c r="AJ30" i="2"/>
  <c r="AH30" i="2"/>
  <c r="AG30" i="2"/>
  <c r="AF30" i="2"/>
  <c r="AD30" i="2"/>
  <c r="AB30" i="2"/>
  <c r="Z30" i="2"/>
  <c r="U30" i="2"/>
  <c r="T30" i="2"/>
  <c r="Q30" i="2"/>
  <c r="N30" i="2"/>
  <c r="L30" i="2"/>
  <c r="J30" i="2"/>
  <c r="H30" i="2"/>
  <c r="E30" i="2"/>
  <c r="AM29" i="2"/>
  <c r="AL29" i="2"/>
  <c r="AK29" i="2"/>
  <c r="AJ29" i="2"/>
  <c r="AH29" i="2"/>
  <c r="AG29" i="2"/>
  <c r="AF29" i="2"/>
  <c r="AD29" i="2"/>
  <c r="AB29" i="2"/>
  <c r="Z29" i="2"/>
  <c r="U29" i="2"/>
  <c r="T29" i="2"/>
  <c r="Q29" i="2"/>
  <c r="N29" i="2"/>
  <c r="L29" i="2"/>
  <c r="J29" i="2"/>
  <c r="H29" i="2"/>
  <c r="E29" i="2"/>
  <c r="AM28" i="2"/>
  <c r="AL28" i="2"/>
  <c r="AK28" i="2"/>
  <c r="AJ28" i="2"/>
  <c r="AH28" i="2"/>
  <c r="AG28" i="2"/>
  <c r="AF28" i="2"/>
  <c r="AD28" i="2"/>
  <c r="AB28" i="2"/>
  <c r="Z28" i="2"/>
  <c r="U28" i="2"/>
  <c r="T28" i="2"/>
  <c r="Q28" i="2"/>
  <c r="N28" i="2"/>
  <c r="L28" i="2"/>
  <c r="J28" i="2"/>
  <c r="H28" i="2"/>
  <c r="E28" i="2"/>
  <c r="AM27" i="2"/>
  <c r="AL27" i="2"/>
  <c r="AK27" i="2"/>
  <c r="AJ27" i="2"/>
  <c r="AH27" i="2"/>
  <c r="AG27" i="2"/>
  <c r="AF27" i="2"/>
  <c r="AD27" i="2"/>
  <c r="AB27" i="2"/>
  <c r="Z27" i="2"/>
  <c r="U27" i="2"/>
  <c r="T27" i="2"/>
  <c r="Q27" i="2"/>
  <c r="N27" i="2"/>
  <c r="L27" i="2"/>
  <c r="J27" i="2"/>
  <c r="H27" i="2"/>
  <c r="E27" i="2"/>
  <c r="AM26" i="2"/>
  <c r="AL26" i="2"/>
  <c r="AK26" i="2"/>
  <c r="AJ26" i="2"/>
  <c r="AH26" i="2"/>
  <c r="AG26" i="2"/>
  <c r="AF26" i="2"/>
  <c r="AD26" i="2"/>
  <c r="AB26" i="2"/>
  <c r="Z26" i="2"/>
  <c r="U26" i="2"/>
  <c r="T26" i="2"/>
  <c r="Q26" i="2"/>
  <c r="N26" i="2"/>
  <c r="L26" i="2"/>
  <c r="J26" i="2"/>
  <c r="H26" i="2"/>
  <c r="E26" i="2"/>
  <c r="AM25" i="2"/>
  <c r="AL25" i="2"/>
  <c r="AK25" i="2"/>
  <c r="AJ25" i="2"/>
  <c r="AH25" i="2"/>
  <c r="AG25" i="2"/>
  <c r="AF25" i="2"/>
  <c r="AD25" i="2"/>
  <c r="AB25" i="2"/>
  <c r="Z25" i="2"/>
  <c r="U25" i="2"/>
  <c r="T25" i="2"/>
  <c r="Q25" i="2"/>
  <c r="N25" i="2"/>
  <c r="L25" i="2"/>
  <c r="J25" i="2"/>
  <c r="H25" i="2"/>
  <c r="E25" i="2"/>
  <c r="AM24" i="2"/>
  <c r="AL24" i="2"/>
  <c r="AK24" i="2"/>
  <c r="AJ24" i="2"/>
  <c r="AH24" i="2"/>
  <c r="AG24" i="2"/>
  <c r="AF24" i="2"/>
  <c r="AD24" i="2"/>
  <c r="AB24" i="2"/>
  <c r="Z24" i="2"/>
  <c r="U24" i="2"/>
  <c r="T24" i="2"/>
  <c r="Q24" i="2"/>
  <c r="N24" i="2"/>
  <c r="L24" i="2"/>
  <c r="J24" i="2"/>
  <c r="H24" i="2"/>
  <c r="E24" i="2"/>
  <c r="AM23" i="2"/>
  <c r="AL23" i="2"/>
  <c r="AK23" i="2"/>
  <c r="AJ23" i="2"/>
  <c r="AH23" i="2"/>
  <c r="AG23" i="2"/>
  <c r="AF23" i="2"/>
  <c r="AD23" i="2"/>
  <c r="AB23" i="2"/>
  <c r="Z23" i="2"/>
  <c r="T23" i="2"/>
  <c r="Q23" i="2"/>
  <c r="N23" i="2"/>
  <c r="L23" i="2"/>
  <c r="J23" i="2"/>
  <c r="H23" i="2"/>
  <c r="E23" i="2"/>
  <c r="AM22" i="2"/>
  <c r="AL22" i="2"/>
  <c r="AK22" i="2"/>
  <c r="AJ22" i="2"/>
  <c r="AH22" i="2"/>
  <c r="AG22" i="2"/>
  <c r="AF22" i="2"/>
  <c r="AD22" i="2"/>
  <c r="AB22" i="2"/>
  <c r="Z22" i="2"/>
  <c r="T22" i="2"/>
  <c r="Q22" i="2"/>
  <c r="N22" i="2"/>
  <c r="L22" i="2"/>
  <c r="J22" i="2"/>
  <c r="H22" i="2"/>
  <c r="E22" i="2"/>
  <c r="AM21" i="2"/>
  <c r="AL21" i="2"/>
  <c r="AK21" i="2"/>
  <c r="AJ21" i="2"/>
  <c r="AH21" i="2"/>
  <c r="AG21" i="2"/>
  <c r="AF21" i="2"/>
  <c r="AD21" i="2"/>
  <c r="AB21" i="2"/>
  <c r="Z21" i="2"/>
  <c r="T21" i="2"/>
  <c r="Q21" i="2"/>
  <c r="N21" i="2"/>
  <c r="L21" i="2"/>
  <c r="J21" i="2"/>
  <c r="H21" i="2"/>
  <c r="E21" i="2"/>
  <c r="AM20" i="2"/>
  <c r="AL20" i="2"/>
  <c r="AK20" i="2"/>
  <c r="AJ20" i="2"/>
  <c r="AH20" i="2"/>
  <c r="AG20" i="2"/>
  <c r="AF20" i="2"/>
  <c r="AD20" i="2"/>
  <c r="AB20" i="2"/>
  <c r="Z20" i="2"/>
  <c r="U20" i="2"/>
  <c r="T20" i="2"/>
  <c r="Q20" i="2"/>
  <c r="N20" i="2"/>
  <c r="L20" i="2"/>
  <c r="J20" i="2"/>
  <c r="H20" i="2"/>
  <c r="E20" i="2"/>
  <c r="AM19" i="2"/>
  <c r="AL19" i="2"/>
  <c r="AK19" i="2"/>
  <c r="AJ19" i="2"/>
  <c r="AH19" i="2"/>
  <c r="AG19" i="2"/>
  <c r="AF19" i="2"/>
  <c r="AD19" i="2"/>
  <c r="AB19" i="2"/>
  <c r="Z19" i="2"/>
  <c r="T19" i="2"/>
  <c r="Q19" i="2"/>
  <c r="N19" i="2"/>
  <c r="L19" i="2"/>
  <c r="J19" i="2"/>
  <c r="H19" i="2"/>
  <c r="E19" i="2"/>
  <c r="AM18" i="2"/>
  <c r="AL18" i="2"/>
  <c r="AK18" i="2"/>
  <c r="AJ18" i="2"/>
  <c r="AH18" i="2"/>
  <c r="AG18" i="2"/>
  <c r="AF18" i="2"/>
  <c r="AD18" i="2"/>
  <c r="AB18" i="2"/>
  <c r="Z18" i="2"/>
  <c r="T18" i="2"/>
  <c r="Q18" i="2"/>
  <c r="N18" i="2"/>
  <c r="L18" i="2"/>
  <c r="J18" i="2"/>
  <c r="H18" i="2"/>
  <c r="E18" i="2"/>
  <c r="AM17" i="2"/>
  <c r="AL17" i="2"/>
  <c r="AK17" i="2"/>
  <c r="AJ17" i="2"/>
  <c r="AH17" i="2"/>
  <c r="AG17" i="2"/>
  <c r="AF17" i="2"/>
  <c r="AD17" i="2"/>
  <c r="AB17" i="2"/>
  <c r="Z17" i="2"/>
  <c r="T17" i="2"/>
  <c r="Q17" i="2"/>
  <c r="N17" i="2"/>
  <c r="L17" i="2"/>
  <c r="J17" i="2"/>
  <c r="H17" i="2"/>
  <c r="E17" i="2"/>
  <c r="AM16" i="2"/>
  <c r="AL16" i="2"/>
  <c r="AK16" i="2"/>
  <c r="AJ16" i="2"/>
  <c r="AH16" i="2"/>
  <c r="AG16" i="2"/>
  <c r="AF16" i="2"/>
  <c r="AD16" i="2"/>
  <c r="AB16" i="2"/>
  <c r="Z16" i="2"/>
  <c r="T16" i="2"/>
  <c r="Q16" i="2"/>
  <c r="N16" i="2"/>
  <c r="L16" i="2"/>
  <c r="J16" i="2"/>
  <c r="H16" i="2"/>
  <c r="E16" i="2"/>
  <c r="AM15" i="2"/>
  <c r="AL15" i="2"/>
  <c r="AK15" i="2"/>
  <c r="AJ15" i="2"/>
  <c r="AH15" i="2"/>
  <c r="AG15" i="2"/>
  <c r="AF15" i="2"/>
  <c r="AD15" i="2"/>
  <c r="AB15" i="2"/>
  <c r="Z15" i="2"/>
  <c r="T15" i="2"/>
  <c r="Q15" i="2"/>
  <c r="N15" i="2"/>
  <c r="L15" i="2"/>
  <c r="J15" i="2"/>
  <c r="H15" i="2"/>
  <c r="E15" i="2"/>
  <c r="AM14" i="2"/>
  <c r="AL14" i="2"/>
  <c r="AK14" i="2"/>
  <c r="AJ14" i="2"/>
  <c r="AH14" i="2"/>
  <c r="AG14" i="2"/>
  <c r="AF14" i="2"/>
  <c r="AD14" i="2"/>
  <c r="AB14" i="2"/>
  <c r="Z14" i="2"/>
  <c r="T14" i="2"/>
  <c r="Q14" i="2"/>
  <c r="N14" i="2"/>
  <c r="L14" i="2"/>
  <c r="J14" i="2"/>
  <c r="H14" i="2"/>
  <c r="E14" i="2"/>
  <c r="AM13" i="2"/>
  <c r="AL13" i="2"/>
  <c r="AK13" i="2"/>
  <c r="AJ13" i="2"/>
  <c r="AH13" i="2"/>
  <c r="AG13" i="2"/>
  <c r="AF13" i="2"/>
  <c r="AD13" i="2"/>
  <c r="AB13" i="2"/>
  <c r="Z13" i="2"/>
  <c r="T13" i="2"/>
  <c r="Q13" i="2"/>
  <c r="N13" i="2"/>
  <c r="L13" i="2"/>
  <c r="J13" i="2"/>
  <c r="H13" i="2"/>
  <c r="E13" i="2"/>
  <c r="AM12" i="2"/>
  <c r="AL12" i="2"/>
  <c r="AK12" i="2"/>
  <c r="AJ12" i="2"/>
  <c r="AH12" i="2"/>
  <c r="AG12" i="2"/>
  <c r="AF12" i="2"/>
  <c r="AD12" i="2"/>
  <c r="AB12" i="2"/>
  <c r="Z12" i="2"/>
  <c r="T12" i="2"/>
  <c r="Q12" i="2"/>
  <c r="N12" i="2"/>
  <c r="L12" i="2"/>
  <c r="J12" i="2"/>
  <c r="H12" i="2"/>
  <c r="E12" i="2"/>
  <c r="AM11" i="2"/>
  <c r="AL11" i="2"/>
  <c r="AK11" i="2"/>
  <c r="AJ11" i="2"/>
  <c r="AH11" i="2"/>
  <c r="AG11" i="2"/>
  <c r="AF11" i="2"/>
  <c r="AD11" i="2"/>
  <c r="AB11" i="2"/>
  <c r="Z11" i="2"/>
  <c r="T11" i="2"/>
  <c r="Q11" i="2"/>
  <c r="N11" i="2"/>
  <c r="L11" i="2"/>
  <c r="J11" i="2"/>
  <c r="H11" i="2"/>
  <c r="E11" i="2"/>
  <c r="AM10" i="2"/>
  <c r="AL10" i="2"/>
  <c r="AK10" i="2"/>
  <c r="AJ10" i="2"/>
  <c r="AH10" i="2"/>
  <c r="AG10" i="2"/>
  <c r="AF10" i="2"/>
  <c r="AD10" i="2"/>
  <c r="AB10" i="2"/>
  <c r="Z10" i="2"/>
  <c r="T10" i="2"/>
  <c r="Q10" i="2"/>
  <c r="N10" i="2"/>
  <c r="L10" i="2"/>
  <c r="J10" i="2"/>
  <c r="H10" i="2"/>
  <c r="E10" i="2"/>
  <c r="AM9" i="2"/>
  <c r="AL9" i="2"/>
  <c r="AK9" i="2"/>
  <c r="AJ9" i="2"/>
  <c r="AH9" i="2"/>
  <c r="AG9" i="2"/>
  <c r="AF9" i="2"/>
  <c r="AD9" i="2"/>
  <c r="AB9" i="2"/>
  <c r="Z9" i="2"/>
  <c r="U9" i="2"/>
  <c r="T9" i="2"/>
  <c r="Q9" i="2"/>
  <c r="N9" i="2"/>
  <c r="L9" i="2"/>
  <c r="J9" i="2"/>
  <c r="H9" i="2"/>
  <c r="E9" i="2"/>
  <c r="AM8" i="2"/>
  <c r="AL8" i="2"/>
  <c r="AK8" i="2"/>
  <c r="AJ8" i="2"/>
  <c r="AH8" i="2"/>
  <c r="AG8" i="2"/>
  <c r="AF8" i="2"/>
  <c r="AD8" i="2"/>
  <c r="AB8" i="2"/>
  <c r="Z8" i="2"/>
  <c r="T8" i="2"/>
  <c r="Q8" i="2"/>
  <c r="N8" i="2"/>
  <c r="L8" i="2"/>
  <c r="J8" i="2"/>
  <c r="H8" i="2"/>
  <c r="E8" i="2"/>
  <c r="AM7" i="2"/>
  <c r="AL7" i="2"/>
  <c r="AK7" i="2"/>
  <c r="AJ7" i="2"/>
  <c r="AH7" i="2"/>
  <c r="AG7" i="2"/>
  <c r="AF7" i="2"/>
  <c r="AD7" i="2"/>
  <c r="AB7" i="2"/>
  <c r="Z7" i="2"/>
  <c r="T7" i="2"/>
  <c r="Q7" i="2"/>
  <c r="N7" i="2"/>
  <c r="L7" i="2"/>
  <c r="J7" i="2"/>
  <c r="H7" i="2"/>
  <c r="E7" i="2"/>
  <c r="AP3" i="2"/>
  <c r="K3" i="2"/>
  <c r="J2" i="2"/>
  <c r="V15" i="2" s="1"/>
  <c r="C1" i="2"/>
  <c r="F60" i="1"/>
  <c r="AH238" i="2" s="1"/>
  <c r="F58" i="1"/>
  <c r="AG299" i="2" s="1"/>
  <c r="F57" i="1"/>
  <c r="AM245" i="2" s="1"/>
  <c r="F56" i="1"/>
  <c r="AM228" i="2" s="1"/>
  <c r="L48" i="1"/>
  <c r="D48" i="1"/>
  <c r="C48" i="1" s="1"/>
  <c r="C44" i="1"/>
  <c r="F36" i="1"/>
  <c r="D35" i="1"/>
  <c r="F30" i="1"/>
  <c r="F33" i="1" s="1"/>
  <c r="F29" i="1"/>
  <c r="F32" i="1" s="1"/>
  <c r="AB293" i="2" s="1"/>
  <c r="F11" i="1"/>
  <c r="AK193" i="2" s="1"/>
  <c r="G8" i="3" l="1"/>
  <c r="D8" i="3"/>
  <c r="I15" i="3"/>
  <c r="U15" i="3" s="1"/>
  <c r="G16" i="3"/>
  <c r="D16" i="3"/>
  <c r="T35" i="3"/>
  <c r="X35" i="3" s="1"/>
  <c r="W35" i="3"/>
  <c r="S35" i="3"/>
  <c r="U35" i="3"/>
  <c r="I6" i="3"/>
  <c r="R6" i="3" s="1"/>
  <c r="D7" i="3"/>
  <c r="I7" i="3" s="1"/>
  <c r="C14" i="3"/>
  <c r="C20" i="3"/>
  <c r="G11" i="3"/>
  <c r="G12" i="3"/>
  <c r="D12" i="3"/>
  <c r="I13" i="3"/>
  <c r="T13" i="3" s="1"/>
  <c r="D15" i="3"/>
  <c r="C17" i="3"/>
  <c r="V35" i="3"/>
  <c r="V37" i="3"/>
  <c r="R37" i="3"/>
  <c r="U37" i="3"/>
  <c r="Q37" i="3"/>
  <c r="Y37" i="3" s="1"/>
  <c r="W37" i="3"/>
  <c r="V40" i="3"/>
  <c r="X40" i="3" s="1"/>
  <c r="R40" i="3"/>
  <c r="Y40" i="3"/>
  <c r="U40" i="3"/>
  <c r="Q40" i="3"/>
  <c r="W40" i="3"/>
  <c r="D11" i="3"/>
  <c r="I18" i="3"/>
  <c r="Q35" i="3"/>
  <c r="X37" i="3"/>
  <c r="U44" i="3"/>
  <c r="Q44" i="3"/>
  <c r="Y44" i="3" s="1"/>
  <c r="T44" i="3"/>
  <c r="X44" i="3" s="1"/>
  <c r="V44" i="3"/>
  <c r="S45" i="3"/>
  <c r="T45" i="2"/>
  <c r="I19" i="3"/>
  <c r="Q19" i="3" s="1"/>
  <c r="I23" i="3"/>
  <c r="Q23" i="3" s="1"/>
  <c r="R35" i="3"/>
  <c r="Y35" i="3" s="1"/>
  <c r="U36" i="3"/>
  <c r="Q36" i="3"/>
  <c r="Y36" i="3" s="1"/>
  <c r="X36" i="3"/>
  <c r="T36" i="3"/>
  <c r="V36" i="3"/>
  <c r="S37" i="3"/>
  <c r="U39" i="3"/>
  <c r="Q39" i="3"/>
  <c r="Y39" i="3" s="1"/>
  <c r="X39" i="3"/>
  <c r="T39" i="3"/>
  <c r="V39" i="3"/>
  <c r="S40" i="3"/>
  <c r="T43" i="3"/>
  <c r="W43" i="3"/>
  <c r="S43" i="3"/>
  <c r="Y43" i="3" s="1"/>
  <c r="U43" i="3"/>
  <c r="X43" i="3" s="1"/>
  <c r="W44" i="3"/>
  <c r="Y47" i="3"/>
  <c r="V45" i="3"/>
  <c r="R45" i="3"/>
  <c r="U45" i="3"/>
  <c r="Q45" i="3"/>
  <c r="Y45" i="3" s="1"/>
  <c r="W45" i="3"/>
  <c r="X45" i="3" s="1"/>
  <c r="V47" i="3"/>
  <c r="W47" i="3"/>
  <c r="I10" i="3"/>
  <c r="W10" i="3" s="1"/>
  <c r="I21" i="3"/>
  <c r="W21" i="3" s="1"/>
  <c r="I27" i="3"/>
  <c r="Q27" i="3" s="1"/>
  <c r="I31" i="3"/>
  <c r="S42" i="3"/>
  <c r="Y42" i="3" s="1"/>
  <c r="W42" i="3"/>
  <c r="X42" i="3" s="1"/>
  <c r="I9" i="3"/>
  <c r="W9" i="3" s="1"/>
  <c r="I26" i="3"/>
  <c r="R26" i="3" s="1"/>
  <c r="I30" i="3"/>
  <c r="T38" i="3"/>
  <c r="X38" i="3" s="1"/>
  <c r="S41" i="3"/>
  <c r="Y41" i="3" s="1"/>
  <c r="T42" i="3"/>
  <c r="S46" i="3"/>
  <c r="Y46" i="3" s="1"/>
  <c r="T47" i="3"/>
  <c r="X47" i="3" s="1"/>
  <c r="AN9" i="2"/>
  <c r="AN11" i="2"/>
  <c r="AN19" i="2"/>
  <c r="AN20" i="2"/>
  <c r="AN22" i="2"/>
  <c r="AN37" i="2"/>
  <c r="AN49" i="2"/>
  <c r="AN51" i="2"/>
  <c r="AN52" i="2"/>
  <c r="AN54" i="2"/>
  <c r="AN56" i="2"/>
  <c r="AN60" i="2"/>
  <c r="AN61" i="2"/>
  <c r="AN64" i="2"/>
  <c r="AN67" i="2"/>
  <c r="AN71" i="2"/>
  <c r="AN72" i="2"/>
  <c r="AN73" i="2"/>
  <c r="AN78" i="2"/>
  <c r="AN81" i="2"/>
  <c r="AN83" i="2"/>
  <c r="AN90" i="2"/>
  <c r="AN92" i="2"/>
  <c r="AN93" i="2"/>
  <c r="AN98" i="2"/>
  <c r="AN99" i="2"/>
  <c r="AN102" i="2"/>
  <c r="AN111" i="2"/>
  <c r="AN114" i="2"/>
  <c r="AN117" i="2"/>
  <c r="AN120" i="2"/>
  <c r="AN122" i="2"/>
  <c r="AN127" i="2"/>
  <c r="AN128" i="2"/>
  <c r="AN130" i="2"/>
  <c r="AN139" i="2"/>
  <c r="AN143" i="2"/>
  <c r="AN145" i="2"/>
  <c r="AN148" i="2"/>
  <c r="AN149" i="2"/>
  <c r="AN159" i="2"/>
  <c r="AN165" i="2"/>
  <c r="AN167" i="2"/>
  <c r="AN168" i="2"/>
  <c r="AN170" i="2"/>
  <c r="AN173" i="2"/>
  <c r="AN184" i="2"/>
  <c r="AN188" i="2"/>
  <c r="AN191" i="2"/>
  <c r="AL46" i="2"/>
  <c r="E56" i="1"/>
  <c r="AN7" i="2"/>
  <c r="AN10" i="2"/>
  <c r="AN12" i="2"/>
  <c r="AN16" i="2"/>
  <c r="AN21" i="2"/>
  <c r="AN23" i="2"/>
  <c r="AN24" i="2"/>
  <c r="AN26" i="2"/>
  <c r="AN29" i="2"/>
  <c r="AN31" i="2"/>
  <c r="AN35" i="2"/>
  <c r="AN36" i="2"/>
  <c r="AN38" i="2"/>
  <c r="AN39" i="2"/>
  <c r="AN42" i="2"/>
  <c r="AN43" i="2"/>
  <c r="AN48" i="2"/>
  <c r="AN50" i="2"/>
  <c r="AN57" i="2"/>
  <c r="AN59" i="2"/>
  <c r="AN62" i="2"/>
  <c r="AN68" i="2"/>
  <c r="AN75" i="2"/>
  <c r="AN76" i="2"/>
  <c r="AN77" i="2"/>
  <c r="AN79" i="2"/>
  <c r="AN82" i="2"/>
  <c r="AN84" i="2"/>
  <c r="AN88" i="2"/>
  <c r="AN100" i="2"/>
  <c r="AN101" i="2"/>
  <c r="AN104" i="2"/>
  <c r="AN107" i="2"/>
  <c r="AN109" i="2"/>
  <c r="AN110" i="2"/>
  <c r="AN119" i="2"/>
  <c r="AN123" i="2"/>
  <c r="AN132" i="2"/>
  <c r="AN134" i="2"/>
  <c r="AN142" i="2"/>
  <c r="AN144" i="2"/>
  <c r="AN153" i="2"/>
  <c r="AN154" i="2"/>
  <c r="AN156" i="2"/>
  <c r="AN160" i="2"/>
  <c r="AN162" i="2"/>
  <c r="AN185" i="2"/>
  <c r="AN186" i="2"/>
  <c r="AN189" i="2"/>
  <c r="AN302" i="2"/>
  <c r="Q10" i="3"/>
  <c r="U10" i="3"/>
  <c r="U19" i="3"/>
  <c r="V19" i="3"/>
  <c r="V20" i="2"/>
  <c r="AN25" i="2"/>
  <c r="AN27" i="2"/>
  <c r="V32" i="2"/>
  <c r="V36" i="2"/>
  <c r="AN41" i="2"/>
  <c r="AN47" i="2"/>
  <c r="V54" i="2"/>
  <c r="AN70" i="2"/>
  <c r="V78" i="2"/>
  <c r="V81" i="2"/>
  <c r="V83" i="2"/>
  <c r="AN85" i="2"/>
  <c r="AN86" i="2"/>
  <c r="AN89" i="2"/>
  <c r="V93" i="2"/>
  <c r="V95" i="2"/>
  <c r="AN97" i="2"/>
  <c r="AN106" i="2"/>
  <c r="AN108" i="2"/>
  <c r="V121" i="2"/>
  <c r="V123" i="2"/>
  <c r="V125" i="2"/>
  <c r="V127" i="2"/>
  <c r="V130" i="2"/>
  <c r="V135" i="2"/>
  <c r="AN152" i="2"/>
  <c r="V155" i="2"/>
  <c r="V157" i="2"/>
  <c r="V159" i="2"/>
  <c r="V181" i="2"/>
  <c r="AK196" i="2"/>
  <c r="V24" i="2"/>
  <c r="V28" i="2"/>
  <c r="V29" i="2"/>
  <c r="V41" i="2"/>
  <c r="V49" i="2"/>
  <c r="V51" i="2"/>
  <c r="V55" i="2"/>
  <c r="V60" i="2"/>
  <c r="V67" i="2"/>
  <c r="V77" i="2"/>
  <c r="V82" i="2"/>
  <c r="V84" i="2"/>
  <c r="V85" i="2"/>
  <c r="V86" i="2"/>
  <c r="AN95" i="2"/>
  <c r="V97" i="2"/>
  <c r="V105" i="2"/>
  <c r="AN113" i="2"/>
  <c r="V122" i="2"/>
  <c r="V133" i="2"/>
  <c r="AN135" i="2"/>
  <c r="V136" i="2"/>
  <c r="V148" i="2"/>
  <c r="V154" i="2"/>
  <c r="AN155" i="2"/>
  <c r="V156" i="2"/>
  <c r="AN172" i="2"/>
  <c r="V173" i="2"/>
  <c r="AN174" i="2"/>
  <c r="AN175" i="2"/>
  <c r="AN177" i="2"/>
  <c r="AN181" i="2"/>
  <c r="AN182" i="2"/>
  <c r="AN187" i="2"/>
  <c r="AG237" i="2"/>
  <c r="AK307" i="2"/>
  <c r="AN307" i="2" s="1"/>
  <c r="S24" i="3"/>
  <c r="T28" i="3"/>
  <c r="AM240" i="2"/>
  <c r="AM296" i="2"/>
  <c r="AM197" i="2"/>
  <c r="V58" i="2"/>
  <c r="V109" i="2"/>
  <c r="AN124" i="2"/>
  <c r="AN126" i="2"/>
  <c r="V137" i="2"/>
  <c r="V140" i="2"/>
  <c r="V145" i="2"/>
  <c r="AN151" i="2"/>
  <c r="V163" i="2"/>
  <c r="V166" i="2"/>
  <c r="V176" i="2"/>
  <c r="AN178" i="2"/>
  <c r="V182" i="2"/>
  <c r="V184" i="2"/>
  <c r="V186" i="2"/>
  <c r="V192" i="2"/>
  <c r="V198" i="2"/>
  <c r="AK199" i="2"/>
  <c r="V203" i="2"/>
  <c r="V214" i="2"/>
  <c r="V225" i="2"/>
  <c r="AG232" i="2"/>
  <c r="AK261" i="2"/>
  <c r="AM266" i="2"/>
  <c r="AM283" i="2"/>
  <c r="AG291" i="2"/>
  <c r="AK300" i="2"/>
  <c r="V40" i="2"/>
  <c r="V66" i="2"/>
  <c r="V102" i="2"/>
  <c r="V117" i="2"/>
  <c r="V151" i="2"/>
  <c r="V170" i="2"/>
  <c r="V180" i="2"/>
  <c r="V10" i="2"/>
  <c r="V13" i="2"/>
  <c r="V23" i="2"/>
  <c r="V26" i="2"/>
  <c r="V35" i="2"/>
  <c r="AM224" i="2"/>
  <c r="AM213" i="2"/>
  <c r="AM207" i="2"/>
  <c r="AM202" i="2"/>
  <c r="AM219" i="2"/>
  <c r="AM214" i="2"/>
  <c r="AM203" i="2"/>
  <c r="AM225" i="2"/>
  <c r="AM220" i="2"/>
  <c r="AM208" i="2"/>
  <c r="AM215" i="2"/>
  <c r="AM209" i="2"/>
  <c r="AM204" i="2"/>
  <c r="AM226" i="2"/>
  <c r="AM221" i="2"/>
  <c r="AM216" i="2"/>
  <c r="AM198" i="2"/>
  <c r="AM222" i="2"/>
  <c r="AM210" i="2"/>
  <c r="AM205" i="2"/>
  <c r="AM200" i="2"/>
  <c r="AM199" i="2"/>
  <c r="AM227" i="2"/>
  <c r="AM217" i="2"/>
  <c r="AM211" i="2"/>
  <c r="V7" i="2"/>
  <c r="V17" i="2"/>
  <c r="V48" i="2"/>
  <c r="V50" i="2"/>
  <c r="V56" i="2"/>
  <c r="V64" i="2"/>
  <c r="V69" i="2"/>
  <c r="V76" i="2"/>
  <c r="AN94" i="2"/>
  <c r="AN96" i="2"/>
  <c r="V100" i="2"/>
  <c r="AN103" i="2"/>
  <c r="AN112" i="2"/>
  <c r="V120" i="2"/>
  <c r="V124" i="2"/>
  <c r="V126" i="2"/>
  <c r="V128" i="2"/>
  <c r="AN137" i="2"/>
  <c r="AN140" i="2"/>
  <c r="V147" i="2"/>
  <c r="V158" i="2"/>
  <c r="V160" i="2"/>
  <c r="V171" i="2"/>
  <c r="AN176" i="2"/>
  <c r="V178" i="2"/>
  <c r="AN192" i="2"/>
  <c r="V193" i="2"/>
  <c r="AK195" i="2"/>
  <c r="AM196" i="2"/>
  <c r="AM206" i="2"/>
  <c r="AK210" i="2"/>
  <c r="AK239" i="2"/>
  <c r="AK46" i="2" s="1"/>
  <c r="AG254" i="2"/>
  <c r="AK276" i="2"/>
  <c r="AK295" i="2"/>
  <c r="O324" i="2"/>
  <c r="V9" i="3"/>
  <c r="U9" i="3"/>
  <c r="T9" i="3"/>
  <c r="S9" i="3"/>
  <c r="R9" i="3"/>
  <c r="Q9" i="3"/>
  <c r="V52" i="2"/>
  <c r="AJ296" i="2"/>
  <c r="AJ295" i="2"/>
  <c r="AJ261" i="2"/>
  <c r="AJ200" i="2"/>
  <c r="AJ199" i="2"/>
  <c r="AJ256" i="2"/>
  <c r="AJ228" i="2"/>
  <c r="AJ218" i="2"/>
  <c r="AJ247" i="2"/>
  <c r="AN247" i="2" s="1"/>
  <c r="AJ246" i="2"/>
  <c r="AJ289" i="2"/>
  <c r="AJ279" i="2"/>
  <c r="AJ269" i="2"/>
  <c r="AJ268" i="2"/>
  <c r="AJ203" i="2"/>
  <c r="AJ293" i="2"/>
  <c r="AJ292" i="2"/>
  <c r="AN292" i="2" s="1"/>
  <c r="AJ291" i="2"/>
  <c r="AJ258" i="2"/>
  <c r="AJ220" i="2"/>
  <c r="AJ232" i="2"/>
  <c r="AJ231" i="2"/>
  <c r="E57" i="1"/>
  <c r="V14" i="2"/>
  <c r="AN17" i="2"/>
  <c r="V27" i="2"/>
  <c r="AN30" i="2"/>
  <c r="V44" i="2"/>
  <c r="V62" i="2"/>
  <c r="V87" i="2"/>
  <c r="V45" i="2" s="1"/>
  <c r="V89" i="2"/>
  <c r="AN91" i="2"/>
  <c r="V94" i="2"/>
  <c r="V96" i="2"/>
  <c r="V98" i="2"/>
  <c r="V103" i="2"/>
  <c r="V106" i="2"/>
  <c r="V110" i="2"/>
  <c r="V112" i="2"/>
  <c r="V114" i="2"/>
  <c r="AN118" i="2"/>
  <c r="AN131" i="2"/>
  <c r="AN141" i="2"/>
  <c r="V143" i="2"/>
  <c r="V152" i="2"/>
  <c r="AN158" i="2"/>
  <c r="V167" i="2"/>
  <c r="AN171" i="2"/>
  <c r="V172" i="2"/>
  <c r="V190" i="2"/>
  <c r="AG194" i="2"/>
  <c r="V197" i="2"/>
  <c r="V247" i="2"/>
  <c r="AK265" i="2"/>
  <c r="V304" i="2"/>
  <c r="V18" i="3"/>
  <c r="U18" i="3"/>
  <c r="T18" i="3"/>
  <c r="S18" i="3"/>
  <c r="R18" i="3"/>
  <c r="Q18" i="3"/>
  <c r="U26" i="3"/>
  <c r="T26" i="3"/>
  <c r="S26" i="3"/>
  <c r="Q26" i="3"/>
  <c r="W26" i="3"/>
  <c r="V115" i="2"/>
  <c r="V11" i="2"/>
  <c r="V33" i="2"/>
  <c r="V74" i="2"/>
  <c r="V91" i="2"/>
  <c r="V116" i="2"/>
  <c r="V118" i="2"/>
  <c r="V131" i="2"/>
  <c r="V138" i="2"/>
  <c r="V141" i="2"/>
  <c r="V150" i="2"/>
  <c r="V164" i="2"/>
  <c r="V168" i="2"/>
  <c r="V175" i="2"/>
  <c r="V185" i="2"/>
  <c r="V187" i="2"/>
  <c r="AK194" i="2"/>
  <c r="AM195" i="2"/>
  <c r="AK198" i="2"/>
  <c r="AM201" i="2"/>
  <c r="AK205" i="2"/>
  <c r="AM212" i="2"/>
  <c r="AG216" i="2"/>
  <c r="AM223" i="2"/>
  <c r="AM234" i="2"/>
  <c r="AJ243" i="2"/>
  <c r="AM256" i="2"/>
  <c r="AK260" i="2"/>
  <c r="V279" i="2"/>
  <c r="Q13" i="3"/>
  <c r="S23" i="3"/>
  <c r="R23" i="3"/>
  <c r="V23" i="3"/>
  <c r="V37" i="2"/>
  <c r="V80" i="2"/>
  <c r="V18" i="2"/>
  <c r="V30" i="2"/>
  <c r="V72" i="2"/>
  <c r="AN18" i="2"/>
  <c r="AN33" i="2"/>
  <c r="V39" i="2"/>
  <c r="V42" i="2"/>
  <c r="V53" i="2"/>
  <c r="V65" i="2"/>
  <c r="V70" i="2"/>
  <c r="AN74" i="2"/>
  <c r="V79" i="2"/>
  <c r="V101" i="2"/>
  <c r="V104" i="2"/>
  <c r="V107" i="2"/>
  <c r="AN138" i="2"/>
  <c r="AN150" i="2"/>
  <c r="V161" i="2"/>
  <c r="V162" i="2"/>
  <c r="AN164" i="2"/>
  <c r="V177" i="2"/>
  <c r="V179" i="2"/>
  <c r="V191" i="2"/>
  <c r="V196" i="2"/>
  <c r="AJ271" i="2"/>
  <c r="W18" i="3"/>
  <c r="V26" i="3"/>
  <c r="V323" i="2"/>
  <c r="V319" i="2"/>
  <c r="V315" i="2"/>
  <c r="V311" i="2"/>
  <c r="O302" i="2"/>
  <c r="O326" i="2"/>
  <c r="V307" i="2"/>
  <c r="V303" i="2"/>
  <c r="V325" i="2"/>
  <c r="O323" i="2"/>
  <c r="V320" i="2"/>
  <c r="V316" i="2"/>
  <c r="V312" i="2"/>
  <c r="V308" i="2"/>
  <c r="V322" i="2"/>
  <c r="V306" i="2"/>
  <c r="V327" i="2"/>
  <c r="O325" i="2"/>
  <c r="V321" i="2"/>
  <c r="V317" i="2"/>
  <c r="V313" i="2"/>
  <c r="V309" i="2"/>
  <c r="V324" i="2"/>
  <c r="O322" i="2"/>
  <c r="V305" i="2"/>
  <c r="O327" i="2"/>
  <c r="V318" i="2"/>
  <c r="V314" i="2"/>
  <c r="V310" i="2"/>
  <c r="V302" i="2"/>
  <c r="V71" i="2"/>
  <c r="V92" i="2"/>
  <c r="V132" i="2"/>
  <c r="V189" i="2"/>
  <c r="V194" i="2"/>
  <c r="R22" i="3"/>
  <c r="Q22" i="3"/>
  <c r="W22" i="3"/>
  <c r="V22" i="3"/>
  <c r="U22" i="3"/>
  <c r="T22" i="3"/>
  <c r="V21" i="2"/>
  <c r="V59" i="2"/>
  <c r="AG298" i="2"/>
  <c r="AG300" i="2"/>
  <c r="AG260" i="2"/>
  <c r="AG239" i="2"/>
  <c r="AG46" i="2" s="1"/>
  <c r="AG222" i="2"/>
  <c r="AG277" i="2"/>
  <c r="AG261" i="2"/>
  <c r="AG200" i="2"/>
  <c r="AG283" i="2"/>
  <c r="AG245" i="2"/>
  <c r="AG267" i="2"/>
  <c r="AG224" i="2"/>
  <c r="AG207" i="2"/>
  <c r="AG202" i="2"/>
  <c r="AG252" i="2"/>
  <c r="AG247" i="2"/>
  <c r="AG214" i="2"/>
  <c r="AG285" i="2"/>
  <c r="AG269" i="2"/>
  <c r="AG230" i="2"/>
  <c r="AG293" i="2"/>
  <c r="AG275" i="2"/>
  <c r="AG209" i="2"/>
  <c r="AK287" i="2"/>
  <c r="AK282" i="2"/>
  <c r="AK277" i="2"/>
  <c r="AK272" i="2"/>
  <c r="AK255" i="2"/>
  <c r="AK250" i="2"/>
  <c r="AK244" i="2"/>
  <c r="AK227" i="2"/>
  <c r="AK217" i="2"/>
  <c r="AK211" i="2"/>
  <c r="AK301" i="2"/>
  <c r="AK296" i="2"/>
  <c r="AK283" i="2"/>
  <c r="AK266" i="2"/>
  <c r="AK262" i="2"/>
  <c r="AK256" i="2"/>
  <c r="AK245" i="2"/>
  <c r="AK240" i="2"/>
  <c r="AK234" i="2"/>
  <c r="AK228" i="2"/>
  <c r="AN228" i="2" s="1"/>
  <c r="AK223" i="2"/>
  <c r="AK218" i="2"/>
  <c r="AK212" i="2"/>
  <c r="AK206" i="2"/>
  <c r="AK201" i="2"/>
  <c r="AK288" i="2"/>
  <c r="AK278" i="2"/>
  <c r="AK273" i="2"/>
  <c r="AK267" i="2"/>
  <c r="AK251" i="2"/>
  <c r="AK247" i="2"/>
  <c r="AK246" i="2"/>
  <c r="AK224" i="2"/>
  <c r="AK213" i="2"/>
  <c r="AK207" i="2"/>
  <c r="AK202" i="2"/>
  <c r="AK297" i="2"/>
  <c r="AK289" i="2"/>
  <c r="AK284" i="2"/>
  <c r="AK279" i="2"/>
  <c r="AK269" i="2"/>
  <c r="AK268" i="2"/>
  <c r="AK263" i="2"/>
  <c r="AK257" i="2"/>
  <c r="AK252" i="2"/>
  <c r="AK241" i="2"/>
  <c r="AK235" i="2"/>
  <c r="AK229" i="2"/>
  <c r="AK219" i="2"/>
  <c r="AK214" i="2"/>
  <c r="AK203" i="2"/>
  <c r="AN203" i="2" s="1"/>
  <c r="AK293" i="2"/>
  <c r="AK292" i="2"/>
  <c r="AK291" i="2"/>
  <c r="AK285" i="2"/>
  <c r="AK274" i="2"/>
  <c r="AK258" i="2"/>
  <c r="AK248" i="2"/>
  <c r="AK230" i="2"/>
  <c r="AK225" i="2"/>
  <c r="AK220" i="2"/>
  <c r="AK208" i="2"/>
  <c r="AK298" i="2"/>
  <c r="AK290" i="2"/>
  <c r="AK280" i="2"/>
  <c r="AK275" i="2"/>
  <c r="AK270" i="2"/>
  <c r="AK264" i="2"/>
  <c r="AK253" i="2"/>
  <c r="AK242" i="2"/>
  <c r="AK237" i="2"/>
  <c r="AK236" i="2"/>
  <c r="AK232" i="2"/>
  <c r="AK231" i="2"/>
  <c r="AK215" i="2"/>
  <c r="AK209" i="2"/>
  <c r="AK204" i="2"/>
  <c r="AK299" i="2"/>
  <c r="AK294" i="2"/>
  <c r="AK286" i="2"/>
  <c r="AK281" i="2"/>
  <c r="AK271" i="2"/>
  <c r="AK259" i="2"/>
  <c r="AK254" i="2"/>
  <c r="AK249" i="2"/>
  <c r="AK243" i="2"/>
  <c r="AK238" i="2"/>
  <c r="AN238" i="2" s="1"/>
  <c r="AK226" i="2"/>
  <c r="AK221" i="2"/>
  <c r="AK216" i="2"/>
  <c r="AH290" i="2"/>
  <c r="AH211" i="2"/>
  <c r="AH212" i="2"/>
  <c r="AH213" i="2"/>
  <c r="AH292" i="2"/>
  <c r="AH291" i="2"/>
  <c r="AH237" i="2"/>
  <c r="V9" i="2"/>
  <c r="AN15" i="2"/>
  <c r="V19" i="2"/>
  <c r="V31" i="2"/>
  <c r="AN53" i="2"/>
  <c r="V57" i="2"/>
  <c r="V61" i="2"/>
  <c r="V129" i="2"/>
  <c r="AN133" i="2"/>
  <c r="V139" i="2"/>
  <c r="V144" i="2"/>
  <c r="V146" i="2"/>
  <c r="V153" i="2"/>
  <c r="V169" i="2"/>
  <c r="AN179" i="2"/>
  <c r="V183" i="2"/>
  <c r="V188" i="2"/>
  <c r="AM194" i="2"/>
  <c r="AK197" i="2"/>
  <c r="AK200" i="2"/>
  <c r="AM218" i="2"/>
  <c r="AK222" i="2"/>
  <c r="AK233" i="2"/>
  <c r="V268" i="2"/>
  <c r="V289" i="2"/>
  <c r="V326" i="2"/>
  <c r="AM288" i="2"/>
  <c r="AM278" i="2"/>
  <c r="AM273" i="2"/>
  <c r="AM267" i="2"/>
  <c r="AM251" i="2"/>
  <c r="AM247" i="2"/>
  <c r="AM246" i="2"/>
  <c r="AM297" i="2"/>
  <c r="AM289" i="2"/>
  <c r="AM284" i="2"/>
  <c r="AM279" i="2"/>
  <c r="AM269" i="2"/>
  <c r="AM268" i="2"/>
  <c r="AM263" i="2"/>
  <c r="AM257" i="2"/>
  <c r="AM252" i="2"/>
  <c r="AM241" i="2"/>
  <c r="AM235" i="2"/>
  <c r="AM229" i="2"/>
  <c r="AM293" i="2"/>
  <c r="AM292" i="2"/>
  <c r="AM291" i="2"/>
  <c r="AM285" i="2"/>
  <c r="AM274" i="2"/>
  <c r="AM258" i="2"/>
  <c r="AM248" i="2"/>
  <c r="AM230" i="2"/>
  <c r="AM298" i="2"/>
  <c r="AM290" i="2"/>
  <c r="AM280" i="2"/>
  <c r="AM275" i="2"/>
  <c r="AM270" i="2"/>
  <c r="AM264" i="2"/>
  <c r="AM253" i="2"/>
  <c r="AM242" i="2"/>
  <c r="AM237" i="2"/>
  <c r="AM236" i="2"/>
  <c r="AM232" i="2"/>
  <c r="AM231" i="2"/>
  <c r="AM299" i="2"/>
  <c r="AM294" i="2"/>
  <c r="AM286" i="2"/>
  <c r="AM281" i="2"/>
  <c r="AM271" i="2"/>
  <c r="AM259" i="2"/>
  <c r="AM254" i="2"/>
  <c r="AM249" i="2"/>
  <c r="AM243" i="2"/>
  <c r="AM238" i="2"/>
  <c r="AM300" i="2"/>
  <c r="AM295" i="2"/>
  <c r="AM276" i="2"/>
  <c r="AM265" i="2"/>
  <c r="AM261" i="2"/>
  <c r="AM260" i="2"/>
  <c r="AM239" i="2"/>
  <c r="AM46" i="2" s="1"/>
  <c r="AM233" i="2"/>
  <c r="AM287" i="2"/>
  <c r="AM282" i="2"/>
  <c r="AM277" i="2"/>
  <c r="AM272" i="2"/>
  <c r="AM255" i="2"/>
  <c r="AM250" i="2"/>
  <c r="AM244" i="2"/>
  <c r="V8" i="2"/>
  <c r="V12" i="2"/>
  <c r="V16" i="2"/>
  <c r="V22" i="2"/>
  <c r="V25" i="2"/>
  <c r="V34" i="2"/>
  <c r="AN40" i="2"/>
  <c r="V43" i="2"/>
  <c r="V47" i="2"/>
  <c r="AC49" i="2"/>
  <c r="V63" i="2"/>
  <c r="AN66" i="2"/>
  <c r="V68" i="2"/>
  <c r="V73" i="2"/>
  <c r="V75" i="2"/>
  <c r="AN80" i="2"/>
  <c r="V88" i="2"/>
  <c r="V90" i="2"/>
  <c r="V99" i="2"/>
  <c r="V108" i="2"/>
  <c r="V111" i="2"/>
  <c r="V113" i="2"/>
  <c r="AN115" i="2"/>
  <c r="V119" i="2"/>
  <c r="AN125" i="2"/>
  <c r="AN129" i="2"/>
  <c r="V134" i="2"/>
  <c r="V142" i="2"/>
  <c r="V149" i="2"/>
  <c r="V165" i="2"/>
  <c r="V174" i="2"/>
  <c r="AN183" i="2"/>
  <c r="AM193" i="2"/>
  <c r="V195" i="2"/>
  <c r="V208" i="2"/>
  <c r="V248" i="2"/>
  <c r="V252" i="2"/>
  <c r="AM262" i="2"/>
  <c r="V274" i="2"/>
  <c r="AJ281" i="2"/>
  <c r="AM301" i="2"/>
  <c r="Q6" i="3"/>
  <c r="W6" i="3"/>
  <c r="V6" i="3"/>
  <c r="U6" i="3"/>
  <c r="T6" i="3"/>
  <c r="S6" i="3"/>
  <c r="U23" i="3"/>
  <c r="R25" i="3"/>
  <c r="Q25" i="3"/>
  <c r="W25" i="3"/>
  <c r="V25" i="3"/>
  <c r="U25" i="3"/>
  <c r="T25" i="3"/>
  <c r="W27" i="3"/>
  <c r="V27" i="3"/>
  <c r="U27" i="3"/>
  <c r="T27" i="3"/>
  <c r="S27" i="3"/>
  <c r="R27" i="3"/>
  <c r="Y27" i="3" s="1"/>
  <c r="V202" i="2"/>
  <c r="V207" i="2"/>
  <c r="V213" i="2"/>
  <c r="V219" i="2"/>
  <c r="V224" i="2"/>
  <c r="V229" i="2"/>
  <c r="V235" i="2"/>
  <c r="V241" i="2"/>
  <c r="V246" i="2"/>
  <c r="V257" i="2"/>
  <c r="V263" i="2"/>
  <c r="V267" i="2"/>
  <c r="V284" i="2"/>
  <c r="V297" i="2"/>
  <c r="S10" i="3"/>
  <c r="W19" i="3"/>
  <c r="Q24" i="3"/>
  <c r="U28" i="3"/>
  <c r="V212" i="2"/>
  <c r="V218" i="2"/>
  <c r="V228" i="2"/>
  <c r="Q46" i="2"/>
  <c r="V245" i="2"/>
  <c r="V251" i="2"/>
  <c r="V256" i="2"/>
  <c r="V273" i="2"/>
  <c r="V278" i="2"/>
  <c r="V283" i="2"/>
  <c r="V288" i="2"/>
  <c r="R24" i="3"/>
  <c r="V28" i="3"/>
  <c r="V200" i="2"/>
  <c r="V201" i="2"/>
  <c r="V206" i="2"/>
  <c r="V211" i="2"/>
  <c r="V223" i="2"/>
  <c r="V234" i="2"/>
  <c r="T46" i="2"/>
  <c r="V240" i="2"/>
  <c r="V261" i="2"/>
  <c r="V262" i="2"/>
  <c r="V266" i="2"/>
  <c r="V277" i="2"/>
  <c r="V296" i="2"/>
  <c r="V301" i="2"/>
  <c r="W28" i="3"/>
  <c r="V199" i="2"/>
  <c r="V217" i="2"/>
  <c r="V222" i="2"/>
  <c r="V227" i="2"/>
  <c r="V239" i="2"/>
  <c r="V244" i="2"/>
  <c r="V250" i="2"/>
  <c r="V255" i="2"/>
  <c r="V260" i="2"/>
  <c r="V272" i="2"/>
  <c r="V282" i="2"/>
  <c r="V287" i="2"/>
  <c r="V295" i="2"/>
  <c r="V300" i="2"/>
  <c r="R19" i="3"/>
  <c r="T21" i="3"/>
  <c r="T24" i="3"/>
  <c r="V205" i="2"/>
  <c r="V210" i="2"/>
  <c r="V216" i="2"/>
  <c r="V232" i="2"/>
  <c r="V233" i="2"/>
  <c r="V237" i="2"/>
  <c r="V238" i="2"/>
  <c r="V243" i="2"/>
  <c r="V254" i="2"/>
  <c r="V265" i="2"/>
  <c r="V271" i="2"/>
  <c r="V276" i="2"/>
  <c r="V281" i="2"/>
  <c r="V291" i="2"/>
  <c r="V299" i="2"/>
  <c r="S19" i="3"/>
  <c r="U24" i="3"/>
  <c r="Q28" i="3"/>
  <c r="V209" i="2"/>
  <c r="V221" i="2"/>
  <c r="V226" i="2"/>
  <c r="V231" i="2"/>
  <c r="V249" i="2"/>
  <c r="V259" i="2"/>
  <c r="V275" i="2"/>
  <c r="V286" i="2"/>
  <c r="V292" i="2"/>
  <c r="V293" i="2"/>
  <c r="V294" i="2"/>
  <c r="T19" i="3"/>
  <c r="V24" i="3"/>
  <c r="R28" i="3"/>
  <c r="V204" i="2"/>
  <c r="V215" i="2"/>
  <c r="V220" i="2"/>
  <c r="V230" i="2"/>
  <c r="V236" i="2"/>
  <c r="V242" i="2"/>
  <c r="V253" i="2"/>
  <c r="V258" i="2"/>
  <c r="V264" i="2"/>
  <c r="V269" i="2"/>
  <c r="V270" i="2"/>
  <c r="V280" i="2"/>
  <c r="V285" i="2"/>
  <c r="V290" i="2"/>
  <c r="V298" i="2"/>
  <c r="V38" i="2"/>
  <c r="O153" i="2"/>
  <c r="O9" i="2"/>
  <c r="AC14" i="2"/>
  <c r="AN55" i="2"/>
  <c r="AN58" i="2"/>
  <c r="AN63" i="2"/>
  <c r="AN65" i="2"/>
  <c r="AN69" i="2"/>
  <c r="AN180" i="2"/>
  <c r="AN34" i="2"/>
  <c r="AN166" i="2"/>
  <c r="AN169" i="2"/>
  <c r="AN32" i="2"/>
  <c r="AN190" i="2"/>
  <c r="AN28" i="2"/>
  <c r="AN146" i="2"/>
  <c r="AN157" i="2"/>
  <c r="AN163" i="2"/>
  <c r="AN13" i="2"/>
  <c r="AN147" i="2"/>
  <c r="AN8" i="2"/>
  <c r="AN14" i="2"/>
  <c r="AN87" i="2"/>
  <c r="AN105" i="2"/>
  <c r="AN121" i="2"/>
  <c r="AN136" i="2"/>
  <c r="AN116" i="2"/>
  <c r="AJ201" i="2"/>
  <c r="AJ202" i="2"/>
  <c r="AJ219" i="2"/>
  <c r="AN219" i="2" s="1"/>
  <c r="AJ229" i="2"/>
  <c r="AJ230" i="2"/>
  <c r="AJ244" i="2"/>
  <c r="AJ245" i="2"/>
  <c r="AJ257" i="2"/>
  <c r="AJ270" i="2"/>
  <c r="AJ280" i="2"/>
  <c r="AJ290" i="2"/>
  <c r="AJ294" i="2"/>
  <c r="AN294" i="2" s="1"/>
  <c r="AJ198" i="2"/>
  <c r="AJ217" i="2"/>
  <c r="AJ227" i="2"/>
  <c r="AJ242" i="2"/>
  <c r="AN242" i="2" s="1"/>
  <c r="AJ255" i="2"/>
  <c r="AJ266" i="2"/>
  <c r="AJ267" i="2"/>
  <c r="AN267" i="2" s="1"/>
  <c r="AJ278" i="2"/>
  <c r="AJ288" i="2"/>
  <c r="AJ197" i="2"/>
  <c r="AN197" i="2" s="1"/>
  <c r="AJ210" i="2"/>
  <c r="AN210" i="2" s="1"/>
  <c r="AJ215" i="2"/>
  <c r="AJ216" i="2"/>
  <c r="AJ226" i="2"/>
  <c r="AN226" i="2" s="1"/>
  <c r="AJ236" i="2"/>
  <c r="AJ241" i="2"/>
  <c r="AJ253" i="2"/>
  <c r="AJ254" i="2"/>
  <c r="AN254" i="2" s="1"/>
  <c r="AJ265" i="2"/>
  <c r="AJ276" i="2"/>
  <c r="AJ277" i="2"/>
  <c r="AJ287" i="2"/>
  <c r="AJ196" i="2"/>
  <c r="AN196" i="2" s="1"/>
  <c r="AJ208" i="2"/>
  <c r="AJ209" i="2"/>
  <c r="AJ211" i="2"/>
  <c r="AJ212" i="2"/>
  <c r="AJ213" i="2"/>
  <c r="AJ214" i="2"/>
  <c r="AJ225" i="2"/>
  <c r="AJ235" i="2"/>
  <c r="AJ240" i="2"/>
  <c r="AN240" i="2" s="1"/>
  <c r="AJ251" i="2"/>
  <c r="AJ252" i="2"/>
  <c r="AN252" i="2" s="1"/>
  <c r="AJ264" i="2"/>
  <c r="AJ274" i="2"/>
  <c r="AJ275" i="2"/>
  <c r="AJ286" i="2"/>
  <c r="AN286" i="2" s="1"/>
  <c r="AJ298" i="2"/>
  <c r="AJ299" i="2"/>
  <c r="AJ301" i="2"/>
  <c r="AJ195" i="2"/>
  <c r="AJ205" i="2"/>
  <c r="AJ206" i="2"/>
  <c r="AJ207" i="2"/>
  <c r="AJ223" i="2"/>
  <c r="AN223" i="2" s="1"/>
  <c r="AJ224" i="2"/>
  <c r="AN224" i="2" s="1"/>
  <c r="AJ234" i="2"/>
  <c r="AN234" i="2" s="1"/>
  <c r="AJ237" i="2"/>
  <c r="AJ238" i="2"/>
  <c r="AJ239" i="2"/>
  <c r="AJ46" i="2" s="1"/>
  <c r="AJ249" i="2"/>
  <c r="AN249" i="2" s="1"/>
  <c r="AJ250" i="2"/>
  <c r="AJ263" i="2"/>
  <c r="AJ273" i="2"/>
  <c r="AJ284" i="2"/>
  <c r="AN284" i="2" s="1"/>
  <c r="AJ285" i="2"/>
  <c r="AJ297" i="2"/>
  <c r="AN297" i="2" s="1"/>
  <c r="AJ300" i="2"/>
  <c r="AJ193" i="2"/>
  <c r="AN193" i="2" s="1"/>
  <c r="AJ194" i="2"/>
  <c r="AJ204" i="2"/>
  <c r="AN204" i="2" s="1"/>
  <c r="AJ221" i="2"/>
  <c r="AN221" i="2" s="1"/>
  <c r="AJ222" i="2"/>
  <c r="AN222" i="2" s="1"/>
  <c r="AJ233" i="2"/>
  <c r="AJ248" i="2"/>
  <c r="AJ259" i="2"/>
  <c r="AJ260" i="2"/>
  <c r="AN260" i="2" s="1"/>
  <c r="AJ262" i="2"/>
  <c r="AJ272" i="2"/>
  <c r="AJ282" i="2"/>
  <c r="AJ283" i="2"/>
  <c r="AN283" i="2" s="1"/>
  <c r="AH193" i="2"/>
  <c r="AH214" i="2"/>
  <c r="AH215" i="2"/>
  <c r="AH239" i="2"/>
  <c r="AH46" i="2" s="1"/>
  <c r="AH240" i="2"/>
  <c r="AH241" i="2"/>
  <c r="AH242" i="2"/>
  <c r="AH243" i="2"/>
  <c r="AH244" i="2"/>
  <c r="AH261" i="2"/>
  <c r="AH262" i="2"/>
  <c r="AH263" i="2"/>
  <c r="AH264" i="2"/>
  <c r="AH265" i="2"/>
  <c r="AH266" i="2"/>
  <c r="AH293" i="2"/>
  <c r="AH294" i="2"/>
  <c r="AH295" i="2"/>
  <c r="AH296" i="2"/>
  <c r="AH297" i="2"/>
  <c r="AH298" i="2"/>
  <c r="AH194" i="2"/>
  <c r="AH195" i="2"/>
  <c r="AH196" i="2"/>
  <c r="AH197" i="2"/>
  <c r="AH198" i="2"/>
  <c r="AH199" i="2"/>
  <c r="AH216" i="2"/>
  <c r="AH217" i="2"/>
  <c r="AH218" i="2"/>
  <c r="AH219" i="2"/>
  <c r="AH220" i="2"/>
  <c r="AH221" i="2"/>
  <c r="AH245" i="2"/>
  <c r="AH246" i="2"/>
  <c r="AH267" i="2"/>
  <c r="AH268" i="2"/>
  <c r="AH299" i="2"/>
  <c r="AH200" i="2"/>
  <c r="AH201" i="2"/>
  <c r="AH222" i="2"/>
  <c r="AH223" i="2"/>
  <c r="AH247" i="2"/>
  <c r="AH248" i="2"/>
  <c r="AH249" i="2"/>
  <c r="AH269" i="2"/>
  <c r="AH270" i="2"/>
  <c r="AH271" i="2"/>
  <c r="AH272" i="2"/>
  <c r="AH273" i="2"/>
  <c r="AH274" i="2"/>
  <c r="AH202" i="2"/>
  <c r="AH203" i="2"/>
  <c r="AH204" i="2"/>
  <c r="AH205" i="2"/>
  <c r="AH224" i="2"/>
  <c r="AH225" i="2"/>
  <c r="AH226" i="2"/>
  <c r="AH227" i="2"/>
  <c r="AH228" i="2"/>
  <c r="AH229" i="2"/>
  <c r="AH250" i="2"/>
  <c r="AH251" i="2"/>
  <c r="AH275" i="2"/>
  <c r="AH276" i="2"/>
  <c r="AH300" i="2"/>
  <c r="AH301" i="2"/>
  <c r="AH206" i="2"/>
  <c r="AH230" i="2"/>
  <c r="AH231" i="2"/>
  <c r="AH252" i="2"/>
  <c r="AH253" i="2"/>
  <c r="AH277" i="2"/>
  <c r="AH278" i="2"/>
  <c r="AH279" i="2"/>
  <c r="AH280" i="2"/>
  <c r="AH281" i="2"/>
  <c r="AH282" i="2"/>
  <c r="AH207" i="2"/>
  <c r="AH208" i="2"/>
  <c r="AH232" i="2"/>
  <c r="AH233" i="2"/>
  <c r="AH234" i="2"/>
  <c r="AH235" i="2"/>
  <c r="AH236" i="2"/>
  <c r="AH254" i="2"/>
  <c r="AH255" i="2"/>
  <c r="AH256" i="2"/>
  <c r="AH257" i="2"/>
  <c r="AH258" i="2"/>
  <c r="AH259" i="2"/>
  <c r="AH283" i="2"/>
  <c r="AH284" i="2"/>
  <c r="AH209" i="2"/>
  <c r="AH210" i="2"/>
  <c r="AH260" i="2"/>
  <c r="AH285" i="2"/>
  <c r="AH286" i="2"/>
  <c r="AH287" i="2"/>
  <c r="AH288" i="2"/>
  <c r="AH289" i="2"/>
  <c r="AG193" i="2"/>
  <c r="AG201" i="2"/>
  <c r="AG208" i="2"/>
  <c r="AG215" i="2"/>
  <c r="AG223" i="2"/>
  <c r="AG231" i="2"/>
  <c r="AG238" i="2"/>
  <c r="AG246" i="2"/>
  <c r="AG253" i="2"/>
  <c r="AG268" i="2"/>
  <c r="AG276" i="2"/>
  <c r="AG284" i="2"/>
  <c r="AG292" i="2"/>
  <c r="AG195" i="2"/>
  <c r="AG203" i="2"/>
  <c r="AG210" i="2"/>
  <c r="AG217" i="2"/>
  <c r="AG225" i="2"/>
  <c r="AG233" i="2"/>
  <c r="AG240" i="2"/>
  <c r="AG248" i="2"/>
  <c r="AG255" i="2"/>
  <c r="AG262" i="2"/>
  <c r="AG270" i="2"/>
  <c r="AG278" i="2"/>
  <c r="AG286" i="2"/>
  <c r="AG294" i="2"/>
  <c r="AG301" i="2"/>
  <c r="AG196" i="2"/>
  <c r="AG204" i="2"/>
  <c r="AG218" i="2"/>
  <c r="AG226" i="2"/>
  <c r="AG234" i="2"/>
  <c r="AG241" i="2"/>
  <c r="AG249" i="2"/>
  <c r="AG256" i="2"/>
  <c r="AG263" i="2"/>
  <c r="AG271" i="2"/>
  <c r="AG279" i="2"/>
  <c r="AG287" i="2"/>
  <c r="AG295" i="2"/>
  <c r="AG197" i="2"/>
  <c r="AG205" i="2"/>
  <c r="AG211" i="2"/>
  <c r="AG219" i="2"/>
  <c r="AG227" i="2"/>
  <c r="AG235" i="2"/>
  <c r="AG242" i="2"/>
  <c r="AG257" i="2"/>
  <c r="AG264" i="2"/>
  <c r="AG272" i="2"/>
  <c r="AG280" i="2"/>
  <c r="AG288" i="2"/>
  <c r="AG296" i="2"/>
  <c r="AG198" i="2"/>
  <c r="AG212" i="2"/>
  <c r="AG220" i="2"/>
  <c r="AG228" i="2"/>
  <c r="AG236" i="2"/>
  <c r="AG243" i="2"/>
  <c r="AG250" i="2"/>
  <c r="AG258" i="2"/>
  <c r="AG265" i="2"/>
  <c r="AG273" i="2"/>
  <c r="AG281" i="2"/>
  <c r="AG289" i="2"/>
  <c r="AG297" i="2"/>
  <c r="AG199" i="2"/>
  <c r="AG206" i="2"/>
  <c r="AG213" i="2"/>
  <c r="AG221" i="2"/>
  <c r="AG229" i="2"/>
  <c r="AG244" i="2"/>
  <c r="AG251" i="2"/>
  <c r="AG259" i="2"/>
  <c r="AG266" i="2"/>
  <c r="AG274" i="2"/>
  <c r="AG282" i="2"/>
  <c r="AG290" i="2"/>
  <c r="AD300" i="2"/>
  <c r="AD257" i="2"/>
  <c r="AD253" i="2"/>
  <c r="AD234" i="2"/>
  <c r="AD230" i="2"/>
  <c r="AD226" i="2"/>
  <c r="AD222" i="2"/>
  <c r="AD218" i="2"/>
  <c r="AD214" i="2"/>
  <c r="AD203" i="2"/>
  <c r="AD199" i="2"/>
  <c r="AD195" i="2"/>
  <c r="AD293" i="2"/>
  <c r="AD242" i="2"/>
  <c r="AD296" i="2"/>
  <c r="AD292" i="2"/>
  <c r="AD288" i="2"/>
  <c r="AD284" i="2"/>
  <c r="AD280" i="2"/>
  <c r="AD276" i="2"/>
  <c r="AD272" i="2"/>
  <c r="AD268" i="2"/>
  <c r="AD264" i="2"/>
  <c r="AD249" i="2"/>
  <c r="AD245" i="2"/>
  <c r="AD241" i="2"/>
  <c r="AD237" i="2"/>
  <c r="AD210" i="2"/>
  <c r="AD206" i="2"/>
  <c r="AD297" i="2"/>
  <c r="AD289" i="2"/>
  <c r="AD277" i="2"/>
  <c r="AD269" i="2"/>
  <c r="AD260" i="2"/>
  <c r="AD256" i="2"/>
  <c r="AD252" i="2"/>
  <c r="AD233" i="2"/>
  <c r="AD229" i="2"/>
  <c r="AD225" i="2"/>
  <c r="AD221" i="2"/>
  <c r="AD217" i="2"/>
  <c r="AD213" i="2"/>
  <c r="AD202" i="2"/>
  <c r="AD198" i="2"/>
  <c r="AD194" i="2"/>
  <c r="AD281" i="2"/>
  <c r="AD299" i="2"/>
  <c r="AD295" i="2"/>
  <c r="AD291" i="2"/>
  <c r="AD287" i="2"/>
  <c r="AD283" i="2"/>
  <c r="AD279" i="2"/>
  <c r="AD275" i="2"/>
  <c r="AD271" i="2"/>
  <c r="AD267" i="2"/>
  <c r="AD263" i="2"/>
  <c r="AD248" i="2"/>
  <c r="AD244" i="2"/>
  <c r="AD240" i="2"/>
  <c r="AD209" i="2"/>
  <c r="AD259" i="2"/>
  <c r="AD255" i="2"/>
  <c r="AD251" i="2"/>
  <c r="AD236" i="2"/>
  <c r="AD232" i="2"/>
  <c r="AD228" i="2"/>
  <c r="AD224" i="2"/>
  <c r="AD220" i="2"/>
  <c r="AD216" i="2"/>
  <c r="AD212" i="2"/>
  <c r="AD205" i="2"/>
  <c r="AD201" i="2"/>
  <c r="AD197" i="2"/>
  <c r="AD193" i="2"/>
  <c r="AD285" i="2"/>
  <c r="AD273" i="2"/>
  <c r="AD261" i="2"/>
  <c r="AD246" i="2"/>
  <c r="AD238" i="2"/>
  <c r="AD207" i="2"/>
  <c r="AD298" i="2"/>
  <c r="AD294" i="2"/>
  <c r="AD290" i="2"/>
  <c r="AD286" i="2"/>
  <c r="AD282" i="2"/>
  <c r="AD278" i="2"/>
  <c r="AD274" i="2"/>
  <c r="AD270" i="2"/>
  <c r="AD266" i="2"/>
  <c r="AD262" i="2"/>
  <c r="AD247" i="2"/>
  <c r="AD243" i="2"/>
  <c r="AD239" i="2"/>
  <c r="AD208" i="2"/>
  <c r="AD265" i="2"/>
  <c r="AD301" i="2"/>
  <c r="AD258" i="2"/>
  <c r="AD254" i="2"/>
  <c r="AD250" i="2"/>
  <c r="AD235" i="2"/>
  <c r="AD231" i="2"/>
  <c r="AD227" i="2"/>
  <c r="AD223" i="2"/>
  <c r="AD219" i="2"/>
  <c r="AD215" i="2"/>
  <c r="AD211" i="2"/>
  <c r="AD204" i="2"/>
  <c r="AD200" i="2"/>
  <c r="AD196" i="2"/>
  <c r="AB199" i="2"/>
  <c r="AB225" i="2"/>
  <c r="AB233" i="2"/>
  <c r="AB238" i="2"/>
  <c r="AB246" i="2"/>
  <c r="AB264" i="2"/>
  <c r="AB272" i="2"/>
  <c r="AB280" i="2"/>
  <c r="AB288" i="2"/>
  <c r="AB194" i="2"/>
  <c r="AB202" i="2"/>
  <c r="AB207" i="2"/>
  <c r="AB212" i="2"/>
  <c r="AB220" i="2"/>
  <c r="AB228" i="2"/>
  <c r="AB236" i="2"/>
  <c r="AB241" i="2"/>
  <c r="AB249" i="2"/>
  <c r="AB254" i="2"/>
  <c r="AB267" i="2"/>
  <c r="AB275" i="2"/>
  <c r="AB283" i="2"/>
  <c r="AB291" i="2"/>
  <c r="AB299" i="2"/>
  <c r="AB197" i="2"/>
  <c r="AB205" i="2"/>
  <c r="AB210" i="2"/>
  <c r="AB215" i="2"/>
  <c r="AB223" i="2"/>
  <c r="AB231" i="2"/>
  <c r="AB244" i="2"/>
  <c r="AB257" i="2"/>
  <c r="AB262" i="2"/>
  <c r="AB270" i="2"/>
  <c r="AB278" i="2"/>
  <c r="AB286" i="2"/>
  <c r="AB294" i="2"/>
  <c r="AB251" i="2"/>
  <c r="AB200" i="2"/>
  <c r="AB218" i="2"/>
  <c r="AB226" i="2"/>
  <c r="AB234" i="2"/>
  <c r="AB239" i="2"/>
  <c r="AB46" i="2" s="1"/>
  <c r="AB247" i="2"/>
  <c r="AB252" i="2"/>
  <c r="AB260" i="2"/>
  <c r="AB265" i="2"/>
  <c r="AB273" i="2"/>
  <c r="AB281" i="2"/>
  <c r="AB289" i="2"/>
  <c r="AB297" i="2"/>
  <c r="AB259" i="2"/>
  <c r="AB296" i="2"/>
  <c r="AB195" i="2"/>
  <c r="AB203" i="2"/>
  <c r="AB208" i="2"/>
  <c r="AB213" i="2"/>
  <c r="AB221" i="2"/>
  <c r="AB229" i="2"/>
  <c r="AB242" i="2"/>
  <c r="AB255" i="2"/>
  <c r="AB268" i="2"/>
  <c r="AB276" i="2"/>
  <c r="AB284" i="2"/>
  <c r="AB292" i="2"/>
  <c r="AB301" i="2"/>
  <c r="AB198" i="2"/>
  <c r="AB216" i="2"/>
  <c r="AB224" i="2"/>
  <c r="AB232" i="2"/>
  <c r="AB237" i="2"/>
  <c r="AB245" i="2"/>
  <c r="AB250" i="2"/>
  <c r="AB258" i="2"/>
  <c r="AB263" i="2"/>
  <c r="AB271" i="2"/>
  <c r="AB279" i="2"/>
  <c r="AB287" i="2"/>
  <c r="AB295" i="2"/>
  <c r="AB300" i="2"/>
  <c r="AB217" i="2"/>
  <c r="AB193" i="2"/>
  <c r="AB201" i="2"/>
  <c r="AB206" i="2"/>
  <c r="AB211" i="2"/>
  <c r="AB219" i="2"/>
  <c r="AB227" i="2"/>
  <c r="AB235" i="2"/>
  <c r="AB240" i="2"/>
  <c r="AB248" i="2"/>
  <c r="AB253" i="2"/>
  <c r="AB266" i="2"/>
  <c r="AB274" i="2"/>
  <c r="AB282" i="2"/>
  <c r="AB290" i="2"/>
  <c r="AB298" i="2"/>
  <c r="AB196" i="2"/>
  <c r="AB204" i="2"/>
  <c r="AB209" i="2"/>
  <c r="AB214" i="2"/>
  <c r="AB222" i="2"/>
  <c r="AB230" i="2"/>
  <c r="AB243" i="2"/>
  <c r="AB256" i="2"/>
  <c r="AB261" i="2"/>
  <c r="AB269" i="2"/>
  <c r="AB277" i="2"/>
  <c r="AB285" i="2"/>
  <c r="P302" i="2"/>
  <c r="O124" i="2"/>
  <c r="AC195" i="2"/>
  <c r="P191" i="2"/>
  <c r="X21" i="2"/>
  <c r="P100" i="2"/>
  <c r="P229" i="2"/>
  <c r="AC147" i="2"/>
  <c r="AC66" i="2"/>
  <c r="AC142" i="2"/>
  <c r="AC160" i="2"/>
  <c r="AC168" i="2"/>
  <c r="O170" i="2"/>
  <c r="O259" i="2"/>
  <c r="AC290" i="2"/>
  <c r="AC48" i="2"/>
  <c r="P20" i="2"/>
  <c r="O119" i="2"/>
  <c r="AC44" i="2"/>
  <c r="X10" i="2"/>
  <c r="AC23" i="2"/>
  <c r="AA31" i="2"/>
  <c r="AC35" i="2"/>
  <c r="G46" i="2"/>
  <c r="H46" i="2" s="1"/>
  <c r="AC79" i="2"/>
  <c r="O104" i="2"/>
  <c r="P112" i="2"/>
  <c r="P116" i="2"/>
  <c r="AC129" i="2"/>
  <c r="AC141" i="2"/>
  <c r="P154" i="2"/>
  <c r="AC174" i="2"/>
  <c r="O257" i="2"/>
  <c r="P262" i="2"/>
  <c r="P54" i="2"/>
  <c r="O233" i="2"/>
  <c r="AC101" i="2"/>
  <c r="AC105" i="2"/>
  <c r="AC107" i="2"/>
  <c r="AC109" i="2"/>
  <c r="P111" i="2"/>
  <c r="O118" i="2"/>
  <c r="AA174" i="2"/>
  <c r="AC34" i="2"/>
  <c r="O38" i="2"/>
  <c r="AC56" i="2"/>
  <c r="AC62" i="2"/>
  <c r="AC78" i="2"/>
  <c r="AC133" i="2"/>
  <c r="P159" i="2"/>
  <c r="AC165" i="2"/>
  <c r="AC224" i="2"/>
  <c r="AC236" i="2"/>
  <c r="AC284" i="2"/>
  <c r="X18" i="2"/>
  <c r="O27" i="2"/>
  <c r="O29" i="2"/>
  <c r="O42" i="2"/>
  <c r="AC74" i="2"/>
  <c r="AC94" i="2"/>
  <c r="O99" i="2"/>
  <c r="AC115" i="2"/>
  <c r="AC130" i="2"/>
  <c r="O157" i="2"/>
  <c r="AC166" i="2"/>
  <c r="AC179" i="2"/>
  <c r="O196" i="2"/>
  <c r="P203" i="2"/>
  <c r="O220" i="2"/>
  <c r="AC240" i="2"/>
  <c r="O268" i="2"/>
  <c r="P291" i="2"/>
  <c r="AN296" i="2"/>
  <c r="AC303" i="2"/>
  <c r="O53" i="2"/>
  <c r="AA166" i="2"/>
  <c r="X14" i="2"/>
  <c r="AC16" i="2"/>
  <c r="AC21" i="2"/>
  <c r="P55" i="2"/>
  <c r="P98" i="2"/>
  <c r="AC114" i="2"/>
  <c r="AC126" i="2"/>
  <c r="P131" i="2"/>
  <c r="O141" i="2"/>
  <c r="O146" i="2"/>
  <c r="AC151" i="2"/>
  <c r="AC190" i="2"/>
  <c r="AC191" i="2"/>
  <c r="O251" i="2"/>
  <c r="P290" i="2"/>
  <c r="O137" i="2"/>
  <c r="AC13" i="2"/>
  <c r="P9" i="2"/>
  <c r="AC9" i="2"/>
  <c r="AC63" i="2"/>
  <c r="AC81" i="2"/>
  <c r="P93" i="2"/>
  <c r="AC95" i="2"/>
  <c r="O100" i="2"/>
  <c r="O109" i="2"/>
  <c r="AC136" i="2"/>
  <c r="P138" i="2"/>
  <c r="AC167" i="2"/>
  <c r="P178" i="2"/>
  <c r="O191" i="2"/>
  <c r="P260" i="2"/>
  <c r="AC132" i="2"/>
  <c r="O212" i="2"/>
  <c r="P36" i="2"/>
  <c r="O54" i="2"/>
  <c r="O80" i="2"/>
  <c r="P97" i="2"/>
  <c r="O120" i="2"/>
  <c r="P148" i="2"/>
  <c r="P174" i="2"/>
  <c r="P176" i="2"/>
  <c r="P219" i="2"/>
  <c r="AC221" i="2"/>
  <c r="O269" i="2"/>
  <c r="AN293" i="2"/>
  <c r="O66" i="2"/>
  <c r="O71" i="2"/>
  <c r="P73" i="2"/>
  <c r="AC82" i="2"/>
  <c r="O91" i="2"/>
  <c r="P128" i="2"/>
  <c r="P135" i="2"/>
  <c r="P140" i="2"/>
  <c r="O162" i="2"/>
  <c r="AC219" i="2"/>
  <c r="O261" i="2"/>
  <c r="AC281" i="2"/>
  <c r="P32" i="2"/>
  <c r="O10" i="2"/>
  <c r="O75" i="2"/>
  <c r="O108" i="2"/>
  <c r="AC152" i="2"/>
  <c r="P155" i="2"/>
  <c r="O158" i="2"/>
  <c r="O164" i="2"/>
  <c r="AC182" i="2"/>
  <c r="P188" i="2"/>
  <c r="O204" i="2"/>
  <c r="O241" i="2"/>
  <c r="P252" i="2"/>
  <c r="O290" i="2"/>
  <c r="AC306" i="2"/>
  <c r="AC293" i="2"/>
  <c r="O293" i="2"/>
  <c r="P45" i="2"/>
  <c r="O218" i="2"/>
  <c r="P218" i="2"/>
  <c r="AC218" i="2"/>
  <c r="O210" i="2"/>
  <c r="AC210" i="2"/>
  <c r="P210" i="2"/>
  <c r="O245" i="2"/>
  <c r="AC245" i="2"/>
  <c r="P245" i="2"/>
  <c r="AC292" i="2"/>
  <c r="O292" i="2"/>
  <c r="P292" i="2"/>
  <c r="P14" i="2"/>
  <c r="O16" i="2"/>
  <c r="AC18" i="2"/>
  <c r="P33" i="2"/>
  <c r="AC39" i="2"/>
  <c r="AC41" i="2"/>
  <c r="AN45" i="2"/>
  <c r="P56" i="2"/>
  <c r="AC89" i="2"/>
  <c r="AC98" i="2"/>
  <c r="AC112" i="2"/>
  <c r="AC116" i="2"/>
  <c r="P142" i="2"/>
  <c r="AC161" i="2"/>
  <c r="AA168" i="2"/>
  <c r="AA170" i="2"/>
  <c r="O174" i="2"/>
  <c r="O190" i="2"/>
  <c r="AC194" i="2"/>
  <c r="AC269" i="2"/>
  <c r="AC305" i="2"/>
  <c r="P18" i="2"/>
  <c r="O197" i="2"/>
  <c r="P270" i="2"/>
  <c r="O62" i="2"/>
  <c r="P179" i="2"/>
  <c r="AC122" i="2"/>
  <c r="AC148" i="2"/>
  <c r="P151" i="2"/>
  <c r="AA161" i="2"/>
  <c r="AA165" i="2"/>
  <c r="P170" i="2"/>
  <c r="AC187" i="2"/>
  <c r="AC203" i="2"/>
  <c r="P211" i="2"/>
  <c r="O230" i="2"/>
  <c r="O240" i="2"/>
  <c r="P12" i="2"/>
  <c r="W10" i="2"/>
  <c r="P16" i="2"/>
  <c r="O19" i="2"/>
  <c r="P21" i="2"/>
  <c r="U46" i="2"/>
  <c r="V46" i="2" s="1"/>
  <c r="O52" i="2"/>
  <c r="O101" i="2"/>
  <c r="P115" i="2"/>
  <c r="AA160" i="2"/>
  <c r="AA173" i="2"/>
  <c r="O192" i="2"/>
  <c r="O195" i="2"/>
  <c r="AC205" i="2"/>
  <c r="O225" i="2"/>
  <c r="O249" i="2"/>
  <c r="AC252" i="2"/>
  <c r="AC260" i="2"/>
  <c r="P277" i="2"/>
  <c r="O306" i="2"/>
  <c r="AK308" i="2"/>
  <c r="AK309" i="2" s="1"/>
  <c r="AN309" i="2" s="1"/>
  <c r="AC324" i="2"/>
  <c r="O198" i="2"/>
  <c r="W14" i="2"/>
  <c r="P34" i="2"/>
  <c r="O15" i="2"/>
  <c r="W21" i="2"/>
  <c r="AA36" i="2"/>
  <c r="AN44" i="2"/>
  <c r="P48" i="2"/>
  <c r="AC55" i="2"/>
  <c r="AC76" i="2"/>
  <c r="P78" i="2"/>
  <c r="O105" i="2"/>
  <c r="O127" i="2"/>
  <c r="AC138" i="2"/>
  <c r="P164" i="2"/>
  <c r="AA169" i="2"/>
  <c r="AC211" i="2"/>
  <c r="AC268" i="2"/>
  <c r="P326" i="2"/>
  <c r="AC155" i="2"/>
  <c r="O166" i="2"/>
  <c r="AC10" i="2"/>
  <c r="E4" i="1"/>
  <c r="R234" i="2" s="1"/>
  <c r="P23" i="2"/>
  <c r="O24" i="2"/>
  <c r="AC26" i="2"/>
  <c r="AC33" i="2"/>
  <c r="P82" i="2"/>
  <c r="P94" i="2"/>
  <c r="P95" i="2"/>
  <c r="AC97" i="2"/>
  <c r="AC111" i="2"/>
  <c r="P119" i="2"/>
  <c r="P129" i="2"/>
  <c r="P132" i="2"/>
  <c r="O135" i="2"/>
  <c r="AC145" i="2"/>
  <c r="O152" i="2"/>
  <c r="AC156" i="2"/>
  <c r="AC164" i="2"/>
  <c r="P166" i="2"/>
  <c r="P186" i="2"/>
  <c r="P197" i="2"/>
  <c r="AC207" i="2"/>
  <c r="O213" i="2"/>
  <c r="AN218" i="2"/>
  <c r="O232" i="2"/>
  <c r="P248" i="2"/>
  <c r="O291" i="2"/>
  <c r="AC291" i="2"/>
  <c r="AC7" i="2"/>
  <c r="O11" i="2"/>
  <c r="W18" i="2"/>
  <c r="O35" i="2"/>
  <c r="AC59" i="2"/>
  <c r="AC68" i="2"/>
  <c r="P81" i="2"/>
  <c r="O90" i="2"/>
  <c r="P91" i="2"/>
  <c r="O93" i="2"/>
  <c r="AC113" i="2"/>
  <c r="AC117" i="2"/>
  <c r="AC123" i="2"/>
  <c r="O129" i="2"/>
  <c r="P146" i="2"/>
  <c r="AC146" i="2"/>
  <c r="O151" i="2"/>
  <c r="P152" i="2"/>
  <c r="O163" i="2"/>
  <c r="O178" i="2"/>
  <c r="AC270" i="2"/>
  <c r="P284" i="2"/>
  <c r="O303" i="2"/>
  <c r="AC325" i="2"/>
  <c r="O7" i="2"/>
  <c r="AC22" i="2"/>
  <c r="P22" i="2"/>
  <c r="X22" i="2"/>
  <c r="W22" i="2"/>
  <c r="O23" i="2"/>
  <c r="X23" i="2"/>
  <c r="AC27" i="2"/>
  <c r="P27" i="2"/>
  <c r="AC42" i="2"/>
  <c r="P42" i="2"/>
  <c r="AC69" i="2"/>
  <c r="P69" i="2"/>
  <c r="O69" i="2"/>
  <c r="AC77" i="2"/>
  <c r="O77" i="2"/>
  <c r="P77" i="2"/>
  <c r="P17" i="2"/>
  <c r="O17" i="2"/>
  <c r="AC40" i="2"/>
  <c r="P40" i="2"/>
  <c r="W7" i="2"/>
  <c r="AC20" i="2"/>
  <c r="AC24" i="2"/>
  <c r="P24" i="2"/>
  <c r="AC28" i="2"/>
  <c r="AC29" i="2"/>
  <c r="P29" i="2"/>
  <c r="R33" i="2"/>
  <c r="AC43" i="2"/>
  <c r="O44" i="2"/>
  <c r="O45" i="2"/>
  <c r="AC52" i="2"/>
  <c r="AC83" i="2"/>
  <c r="P83" i="2"/>
  <c r="O83" i="2"/>
  <c r="X7" i="2"/>
  <c r="AC8" i="2"/>
  <c r="P8" i="2"/>
  <c r="W8" i="2"/>
  <c r="X8" i="2"/>
  <c r="R11" i="2"/>
  <c r="R14" i="2"/>
  <c r="R18" i="2"/>
  <c r="AC30" i="2"/>
  <c r="AC31" i="2"/>
  <c r="P31" i="2"/>
  <c r="R35" i="2"/>
  <c r="O47" i="2"/>
  <c r="R49" i="2"/>
  <c r="P60" i="2"/>
  <c r="AC60" i="2"/>
  <c r="O60" i="2"/>
  <c r="AC51" i="2"/>
  <c r="P51" i="2"/>
  <c r="O51" i="2"/>
  <c r="P64" i="2"/>
  <c r="AC64" i="2"/>
  <c r="O64" i="2"/>
  <c r="O40" i="2"/>
  <c r="AC47" i="2"/>
  <c r="P7" i="2"/>
  <c r="X11" i="2"/>
  <c r="W11" i="2"/>
  <c r="AC11" i="2"/>
  <c r="P11" i="2"/>
  <c r="W13" i="2"/>
  <c r="W17" i="2"/>
  <c r="R21" i="2"/>
  <c r="O22" i="2"/>
  <c r="O32" i="2"/>
  <c r="O34" i="2"/>
  <c r="AC50" i="2"/>
  <c r="P50" i="2"/>
  <c r="O50" i="2"/>
  <c r="O58" i="2"/>
  <c r="R250" i="2"/>
  <c r="R239" i="2"/>
  <c r="R202" i="2"/>
  <c r="AC17" i="2"/>
  <c r="X19" i="2"/>
  <c r="W19" i="2"/>
  <c r="AC19" i="2"/>
  <c r="P19" i="2"/>
  <c r="AC25" i="2"/>
  <c r="P25" i="2"/>
  <c r="O25" i="2"/>
  <c r="P13" i="2"/>
  <c r="P44" i="2"/>
  <c r="AC58" i="2"/>
  <c r="P58" i="2"/>
  <c r="O12" i="2"/>
  <c r="X12" i="2"/>
  <c r="W12" i="2"/>
  <c r="AC12" i="2"/>
  <c r="R299" i="2"/>
  <c r="R294" i="2"/>
  <c r="R293" i="2"/>
  <c r="R285" i="2"/>
  <c r="R300" i="2"/>
  <c r="R292" i="2"/>
  <c r="R284" i="2"/>
  <c r="R291" i="2"/>
  <c r="R283" i="2"/>
  <c r="R289" i="2"/>
  <c r="R272" i="2"/>
  <c r="R264" i="2"/>
  <c r="R295" i="2"/>
  <c r="R281" i="2"/>
  <c r="R279" i="2"/>
  <c r="R271" i="2"/>
  <c r="R263" i="2"/>
  <c r="R296" i="2"/>
  <c r="R290" i="2"/>
  <c r="R278" i="2"/>
  <c r="R270" i="2"/>
  <c r="R262" i="2"/>
  <c r="R277" i="2"/>
  <c r="R297" i="2"/>
  <c r="R286" i="2"/>
  <c r="R280" i="2"/>
  <c r="R298" i="2"/>
  <c r="R288" i="2"/>
  <c r="R282" i="2"/>
  <c r="R275" i="2"/>
  <c r="R265" i="2"/>
  <c r="R276" i="2"/>
  <c r="R269" i="2"/>
  <c r="R268" i="2"/>
  <c r="R261" i="2"/>
  <c r="R259" i="2"/>
  <c r="R287" i="2"/>
  <c r="R273" i="2"/>
  <c r="R267" i="2"/>
  <c r="R274" i="2"/>
  <c r="R257" i="2"/>
  <c r="R266" i="2"/>
  <c r="R226" i="2"/>
  <c r="R258" i="2"/>
  <c r="R260" i="2"/>
  <c r="R228" i="2"/>
  <c r="R216" i="2"/>
  <c r="R208" i="2"/>
  <c r="R215" i="2"/>
  <c r="R207" i="2"/>
  <c r="R189" i="2"/>
  <c r="R186" i="2"/>
  <c r="R185" i="2"/>
  <c r="R172" i="2"/>
  <c r="R168" i="2"/>
  <c r="R225" i="2"/>
  <c r="R223" i="2"/>
  <c r="R222" i="2"/>
  <c r="R214" i="2"/>
  <c r="R224" i="2"/>
  <c r="R221" i="2"/>
  <c r="R213" i="2"/>
  <c r="R187" i="2"/>
  <c r="R173" i="2"/>
  <c r="R169" i="2"/>
  <c r="R220" i="2"/>
  <c r="R212" i="2"/>
  <c r="R190" i="2"/>
  <c r="R219" i="2"/>
  <c r="R211" i="2"/>
  <c r="R227" i="2"/>
  <c r="R218" i="2"/>
  <c r="R210" i="2"/>
  <c r="R188" i="2"/>
  <c r="R179" i="2"/>
  <c r="R171" i="2"/>
  <c r="R162" i="2"/>
  <c r="R158" i="2"/>
  <c r="R157" i="2"/>
  <c r="R217" i="2"/>
  <c r="R178" i="2"/>
  <c r="R174" i="2"/>
  <c r="R170" i="2"/>
  <c r="R163" i="2"/>
  <c r="R150" i="2"/>
  <c r="R164" i="2"/>
  <c r="R159" i="2"/>
  <c r="R151" i="2"/>
  <c r="R145" i="2"/>
  <c r="R209" i="2"/>
  <c r="R182" i="2"/>
  <c r="R180" i="2"/>
  <c r="R184" i="2"/>
  <c r="R153" i="2"/>
  <c r="R192" i="2"/>
  <c r="R176" i="2"/>
  <c r="R166" i="2"/>
  <c r="R154" i="2"/>
  <c r="R167" i="2"/>
  <c r="R155" i="2"/>
  <c r="R181" i="2"/>
  <c r="R143" i="2"/>
  <c r="R137" i="2"/>
  <c r="R124" i="2"/>
  <c r="R146" i="2"/>
  <c r="R144" i="2"/>
  <c r="R131" i="2"/>
  <c r="R183" i="2"/>
  <c r="R138" i="2"/>
  <c r="R132" i="2"/>
  <c r="R125" i="2"/>
  <c r="R165" i="2"/>
  <c r="R152" i="2"/>
  <c r="R134" i="2"/>
  <c r="R127" i="2"/>
  <c r="R191" i="2"/>
  <c r="R161" i="2"/>
  <c r="R156" i="2"/>
  <c r="R148" i="2"/>
  <c r="R140" i="2"/>
  <c r="R128" i="2"/>
  <c r="R121" i="2"/>
  <c r="R177" i="2"/>
  <c r="R149" i="2"/>
  <c r="R147" i="2"/>
  <c r="R141" i="2"/>
  <c r="R135" i="2"/>
  <c r="R129" i="2"/>
  <c r="R122" i="2"/>
  <c r="R175" i="2"/>
  <c r="R160" i="2"/>
  <c r="R110" i="2"/>
  <c r="R106" i="2"/>
  <c r="R102" i="2"/>
  <c r="R96" i="2"/>
  <c r="R83" i="2"/>
  <c r="R72" i="2"/>
  <c r="R66" i="2"/>
  <c r="R139" i="2"/>
  <c r="BD2" i="2" s="1"/>
  <c r="R133" i="2"/>
  <c r="R123" i="2"/>
  <c r="R84" i="2"/>
  <c r="R77" i="2"/>
  <c r="R73" i="2"/>
  <c r="R111" i="2"/>
  <c r="R107" i="2"/>
  <c r="R103" i="2"/>
  <c r="R97" i="2"/>
  <c r="R85" i="2"/>
  <c r="R78" i="2"/>
  <c r="R60" i="2"/>
  <c r="R126" i="2"/>
  <c r="R120" i="2"/>
  <c r="R117" i="2"/>
  <c r="R116" i="2"/>
  <c r="R115" i="2"/>
  <c r="R114" i="2"/>
  <c r="R113" i="2"/>
  <c r="R112" i="2"/>
  <c r="R98" i="2"/>
  <c r="R130" i="2"/>
  <c r="R118" i="2"/>
  <c r="R108" i="2"/>
  <c r="R104" i="2"/>
  <c r="R99" i="2"/>
  <c r="R90" i="2"/>
  <c r="R80" i="2"/>
  <c r="R75" i="2"/>
  <c r="R69" i="2"/>
  <c r="R62" i="2"/>
  <c r="R136" i="2"/>
  <c r="R119" i="2"/>
  <c r="R100" i="2"/>
  <c r="R93" i="2"/>
  <c r="R92" i="2"/>
  <c r="R91" i="2"/>
  <c r="R81" i="2"/>
  <c r="R70" i="2"/>
  <c r="R142" i="2"/>
  <c r="R109" i="2"/>
  <c r="R105" i="2"/>
  <c r="R101" i="2"/>
  <c r="R94" i="2"/>
  <c r="R76" i="2"/>
  <c r="R71" i="2"/>
  <c r="R64" i="2"/>
  <c r="R88" i="2"/>
  <c r="R79" i="2"/>
  <c r="R67" i="2"/>
  <c r="R63" i="2"/>
  <c r="R57" i="2"/>
  <c r="R50" i="2"/>
  <c r="R40" i="2"/>
  <c r="R31" i="2"/>
  <c r="R27" i="2"/>
  <c r="R22" i="2"/>
  <c r="R15" i="2"/>
  <c r="R8" i="2"/>
  <c r="R95" i="2"/>
  <c r="R58" i="2"/>
  <c r="R51" i="2"/>
  <c r="R36" i="2"/>
  <c r="R32" i="2"/>
  <c r="R23" i="2"/>
  <c r="R16" i="2"/>
  <c r="R9" i="2"/>
  <c r="R52" i="2"/>
  <c r="R41" i="2"/>
  <c r="R37" i="2"/>
  <c r="R28" i="2"/>
  <c r="R24" i="2"/>
  <c r="R17" i="2"/>
  <c r="R87" i="2"/>
  <c r="R45" i="2" s="1"/>
  <c r="R59" i="2"/>
  <c r="R82" i="2"/>
  <c r="R65" i="2"/>
  <c r="R61" i="2"/>
  <c r="R53" i="2"/>
  <c r="R46" i="2"/>
  <c r="R42" i="2"/>
  <c r="R38" i="2"/>
  <c r="R44" i="2" s="1"/>
  <c r="R29" i="2"/>
  <c r="R25" i="2"/>
  <c r="R19" i="2"/>
  <c r="R89" i="2"/>
  <c r="R74" i="2"/>
  <c r="R54" i="2"/>
  <c r="R47" i="2"/>
  <c r="R34" i="2"/>
  <c r="R20" i="2"/>
  <c r="R12" i="2"/>
  <c r="R86" i="2"/>
  <c r="R68" i="2"/>
  <c r="R55" i="2"/>
  <c r="R48" i="2"/>
  <c r="R43" i="2"/>
  <c r="R39" i="2"/>
  <c r="R30" i="2"/>
  <c r="R26" i="2"/>
  <c r="R13" i="2"/>
  <c r="R7" i="2"/>
  <c r="O8" i="2"/>
  <c r="R10" i="2"/>
  <c r="AC15" i="2"/>
  <c r="P15" i="2"/>
  <c r="X15" i="2"/>
  <c r="W15" i="2"/>
  <c r="O20" i="2"/>
  <c r="O31" i="2"/>
  <c r="AC32" i="2"/>
  <c r="AC36" i="2"/>
  <c r="O36" i="2"/>
  <c r="AC37" i="2"/>
  <c r="AC38" i="2"/>
  <c r="P38" i="2"/>
  <c r="P47" i="2"/>
  <c r="P49" i="2"/>
  <c r="AC57" i="2"/>
  <c r="P57" i="2"/>
  <c r="O57" i="2"/>
  <c r="W16" i="2"/>
  <c r="X17" i="2"/>
  <c r="O18" i="2"/>
  <c r="W23" i="2"/>
  <c r="O33" i="2"/>
  <c r="AC45" i="2"/>
  <c r="P53" i="2"/>
  <c r="AC54" i="2"/>
  <c r="P61" i="2"/>
  <c r="O63" i="2"/>
  <c r="P65" i="2"/>
  <c r="O70" i="2"/>
  <c r="O84" i="2"/>
  <c r="AC88" i="2"/>
  <c r="P88" i="2"/>
  <c r="O88" i="2"/>
  <c r="AC91" i="2"/>
  <c r="P10" i="2"/>
  <c r="X16" i="2"/>
  <c r="O28" i="2"/>
  <c r="O37" i="2"/>
  <c r="O41" i="2"/>
  <c r="AC53" i="2"/>
  <c r="P59" i="2"/>
  <c r="O67" i="2"/>
  <c r="AC70" i="2"/>
  <c r="AC84" i="2"/>
  <c r="O92" i="2"/>
  <c r="P117" i="2"/>
  <c r="P28" i="2"/>
  <c r="P37" i="2"/>
  <c r="P41" i="2"/>
  <c r="P52" i="2"/>
  <c r="AC71" i="2"/>
  <c r="AC72" i="2"/>
  <c r="P72" i="2"/>
  <c r="P79" i="2"/>
  <c r="AC85" i="2"/>
  <c r="AC86" i="2"/>
  <c r="P86" i="2"/>
  <c r="O86" i="2"/>
  <c r="AC96" i="2"/>
  <c r="P96" i="2"/>
  <c r="O96" i="2"/>
  <c r="AC103" i="2"/>
  <c r="P62" i="2"/>
  <c r="P66" i="2"/>
  <c r="AC80" i="2"/>
  <c r="P80" i="2"/>
  <c r="X13" i="2"/>
  <c r="O14" i="2"/>
  <c r="O21" i="2"/>
  <c r="O49" i="2"/>
  <c r="O56" i="2"/>
  <c r="AC61" i="2"/>
  <c r="P63" i="2"/>
  <c r="AC65" i="2"/>
  <c r="P67" i="2"/>
  <c r="AC67" i="2"/>
  <c r="P68" i="2"/>
  <c r="O68" i="2"/>
  <c r="P70" i="2"/>
  <c r="O73" i="2"/>
  <c r="O81" i="2"/>
  <c r="P84" i="2"/>
  <c r="AC102" i="2"/>
  <c r="P102" i="2"/>
  <c r="O102" i="2"/>
  <c r="O13" i="2"/>
  <c r="O26" i="2"/>
  <c r="O30" i="2"/>
  <c r="P35" i="2"/>
  <c r="O39" i="2"/>
  <c r="O43" i="2"/>
  <c r="O48" i="2"/>
  <c r="O55" i="2"/>
  <c r="O59" i="2"/>
  <c r="P74" i="2"/>
  <c r="AC87" i="2"/>
  <c r="P87" i="2"/>
  <c r="O87" i="2"/>
  <c r="P89" i="2"/>
  <c r="AC106" i="2"/>
  <c r="P106" i="2"/>
  <c r="O106" i="2"/>
  <c r="P113" i="2"/>
  <c r="P125" i="2"/>
  <c r="AC125" i="2"/>
  <c r="P26" i="2"/>
  <c r="P30" i="2"/>
  <c r="P39" i="2"/>
  <c r="P43" i="2"/>
  <c r="O72" i="2"/>
  <c r="AC73" i="2"/>
  <c r="AC75" i="2"/>
  <c r="P75" i="2"/>
  <c r="AC90" i="2"/>
  <c r="P90" i="2"/>
  <c r="P92" i="2"/>
  <c r="AC110" i="2"/>
  <c r="P110" i="2"/>
  <c r="O110" i="2"/>
  <c r="P114" i="2"/>
  <c r="P121" i="2"/>
  <c r="O61" i="2"/>
  <c r="O74" i="2"/>
  <c r="O79" i="2"/>
  <c r="O89" i="2"/>
  <c r="AC92" i="2"/>
  <c r="AC93" i="2"/>
  <c r="O98" i="2"/>
  <c r="P99" i="2"/>
  <c r="AC100" i="2"/>
  <c r="P104" i="2"/>
  <c r="AC104" i="2"/>
  <c r="P108" i="2"/>
  <c r="AC108" i="2"/>
  <c r="O112" i="2"/>
  <c r="O113" i="2"/>
  <c r="O114" i="2"/>
  <c r="O115" i="2"/>
  <c r="O116" i="2"/>
  <c r="O117" i="2"/>
  <c r="P118" i="2"/>
  <c r="AC119" i="2"/>
  <c r="O122" i="2"/>
  <c r="O140" i="2"/>
  <c r="O78" i="2"/>
  <c r="O85" i="2"/>
  <c r="O97" i="2"/>
  <c r="AC99" i="2"/>
  <c r="O103" i="2"/>
  <c r="O107" i="2"/>
  <c r="O111" i="2"/>
  <c r="AC118" i="2"/>
  <c r="AC127" i="2"/>
  <c r="P127" i="2"/>
  <c r="P85" i="2"/>
  <c r="P103" i="2"/>
  <c r="P107" i="2"/>
  <c r="P123" i="2"/>
  <c r="O123" i="2"/>
  <c r="O128" i="2"/>
  <c r="AC134" i="2"/>
  <c r="P134" i="2"/>
  <c r="P141" i="2"/>
  <c r="O65" i="2"/>
  <c r="O82" i="2"/>
  <c r="O95" i="2"/>
  <c r="O121" i="2"/>
  <c r="AC121" i="2"/>
  <c r="P122" i="2"/>
  <c r="AC124" i="2"/>
  <c r="P124" i="2"/>
  <c r="AC144" i="2"/>
  <c r="P144" i="2"/>
  <c r="O144" i="2"/>
  <c r="P150" i="2"/>
  <c r="O150" i="2"/>
  <c r="O76" i="2"/>
  <c r="O94" i="2"/>
  <c r="AC120" i="2"/>
  <c r="P120" i="2"/>
  <c r="O125" i="2"/>
  <c r="AC143" i="2"/>
  <c r="P143" i="2"/>
  <c r="O143" i="2"/>
  <c r="P71" i="2"/>
  <c r="P76" i="2"/>
  <c r="P101" i="2"/>
  <c r="P105" i="2"/>
  <c r="P109" i="2"/>
  <c r="P126" i="2"/>
  <c r="AC131" i="2"/>
  <c r="O131" i="2"/>
  <c r="O134" i="2"/>
  <c r="AC135" i="2"/>
  <c r="P136" i="2"/>
  <c r="AC137" i="2"/>
  <c r="P137" i="2"/>
  <c r="O126" i="2"/>
  <c r="AC128" i="2"/>
  <c r="O133" i="2"/>
  <c r="O139" i="2"/>
  <c r="AC140" i="2"/>
  <c r="AC153" i="2"/>
  <c r="P153" i="2"/>
  <c r="AC158" i="2"/>
  <c r="P158" i="2"/>
  <c r="P169" i="2"/>
  <c r="O132" i="2"/>
  <c r="P133" i="2"/>
  <c r="O138" i="2"/>
  <c r="P139" i="2"/>
  <c r="AC139" i="2"/>
  <c r="O145" i="2"/>
  <c r="O154" i="2"/>
  <c r="O159" i="2"/>
  <c r="AC162" i="2"/>
  <c r="P162" i="2"/>
  <c r="AC175" i="2"/>
  <c r="P175" i="2"/>
  <c r="O175" i="2"/>
  <c r="P145" i="2"/>
  <c r="P147" i="2"/>
  <c r="AC163" i="2"/>
  <c r="AC177" i="2"/>
  <c r="P177" i="2"/>
  <c r="O177" i="2"/>
  <c r="AC185" i="2"/>
  <c r="P185" i="2"/>
  <c r="O185" i="2"/>
  <c r="O148" i="2"/>
  <c r="AC149" i="2"/>
  <c r="O149" i="2"/>
  <c r="O180" i="2"/>
  <c r="AC180" i="2"/>
  <c r="O130" i="2"/>
  <c r="O136" i="2"/>
  <c r="O142" i="2"/>
  <c r="O156" i="2"/>
  <c r="AC159" i="2"/>
  <c r="O237" i="2"/>
  <c r="P237" i="2"/>
  <c r="AC237" i="2"/>
  <c r="P130" i="2"/>
  <c r="P161" i="2"/>
  <c r="O147" i="2"/>
  <c r="P149" i="2"/>
  <c r="AC150" i="2"/>
  <c r="AC157" i="2"/>
  <c r="P157" i="2"/>
  <c r="P163" i="2"/>
  <c r="P165" i="2"/>
  <c r="P205" i="2"/>
  <c r="AC154" i="2"/>
  <c r="O160" i="2"/>
  <c r="O161" i="2"/>
  <c r="O165" i="2"/>
  <c r="P168" i="2"/>
  <c r="O168" i="2"/>
  <c r="P173" i="2"/>
  <c r="AC192" i="2"/>
  <c r="P195" i="2"/>
  <c r="AC196" i="2"/>
  <c r="P196" i="2"/>
  <c r="AC199" i="2"/>
  <c r="AC206" i="2"/>
  <c r="P206" i="2"/>
  <c r="AC217" i="2"/>
  <c r="P217" i="2"/>
  <c r="O217" i="2"/>
  <c r="P160" i="2"/>
  <c r="P171" i="2"/>
  <c r="AC176" i="2"/>
  <c r="P181" i="2"/>
  <c r="O181" i="2"/>
  <c r="P183" i="2"/>
  <c r="O183" i="2"/>
  <c r="O188" i="2"/>
  <c r="O194" i="2"/>
  <c r="AC200" i="2"/>
  <c r="P200" i="2"/>
  <c r="O200" i="2"/>
  <c r="AC216" i="2"/>
  <c r="P216" i="2"/>
  <c r="O216" i="2"/>
  <c r="O167" i="2"/>
  <c r="AA171" i="2"/>
  <c r="O171" i="2"/>
  <c r="AC172" i="2"/>
  <c r="P172" i="2"/>
  <c r="O172" i="2"/>
  <c r="P187" i="2"/>
  <c r="AC189" i="2"/>
  <c r="P189" i="2"/>
  <c r="O189" i="2"/>
  <c r="AC214" i="2"/>
  <c r="P214" i="2"/>
  <c r="O214" i="2"/>
  <c r="AC215" i="2"/>
  <c r="AC238" i="2"/>
  <c r="P238" i="2"/>
  <c r="O238" i="2"/>
  <c r="O179" i="2"/>
  <c r="AC201" i="2"/>
  <c r="P201" i="2"/>
  <c r="O201" i="2"/>
  <c r="O203" i="2"/>
  <c r="AC212" i="2"/>
  <c r="P212" i="2"/>
  <c r="AC222" i="2"/>
  <c r="P222" i="2"/>
  <c r="O222" i="2"/>
  <c r="AC169" i="2"/>
  <c r="O169" i="2"/>
  <c r="AC171" i="2"/>
  <c r="AA172" i="2"/>
  <c r="AC173" i="2"/>
  <c r="AC186" i="2"/>
  <c r="O186" i="2"/>
  <c r="AC188" i="2"/>
  <c r="P190" i="2"/>
  <c r="P192" i="2"/>
  <c r="AC202" i="2"/>
  <c r="P202" i="2"/>
  <c r="O202" i="2"/>
  <c r="O206" i="2"/>
  <c r="AC208" i="2"/>
  <c r="P208" i="2"/>
  <c r="O208" i="2"/>
  <c r="O211" i="2"/>
  <c r="AC223" i="2"/>
  <c r="O155" i="2"/>
  <c r="P156" i="2"/>
  <c r="AC178" i="2"/>
  <c r="P182" i="2"/>
  <c r="O182" i="2"/>
  <c r="AC184" i="2"/>
  <c r="P184" i="2"/>
  <c r="O184" i="2"/>
  <c r="P194" i="2"/>
  <c r="AC198" i="2"/>
  <c r="P198" i="2"/>
  <c r="AC204" i="2"/>
  <c r="P204" i="2"/>
  <c r="AC220" i="2"/>
  <c r="P220" i="2"/>
  <c r="P167" i="2"/>
  <c r="AA167" i="2"/>
  <c r="O176" i="2"/>
  <c r="P180" i="2"/>
  <c r="AC181" i="2"/>
  <c r="AC183" i="2"/>
  <c r="O187" i="2"/>
  <c r="AC193" i="2"/>
  <c r="P193" i="2"/>
  <c r="O193" i="2"/>
  <c r="AC197" i="2"/>
  <c r="O205" i="2"/>
  <c r="AC209" i="2"/>
  <c r="P209" i="2"/>
  <c r="O209" i="2"/>
  <c r="O219" i="2"/>
  <c r="AC170" i="2"/>
  <c r="O173" i="2"/>
  <c r="O221" i="2"/>
  <c r="O224" i="2"/>
  <c r="AC229" i="2"/>
  <c r="AC231" i="2"/>
  <c r="P231" i="2"/>
  <c r="O231" i="2"/>
  <c r="AC246" i="2"/>
  <c r="P246" i="2"/>
  <c r="P213" i="2"/>
  <c r="AC213" i="2"/>
  <c r="P221" i="2"/>
  <c r="P224" i="2"/>
  <c r="AC239" i="2"/>
  <c r="P239" i="2"/>
  <c r="O239" i="2"/>
  <c r="AC244" i="2"/>
  <c r="O258" i="2"/>
  <c r="AC258" i="2"/>
  <c r="P258" i="2"/>
  <c r="O199" i="2"/>
  <c r="O207" i="2"/>
  <c r="O215" i="2"/>
  <c r="P223" i="2"/>
  <c r="AC226" i="2"/>
  <c r="P226" i="2"/>
  <c r="O226" i="2"/>
  <c r="AC233" i="2"/>
  <c r="P233" i="2"/>
  <c r="O250" i="2"/>
  <c r="P250" i="2"/>
  <c r="AC250" i="2"/>
  <c r="AC276" i="2"/>
  <c r="P276" i="2"/>
  <c r="O276" i="2"/>
  <c r="P199" i="2"/>
  <c r="P207" i="2"/>
  <c r="P215" i="2"/>
  <c r="AC227" i="2"/>
  <c r="P227" i="2"/>
  <c r="O227" i="2"/>
  <c r="AC232" i="2"/>
  <c r="AC234" i="2"/>
  <c r="P234" i="2"/>
  <c r="O234" i="2"/>
  <c r="P232" i="2"/>
  <c r="AC235" i="2"/>
  <c r="P235" i="2"/>
  <c r="O235" i="2"/>
  <c r="AC241" i="2"/>
  <c r="P241" i="2"/>
  <c r="O246" i="2"/>
  <c r="AC279" i="2"/>
  <c r="P279" i="2"/>
  <c r="O279" i="2"/>
  <c r="P240" i="2"/>
  <c r="AC242" i="2"/>
  <c r="P242" i="2"/>
  <c r="O242" i="2"/>
  <c r="O223" i="2"/>
  <c r="AC225" i="2"/>
  <c r="P225" i="2"/>
  <c r="AC228" i="2"/>
  <c r="O229" i="2"/>
  <c r="AC230" i="2"/>
  <c r="P230" i="2"/>
  <c r="AC243" i="2"/>
  <c r="P243" i="2"/>
  <c r="O243" i="2"/>
  <c r="AC253" i="2"/>
  <c r="P253" i="2"/>
  <c r="O253" i="2"/>
  <c r="O267" i="2"/>
  <c r="AC267" i="2"/>
  <c r="AC271" i="2"/>
  <c r="P271" i="2"/>
  <c r="O271" i="2"/>
  <c r="O248" i="2"/>
  <c r="AC249" i="2"/>
  <c r="P249" i="2"/>
  <c r="O256" i="2"/>
  <c r="AC263" i="2"/>
  <c r="O263" i="2"/>
  <c r="AC264" i="2"/>
  <c r="P264" i="2"/>
  <c r="O264" i="2"/>
  <c r="AC266" i="2"/>
  <c r="P266" i="2"/>
  <c r="O266" i="2"/>
  <c r="O275" i="2"/>
  <c r="P275" i="2"/>
  <c r="AC275" i="2"/>
  <c r="P283" i="2"/>
  <c r="AC283" i="2"/>
  <c r="O283" i="2"/>
  <c r="AC251" i="2"/>
  <c r="P251" i="2"/>
  <c r="AC254" i="2"/>
  <c r="P254" i="2"/>
  <c r="O254" i="2"/>
  <c r="AC259" i="2"/>
  <c r="P259" i="2"/>
  <c r="AC261" i="2"/>
  <c r="P261" i="2"/>
  <c r="P280" i="2"/>
  <c r="O280" i="2"/>
  <c r="AC280" i="2"/>
  <c r="O297" i="2"/>
  <c r="P297" i="2"/>
  <c r="AC297" i="2"/>
  <c r="AC247" i="2"/>
  <c r="P247" i="2"/>
  <c r="O247" i="2"/>
  <c r="AC256" i="2"/>
  <c r="P263" i="2"/>
  <c r="P267" i="2"/>
  <c r="AC274" i="2"/>
  <c r="P274" i="2"/>
  <c r="O274" i="2"/>
  <c r="O228" i="2"/>
  <c r="O236" i="2"/>
  <c r="O244" i="2"/>
  <c r="AC248" i="2"/>
  <c r="P256" i="2"/>
  <c r="AC257" i="2"/>
  <c r="P257" i="2"/>
  <c r="O260" i="2"/>
  <c r="AC262" i="2"/>
  <c r="O262" i="2"/>
  <c r="P228" i="2"/>
  <c r="P236" i="2"/>
  <c r="P244" i="2"/>
  <c r="AC255" i="2"/>
  <c r="P255" i="2"/>
  <c r="O255" i="2"/>
  <c r="P268" i="2"/>
  <c r="P281" i="2"/>
  <c r="O281" i="2"/>
  <c r="AC299" i="2"/>
  <c r="P299" i="2"/>
  <c r="O299" i="2"/>
  <c r="O252" i="2"/>
  <c r="P269" i="2"/>
  <c r="O270" i="2"/>
  <c r="AC265" i="2"/>
  <c r="P265" i="2"/>
  <c r="O265" i="2"/>
  <c r="AC295" i="2"/>
  <c r="P295" i="2"/>
  <c r="O295" i="2"/>
  <c r="AC296" i="2"/>
  <c r="P296" i="2"/>
  <c r="O296" i="2"/>
  <c r="AC278" i="2"/>
  <c r="P278" i="2"/>
  <c r="O285" i="2"/>
  <c r="O289" i="2"/>
  <c r="P289" i="2"/>
  <c r="AC289" i="2"/>
  <c r="AC273" i="2"/>
  <c r="P273" i="2"/>
  <c r="O273" i="2"/>
  <c r="O278" i="2"/>
  <c r="AC282" i="2"/>
  <c r="P282" i="2"/>
  <c r="O282" i="2"/>
  <c r="AC287" i="2"/>
  <c r="P287" i="2"/>
  <c r="O287" i="2"/>
  <c r="AC272" i="2"/>
  <c r="P272" i="2"/>
  <c r="O272" i="2"/>
  <c r="O277" i="2"/>
  <c r="AC277" i="2"/>
  <c r="AC298" i="2"/>
  <c r="P298" i="2"/>
  <c r="O298" i="2"/>
  <c r="AC300" i="2"/>
  <c r="P300" i="2"/>
  <c r="O300" i="2"/>
  <c r="P305" i="2"/>
  <c r="O305" i="2"/>
  <c r="AC294" i="2"/>
  <c r="P294" i="2"/>
  <c r="O294" i="2"/>
  <c r="P323" i="2"/>
  <c r="AC323" i="2"/>
  <c r="AC288" i="2"/>
  <c r="P288" i="2"/>
  <c r="O288" i="2"/>
  <c r="AC285" i="2"/>
  <c r="P285" i="2"/>
  <c r="AC286" i="2"/>
  <c r="P286" i="2"/>
  <c r="O286" i="2"/>
  <c r="AC301" i="2"/>
  <c r="P301" i="2"/>
  <c r="O301" i="2"/>
  <c r="P304" i="2"/>
  <c r="AC304" i="2"/>
  <c r="O304" i="2"/>
  <c r="O284" i="2"/>
  <c r="H308" i="2"/>
  <c r="G309" i="2"/>
  <c r="AC322" i="2"/>
  <c r="P324" i="2"/>
  <c r="P293" i="2"/>
  <c r="AC302" i="2"/>
  <c r="AC326" i="2"/>
  <c r="P327" i="2"/>
  <c r="P303" i="2"/>
  <c r="H307" i="2"/>
  <c r="P322" i="2"/>
  <c r="P306" i="2"/>
  <c r="P325" i="2"/>
  <c r="AC327" i="2"/>
  <c r="S7" i="3" l="1"/>
  <c r="W7" i="3"/>
  <c r="V7" i="3"/>
  <c r="R7" i="3"/>
  <c r="Y7" i="3" s="1"/>
  <c r="U7" i="3"/>
  <c r="Q7" i="3"/>
  <c r="T7" i="3"/>
  <c r="X7" i="3" s="1"/>
  <c r="R15" i="3"/>
  <c r="V15" i="3"/>
  <c r="X15" i="3" s="1"/>
  <c r="D20" i="3"/>
  <c r="G20" i="3"/>
  <c r="I20" i="3" s="1"/>
  <c r="AC46" i="2"/>
  <c r="AN265" i="2"/>
  <c r="V21" i="3"/>
  <c r="R21" i="3"/>
  <c r="Q21" i="3"/>
  <c r="Y10" i="3"/>
  <c r="AN231" i="2"/>
  <c r="AN268" i="2"/>
  <c r="Y22" i="3"/>
  <c r="W15" i="3"/>
  <c r="R13" i="3"/>
  <c r="S15" i="3"/>
  <c r="G14" i="3"/>
  <c r="I14" i="3" s="1"/>
  <c r="D14" i="3"/>
  <c r="AN244" i="2"/>
  <c r="X19" i="3"/>
  <c r="U13" i="3"/>
  <c r="W23" i="3"/>
  <c r="T23" i="3"/>
  <c r="X23" i="3" s="1"/>
  <c r="V13" i="3"/>
  <c r="S13" i="3"/>
  <c r="T15" i="3"/>
  <c r="S21" i="3"/>
  <c r="T10" i="3"/>
  <c r="G17" i="3"/>
  <c r="I17" i="3" s="1"/>
  <c r="D17" i="3"/>
  <c r="I12" i="3"/>
  <c r="I8" i="3"/>
  <c r="AN262" i="2"/>
  <c r="AN251" i="2"/>
  <c r="AN253" i="2"/>
  <c r="AN288" i="2"/>
  <c r="AN255" i="2"/>
  <c r="AN198" i="2"/>
  <c r="AN230" i="2"/>
  <c r="U21" i="3"/>
  <c r="X21" i="3" s="1"/>
  <c r="V10" i="3"/>
  <c r="X10" i="3" s="1"/>
  <c r="X27" i="3"/>
  <c r="X25" i="3"/>
  <c r="AN256" i="2"/>
  <c r="W13" i="3"/>
  <c r="Y18" i="3"/>
  <c r="AN261" i="2"/>
  <c r="Q15" i="3"/>
  <c r="Y15" i="3" s="1"/>
  <c r="X9" i="3"/>
  <c r="R10" i="3"/>
  <c r="I11" i="3"/>
  <c r="I16" i="3"/>
  <c r="X28" i="3"/>
  <c r="X6" i="3"/>
  <c r="Y6" i="3"/>
  <c r="Y26" i="3"/>
  <c r="X18" i="3"/>
  <c r="Y28" i="3"/>
  <c r="X22" i="3"/>
  <c r="Y23" i="3"/>
  <c r="Y13" i="3"/>
  <c r="X26" i="3"/>
  <c r="Y9" i="3"/>
  <c r="Y19" i="3"/>
  <c r="Y21" i="3"/>
  <c r="Y24" i="3"/>
  <c r="Y25" i="3"/>
  <c r="R242" i="2"/>
  <c r="AN289" i="2"/>
  <c r="AN295" i="2"/>
  <c r="R204" i="2"/>
  <c r="R243" i="2"/>
  <c r="R248" i="2"/>
  <c r="AI248" i="2" s="1"/>
  <c r="AY248" i="2" s="1"/>
  <c r="AN299" i="2"/>
  <c r="AN208" i="2"/>
  <c r="AN241" i="2"/>
  <c r="AN266" i="2"/>
  <c r="AN250" i="2"/>
  <c r="AN46" i="2"/>
  <c r="AN205" i="2"/>
  <c r="R231" i="2"/>
  <c r="AN291" i="2"/>
  <c r="AN246" i="2"/>
  <c r="R194" i="2"/>
  <c r="R237" i="2"/>
  <c r="AN281" i="2"/>
  <c r="AN215" i="2"/>
  <c r="AN270" i="2"/>
  <c r="AN263" i="2"/>
  <c r="AN207" i="2"/>
  <c r="AN277" i="2"/>
  <c r="AN243" i="2"/>
  <c r="AN232" i="2"/>
  <c r="AN269" i="2"/>
  <c r="AN199" i="2"/>
  <c r="AN229" i="2"/>
  <c r="AN258" i="2"/>
  <c r="R230" i="2"/>
  <c r="AI230" i="2" s="1"/>
  <c r="AZ230" i="2" s="1"/>
  <c r="R249" i="2"/>
  <c r="AN206" i="2"/>
  <c r="AN274" i="2"/>
  <c r="AN276" i="2"/>
  <c r="R236" i="2"/>
  <c r="AI236" i="2" s="1"/>
  <c r="BA236" i="2" s="1"/>
  <c r="R247" i="2"/>
  <c r="AI247" i="2" s="1"/>
  <c r="O46" i="2"/>
  <c r="R201" i="2"/>
  <c r="AI201" i="2" s="1"/>
  <c r="AS201" i="2" s="1"/>
  <c r="R244" i="2"/>
  <c r="AI244" i="2" s="1"/>
  <c r="AN301" i="2"/>
  <c r="AN287" i="2"/>
  <c r="AN280" i="2"/>
  <c r="AN201" i="2"/>
  <c r="P46" i="2"/>
  <c r="AN300" i="2"/>
  <c r="AN245" i="2"/>
  <c r="AN217" i="2"/>
  <c r="AN216" i="2"/>
  <c r="AN214" i="2"/>
  <c r="AN194" i="2"/>
  <c r="AN220" i="2"/>
  <c r="AN279" i="2"/>
  <c r="AN200" i="2"/>
  <c r="AN278" i="2"/>
  <c r="AN282" i="2"/>
  <c r="AI101" i="2"/>
  <c r="AS101" i="2" s="1"/>
  <c r="AN275" i="2"/>
  <c r="AN213" i="2"/>
  <c r="AI324" i="2"/>
  <c r="AR324" i="2" s="1"/>
  <c r="AN259" i="2"/>
  <c r="AN271" i="2"/>
  <c r="AN248" i="2"/>
  <c r="AN195" i="2"/>
  <c r="AN211" i="2"/>
  <c r="AN272" i="2"/>
  <c r="AN225" i="2"/>
  <c r="AN202" i="2"/>
  <c r="AI49" i="2"/>
  <c r="AR49" i="2" s="1"/>
  <c r="R235" i="2"/>
  <c r="AI235" i="2" s="1"/>
  <c r="R198" i="2"/>
  <c r="AI198" i="2" s="1"/>
  <c r="R254" i="2"/>
  <c r="AI254" i="2" s="1"/>
  <c r="R232" i="2"/>
  <c r="R252" i="2"/>
  <c r="AI252" i="2" s="1"/>
  <c r="BA252" i="2" s="1"/>
  <c r="AN257" i="2"/>
  <c r="X24" i="3"/>
  <c r="R196" i="2"/>
  <c r="AI196" i="2" s="1"/>
  <c r="AQ196" i="2" s="1"/>
  <c r="R206" i="2"/>
  <c r="AI206" i="2" s="1"/>
  <c r="R229" i="2"/>
  <c r="AI229" i="2" s="1"/>
  <c r="R240" i="2"/>
  <c r="AI240" i="2" s="1"/>
  <c r="R253" i="2"/>
  <c r="AI253" i="2" s="1"/>
  <c r="AX253" i="2" s="1"/>
  <c r="AN264" i="2"/>
  <c r="AN212" i="2"/>
  <c r="AN227" i="2"/>
  <c r="AI141" i="2"/>
  <c r="AY141" i="2" s="1"/>
  <c r="AI97" i="2"/>
  <c r="AR97" i="2" s="1"/>
  <c r="R203" i="2"/>
  <c r="AI203" i="2" s="1"/>
  <c r="AP203" i="2" s="1"/>
  <c r="R256" i="2"/>
  <c r="R199" i="2"/>
  <c r="R245" i="2"/>
  <c r="AI245" i="2" s="1"/>
  <c r="AX245" i="2" s="1"/>
  <c r="R233" i="2"/>
  <c r="R255" i="2"/>
  <c r="AI255" i="2" s="1"/>
  <c r="AN233" i="2"/>
  <c r="AN285" i="2"/>
  <c r="AN237" i="2"/>
  <c r="AN209" i="2"/>
  <c r="AI115" i="2"/>
  <c r="BA115" i="2" s="1"/>
  <c r="R195" i="2"/>
  <c r="AI195" i="2" s="1"/>
  <c r="AX195" i="2" s="1"/>
  <c r="R197" i="2"/>
  <c r="AI197" i="2" s="1"/>
  <c r="R238" i="2"/>
  <c r="AI238" i="2" s="1"/>
  <c r="AO238" i="2" s="1"/>
  <c r="R251" i="2"/>
  <c r="AI251" i="2" s="1"/>
  <c r="AR251" i="2" s="1"/>
  <c r="R241" i="2"/>
  <c r="AI241" i="2" s="1"/>
  <c r="AR241" i="2" s="1"/>
  <c r="R301" i="2"/>
  <c r="AI301" i="2" s="1"/>
  <c r="AV301" i="2" s="1"/>
  <c r="R193" i="2"/>
  <c r="R205" i="2"/>
  <c r="AI205" i="2" s="1"/>
  <c r="R200" i="2"/>
  <c r="AI200" i="2" s="1"/>
  <c r="R246" i="2"/>
  <c r="AI290" i="2"/>
  <c r="AX290" i="2" s="1"/>
  <c r="AN273" i="2"/>
  <c r="AN298" i="2"/>
  <c r="AN235" i="2"/>
  <c r="AN236" i="2"/>
  <c r="AN290" i="2"/>
  <c r="AI302" i="2"/>
  <c r="AV302" i="2" s="1"/>
  <c r="AI109" i="2"/>
  <c r="AP109" i="2" s="1"/>
  <c r="AI82" i="2"/>
  <c r="AS82" i="2" s="1"/>
  <c r="AI21" i="2"/>
  <c r="AP21" i="2" s="1"/>
  <c r="AI325" i="2"/>
  <c r="AY325" i="2" s="1"/>
  <c r="AI306" i="2"/>
  <c r="AI130" i="2"/>
  <c r="AQ130" i="2" s="1"/>
  <c r="AI155" i="2"/>
  <c r="AQ155" i="2" s="1"/>
  <c r="AI264" i="2"/>
  <c r="AO264" i="2" s="1"/>
  <c r="AI279" i="2"/>
  <c r="AX279" i="2" s="1"/>
  <c r="AI104" i="2"/>
  <c r="AW104" i="2" s="1"/>
  <c r="AI157" i="2"/>
  <c r="AX157" i="2" s="1"/>
  <c r="AN239" i="2"/>
  <c r="AI270" i="2"/>
  <c r="AW270" i="2" s="1"/>
  <c r="AI323" i="2"/>
  <c r="AZ323" i="2" s="1"/>
  <c r="AI153" i="2"/>
  <c r="BA153" i="2" s="1"/>
  <c r="AI151" i="2"/>
  <c r="AO151" i="2" s="1"/>
  <c r="AI291" i="2"/>
  <c r="AO291" i="2" s="1"/>
  <c r="AI146" i="2"/>
  <c r="AV146" i="2" s="1"/>
  <c r="AI190" i="2"/>
  <c r="AS190" i="2" s="1"/>
  <c r="AI135" i="2"/>
  <c r="AZ135" i="2" s="1"/>
  <c r="AI94" i="2"/>
  <c r="AS94" i="2" s="1"/>
  <c r="AI78" i="2"/>
  <c r="BA78" i="2" s="1"/>
  <c r="AI35" i="2"/>
  <c r="AQ35" i="2" s="1"/>
  <c r="AI45" i="2"/>
  <c r="AQ45" i="2" s="1"/>
  <c r="AI69" i="2"/>
  <c r="AO69" i="2" s="1"/>
  <c r="AI81" i="2"/>
  <c r="AR81" i="2" s="1"/>
  <c r="AI133" i="2"/>
  <c r="BA133" i="2" s="1"/>
  <c r="AI111" i="2"/>
  <c r="AO111" i="2" s="1"/>
  <c r="AI93" i="2"/>
  <c r="AR93" i="2" s="1"/>
  <c r="AI71" i="2"/>
  <c r="AS71" i="2" s="1"/>
  <c r="AI284" i="2"/>
  <c r="AO284" i="2" s="1"/>
  <c r="AI283" i="2"/>
  <c r="AP283" i="2" s="1"/>
  <c r="AI148" i="2"/>
  <c r="AR148" i="2" s="1"/>
  <c r="AI326" i="2"/>
  <c r="AV326" i="2" s="1"/>
  <c r="AI213" i="2"/>
  <c r="AI224" i="2"/>
  <c r="AZ224" i="2" s="1"/>
  <c r="AI204" i="2"/>
  <c r="AZ204" i="2" s="1"/>
  <c r="AI182" i="2"/>
  <c r="AR182" i="2" s="1"/>
  <c r="AI304" i="2"/>
  <c r="AY304" i="2" s="1"/>
  <c r="AI288" i="2"/>
  <c r="AZ288" i="2" s="1"/>
  <c r="AI257" i="2"/>
  <c r="BA257" i="2" s="1"/>
  <c r="AI266" i="2"/>
  <c r="AR266" i="2" s="1"/>
  <c r="AI249" i="2"/>
  <c r="AY249" i="2" s="1"/>
  <c r="AI132" i="2"/>
  <c r="AR132" i="2" s="1"/>
  <c r="AI143" i="2"/>
  <c r="AX143" i="2" s="1"/>
  <c r="AI34" i="2"/>
  <c r="AW34" i="2" s="1"/>
  <c r="AI12" i="2"/>
  <c r="AV12" i="2" s="1"/>
  <c r="AI122" i="2"/>
  <c r="AY122" i="2" s="1"/>
  <c r="AI292" i="2"/>
  <c r="AV292" i="2" s="1"/>
  <c r="AI212" i="2"/>
  <c r="AO212" i="2" s="1"/>
  <c r="AI173" i="2"/>
  <c r="AI156" i="2"/>
  <c r="AO156" i="2" s="1"/>
  <c r="AI112" i="2"/>
  <c r="AZ112" i="2" s="1"/>
  <c r="AI277" i="2"/>
  <c r="AO277" i="2" s="1"/>
  <c r="AI272" i="2"/>
  <c r="AR272" i="2" s="1"/>
  <c r="AI282" i="2"/>
  <c r="AS282" i="2" s="1"/>
  <c r="AI231" i="2"/>
  <c r="AR231" i="2" s="1"/>
  <c r="AI125" i="2"/>
  <c r="AV125" i="2" s="1"/>
  <c r="AI179" i="2"/>
  <c r="BA179" i="2" s="1"/>
  <c r="AI152" i="2"/>
  <c r="BA152" i="2" s="1"/>
  <c r="AI164" i="2"/>
  <c r="AW164" i="2" s="1"/>
  <c r="AI120" i="2"/>
  <c r="AZ120" i="2" s="1"/>
  <c r="AI191" i="2"/>
  <c r="AW191" i="2" s="1"/>
  <c r="AI293" i="2"/>
  <c r="AS293" i="2" s="1"/>
  <c r="AI223" i="2"/>
  <c r="BA223" i="2" s="1"/>
  <c r="AI33" i="2"/>
  <c r="BA33" i="2" s="1"/>
  <c r="AI178" i="2"/>
  <c r="BA178" i="2" s="1"/>
  <c r="AI262" i="2"/>
  <c r="AX262" i="2" s="1"/>
  <c r="AI168" i="2"/>
  <c r="AO168" i="2" s="1"/>
  <c r="AI102" i="2"/>
  <c r="AS102" i="2" s="1"/>
  <c r="AI51" i="2"/>
  <c r="AV51" i="2" s="1"/>
  <c r="AI300" i="2"/>
  <c r="AQ300" i="2" s="1"/>
  <c r="AI281" i="2"/>
  <c r="AX281" i="2" s="1"/>
  <c r="AI259" i="2"/>
  <c r="AI181" i="2"/>
  <c r="AR181" i="2" s="1"/>
  <c r="AI147" i="2"/>
  <c r="AS147" i="2" s="1"/>
  <c r="AI142" i="2"/>
  <c r="BA142" i="2" s="1"/>
  <c r="AI145" i="2"/>
  <c r="AR145" i="2" s="1"/>
  <c r="AI116" i="2"/>
  <c r="AV116" i="2" s="1"/>
  <c r="AI79" i="2"/>
  <c r="AV79" i="2" s="1"/>
  <c r="AI59" i="2"/>
  <c r="AZ59" i="2" s="1"/>
  <c r="AI56" i="2"/>
  <c r="AI53" i="2"/>
  <c r="AO53" i="2" s="1"/>
  <c r="AI60" i="2"/>
  <c r="AQ60" i="2" s="1"/>
  <c r="AI150" i="2"/>
  <c r="AR150" i="2" s="1"/>
  <c r="AI48" i="2"/>
  <c r="AR48" i="2" s="1"/>
  <c r="AI62" i="2"/>
  <c r="AX62" i="2" s="1"/>
  <c r="AI44" i="2"/>
  <c r="AS44" i="2" s="1"/>
  <c r="AI215" i="2"/>
  <c r="AO215" i="2" s="1"/>
  <c r="AK310" i="2"/>
  <c r="AK311" i="2" s="1"/>
  <c r="AI269" i="2"/>
  <c r="AQ269" i="2" s="1"/>
  <c r="AI250" i="2"/>
  <c r="AX250" i="2" s="1"/>
  <c r="AI219" i="2"/>
  <c r="AR219" i="2" s="1"/>
  <c r="AI167" i="2"/>
  <c r="AR167" i="2" s="1"/>
  <c r="AI138" i="2"/>
  <c r="AW138" i="2" s="1"/>
  <c r="AI144" i="2"/>
  <c r="AY144" i="2" s="1"/>
  <c r="AI95" i="2"/>
  <c r="AR95" i="2" s="1"/>
  <c r="AI99" i="2"/>
  <c r="AO99" i="2" s="1"/>
  <c r="AI87" i="2"/>
  <c r="BA87" i="2" s="1"/>
  <c r="AI70" i="2"/>
  <c r="AQ70" i="2" s="1"/>
  <c r="AI47" i="2"/>
  <c r="AX47" i="2" s="1"/>
  <c r="AI31" i="2"/>
  <c r="AP31" i="2" s="1"/>
  <c r="AI40" i="2"/>
  <c r="AP40" i="2" s="1"/>
  <c r="AI185" i="2"/>
  <c r="AP185" i="2" s="1"/>
  <c r="AI298" i="2"/>
  <c r="AP298" i="2" s="1"/>
  <c r="AI105" i="2"/>
  <c r="AI287" i="2"/>
  <c r="AZ287" i="2" s="1"/>
  <c r="AI260" i="2"/>
  <c r="AP260" i="2" s="1"/>
  <c r="AI242" i="2"/>
  <c r="AY242" i="2" s="1"/>
  <c r="AI246" i="2"/>
  <c r="AX246" i="2" s="1"/>
  <c r="AI234" i="2"/>
  <c r="AX234" i="2" s="1"/>
  <c r="AI233" i="2"/>
  <c r="AW233" i="2" s="1"/>
  <c r="AI194" i="2"/>
  <c r="AS194" i="2" s="1"/>
  <c r="AI98" i="2"/>
  <c r="AW98" i="2" s="1"/>
  <c r="AI72" i="2"/>
  <c r="AQ72" i="2" s="1"/>
  <c r="AI16" i="2"/>
  <c r="AP16" i="2" s="1"/>
  <c r="AI18" i="2"/>
  <c r="AX18" i="2" s="1"/>
  <c r="AI91" i="2"/>
  <c r="AY91" i="2" s="1"/>
  <c r="AI218" i="2"/>
  <c r="AR218" i="2" s="1"/>
  <c r="AI25" i="2"/>
  <c r="AV25" i="2" s="1"/>
  <c r="AI41" i="2"/>
  <c r="AI170" i="2"/>
  <c r="AX170" i="2" s="1"/>
  <c r="AN308" i="2"/>
  <c r="AI299" i="2"/>
  <c r="AR299" i="2" s="1"/>
  <c r="AI280" i="2"/>
  <c r="AQ280" i="2" s="1"/>
  <c r="AI226" i="2"/>
  <c r="AY226" i="2" s="1"/>
  <c r="AI187" i="2"/>
  <c r="AP187" i="2" s="1"/>
  <c r="AI202" i="2"/>
  <c r="AS202" i="2" s="1"/>
  <c r="AI188" i="2"/>
  <c r="AI162" i="2"/>
  <c r="AO162" i="2" s="1"/>
  <c r="AI110" i="2"/>
  <c r="AS110" i="2" s="1"/>
  <c r="AI63" i="2"/>
  <c r="AX63" i="2" s="1"/>
  <c r="AI38" i="2"/>
  <c r="AV38" i="2" s="1"/>
  <c r="AI289" i="2"/>
  <c r="AS289" i="2" s="1"/>
  <c r="AI327" i="2"/>
  <c r="AI267" i="2"/>
  <c r="AI184" i="2"/>
  <c r="BA184" i="2" s="1"/>
  <c r="AI211" i="2"/>
  <c r="AX211" i="2" s="1"/>
  <c r="AI163" i="2"/>
  <c r="AP163" i="2" s="1"/>
  <c r="AI169" i="2"/>
  <c r="BA169" i="2" s="1"/>
  <c r="AI131" i="2"/>
  <c r="AV131" i="2" s="1"/>
  <c r="AI52" i="2"/>
  <c r="AW52" i="2" s="1"/>
  <c r="AI9" i="2"/>
  <c r="AO9" i="2" s="1"/>
  <c r="AI166" i="2"/>
  <c r="AY166" i="2" s="1"/>
  <c r="AI174" i="2"/>
  <c r="AS174" i="2" s="1"/>
  <c r="AI210" i="2"/>
  <c r="AX210" i="2" s="1"/>
  <c r="AI305" i="2"/>
  <c r="AX305" i="2" s="1"/>
  <c r="AI273" i="2"/>
  <c r="AR273" i="2" s="1"/>
  <c r="AI295" i="2"/>
  <c r="AP295" i="2" s="1"/>
  <c r="AI258" i="2"/>
  <c r="AP258" i="2" s="1"/>
  <c r="AI192" i="2"/>
  <c r="AZ192" i="2" s="1"/>
  <c r="AI216" i="2"/>
  <c r="AX216" i="2" s="1"/>
  <c r="AI158" i="2"/>
  <c r="AP158" i="2" s="1"/>
  <c r="AI128" i="2"/>
  <c r="AR128" i="2" s="1"/>
  <c r="AI123" i="2"/>
  <c r="AO123" i="2" s="1"/>
  <c r="AI114" i="2"/>
  <c r="AP114" i="2" s="1"/>
  <c r="AI100" i="2"/>
  <c r="AQ100" i="2" s="1"/>
  <c r="AI106" i="2"/>
  <c r="AZ106" i="2" s="1"/>
  <c r="AI30" i="2"/>
  <c r="AS30" i="2" s="1"/>
  <c r="AI80" i="2"/>
  <c r="AQ80" i="2" s="1"/>
  <c r="AI10" i="2"/>
  <c r="AO10" i="2" s="1"/>
  <c r="AI23" i="2"/>
  <c r="AR23" i="2" s="1"/>
  <c r="AI268" i="2"/>
  <c r="AX268" i="2" s="1"/>
  <c r="AI209" i="2"/>
  <c r="AI220" i="2"/>
  <c r="AQ220" i="2" s="1"/>
  <c r="AI165" i="2"/>
  <c r="AS165" i="2" s="1"/>
  <c r="AI136" i="2"/>
  <c r="AS136" i="2" s="1"/>
  <c r="AI113" i="2"/>
  <c r="AO113" i="2" s="1"/>
  <c r="AI74" i="2"/>
  <c r="AS74" i="2" s="1"/>
  <c r="AI26" i="2"/>
  <c r="AX26" i="2" s="1"/>
  <c r="AI67" i="2"/>
  <c r="BA67" i="2" s="1"/>
  <c r="AI75" i="2"/>
  <c r="AY75" i="2" s="1"/>
  <c r="AI73" i="2"/>
  <c r="BA73" i="2" s="1"/>
  <c r="AI129" i="2"/>
  <c r="AS129" i="2" s="1"/>
  <c r="AI140" i="2"/>
  <c r="AY140" i="2" s="1"/>
  <c r="AI124" i="2"/>
  <c r="AX124" i="2" s="1"/>
  <c r="AI225" i="2"/>
  <c r="AW225" i="2" s="1"/>
  <c r="AI274" i="2"/>
  <c r="AQ274" i="2" s="1"/>
  <c r="AI297" i="2"/>
  <c r="AI271" i="2"/>
  <c r="AI32" i="2"/>
  <c r="AO32" i="2" s="1"/>
  <c r="AI83" i="2"/>
  <c r="AS83" i="2" s="1"/>
  <c r="AI29" i="2"/>
  <c r="AW29" i="2" s="1"/>
  <c r="AI294" i="2"/>
  <c r="AS294" i="2" s="1"/>
  <c r="AI285" i="2"/>
  <c r="AV285" i="2" s="1"/>
  <c r="AI243" i="2"/>
  <c r="AZ243" i="2" s="1"/>
  <c r="AI232" i="2"/>
  <c r="BA232" i="2" s="1"/>
  <c r="AI239" i="2"/>
  <c r="AI221" i="2"/>
  <c r="AO221" i="2" s="1"/>
  <c r="AI172" i="2"/>
  <c r="AP172" i="2" s="1"/>
  <c r="AI217" i="2"/>
  <c r="AQ217" i="2" s="1"/>
  <c r="AI237" i="2"/>
  <c r="AQ237" i="2" s="1"/>
  <c r="AI175" i="2"/>
  <c r="AW175" i="2" s="1"/>
  <c r="AI139" i="2"/>
  <c r="AI137" i="2"/>
  <c r="AR137" i="2" s="1"/>
  <c r="AI76" i="2"/>
  <c r="AS76" i="2" s="1"/>
  <c r="AI65" i="2"/>
  <c r="AV65" i="2" s="1"/>
  <c r="AI61" i="2"/>
  <c r="AZ61" i="2" s="1"/>
  <c r="AI90" i="2"/>
  <c r="AS90" i="2" s="1"/>
  <c r="AI55" i="2"/>
  <c r="BA55" i="2" s="1"/>
  <c r="AI13" i="2"/>
  <c r="AS13" i="2" s="1"/>
  <c r="AI66" i="2"/>
  <c r="AZ66" i="2" s="1"/>
  <c r="AI15" i="2"/>
  <c r="AP15" i="2" s="1"/>
  <c r="AI22" i="2"/>
  <c r="AX22" i="2" s="1"/>
  <c r="AI322" i="2"/>
  <c r="AW322" i="2" s="1"/>
  <c r="AI228" i="2"/>
  <c r="BA228" i="2" s="1"/>
  <c r="AI275" i="2"/>
  <c r="AX275" i="2" s="1"/>
  <c r="AI222" i="2"/>
  <c r="AS222" i="2" s="1"/>
  <c r="AI214" i="2"/>
  <c r="AP214" i="2" s="1"/>
  <c r="AI183" i="2"/>
  <c r="AP183" i="2" s="1"/>
  <c r="AI161" i="2"/>
  <c r="AP161" i="2" s="1"/>
  <c r="AI177" i="2"/>
  <c r="AZ177" i="2" s="1"/>
  <c r="AI57" i="2"/>
  <c r="AZ57" i="2" s="1"/>
  <c r="AI42" i="2"/>
  <c r="AX42" i="2" s="1"/>
  <c r="AI19" i="2"/>
  <c r="AY19" i="2" s="1"/>
  <c r="AI58" i="2"/>
  <c r="BA58" i="2" s="1"/>
  <c r="AI24" i="2"/>
  <c r="BA24" i="2" s="1"/>
  <c r="AI207" i="2"/>
  <c r="AQ207" i="2" s="1"/>
  <c r="AI160" i="2"/>
  <c r="AR160" i="2" s="1"/>
  <c r="AI180" i="2"/>
  <c r="AZ180" i="2" s="1"/>
  <c r="AI118" i="2"/>
  <c r="AW118" i="2" s="1"/>
  <c r="AI286" i="2"/>
  <c r="AQ286" i="2" s="1"/>
  <c r="AI296" i="2"/>
  <c r="AY296" i="2" s="1"/>
  <c r="AI265" i="2"/>
  <c r="AZ265" i="2" s="1"/>
  <c r="AI261" i="2"/>
  <c r="AQ261" i="2" s="1"/>
  <c r="AI199" i="2"/>
  <c r="AW199" i="2" s="1"/>
  <c r="AI176" i="2"/>
  <c r="AV176" i="2" s="1"/>
  <c r="AI154" i="2"/>
  <c r="AO154" i="2" s="1"/>
  <c r="AI159" i="2"/>
  <c r="AS159" i="2" s="1"/>
  <c r="AI149" i="2"/>
  <c r="AP149" i="2" s="1"/>
  <c r="AI127" i="2"/>
  <c r="AW127" i="2" s="1"/>
  <c r="AI85" i="2"/>
  <c r="AZ85" i="2" s="1"/>
  <c r="AI117" i="2"/>
  <c r="AV117" i="2" s="1"/>
  <c r="AI108" i="2"/>
  <c r="AY108" i="2" s="1"/>
  <c r="AI17" i="2"/>
  <c r="AV17" i="2" s="1"/>
  <c r="AI119" i="2"/>
  <c r="AY119" i="2" s="1"/>
  <c r="AI50" i="2"/>
  <c r="AS50" i="2" s="1"/>
  <c r="AI77" i="2"/>
  <c r="AY77" i="2" s="1"/>
  <c r="AI27" i="2"/>
  <c r="AP27" i="2" s="1"/>
  <c r="AI7" i="2"/>
  <c r="AV7" i="2" s="1"/>
  <c r="AI303" i="2"/>
  <c r="AZ303" i="2" s="1"/>
  <c r="AI256" i="2"/>
  <c r="AW256" i="2" s="1"/>
  <c r="AI276" i="2"/>
  <c r="AQ276" i="2" s="1"/>
  <c r="AI193" i="2"/>
  <c r="BA193" i="2" s="1"/>
  <c r="AI189" i="2"/>
  <c r="AS189" i="2" s="1"/>
  <c r="AI171" i="2"/>
  <c r="AW171" i="2" s="1"/>
  <c r="AI134" i="2"/>
  <c r="AZ134" i="2" s="1"/>
  <c r="AI121" i="2"/>
  <c r="AV121" i="2" s="1"/>
  <c r="AI89" i="2"/>
  <c r="AO89" i="2" s="1"/>
  <c r="AI39" i="2"/>
  <c r="AP39" i="2" s="1"/>
  <c r="AI14" i="2"/>
  <c r="AP14" i="2" s="1"/>
  <c r="AI96" i="2"/>
  <c r="AS96" i="2" s="1"/>
  <c r="AI92" i="2"/>
  <c r="AX92" i="2" s="1"/>
  <c r="AI84" i="2"/>
  <c r="AS84" i="2" s="1"/>
  <c r="AI36" i="2"/>
  <c r="AZ36" i="2" s="1"/>
  <c r="AI54" i="2"/>
  <c r="AZ54" i="2" s="1"/>
  <c r="AI11" i="2"/>
  <c r="AP11" i="2" s="1"/>
  <c r="AI64" i="2"/>
  <c r="BA64" i="2" s="1"/>
  <c r="AI20" i="2"/>
  <c r="AS20" i="2" s="1"/>
  <c r="AS132" i="2"/>
  <c r="AZ132" i="2"/>
  <c r="BA71" i="2"/>
  <c r="AX71" i="2"/>
  <c r="AV71" i="2"/>
  <c r="AO33" i="2"/>
  <c r="AS281" i="2"/>
  <c r="AY35" i="2"/>
  <c r="AW35" i="2"/>
  <c r="AR35" i="2"/>
  <c r="AY72" i="2"/>
  <c r="AV72" i="2"/>
  <c r="AR72" i="2"/>
  <c r="AZ264" i="2"/>
  <c r="AS264" i="2"/>
  <c r="AP264" i="2"/>
  <c r="AR279" i="2"/>
  <c r="AO279" i="2"/>
  <c r="AX224" i="2"/>
  <c r="AP224" i="2"/>
  <c r="AR224" i="2"/>
  <c r="AS224" i="2"/>
  <c r="AQ224" i="2"/>
  <c r="BA224" i="2"/>
  <c r="AY224" i="2"/>
  <c r="AW224" i="2"/>
  <c r="BA130" i="2"/>
  <c r="AS130" i="2"/>
  <c r="AY130" i="2"/>
  <c r="AX130" i="2"/>
  <c r="AP130" i="2"/>
  <c r="AW130" i="2"/>
  <c r="AZ130" i="2"/>
  <c r="AV130" i="2"/>
  <c r="AR130" i="2"/>
  <c r="AS59" i="2"/>
  <c r="AY26" i="2"/>
  <c r="AR67" i="2"/>
  <c r="AW151" i="2"/>
  <c r="AS151" i="2"/>
  <c r="AQ151" i="2"/>
  <c r="AZ274" i="2"/>
  <c r="AV175" i="2"/>
  <c r="AO13" i="2"/>
  <c r="AP13" i="2"/>
  <c r="AR284" i="2"/>
  <c r="AW125" i="2"/>
  <c r="AP125" i="2"/>
  <c r="AS287" i="2"/>
  <c r="AP204" i="2"/>
  <c r="AS181" i="2"/>
  <c r="AW181" i="2"/>
  <c r="AO181" i="2"/>
  <c r="BA101" i="2"/>
  <c r="AZ101" i="2"/>
  <c r="AR101" i="2"/>
  <c r="AY101" i="2"/>
  <c r="AX101" i="2"/>
  <c r="AP101" i="2"/>
  <c r="AW101" i="2"/>
  <c r="AV101" i="2"/>
  <c r="AP156" i="2"/>
  <c r="AW156" i="2"/>
  <c r="AZ302" i="2"/>
  <c r="AX302" i="2"/>
  <c r="AY170" i="2"/>
  <c r="AQ170" i="2"/>
  <c r="BA170" i="2"/>
  <c r="AX108" i="2"/>
  <c r="AX291" i="2"/>
  <c r="AW291" i="2"/>
  <c r="AR291" i="2"/>
  <c r="BA202" i="2"/>
  <c r="AI263" i="2"/>
  <c r="AV152" i="2"/>
  <c r="AI37" i="2"/>
  <c r="AP53" i="2"/>
  <c r="O307" i="2"/>
  <c r="AC307" i="2"/>
  <c r="P307" i="2"/>
  <c r="AI107" i="2"/>
  <c r="AZ45" i="2"/>
  <c r="AY45" i="2"/>
  <c r="AI28" i="2"/>
  <c r="AI227" i="2"/>
  <c r="AI126" i="2"/>
  <c r="AI103" i="2"/>
  <c r="AO78" i="2"/>
  <c r="AV78" i="2"/>
  <c r="AZ78" i="2"/>
  <c r="AR78" i="2"/>
  <c r="AP78" i="2"/>
  <c r="AX78" i="2"/>
  <c r="AI43" i="2"/>
  <c r="AI88" i="2"/>
  <c r="AP212" i="2"/>
  <c r="AQ182" i="2"/>
  <c r="AZ324" i="2"/>
  <c r="AW324" i="2"/>
  <c r="AS324" i="2"/>
  <c r="AY290" i="2"/>
  <c r="AZ298" i="2"/>
  <c r="AI208" i="2"/>
  <c r="AI68" i="2"/>
  <c r="AI86" i="2"/>
  <c r="BA325" i="2"/>
  <c r="G310" i="2"/>
  <c r="H309" i="2"/>
  <c r="BA166" i="2"/>
  <c r="AZ93" i="2"/>
  <c r="AQ93" i="2"/>
  <c r="AX93" i="2"/>
  <c r="BA93" i="2"/>
  <c r="AW93" i="2"/>
  <c r="AS97" i="2"/>
  <c r="AI8" i="2"/>
  <c r="AO87" i="2"/>
  <c r="AV87" i="2"/>
  <c r="AZ87" i="2"/>
  <c r="AX215" i="2"/>
  <c r="AC308" i="2"/>
  <c r="P308" i="2"/>
  <c r="O308" i="2"/>
  <c r="AI278" i="2"/>
  <c r="AI186" i="2"/>
  <c r="V17" i="3" l="1"/>
  <c r="R17" i="3"/>
  <c r="U17" i="3"/>
  <c r="Q17" i="3"/>
  <c r="Y17" i="3" s="1"/>
  <c r="T17" i="3"/>
  <c r="X17" i="3" s="1"/>
  <c r="W17" i="3"/>
  <c r="S17" i="3"/>
  <c r="X13" i="3"/>
  <c r="R14" i="3"/>
  <c r="V14" i="3"/>
  <c r="U14" i="3"/>
  <c r="Q14" i="3"/>
  <c r="T14" i="3"/>
  <c r="W14" i="3"/>
  <c r="S14" i="3"/>
  <c r="AS215" i="2"/>
  <c r="AV97" i="2"/>
  <c r="AP325" i="2"/>
  <c r="AR298" i="2"/>
  <c r="AZ182" i="2"/>
  <c r="AQ212" i="2"/>
  <c r="AT212" i="2" s="1"/>
  <c r="AW95" i="2"/>
  <c r="AZ108" i="2"/>
  <c r="AO302" i="2"/>
  <c r="AQ302" i="2"/>
  <c r="AS302" i="2"/>
  <c r="AQ125" i="2"/>
  <c r="AY151" i="2"/>
  <c r="BA151" i="2"/>
  <c r="AX59" i="2"/>
  <c r="AR264" i="2"/>
  <c r="AU264" i="2" s="1"/>
  <c r="AX264" i="2"/>
  <c r="AQ264" i="2"/>
  <c r="AT264" i="2" s="1"/>
  <c r="AV35" i="2"/>
  <c r="AP35" i="2"/>
  <c r="AS35" i="2"/>
  <c r="BA281" i="2"/>
  <c r="AW33" i="2"/>
  <c r="AO71" i="2"/>
  <c r="AR71" i="2"/>
  <c r="Y14" i="3"/>
  <c r="V16" i="3"/>
  <c r="W16" i="3"/>
  <c r="T16" i="3"/>
  <c r="Q16" i="3"/>
  <c r="Y16" i="3" s="1"/>
  <c r="R16" i="3"/>
  <c r="S16" i="3"/>
  <c r="U16" i="3"/>
  <c r="V8" i="3"/>
  <c r="X8" i="3" s="1"/>
  <c r="Q8" i="3"/>
  <c r="U8" i="3"/>
  <c r="S8" i="3"/>
  <c r="R8" i="3"/>
  <c r="Y8" i="3" s="1"/>
  <c r="T8" i="3"/>
  <c r="W8" i="3"/>
  <c r="BA215" i="2"/>
  <c r="AO93" i="2"/>
  <c r="AV93" i="2"/>
  <c r="AY93" i="2"/>
  <c r="AV325" i="2"/>
  <c r="AV298" i="2"/>
  <c r="AW182" i="2"/>
  <c r="AS182" i="2"/>
  <c r="AQ78" i="2"/>
  <c r="AT78" i="2" s="1"/>
  <c r="AS78" i="2"/>
  <c r="AU78" i="2" s="1"/>
  <c r="AW78" i="2"/>
  <c r="AQ326" i="2"/>
  <c r="AP95" i="2"/>
  <c r="AP302" i="2"/>
  <c r="AU302" i="2" s="1"/>
  <c r="AY302" i="2"/>
  <c r="BA302" i="2"/>
  <c r="BA125" i="2"/>
  <c r="AP151" i="2"/>
  <c r="AT151" i="2" s="1"/>
  <c r="AR151" i="2"/>
  <c r="AV151" i="2"/>
  <c r="AR59" i="2"/>
  <c r="AW264" i="2"/>
  <c r="AY264" i="2"/>
  <c r="AV264" i="2"/>
  <c r="AZ35" i="2"/>
  <c r="AX35" i="2"/>
  <c r="BA35" i="2"/>
  <c r="AR281" i="2"/>
  <c r="AY71" i="2"/>
  <c r="AW71" i="2"/>
  <c r="AZ71" i="2"/>
  <c r="S11" i="3"/>
  <c r="Q11" i="3"/>
  <c r="T11" i="3"/>
  <c r="W11" i="3"/>
  <c r="V11" i="3"/>
  <c r="R11" i="3"/>
  <c r="U11" i="3"/>
  <c r="W12" i="3"/>
  <c r="S12" i="3"/>
  <c r="Y12" i="3" s="1"/>
  <c r="V12" i="3"/>
  <c r="Q12" i="3"/>
  <c r="T12" i="3"/>
  <c r="X12" i="3" s="1"/>
  <c r="U12" i="3"/>
  <c r="R12" i="3"/>
  <c r="U20" i="3"/>
  <c r="S20" i="3"/>
  <c r="V20" i="3"/>
  <c r="R20" i="3"/>
  <c r="Q20" i="3"/>
  <c r="T20" i="3"/>
  <c r="W20" i="3"/>
  <c r="AS93" i="2"/>
  <c r="AP93" i="2"/>
  <c r="AO182" i="2"/>
  <c r="AW212" i="2"/>
  <c r="AY78" i="2"/>
  <c r="AW194" i="2"/>
  <c r="AW53" i="2"/>
  <c r="AO152" i="2"/>
  <c r="AW302" i="2"/>
  <c r="AR302" i="2"/>
  <c r="AO101" i="2"/>
  <c r="AQ101" i="2"/>
  <c r="AZ181" i="2"/>
  <c r="BA287" i="2"/>
  <c r="AX151" i="2"/>
  <c r="AZ151" i="2"/>
  <c r="AQ59" i="2"/>
  <c r="AO130" i="2"/>
  <c r="AT130" i="2" s="1"/>
  <c r="AV224" i="2"/>
  <c r="AO224" i="2"/>
  <c r="AT224" i="2" s="1"/>
  <c r="BA264" i="2"/>
  <c r="BA23" i="2"/>
  <c r="AS72" i="2"/>
  <c r="AO35" i="2"/>
  <c r="AV115" i="2"/>
  <c r="AQ71" i="2"/>
  <c r="AP71" i="2"/>
  <c r="X14" i="3"/>
  <c r="AR108" i="2"/>
  <c r="AY237" i="2"/>
  <c r="AQ55" i="2"/>
  <c r="AZ100" i="2"/>
  <c r="AO194" i="2"/>
  <c r="AO202" i="2"/>
  <c r="AW17" i="2"/>
  <c r="AX248" i="2"/>
  <c r="AP69" i="2"/>
  <c r="AP104" i="2"/>
  <c r="AV202" i="2"/>
  <c r="AO177" i="2"/>
  <c r="AZ194" i="2"/>
  <c r="AV108" i="2"/>
  <c r="AV180" i="2"/>
  <c r="AR42" i="2"/>
  <c r="AX109" i="2"/>
  <c r="AQ32" i="2"/>
  <c r="AS26" i="2"/>
  <c r="AW248" i="2"/>
  <c r="AX131" i="2"/>
  <c r="AP194" i="2"/>
  <c r="AS108" i="2"/>
  <c r="BA45" i="2"/>
  <c r="AX202" i="2"/>
  <c r="AO45" i="2"/>
  <c r="AW108" i="2"/>
  <c r="AW49" i="2"/>
  <c r="AY109" i="2"/>
  <c r="AP274" i="2"/>
  <c r="AV247" i="2"/>
  <c r="AP247" i="2"/>
  <c r="AZ290" i="2"/>
  <c r="AS19" i="2"/>
  <c r="AZ49" i="2"/>
  <c r="AR275" i="2"/>
  <c r="AX39" i="2"/>
  <c r="BA19" i="2"/>
  <c r="BA49" i="2"/>
  <c r="AV82" i="2"/>
  <c r="AW75" i="2"/>
  <c r="AO75" i="2"/>
  <c r="AV290" i="2"/>
  <c r="AO82" i="2"/>
  <c r="AQ106" i="2"/>
  <c r="AS290" i="2"/>
  <c r="AP82" i="2"/>
  <c r="AQ290" i="2"/>
  <c r="BA82" i="2"/>
  <c r="AV49" i="2"/>
  <c r="AW258" i="2"/>
  <c r="AI46" i="2"/>
  <c r="AS46" i="2" s="1"/>
  <c r="AV324" i="2"/>
  <c r="AW45" i="2"/>
  <c r="AR45" i="2"/>
  <c r="AP291" i="2"/>
  <c r="AQ109" i="2"/>
  <c r="AT109" i="2" s="1"/>
  <c r="AV67" i="2"/>
  <c r="AY279" i="2"/>
  <c r="AV100" i="2"/>
  <c r="AO144" i="2"/>
  <c r="AP324" i="2"/>
  <c r="AS45" i="2"/>
  <c r="AS291" i="2"/>
  <c r="AQ291" i="2"/>
  <c r="BA9" i="2"/>
  <c r="AO228" i="2"/>
  <c r="AR109" i="2"/>
  <c r="AZ67" i="2"/>
  <c r="AP279" i="2"/>
  <c r="AZ279" i="2"/>
  <c r="AX324" i="2"/>
  <c r="AV45" i="2"/>
  <c r="AZ291" i="2"/>
  <c r="AY291" i="2"/>
  <c r="AV9" i="2"/>
  <c r="AV109" i="2"/>
  <c r="AZ109" i="2"/>
  <c r="AQ279" i="2"/>
  <c r="AS279" i="2"/>
  <c r="AW268" i="2"/>
  <c r="AQ324" i="2"/>
  <c r="AP45" i="2"/>
  <c r="AT45" i="2" s="1"/>
  <c r="BA291" i="2"/>
  <c r="AO109" i="2"/>
  <c r="AV279" i="2"/>
  <c r="BA324" i="2"/>
  <c r="AY324" i="2"/>
  <c r="AX45" i="2"/>
  <c r="AV291" i="2"/>
  <c r="AP118" i="2"/>
  <c r="AO57" i="2"/>
  <c r="AW109" i="2"/>
  <c r="BA109" i="2"/>
  <c r="AS187" i="2"/>
  <c r="AW279" i="2"/>
  <c r="AX30" i="2"/>
  <c r="AS295" i="2"/>
  <c r="BA231" i="2"/>
  <c r="AS109" i="2"/>
  <c r="BA279" i="2"/>
  <c r="AQ295" i="2"/>
  <c r="AO324" i="2"/>
  <c r="AY187" i="2"/>
  <c r="AY244" i="2"/>
  <c r="AX244" i="2"/>
  <c r="AS244" i="2"/>
  <c r="AS268" i="2"/>
  <c r="AS144" i="2"/>
  <c r="AQ25" i="2"/>
  <c r="AV73" i="2"/>
  <c r="AY106" i="2"/>
  <c r="AW32" i="2"/>
  <c r="AO73" i="2"/>
  <c r="AW185" i="2"/>
  <c r="AY89" i="2"/>
  <c r="AP73" i="2"/>
  <c r="AX73" i="2"/>
  <c r="AQ52" i="2"/>
  <c r="AY79" i="2"/>
  <c r="BA52" i="2"/>
  <c r="AW166" i="2"/>
  <c r="AQ292" i="2"/>
  <c r="AP79" i="2"/>
  <c r="AZ185" i="2"/>
  <c r="AZ80" i="2"/>
  <c r="AY32" i="2"/>
  <c r="AZ166" i="2"/>
  <c r="AS80" i="2"/>
  <c r="AW44" i="2"/>
  <c r="AV179" i="2"/>
  <c r="AV52" i="2"/>
  <c r="AZ300" i="2"/>
  <c r="AP292" i="2"/>
  <c r="AS166" i="2"/>
  <c r="BA300" i="2"/>
  <c r="BA180" i="2"/>
  <c r="BA42" i="2"/>
  <c r="AO223" i="2"/>
  <c r="AY233" i="2"/>
  <c r="AY80" i="2"/>
  <c r="AW254" i="2"/>
  <c r="AQ254" i="2"/>
  <c r="BA41" i="2"/>
  <c r="AS41" i="2"/>
  <c r="AZ41" i="2"/>
  <c r="AX41" i="2"/>
  <c r="AR41" i="2"/>
  <c r="AW41" i="2"/>
  <c r="AQ41" i="2"/>
  <c r="BA56" i="2"/>
  <c r="AW56" i="2"/>
  <c r="AZ56" i="2"/>
  <c r="AS56" i="2"/>
  <c r="AO56" i="2"/>
  <c r="AV56" i="2"/>
  <c r="AR56" i="2"/>
  <c r="AQ56" i="2"/>
  <c r="AX213" i="2"/>
  <c r="AR213" i="2"/>
  <c r="AP213" i="2"/>
  <c r="AW213" i="2"/>
  <c r="AO213" i="2"/>
  <c r="BA213" i="2"/>
  <c r="AZ306" i="2"/>
  <c r="AX306" i="2"/>
  <c r="AO306" i="2"/>
  <c r="AX66" i="2"/>
  <c r="AO66" i="2"/>
  <c r="AP139" i="2"/>
  <c r="AR139" i="2"/>
  <c r="AS271" i="2"/>
  <c r="AW271" i="2"/>
  <c r="AY271" i="2"/>
  <c r="AP75" i="2"/>
  <c r="AQ75" i="2"/>
  <c r="AX75" i="2"/>
  <c r="AV75" i="2"/>
  <c r="BA75" i="2"/>
  <c r="AZ75" i="2"/>
  <c r="AS75" i="2"/>
  <c r="AQ209" i="2"/>
  <c r="AZ209" i="2"/>
  <c r="AV209" i="2"/>
  <c r="BA30" i="2"/>
  <c r="AW30" i="2"/>
  <c r="AO30" i="2"/>
  <c r="AQ30" i="2"/>
  <c r="AY30" i="2"/>
  <c r="AZ30" i="2"/>
  <c r="AQ192" i="2"/>
  <c r="AY192" i="2"/>
  <c r="AZ9" i="2"/>
  <c r="AY9" i="2"/>
  <c r="AR9" i="2"/>
  <c r="AQ9" i="2"/>
  <c r="AW9" i="2"/>
  <c r="AP9" i="2"/>
  <c r="BA327" i="2"/>
  <c r="AX327" i="2"/>
  <c r="AV327" i="2"/>
  <c r="AZ327" i="2"/>
  <c r="AZ202" i="2"/>
  <c r="AW202" i="2"/>
  <c r="AY202" i="2"/>
  <c r="AR202" i="2"/>
  <c r="AQ202" i="2"/>
  <c r="AP202" i="2"/>
  <c r="BA248" i="2"/>
  <c r="AV248" i="2"/>
  <c r="AZ248" i="2"/>
  <c r="AS248" i="2"/>
  <c r="AQ248" i="2"/>
  <c r="AP248" i="2"/>
  <c r="AR248" i="2"/>
  <c r="AO248" i="2"/>
  <c r="AR194" i="2"/>
  <c r="AQ194" i="2"/>
  <c r="AY194" i="2"/>
  <c r="AX194" i="2"/>
  <c r="BA194" i="2"/>
  <c r="AV194" i="2"/>
  <c r="AY298" i="2"/>
  <c r="AX298" i="2"/>
  <c r="AO298" i="2"/>
  <c r="BA298" i="2"/>
  <c r="AS298" i="2"/>
  <c r="AW298" i="2"/>
  <c r="AQ298" i="2"/>
  <c r="AO95" i="2"/>
  <c r="AQ95" i="2"/>
  <c r="BA95" i="2"/>
  <c r="AV95" i="2"/>
  <c r="AS95" i="2"/>
  <c r="AZ95" i="2"/>
  <c r="AY95" i="2"/>
  <c r="AX95" i="2"/>
  <c r="AZ215" i="2"/>
  <c r="AW215" i="2"/>
  <c r="AR215" i="2"/>
  <c r="AQ215" i="2"/>
  <c r="AY215" i="2"/>
  <c r="AV215" i="2"/>
  <c r="AP215" i="2"/>
  <c r="AP59" i="2"/>
  <c r="BA59" i="2"/>
  <c r="AO59" i="2"/>
  <c r="AY59" i="2"/>
  <c r="AV59" i="2"/>
  <c r="AW59" i="2"/>
  <c r="AO281" i="2"/>
  <c r="AZ281" i="2"/>
  <c r="AW281" i="2"/>
  <c r="AY281" i="2"/>
  <c r="AQ281" i="2"/>
  <c r="AV281" i="2"/>
  <c r="AP281" i="2"/>
  <c r="AS125" i="2"/>
  <c r="AR125" i="2"/>
  <c r="AZ125" i="2"/>
  <c r="AY125" i="2"/>
  <c r="AO125" i="2"/>
  <c r="AX125" i="2"/>
  <c r="AO188" i="2"/>
  <c r="AX188" i="2"/>
  <c r="AZ188" i="2"/>
  <c r="AV188" i="2"/>
  <c r="BA188" i="2"/>
  <c r="AP188" i="2"/>
  <c r="AS188" i="2"/>
  <c r="AY188" i="2"/>
  <c r="AV99" i="2"/>
  <c r="AS99" i="2"/>
  <c r="BA99" i="2"/>
  <c r="AY99" i="2"/>
  <c r="AQ99" i="2"/>
  <c r="AZ99" i="2"/>
  <c r="AP99" i="2"/>
  <c r="AO173" i="2"/>
  <c r="BA173" i="2"/>
  <c r="AV173" i="2"/>
  <c r="AS173" i="2"/>
  <c r="AX173" i="2"/>
  <c r="AR173" i="2"/>
  <c r="AQ13" i="2"/>
  <c r="AZ13" i="2"/>
  <c r="AR13" i="2"/>
  <c r="AU13" i="2" s="1"/>
  <c r="AY13" i="2"/>
  <c r="AW13" i="2"/>
  <c r="AV13" i="2"/>
  <c r="AY175" i="2"/>
  <c r="BA175" i="2"/>
  <c r="AR175" i="2"/>
  <c r="AQ175" i="2"/>
  <c r="AX175" i="2"/>
  <c r="AO175" i="2"/>
  <c r="BA297" i="2"/>
  <c r="AY297" i="2"/>
  <c r="AP297" i="2"/>
  <c r="AY67" i="2"/>
  <c r="AQ67" i="2"/>
  <c r="AW67" i="2"/>
  <c r="AP67" i="2"/>
  <c r="AO67" i="2"/>
  <c r="AX67" i="2"/>
  <c r="AS67" i="2"/>
  <c r="AZ268" i="2"/>
  <c r="AO268" i="2"/>
  <c r="AY268" i="2"/>
  <c r="AR268" i="2"/>
  <c r="BA268" i="2"/>
  <c r="AV268" i="2"/>
  <c r="AQ268" i="2"/>
  <c r="AP268" i="2"/>
  <c r="AX106" i="2"/>
  <c r="AV106" i="2"/>
  <c r="AP106" i="2"/>
  <c r="AW106" i="2"/>
  <c r="BA106" i="2"/>
  <c r="AS106" i="2"/>
  <c r="AO106" i="2"/>
  <c r="AR106" i="2"/>
  <c r="AO258" i="2"/>
  <c r="BA258" i="2"/>
  <c r="AR258" i="2"/>
  <c r="AS258" i="2"/>
  <c r="AZ258" i="2"/>
  <c r="AQ258" i="2"/>
  <c r="AY258" i="2"/>
  <c r="AV258" i="2"/>
  <c r="AX258" i="2"/>
  <c r="AS52" i="2"/>
  <c r="AR52" i="2"/>
  <c r="AZ52" i="2"/>
  <c r="AX52" i="2"/>
  <c r="AY52" i="2"/>
  <c r="AP52" i="2"/>
  <c r="AO52" i="2"/>
  <c r="AY267" i="2"/>
  <c r="AS267" i="2"/>
  <c r="AY179" i="2"/>
  <c r="AS179" i="2"/>
  <c r="AQ179" i="2"/>
  <c r="AX179" i="2"/>
  <c r="AP179" i="2"/>
  <c r="AO179" i="2"/>
  <c r="AX99" i="2"/>
  <c r="AZ213" i="2"/>
  <c r="AY173" i="2"/>
  <c r="AP56" i="2"/>
  <c r="AQ98" i="2"/>
  <c r="AR75" i="2"/>
  <c r="AP105" i="2"/>
  <c r="BA105" i="2"/>
  <c r="AW105" i="2"/>
  <c r="AS105" i="2"/>
  <c r="AO105" i="2"/>
  <c r="AZ105" i="2"/>
  <c r="AV105" i="2"/>
  <c r="AY105" i="2"/>
  <c r="AX178" i="2"/>
  <c r="AZ178" i="2"/>
  <c r="AO178" i="2"/>
  <c r="AP178" i="2"/>
  <c r="AW178" i="2"/>
  <c r="AS178" i="2"/>
  <c r="AZ301" i="2"/>
  <c r="AO301" i="2"/>
  <c r="AY301" i="2"/>
  <c r="AR301" i="2"/>
  <c r="AW301" i="2"/>
  <c r="BA301" i="2"/>
  <c r="AQ301" i="2"/>
  <c r="AP301" i="2"/>
  <c r="AW99" i="2"/>
  <c r="AV178" i="2"/>
  <c r="AR179" i="2"/>
  <c r="AN310" i="2"/>
  <c r="AQ178" i="2"/>
  <c r="AZ179" i="2"/>
  <c r="AS213" i="2"/>
  <c r="AY41" i="2"/>
  <c r="AQ173" i="2"/>
  <c r="AX105" i="2"/>
  <c r="AX56" i="2"/>
  <c r="BA98" i="2"/>
  <c r="AW249" i="2"/>
  <c r="AY327" i="2"/>
  <c r="AY259" i="2"/>
  <c r="AX259" i="2"/>
  <c r="AY178" i="2"/>
  <c r="AW188" i="2"/>
  <c r="AV213" i="2"/>
  <c r="AV41" i="2"/>
  <c r="AZ173" i="2"/>
  <c r="AS9" i="2"/>
  <c r="AQ105" i="2"/>
  <c r="AY56" i="2"/>
  <c r="AV98" i="2"/>
  <c r="AX249" i="2"/>
  <c r="AR327" i="2"/>
  <c r="AR178" i="2"/>
  <c r="AW179" i="2"/>
  <c r="AQ188" i="2"/>
  <c r="AO267" i="2"/>
  <c r="AO41" i="2"/>
  <c r="AW173" i="2"/>
  <c r="AR105" i="2"/>
  <c r="AS98" i="2"/>
  <c r="AR98" i="2"/>
  <c r="AZ98" i="2"/>
  <c r="AX98" i="2"/>
  <c r="AP98" i="2"/>
  <c r="AY98" i="2"/>
  <c r="AO98" i="2"/>
  <c r="AQ249" i="2"/>
  <c r="AV249" i="2"/>
  <c r="AS249" i="2"/>
  <c r="AO249" i="2"/>
  <c r="AP249" i="2"/>
  <c r="AZ249" i="2"/>
  <c r="BA249" i="2"/>
  <c r="AX301" i="2"/>
  <c r="AQ213" i="2"/>
  <c r="AR188" i="2"/>
  <c r="AY213" i="2"/>
  <c r="AS301" i="2"/>
  <c r="AP41" i="2"/>
  <c r="AP173" i="2"/>
  <c r="AX9" i="2"/>
  <c r="AX139" i="2"/>
  <c r="AX13" i="2"/>
  <c r="AZ175" i="2"/>
  <c r="AR99" i="2"/>
  <c r="AP30" i="2"/>
  <c r="AP192" i="2"/>
  <c r="AR249" i="2"/>
  <c r="AX212" i="2"/>
  <c r="AO108" i="2"/>
  <c r="AV154" i="2"/>
  <c r="BA90" i="2"/>
  <c r="AP33" i="2"/>
  <c r="AR33" i="2"/>
  <c r="AS212" i="2"/>
  <c r="AY212" i="2"/>
  <c r="AP108" i="2"/>
  <c r="AS57" i="2"/>
  <c r="AV33" i="2"/>
  <c r="AQ33" i="2"/>
  <c r="AY33" i="2"/>
  <c r="AX33" i="2"/>
  <c r="AR212" i="2"/>
  <c r="AU212" i="2" s="1"/>
  <c r="AZ33" i="2"/>
  <c r="AP97" i="2"/>
  <c r="AR325" i="2"/>
  <c r="AV212" i="2"/>
  <c r="AZ212" i="2"/>
  <c r="AQ108" i="2"/>
  <c r="AY217" i="2"/>
  <c r="AS33" i="2"/>
  <c r="BA212" i="2"/>
  <c r="AP119" i="2"/>
  <c r="AZ97" i="2"/>
  <c r="AZ325" i="2"/>
  <c r="BA108" i="2"/>
  <c r="AZ79" i="2"/>
  <c r="AX231" i="2"/>
  <c r="AZ231" i="2"/>
  <c r="AQ231" i="2"/>
  <c r="AR300" i="2"/>
  <c r="AY300" i="2"/>
  <c r="AO292" i="2"/>
  <c r="AO79" i="2"/>
  <c r="AQ17" i="2"/>
  <c r="AO176" i="2"/>
  <c r="AZ256" i="2"/>
  <c r="AQ42" i="2"/>
  <c r="AV223" i="2"/>
  <c r="AP55" i="2"/>
  <c r="AX233" i="2"/>
  <c r="AP25" i="2"/>
  <c r="AY274" i="2"/>
  <c r="AR26" i="2"/>
  <c r="AX185" i="2"/>
  <c r="BA187" i="2"/>
  <c r="AX187" i="2"/>
  <c r="AR244" i="2"/>
  <c r="AS23" i="2"/>
  <c r="AZ23" i="2"/>
  <c r="AS100" i="2"/>
  <c r="AY100" i="2"/>
  <c r="AR295" i="2"/>
  <c r="AV44" i="2"/>
  <c r="BA44" i="2"/>
  <c r="AR144" i="2"/>
  <c r="BA131" i="2"/>
  <c r="AP223" i="2"/>
  <c r="AO236" i="2"/>
  <c r="AR55" i="2"/>
  <c r="AW25" i="2"/>
  <c r="BA274" i="2"/>
  <c r="AS231" i="2"/>
  <c r="AY231" i="2"/>
  <c r="AV300" i="2"/>
  <c r="AS300" i="2"/>
  <c r="BA292" i="2"/>
  <c r="AW292" i="2"/>
  <c r="AQ79" i="2"/>
  <c r="AW79" i="2"/>
  <c r="AO17" i="2"/>
  <c r="AW176" i="2"/>
  <c r="AO180" i="2"/>
  <c r="AO42" i="2"/>
  <c r="AY42" i="2"/>
  <c r="AW223" i="2"/>
  <c r="AW247" i="2"/>
  <c r="AW237" i="2"/>
  <c r="AX55" i="2"/>
  <c r="AQ233" i="2"/>
  <c r="AX25" i="2"/>
  <c r="AR274" i="2"/>
  <c r="AQ26" i="2"/>
  <c r="AZ26" i="2"/>
  <c r="AR185" i="2"/>
  <c r="AR187" i="2"/>
  <c r="AQ187" i="2"/>
  <c r="AP244" i="2"/>
  <c r="AZ244" i="2"/>
  <c r="AW23" i="2"/>
  <c r="AV23" i="2"/>
  <c r="BA100" i="2"/>
  <c r="AR100" i="2"/>
  <c r="AW295" i="2"/>
  <c r="AZ295" i="2"/>
  <c r="AO44" i="2"/>
  <c r="AZ144" i="2"/>
  <c r="AP131" i="2"/>
  <c r="AV231" i="2"/>
  <c r="AO300" i="2"/>
  <c r="AR292" i="2"/>
  <c r="AX292" i="2"/>
  <c r="AR79" i="2"/>
  <c r="AX79" i="2"/>
  <c r="AW50" i="2"/>
  <c r="AX21" i="2"/>
  <c r="AS180" i="2"/>
  <c r="AS42" i="2"/>
  <c r="AZ42" i="2"/>
  <c r="AV177" i="2"/>
  <c r="AX223" i="2"/>
  <c r="AS237" i="2"/>
  <c r="AY55" i="2"/>
  <c r="AR233" i="2"/>
  <c r="AS25" i="2"/>
  <c r="AY25" i="2"/>
  <c r="AV274" i="2"/>
  <c r="AS274" i="2"/>
  <c r="AV26" i="2"/>
  <c r="BA26" i="2"/>
  <c r="AY185" i="2"/>
  <c r="AS185" i="2"/>
  <c r="AZ187" i="2"/>
  <c r="AV244" i="2"/>
  <c r="BA244" i="2"/>
  <c r="AP23" i="2"/>
  <c r="AO100" i="2"/>
  <c r="AV295" i="2"/>
  <c r="BA295" i="2"/>
  <c r="AQ44" i="2"/>
  <c r="AW144" i="2"/>
  <c r="BA144" i="2"/>
  <c r="AQ131" i="2"/>
  <c r="AW274" i="2"/>
  <c r="BA185" i="2"/>
  <c r="AY44" i="2"/>
  <c r="AW42" i="2"/>
  <c r="AO26" i="2"/>
  <c r="AW231" i="2"/>
  <c r="AP300" i="2"/>
  <c r="AT300" i="2" s="1"/>
  <c r="AR39" i="2"/>
  <c r="AY292" i="2"/>
  <c r="AS79" i="2"/>
  <c r="AQ157" i="2"/>
  <c r="BA50" i="2"/>
  <c r="AX286" i="2"/>
  <c r="AV42" i="2"/>
  <c r="AQ223" i="2"/>
  <c r="AY223" i="2"/>
  <c r="AY236" i="2"/>
  <c r="AV55" i="2"/>
  <c r="AZ55" i="2"/>
  <c r="BA233" i="2"/>
  <c r="AV233" i="2"/>
  <c r="AO25" i="2"/>
  <c r="AZ25" i="2"/>
  <c r="AX274" i="2"/>
  <c r="AW26" i="2"/>
  <c r="AQ185" i="2"/>
  <c r="AO187" i="2"/>
  <c r="AW244" i="2"/>
  <c r="AQ23" i="2"/>
  <c r="AP100" i="2"/>
  <c r="AY295" i="2"/>
  <c r="AR44" i="2"/>
  <c r="AX144" i="2"/>
  <c r="AO131" i="2"/>
  <c r="AR131" i="2"/>
  <c r="AS292" i="2"/>
  <c r="AP231" i="2"/>
  <c r="AX300" i="2"/>
  <c r="AZ292" i="2"/>
  <c r="BA79" i="2"/>
  <c r="AP42" i="2"/>
  <c r="AT42" i="2" s="1"/>
  <c r="AZ223" i="2"/>
  <c r="AS223" i="2"/>
  <c r="AO55" i="2"/>
  <c r="AS55" i="2"/>
  <c r="AP233" i="2"/>
  <c r="AO233" i="2"/>
  <c r="BA25" i="2"/>
  <c r="AO274" i="2"/>
  <c r="AP26" i="2"/>
  <c r="AV185" i="2"/>
  <c r="AW187" i="2"/>
  <c r="AQ244" i="2"/>
  <c r="AY23" i="2"/>
  <c r="AX100" i="2"/>
  <c r="AO295" i="2"/>
  <c r="AP44" i="2"/>
  <c r="AZ44" i="2"/>
  <c r="AQ144" i="2"/>
  <c r="AS131" i="2"/>
  <c r="AZ131" i="2"/>
  <c r="AO231" i="2"/>
  <c r="AW300" i="2"/>
  <c r="AP50" i="2"/>
  <c r="AZ233" i="2"/>
  <c r="AR25" i="2"/>
  <c r="AO185" i="2"/>
  <c r="AV187" i="2"/>
  <c r="AO244" i="2"/>
  <c r="AX23" i="2"/>
  <c r="AW100" i="2"/>
  <c r="AX295" i="2"/>
  <c r="AP144" i="2"/>
  <c r="AV144" i="2"/>
  <c r="AY131" i="2"/>
  <c r="AR141" i="2"/>
  <c r="AX17" i="2"/>
  <c r="AR223" i="2"/>
  <c r="AW55" i="2"/>
  <c r="AS233" i="2"/>
  <c r="AO23" i="2"/>
  <c r="AX44" i="2"/>
  <c r="AW131" i="2"/>
  <c r="AO235" i="2"/>
  <c r="AX235" i="2"/>
  <c r="AR217" i="2"/>
  <c r="AR157" i="2"/>
  <c r="AQ119" i="2"/>
  <c r="AR21" i="2"/>
  <c r="AW228" i="2"/>
  <c r="AQ39" i="2"/>
  <c r="AZ39" i="2"/>
  <c r="AX141" i="2"/>
  <c r="AS141" i="2"/>
  <c r="AV157" i="2"/>
  <c r="AS157" i="2"/>
  <c r="AS119" i="2"/>
  <c r="AY17" i="2"/>
  <c r="AQ21" i="2"/>
  <c r="AZ21" i="2"/>
  <c r="AX154" i="2"/>
  <c r="AP176" i="2"/>
  <c r="AZ118" i="2"/>
  <c r="AQ118" i="2"/>
  <c r="AP180" i="2"/>
  <c r="AV282" i="2"/>
  <c r="AP57" i="2"/>
  <c r="AW177" i="2"/>
  <c r="AQ228" i="2"/>
  <c r="AW90" i="2"/>
  <c r="AV217" i="2"/>
  <c r="AZ217" i="2"/>
  <c r="AX180" i="2"/>
  <c r="AP177" i="2"/>
  <c r="AP90" i="2"/>
  <c r="AO217" i="2"/>
  <c r="AS217" i="2"/>
  <c r="AR118" i="2"/>
  <c r="BA57" i="2"/>
  <c r="AO90" i="2"/>
  <c r="BA157" i="2"/>
  <c r="AR17" i="2"/>
  <c r="AX176" i="2"/>
  <c r="AS118" i="2"/>
  <c r="AV39" i="2"/>
  <c r="BA39" i="2"/>
  <c r="AO141" i="2"/>
  <c r="AO157" i="2"/>
  <c r="AV119" i="2"/>
  <c r="AZ119" i="2"/>
  <c r="AZ17" i="2"/>
  <c r="AV21" i="2"/>
  <c r="BA21" i="2"/>
  <c r="AS176" i="2"/>
  <c r="AQ176" i="2"/>
  <c r="BA118" i="2"/>
  <c r="AQ180" i="2"/>
  <c r="AQ57" i="2"/>
  <c r="AR177" i="2"/>
  <c r="AX177" i="2"/>
  <c r="AR228" i="2"/>
  <c r="AR90" i="2"/>
  <c r="AX90" i="2"/>
  <c r="AW217" i="2"/>
  <c r="BA217" i="2"/>
  <c r="AQ104" i="2"/>
  <c r="AZ141" i="2"/>
  <c r="AW57" i="2"/>
  <c r="AY39" i="2"/>
  <c r="AV141" i="2"/>
  <c r="AY21" i="2"/>
  <c r="AR176" i="2"/>
  <c r="AY118" i="2"/>
  <c r="AX57" i="2"/>
  <c r="AY228" i="2"/>
  <c r="AO39" i="2"/>
  <c r="AX14" i="2"/>
  <c r="AW141" i="2"/>
  <c r="AW157" i="2"/>
  <c r="AW119" i="2"/>
  <c r="BA119" i="2"/>
  <c r="AS17" i="2"/>
  <c r="AO21" i="2"/>
  <c r="AZ176" i="2"/>
  <c r="AY176" i="2"/>
  <c r="AV118" i="2"/>
  <c r="AY180" i="2"/>
  <c r="AY57" i="2"/>
  <c r="BA177" i="2"/>
  <c r="AQ177" i="2"/>
  <c r="AP228" i="2"/>
  <c r="AZ228" i="2"/>
  <c r="AV90" i="2"/>
  <c r="AQ90" i="2"/>
  <c r="AP217" i="2"/>
  <c r="AP141" i="2"/>
  <c r="AP154" i="2"/>
  <c r="AS39" i="2"/>
  <c r="BA141" i="2"/>
  <c r="AZ157" i="2"/>
  <c r="AS21" i="2"/>
  <c r="AW39" i="2"/>
  <c r="AR14" i="2"/>
  <c r="AQ141" i="2"/>
  <c r="AP157" i="2"/>
  <c r="AO119" i="2"/>
  <c r="AX119" i="2"/>
  <c r="BA17" i="2"/>
  <c r="AW21" i="2"/>
  <c r="BA176" i="2"/>
  <c r="AO118" i="2"/>
  <c r="AR180" i="2"/>
  <c r="AV256" i="2"/>
  <c r="AR57" i="2"/>
  <c r="AS177" i="2"/>
  <c r="AY177" i="2"/>
  <c r="AX228" i="2"/>
  <c r="AS228" i="2"/>
  <c r="AZ90" i="2"/>
  <c r="AY90" i="2"/>
  <c r="AX217" i="2"/>
  <c r="AZ89" i="2"/>
  <c r="AY157" i="2"/>
  <c r="AX118" i="2"/>
  <c r="AR119" i="2"/>
  <c r="AP17" i="2"/>
  <c r="AW180" i="2"/>
  <c r="AQ256" i="2"/>
  <c r="AV57" i="2"/>
  <c r="AV228" i="2"/>
  <c r="BA276" i="2"/>
  <c r="AP89" i="2"/>
  <c r="AX11" i="2"/>
  <c r="BA229" i="2"/>
  <c r="AV229" i="2"/>
  <c r="AS229" i="2"/>
  <c r="AW229" i="2"/>
  <c r="AZ229" i="2"/>
  <c r="AO229" i="2"/>
  <c r="AQ229" i="2"/>
  <c r="AR229" i="2"/>
  <c r="AY229" i="2"/>
  <c r="AP229" i="2"/>
  <c r="AX229" i="2"/>
  <c r="AO198" i="2"/>
  <c r="AW198" i="2"/>
  <c r="BA198" i="2"/>
  <c r="AQ198" i="2"/>
  <c r="AV255" i="2"/>
  <c r="AW255" i="2"/>
  <c r="BA255" i="2"/>
  <c r="AQ255" i="2"/>
  <c r="AX255" i="2"/>
  <c r="AS255" i="2"/>
  <c r="AO255" i="2"/>
  <c r="AZ255" i="2"/>
  <c r="AR255" i="2"/>
  <c r="AY255" i="2"/>
  <c r="AP255" i="2"/>
  <c r="BA97" i="2"/>
  <c r="AS325" i="2"/>
  <c r="BA290" i="2"/>
  <c r="AR290" i="2"/>
  <c r="AW82" i="2"/>
  <c r="AO49" i="2"/>
  <c r="AS49" i="2"/>
  <c r="AX104" i="2"/>
  <c r="AZ123" i="2"/>
  <c r="AX97" i="2"/>
  <c r="AO97" i="2"/>
  <c r="AO325" i="2"/>
  <c r="AO290" i="2"/>
  <c r="AX82" i="2"/>
  <c r="AP49" i="2"/>
  <c r="AS104" i="2"/>
  <c r="AY104" i="2"/>
  <c r="AQ97" i="2"/>
  <c r="AW97" i="2"/>
  <c r="AW325" i="2"/>
  <c r="AW290" i="2"/>
  <c r="AR82" i="2"/>
  <c r="AX49" i="2"/>
  <c r="BA104" i="2"/>
  <c r="AR104" i="2"/>
  <c r="AY97" i="2"/>
  <c r="AQ325" i="2"/>
  <c r="AP290" i="2"/>
  <c r="AQ82" i="2"/>
  <c r="AZ82" i="2"/>
  <c r="AQ49" i="2"/>
  <c r="AV104" i="2"/>
  <c r="AZ104" i="2"/>
  <c r="AX325" i="2"/>
  <c r="AY82" i="2"/>
  <c r="AY49" i="2"/>
  <c r="AO104" i="2"/>
  <c r="AW113" i="2"/>
  <c r="AW69" i="2"/>
  <c r="AX205" i="2"/>
  <c r="AQ205" i="2"/>
  <c r="AP197" i="2"/>
  <c r="AS197" i="2"/>
  <c r="AY197" i="2"/>
  <c r="AZ153" i="2"/>
  <c r="AV94" i="2"/>
  <c r="AX51" i="2"/>
  <c r="AX289" i="2"/>
  <c r="AW282" i="2"/>
  <c r="BA89" i="2"/>
  <c r="AO115" i="2"/>
  <c r="AX241" i="2"/>
  <c r="AQ115" i="2"/>
  <c r="AO266" i="2"/>
  <c r="AQ111" i="2"/>
  <c r="AP153" i="2"/>
  <c r="AQ94" i="2"/>
  <c r="AV61" i="2"/>
  <c r="AY115" i="2"/>
  <c r="AP115" i="2"/>
  <c r="AZ226" i="2"/>
  <c r="AP266" i="2"/>
  <c r="AO241" i="2"/>
  <c r="AY51" i="2"/>
  <c r="AX225" i="2"/>
  <c r="AX153" i="2"/>
  <c r="BA94" i="2"/>
  <c r="AX293" i="2"/>
  <c r="AR114" i="2"/>
  <c r="AR115" i="2"/>
  <c r="AX115" i="2"/>
  <c r="AZ266" i="2"/>
  <c r="AO153" i="2"/>
  <c r="AW61" i="2"/>
  <c r="AR111" i="2"/>
  <c r="AZ111" i="2"/>
  <c r="AP122" i="2"/>
  <c r="AZ293" i="2"/>
  <c r="AP155" i="2"/>
  <c r="AZ115" i="2"/>
  <c r="BA266" i="2"/>
  <c r="AW252" i="2"/>
  <c r="AY40" i="2"/>
  <c r="AW115" i="2"/>
  <c r="AZ241" i="2"/>
  <c r="AW111" i="2"/>
  <c r="AY117" i="2"/>
  <c r="AR122" i="2"/>
  <c r="AQ234" i="2"/>
  <c r="AY155" i="2"/>
  <c r="AS115" i="2"/>
  <c r="BA20" i="2"/>
  <c r="AW94" i="2"/>
  <c r="BA62" i="2"/>
  <c r="AO303" i="2"/>
  <c r="AS122" i="2"/>
  <c r="AQ282" i="2"/>
  <c r="AZ155" i="2"/>
  <c r="AS11" i="2"/>
  <c r="AV306" i="2"/>
  <c r="AZ62" i="2"/>
  <c r="AY111" i="2"/>
  <c r="AW153" i="2"/>
  <c r="AS303" i="2"/>
  <c r="AO94" i="2"/>
  <c r="AO122" i="2"/>
  <c r="AZ122" i="2"/>
  <c r="AQ51" i="2"/>
  <c r="BA289" i="2"/>
  <c r="AY293" i="2"/>
  <c r="AS234" i="2"/>
  <c r="AO282" i="2"/>
  <c r="AR155" i="2"/>
  <c r="BA61" i="2"/>
  <c r="AR89" i="2"/>
  <c r="AS226" i="2"/>
  <c r="AX266" i="2"/>
  <c r="AS266" i="2"/>
  <c r="AS241" i="2"/>
  <c r="AV241" i="2"/>
  <c r="AS155" i="2"/>
  <c r="AQ266" i="2"/>
  <c r="BA241" i="2"/>
  <c r="AW241" i="2"/>
  <c r="AW306" i="2"/>
  <c r="BA122" i="2"/>
  <c r="AY282" i="2"/>
  <c r="AV218" i="2"/>
  <c r="AS111" i="2"/>
  <c r="AR153" i="2"/>
  <c r="AQ153" i="2"/>
  <c r="AP270" i="2"/>
  <c r="AY94" i="2"/>
  <c r="AX122" i="2"/>
  <c r="AZ51" i="2"/>
  <c r="AR293" i="2"/>
  <c r="AV293" i="2"/>
  <c r="BA282" i="2"/>
  <c r="AX282" i="2"/>
  <c r="AV155" i="2"/>
  <c r="BA155" i="2"/>
  <c r="AW218" i="2"/>
  <c r="AV89" i="2"/>
  <c r="AV266" i="2"/>
  <c r="AV11" i="2"/>
  <c r="AP241" i="2"/>
  <c r="AO326" i="2"/>
  <c r="AW122" i="2"/>
  <c r="AP168" i="2"/>
  <c r="BA293" i="2"/>
  <c r="AP282" i="2"/>
  <c r="AX155" i="2"/>
  <c r="AX61" i="2"/>
  <c r="AQ306" i="2"/>
  <c r="BA306" i="2"/>
  <c r="AY306" i="2"/>
  <c r="BA111" i="2"/>
  <c r="AV153" i="2"/>
  <c r="AY153" i="2"/>
  <c r="AX270" i="2"/>
  <c r="AR94" i="2"/>
  <c r="AV122" i="2"/>
  <c r="AW51" i="2"/>
  <c r="AS51" i="2"/>
  <c r="AP293" i="2"/>
  <c r="AO293" i="2"/>
  <c r="AZ282" i="2"/>
  <c r="AO155" i="2"/>
  <c r="AZ218" i="2"/>
  <c r="AW273" i="2"/>
  <c r="AW89" i="2"/>
  <c r="AW266" i="2"/>
  <c r="AZ11" i="2"/>
  <c r="AQ241" i="2"/>
  <c r="AP111" i="2"/>
  <c r="AT111" i="2" s="1"/>
  <c r="AO51" i="2"/>
  <c r="AR282" i="2"/>
  <c r="AO285" i="2"/>
  <c r="AW155" i="2"/>
  <c r="BA218" i="2"/>
  <c r="AW253" i="2"/>
  <c r="BA273" i="2"/>
  <c r="AY266" i="2"/>
  <c r="AY241" i="2"/>
  <c r="AR51" i="2"/>
  <c r="AP306" i="2"/>
  <c r="AR306" i="2"/>
  <c r="AV111" i="2"/>
  <c r="AS153" i="2"/>
  <c r="AP94" i="2"/>
  <c r="AZ94" i="2"/>
  <c r="AQ122" i="2"/>
  <c r="BA51" i="2"/>
  <c r="AQ293" i="2"/>
  <c r="AW293" i="2"/>
  <c r="AS306" i="2"/>
  <c r="AX111" i="2"/>
  <c r="AX94" i="2"/>
  <c r="AP51" i="2"/>
  <c r="AO289" i="2"/>
  <c r="AW234" i="2"/>
  <c r="AQ285" i="2"/>
  <c r="AR252" i="2"/>
  <c r="AX40" i="2"/>
  <c r="AQ89" i="2"/>
  <c r="AX89" i="2"/>
  <c r="AO11" i="2"/>
  <c r="AV139" i="2"/>
  <c r="AQ139" i="2"/>
  <c r="AX135" i="2"/>
  <c r="AZ91" i="2"/>
  <c r="AV64" i="2"/>
  <c r="AQ63" i="2"/>
  <c r="AR191" i="2"/>
  <c r="AO38" i="2"/>
  <c r="AX183" i="2"/>
  <c r="AS163" i="2"/>
  <c r="BA190" i="2"/>
  <c r="AQ171" i="2"/>
  <c r="AZ270" i="2"/>
  <c r="AZ193" i="2"/>
  <c r="BA270" i="2"/>
  <c r="AQ270" i="2"/>
  <c r="AW145" i="2"/>
  <c r="AX38" i="2"/>
  <c r="AP48" i="2"/>
  <c r="AR183" i="2"/>
  <c r="AW277" i="2"/>
  <c r="AP65" i="2"/>
  <c r="AO124" i="2"/>
  <c r="BA7" i="2"/>
  <c r="AY65" i="2"/>
  <c r="AR171" i="2"/>
  <c r="AW102" i="2"/>
  <c r="AO323" i="2"/>
  <c r="AR270" i="2"/>
  <c r="AX31" i="2"/>
  <c r="AP7" i="2"/>
  <c r="AW135" i="2"/>
  <c r="AQ163" i="2"/>
  <c r="AV191" i="2"/>
  <c r="AP102" i="2"/>
  <c r="AO120" i="2"/>
  <c r="AQ323" i="2"/>
  <c r="AW323" i="2"/>
  <c r="AO145" i="2"/>
  <c r="AS270" i="2"/>
  <c r="AQ31" i="2"/>
  <c r="AY38" i="2"/>
  <c r="AS7" i="2"/>
  <c r="AS135" i="2"/>
  <c r="AW272" i="2"/>
  <c r="AX48" i="2"/>
  <c r="AQ322" i="2"/>
  <c r="BA13" i="2"/>
  <c r="AR65" i="2"/>
  <c r="AP175" i="2"/>
  <c r="AQ124" i="2"/>
  <c r="AR30" i="2"/>
  <c r="AR192" i="2"/>
  <c r="AS89" i="2"/>
  <c r="AV133" i="2"/>
  <c r="BA11" i="2"/>
  <c r="AP38" i="2"/>
  <c r="AX163" i="2"/>
  <c r="AO191" i="2"/>
  <c r="AQ102" i="2"/>
  <c r="AR323" i="2"/>
  <c r="AP323" i="2"/>
  <c r="AQ145" i="2"/>
  <c r="AV270" i="2"/>
  <c r="AS31" i="2"/>
  <c r="AR7" i="2"/>
  <c r="BA135" i="2"/>
  <c r="AO12" i="2"/>
  <c r="AP288" i="2"/>
  <c r="AO48" i="2"/>
  <c r="AP322" i="2"/>
  <c r="AR124" i="2"/>
  <c r="AO91" i="2"/>
  <c r="AV167" i="2"/>
  <c r="AS323" i="2"/>
  <c r="BA163" i="2"/>
  <c r="AV145" i="2"/>
  <c r="AV135" i="2"/>
  <c r="AX113" i="2"/>
  <c r="AY163" i="2"/>
  <c r="AZ163" i="2"/>
  <c r="AZ7" i="2"/>
  <c r="AS85" i="2"/>
  <c r="AS288" i="2"/>
  <c r="AZ48" i="2"/>
  <c r="AX322" i="2"/>
  <c r="AS91" i="2"/>
  <c r="AP84" i="2"/>
  <c r="BA167" i="2"/>
  <c r="AP64" i="2"/>
  <c r="AZ31" i="2"/>
  <c r="AQ183" i="2"/>
  <c r="AP191" i="2"/>
  <c r="AR102" i="2"/>
  <c r="AV323" i="2"/>
  <c r="AX323" i="2"/>
  <c r="AY145" i="2"/>
  <c r="AO270" i="2"/>
  <c r="AP12" i="2"/>
  <c r="AX191" i="2"/>
  <c r="AW219" i="2"/>
  <c r="BA102" i="2"/>
  <c r="AY323" i="2"/>
  <c r="AY326" i="2"/>
  <c r="AY270" i="2"/>
  <c r="AQ34" i="2"/>
  <c r="BA85" i="2"/>
  <c r="AX12" i="2"/>
  <c r="AS48" i="2"/>
  <c r="AZ322" i="2"/>
  <c r="AS175" i="2"/>
  <c r="AV91" i="2"/>
  <c r="AQ113" i="2"/>
  <c r="AV30" i="2"/>
  <c r="AQ123" i="2"/>
  <c r="AQ84" i="2"/>
  <c r="AZ167" i="2"/>
  <c r="AP327" i="2"/>
  <c r="AY64" i="2"/>
  <c r="AQ11" i="2"/>
  <c r="AT11" i="2" s="1"/>
  <c r="BA323" i="2"/>
  <c r="AQ191" i="2"/>
  <c r="AV102" i="2"/>
  <c r="AO85" i="2"/>
  <c r="AY12" i="2"/>
  <c r="AW299" i="2"/>
  <c r="AR91" i="2"/>
  <c r="AR113" i="2"/>
  <c r="AW123" i="2"/>
  <c r="AR11" i="2"/>
  <c r="AY11" i="2"/>
  <c r="AW235" i="2"/>
  <c r="AR197" i="2"/>
  <c r="AX197" i="2"/>
  <c r="AR286" i="2"/>
  <c r="AR267" i="2"/>
  <c r="AO204" i="2"/>
  <c r="AZ254" i="2"/>
  <c r="AQ275" i="2"/>
  <c r="AP284" i="2"/>
  <c r="AW284" i="2"/>
  <c r="AR271" i="2"/>
  <c r="AV271" i="2"/>
  <c r="AY209" i="2"/>
  <c r="AZ276" i="2"/>
  <c r="AV259" i="2"/>
  <c r="AZ259" i="2"/>
  <c r="AO259" i="2"/>
  <c r="AP235" i="2"/>
  <c r="AZ197" i="2"/>
  <c r="AQ197" i="2"/>
  <c r="AW286" i="2"/>
  <c r="AW267" i="2"/>
  <c r="AZ267" i="2"/>
  <c r="AW204" i="2"/>
  <c r="AP254" i="2"/>
  <c r="AY275" i="2"/>
  <c r="BA284" i="2"/>
  <c r="AX271" i="2"/>
  <c r="AO271" i="2"/>
  <c r="AR209" i="2"/>
  <c r="AS276" i="2"/>
  <c r="AO286" i="2"/>
  <c r="AP267" i="2"/>
  <c r="BA267" i="2"/>
  <c r="AX204" i="2"/>
  <c r="AY254" i="2"/>
  <c r="AO275" i="2"/>
  <c r="AZ275" i="2"/>
  <c r="AS284" i="2"/>
  <c r="AZ271" i="2"/>
  <c r="AO209" i="2"/>
  <c r="AS209" i="2"/>
  <c r="AV276" i="2"/>
  <c r="AR235" i="2"/>
  <c r="BA197" i="2"/>
  <c r="AS286" i="2"/>
  <c r="BA259" i="2"/>
  <c r="AQ235" i="2"/>
  <c r="AZ235" i="2"/>
  <c r="AV197" i="2"/>
  <c r="AY286" i="2"/>
  <c r="BA286" i="2"/>
  <c r="AV267" i="2"/>
  <c r="AQ204" i="2"/>
  <c r="AT204" i="2" s="1"/>
  <c r="AS254" i="2"/>
  <c r="AV275" i="2"/>
  <c r="AS275" i="2"/>
  <c r="AX284" i="2"/>
  <c r="BA271" i="2"/>
  <c r="AW209" i="2"/>
  <c r="BA209" i="2"/>
  <c r="AW276" i="2"/>
  <c r="AO197" i="2"/>
  <c r="AZ286" i="2"/>
  <c r="AV286" i="2"/>
  <c r="AX267" i="2"/>
  <c r="AS204" i="2"/>
  <c r="AY204" i="2"/>
  <c r="AR254" i="2"/>
  <c r="BA254" i="2"/>
  <c r="AW275" i="2"/>
  <c r="BA275" i="2"/>
  <c r="AY284" i="2"/>
  <c r="AP271" i="2"/>
  <c r="AP209" i="2"/>
  <c r="AX276" i="2"/>
  <c r="AP259" i="2"/>
  <c r="AV235" i="2"/>
  <c r="AS235" i="2"/>
  <c r="AS259" i="2"/>
  <c r="AQ259" i="2"/>
  <c r="AY235" i="2"/>
  <c r="BA235" i="2"/>
  <c r="AW197" i="2"/>
  <c r="AP286" i="2"/>
  <c r="AQ267" i="2"/>
  <c r="BA204" i="2"/>
  <c r="AR204" i="2"/>
  <c r="AV254" i="2"/>
  <c r="AO254" i="2"/>
  <c r="AP275" i="2"/>
  <c r="AQ284" i="2"/>
  <c r="AV284" i="2"/>
  <c r="AQ271" i="2"/>
  <c r="AX209" i="2"/>
  <c r="AY276" i="2"/>
  <c r="AR259" i="2"/>
  <c r="AW259" i="2"/>
  <c r="AV204" i="2"/>
  <c r="AX254" i="2"/>
  <c r="AZ284" i="2"/>
  <c r="AR276" i="2"/>
  <c r="AS198" i="2"/>
  <c r="AP198" i="2"/>
  <c r="AZ199" i="2"/>
  <c r="AY256" i="2"/>
  <c r="AY247" i="2"/>
  <c r="AR237" i="2"/>
  <c r="AW236" i="2"/>
  <c r="AX297" i="2"/>
  <c r="AY198" i="2"/>
  <c r="AX198" i="2"/>
  <c r="AR256" i="2"/>
  <c r="AZ247" i="2"/>
  <c r="AO237" i="2"/>
  <c r="AZ237" i="2"/>
  <c r="AQ236" i="2"/>
  <c r="AQ297" i="2"/>
  <c r="AR198" i="2"/>
  <c r="AX256" i="2"/>
  <c r="AS256" i="2"/>
  <c r="AX247" i="2"/>
  <c r="AV252" i="2"/>
  <c r="AV237" i="2"/>
  <c r="BA237" i="2"/>
  <c r="AR236" i="2"/>
  <c r="AR297" i="2"/>
  <c r="AR226" i="2"/>
  <c r="AP237" i="2"/>
  <c r="AP236" i="2"/>
  <c r="AO297" i="2"/>
  <c r="AZ297" i="2"/>
  <c r="AZ198" i="2"/>
  <c r="AP256" i="2"/>
  <c r="BA256" i="2"/>
  <c r="AS247" i="2"/>
  <c r="AZ236" i="2"/>
  <c r="AV198" i="2"/>
  <c r="AO256" i="2"/>
  <c r="AQ247" i="2"/>
  <c r="BA247" i="2"/>
  <c r="AX237" i="2"/>
  <c r="AX236" i="2"/>
  <c r="AS236" i="2"/>
  <c r="AV297" i="2"/>
  <c r="AS297" i="2"/>
  <c r="AO273" i="2"/>
  <c r="AV226" i="2"/>
  <c r="AO247" i="2"/>
  <c r="AR247" i="2"/>
  <c r="AV236" i="2"/>
  <c r="AW297" i="2"/>
  <c r="AQ253" i="2"/>
  <c r="AZ273" i="2"/>
  <c r="AQ87" i="2"/>
  <c r="AW87" i="2"/>
  <c r="AO166" i="2"/>
  <c r="AQ184" i="2"/>
  <c r="AV182" i="2"/>
  <c r="BA182" i="2"/>
  <c r="AQ14" i="2"/>
  <c r="AZ14" i="2"/>
  <c r="AR53" i="2"/>
  <c r="AX53" i="2"/>
  <c r="AQ152" i="2"/>
  <c r="AW152" i="2"/>
  <c r="AX50" i="2"/>
  <c r="AS170" i="2"/>
  <c r="AR170" i="2"/>
  <c r="BA243" i="2"/>
  <c r="AX156" i="2"/>
  <c r="AO19" i="2"/>
  <c r="AV181" i="2"/>
  <c r="BA181" i="2"/>
  <c r="AW162" i="2"/>
  <c r="AZ139" i="2"/>
  <c r="AY139" i="2"/>
  <c r="AW66" i="2"/>
  <c r="AR32" i="2"/>
  <c r="AQ73" i="2"/>
  <c r="AW73" i="2"/>
  <c r="BA80" i="2"/>
  <c r="AR69" i="2"/>
  <c r="AX69" i="2"/>
  <c r="AZ72" i="2"/>
  <c r="BA72" i="2"/>
  <c r="BA132" i="2"/>
  <c r="AV170" i="2"/>
  <c r="AZ170" i="2"/>
  <c r="AR156" i="2"/>
  <c r="AW19" i="2"/>
  <c r="AP181" i="2"/>
  <c r="AU181" i="2" s="1"/>
  <c r="AP162" i="2"/>
  <c r="AS139" i="2"/>
  <c r="AQ66" i="2"/>
  <c r="AZ32" i="2"/>
  <c r="AY73" i="2"/>
  <c r="BA220" i="2"/>
  <c r="AO80" i="2"/>
  <c r="AV69" i="2"/>
  <c r="AQ69" i="2"/>
  <c r="AO72" i="2"/>
  <c r="AP132" i="2"/>
  <c r="AV132" i="2"/>
  <c r="AO184" i="2"/>
  <c r="AY87" i="2"/>
  <c r="AP87" i="2"/>
  <c r="AR166" i="2"/>
  <c r="AY184" i="2"/>
  <c r="AP182" i="2"/>
  <c r="AY14" i="2"/>
  <c r="AS14" i="2"/>
  <c r="AZ53" i="2"/>
  <c r="AQ53" i="2"/>
  <c r="AY152" i="2"/>
  <c r="AP152" i="2"/>
  <c r="AQ50" i="2"/>
  <c r="AR87" i="2"/>
  <c r="AX87" i="2"/>
  <c r="AV166" i="2"/>
  <c r="AR184" i="2"/>
  <c r="AX182" i="2"/>
  <c r="AV14" i="2"/>
  <c r="BA14" i="2"/>
  <c r="AS53" i="2"/>
  <c r="AY53" i="2"/>
  <c r="AR152" i="2"/>
  <c r="AX152" i="2"/>
  <c r="AY50" i="2"/>
  <c r="AO170" i="2"/>
  <c r="AQ156" i="2"/>
  <c r="AT156" i="2" s="1"/>
  <c r="AZ156" i="2"/>
  <c r="AP19" i="2"/>
  <c r="AX181" i="2"/>
  <c r="BA139" i="2"/>
  <c r="AP66" i="2"/>
  <c r="AY66" i="2"/>
  <c r="AS32" i="2"/>
  <c r="AR73" i="2"/>
  <c r="AY220" i="2"/>
  <c r="AW80" i="2"/>
  <c r="AZ69" i="2"/>
  <c r="AY69" i="2"/>
  <c r="AW72" i="2"/>
  <c r="AP20" i="2"/>
  <c r="AX132" i="2"/>
  <c r="AO132" i="2"/>
  <c r="BA53" i="2"/>
  <c r="AW170" i="2"/>
  <c r="AZ73" i="2"/>
  <c r="AP80" i="2"/>
  <c r="AS69" i="2"/>
  <c r="AP72" i="2"/>
  <c r="AV20" i="2"/>
  <c r="AQ132" i="2"/>
  <c r="AW132" i="2"/>
  <c r="AW184" i="2"/>
  <c r="AV174" i="2"/>
  <c r="AP166" i="2"/>
  <c r="AZ184" i="2"/>
  <c r="AO14" i="2"/>
  <c r="AZ152" i="2"/>
  <c r="AR50" i="2"/>
  <c r="AS156" i="2"/>
  <c r="AR19" i="2"/>
  <c r="AQ181" i="2"/>
  <c r="AO139" i="2"/>
  <c r="AR66" i="2"/>
  <c r="AS66" i="2"/>
  <c r="BA32" i="2"/>
  <c r="AS87" i="2"/>
  <c r="AX166" i="2"/>
  <c r="AV184" i="2"/>
  <c r="AS184" i="2"/>
  <c r="AY182" i="2"/>
  <c r="AW14" i="2"/>
  <c r="AV53" i="2"/>
  <c r="AS152" i="2"/>
  <c r="AV50" i="2"/>
  <c r="AZ50" i="2"/>
  <c r="BA159" i="2"/>
  <c r="AP170" i="2"/>
  <c r="AZ296" i="2"/>
  <c r="AV156" i="2"/>
  <c r="BA156" i="2"/>
  <c r="AZ19" i="2"/>
  <c r="AQ19" i="2"/>
  <c r="AY181" i="2"/>
  <c r="AW139" i="2"/>
  <c r="AV66" i="2"/>
  <c r="BA66" i="2"/>
  <c r="AP32" i="2"/>
  <c r="AV32" i="2"/>
  <c r="AS73" i="2"/>
  <c r="AR80" i="2"/>
  <c r="AX80" i="2"/>
  <c r="BA69" i="2"/>
  <c r="AX72" i="2"/>
  <c r="AO20" i="2"/>
  <c r="AY132" i="2"/>
  <c r="AP184" i="2"/>
  <c r="AQ146" i="2"/>
  <c r="AX159" i="2"/>
  <c r="AR296" i="2"/>
  <c r="AY156" i="2"/>
  <c r="AX19" i="2"/>
  <c r="AQ166" i="2"/>
  <c r="AX184" i="2"/>
  <c r="AZ81" i="2"/>
  <c r="AO50" i="2"/>
  <c r="AV159" i="2"/>
  <c r="AV19" i="2"/>
  <c r="AS205" i="2"/>
  <c r="AX32" i="2"/>
  <c r="AV80" i="2"/>
  <c r="AW20" i="2"/>
  <c r="AY205" i="2"/>
  <c r="AR220" i="2"/>
  <c r="AP262" i="2"/>
  <c r="AZ283" i="2"/>
  <c r="AY245" i="2"/>
  <c r="AQ283" i="2"/>
  <c r="AZ262" i="2"/>
  <c r="AQ216" i="2"/>
  <c r="AY216" i="2"/>
  <c r="AV243" i="2"/>
  <c r="AS269" i="2"/>
  <c r="AY243" i="2"/>
  <c r="AY287" i="2"/>
  <c r="AQ245" i="2"/>
  <c r="AR269" i="2"/>
  <c r="AY269" i="2"/>
  <c r="AX296" i="2"/>
  <c r="AS243" i="2"/>
  <c r="AP287" i="2"/>
  <c r="AZ205" i="2"/>
  <c r="AS220" i="2"/>
  <c r="AR245" i="2"/>
  <c r="AV269" i="2"/>
  <c r="BA283" i="2"/>
  <c r="AO296" i="2"/>
  <c r="AS296" i="2"/>
  <c r="AO243" i="2"/>
  <c r="AQ287" i="2"/>
  <c r="BA205" i="2"/>
  <c r="AQ262" i="2"/>
  <c r="AV262" i="2"/>
  <c r="BA225" i="2"/>
  <c r="AV220" i="2"/>
  <c r="AZ220" i="2"/>
  <c r="AR216" i="2"/>
  <c r="AP193" i="2"/>
  <c r="AV245" i="2"/>
  <c r="AZ245" i="2"/>
  <c r="AO269" i="2"/>
  <c r="AR283" i="2"/>
  <c r="AP296" i="2"/>
  <c r="BA296" i="2"/>
  <c r="AW243" i="2"/>
  <c r="AV287" i="2"/>
  <c r="AV205" i="2"/>
  <c r="AS262" i="2"/>
  <c r="AO262" i="2"/>
  <c r="AO220" i="2"/>
  <c r="AZ216" i="2"/>
  <c r="AV193" i="2"/>
  <c r="AW269" i="2"/>
  <c r="AS283" i="2"/>
  <c r="AV283" i="2"/>
  <c r="AV296" i="2"/>
  <c r="AP243" i="2"/>
  <c r="AW287" i="2"/>
  <c r="AO205" i="2"/>
  <c r="AY262" i="2"/>
  <c r="AW262" i="2"/>
  <c r="AW220" i="2"/>
  <c r="AO216" i="2"/>
  <c r="AS216" i="2"/>
  <c r="AO193" i="2"/>
  <c r="AX283" i="2"/>
  <c r="AW296" i="2"/>
  <c r="AX243" i="2"/>
  <c r="AX287" i="2"/>
  <c r="AW205" i="2"/>
  <c r="BA262" i="2"/>
  <c r="AP220" i="2"/>
  <c r="AW216" i="2"/>
  <c r="BA216" i="2"/>
  <c r="AW193" i="2"/>
  <c r="AS193" i="2"/>
  <c r="AO245" i="2"/>
  <c r="AP269" i="2"/>
  <c r="AO283" i="2"/>
  <c r="AP245" i="2"/>
  <c r="AZ269" i="2"/>
  <c r="AX269" i="2"/>
  <c r="AY283" i="2"/>
  <c r="AW283" i="2"/>
  <c r="AQ296" i="2"/>
  <c r="AR243" i="2"/>
  <c r="AR287" i="2"/>
  <c r="AP205" i="2"/>
  <c r="AR262" i="2"/>
  <c r="AX220" i="2"/>
  <c r="AP216" i="2"/>
  <c r="AV216" i="2"/>
  <c r="AQ193" i="2"/>
  <c r="AS245" i="2"/>
  <c r="AW245" i="2"/>
  <c r="BA245" i="2"/>
  <c r="BA269" i="2"/>
  <c r="AQ243" i="2"/>
  <c r="AO287" i="2"/>
  <c r="AR205" i="2"/>
  <c r="AR193" i="2"/>
  <c r="AS81" i="2"/>
  <c r="AW146" i="2"/>
  <c r="AY164" i="2"/>
  <c r="AO77" i="2"/>
  <c r="AX149" i="2"/>
  <c r="AS112" i="2"/>
  <c r="AQ148" i="2"/>
  <c r="AS137" i="2"/>
  <c r="AX15" i="2"/>
  <c r="AP81" i="2"/>
  <c r="BA165" i="2"/>
  <c r="BA110" i="2"/>
  <c r="AX81" i="2"/>
  <c r="AO81" i="2"/>
  <c r="BA146" i="2"/>
  <c r="AZ83" i="2"/>
  <c r="AZ219" i="2"/>
  <c r="AP120" i="2"/>
  <c r="AY34" i="2"/>
  <c r="AZ18" i="2"/>
  <c r="AR168" i="2"/>
  <c r="BA299" i="2"/>
  <c r="AW288" i="2"/>
  <c r="BA288" i="2"/>
  <c r="AP277" i="2"/>
  <c r="AW63" i="2"/>
  <c r="AV190" i="2"/>
  <c r="AO133" i="2"/>
  <c r="AS150" i="2"/>
  <c r="AR120" i="2"/>
  <c r="AR34" i="2"/>
  <c r="BA18" i="2"/>
  <c r="AW47" i="2"/>
  <c r="AQ168" i="2"/>
  <c r="AQ210" i="2"/>
  <c r="AZ299" i="2"/>
  <c r="AX288" i="2"/>
  <c r="AR277" i="2"/>
  <c r="AX277" i="2"/>
  <c r="AR63" i="2"/>
  <c r="AO190" i="2"/>
  <c r="AY133" i="2"/>
  <c r="AW133" i="2"/>
  <c r="AX150" i="2"/>
  <c r="AS120" i="2"/>
  <c r="AP34" i="2"/>
  <c r="AZ34" i="2"/>
  <c r="AQ47" i="2"/>
  <c r="AY168" i="2"/>
  <c r="AR210" i="2"/>
  <c r="AO288" i="2"/>
  <c r="AS277" i="2"/>
  <c r="AQ277" i="2"/>
  <c r="AQ190" i="2"/>
  <c r="AW190" i="2"/>
  <c r="AQ133" i="2"/>
  <c r="AP133" i="2"/>
  <c r="AQ20" i="2"/>
  <c r="BA219" i="2"/>
  <c r="AV120" i="2"/>
  <c r="BA120" i="2"/>
  <c r="AX34" i="2"/>
  <c r="AS34" i="2"/>
  <c r="AR47" i="2"/>
  <c r="AW168" i="2"/>
  <c r="AS168" i="2"/>
  <c r="AV24" i="2"/>
  <c r="AO242" i="2"/>
  <c r="AQ288" i="2"/>
  <c r="AZ214" i="2"/>
  <c r="AZ277" i="2"/>
  <c r="AY277" i="2"/>
  <c r="AR140" i="2"/>
  <c r="AR190" i="2"/>
  <c r="AP190" i="2"/>
  <c r="AR133" i="2"/>
  <c r="AX133" i="2"/>
  <c r="AY20" i="2"/>
  <c r="AY54" i="2"/>
  <c r="AQ120" i="2"/>
  <c r="AO142" i="2"/>
  <c r="AV34" i="2"/>
  <c r="BA34" i="2"/>
  <c r="AX168" i="2"/>
  <c r="BA168" i="2"/>
  <c r="AW242" i="2"/>
  <c r="AY288" i="2"/>
  <c r="BA277" i="2"/>
  <c r="AY190" i="2"/>
  <c r="AX190" i="2"/>
  <c r="AX203" i="2"/>
  <c r="AZ133" i="2"/>
  <c r="AR20" i="2"/>
  <c r="AW120" i="2"/>
  <c r="AX120" i="2"/>
  <c r="AY120" i="2"/>
  <c r="AP142" i="2"/>
  <c r="AO34" i="2"/>
  <c r="AZ168" i="2"/>
  <c r="AV168" i="2"/>
  <c r="AS242" i="2"/>
  <c r="AR288" i="2"/>
  <c r="AV277" i="2"/>
  <c r="AV136" i="2"/>
  <c r="AZ190" i="2"/>
  <c r="AY203" i="2"/>
  <c r="AS133" i="2"/>
  <c r="AZ20" i="2"/>
  <c r="AR189" i="2"/>
  <c r="AV219" i="2"/>
  <c r="AX27" i="2"/>
  <c r="AV242" i="2"/>
  <c r="AV288" i="2"/>
  <c r="AP326" i="2"/>
  <c r="AW326" i="2"/>
  <c r="AQ327" i="2"/>
  <c r="AR326" i="2"/>
  <c r="AZ326" i="2"/>
  <c r="AO327" i="2"/>
  <c r="AS327" i="2"/>
  <c r="AS326" i="2"/>
  <c r="BA326" i="2"/>
  <c r="AW327" i="2"/>
  <c r="AX326" i="2"/>
  <c r="AQ211" i="2"/>
  <c r="AS265" i="2"/>
  <c r="AV251" i="2"/>
  <c r="AY193" i="2"/>
  <c r="AQ250" i="2"/>
  <c r="AY280" i="2"/>
  <c r="AO260" i="2"/>
  <c r="AO305" i="2"/>
  <c r="AQ305" i="2"/>
  <c r="AR305" i="2"/>
  <c r="AX193" i="2"/>
  <c r="AV207" i="2"/>
  <c r="AW246" i="2"/>
  <c r="AY294" i="2"/>
  <c r="BA294" i="2"/>
  <c r="AO230" i="2"/>
  <c r="AR280" i="2"/>
  <c r="AZ272" i="2"/>
  <c r="AY251" i="2"/>
  <c r="AV294" i="2"/>
  <c r="AS257" i="2"/>
  <c r="AW230" i="2"/>
  <c r="AX272" i="2"/>
  <c r="AS195" i="2"/>
  <c r="AO251" i="2"/>
  <c r="AV257" i="2"/>
  <c r="AX230" i="2"/>
  <c r="AS272" i="2"/>
  <c r="BA195" i="2"/>
  <c r="AZ251" i="2"/>
  <c r="AZ196" i="2"/>
  <c r="AP257" i="2"/>
  <c r="AZ246" i="2"/>
  <c r="AV272" i="2"/>
  <c r="AQ195" i="2"/>
  <c r="AV196" i="2"/>
  <c r="AQ257" i="2"/>
  <c r="AZ207" i="2"/>
  <c r="AP246" i="2"/>
  <c r="AW280" i="2"/>
  <c r="AY195" i="2"/>
  <c r="AZ221" i="2"/>
  <c r="AY196" i="2"/>
  <c r="AW294" i="2"/>
  <c r="AR257" i="2"/>
  <c r="AY207" i="2"/>
  <c r="AQ246" i="2"/>
  <c r="BA280" i="2"/>
  <c r="AZ195" i="2"/>
  <c r="AW221" i="2"/>
  <c r="AR294" i="2"/>
  <c r="AS207" i="2"/>
  <c r="AY246" i="2"/>
  <c r="AX280" i="2"/>
  <c r="AX221" i="2"/>
  <c r="AV148" i="2"/>
  <c r="AX96" i="2"/>
  <c r="AO163" i="2"/>
  <c r="AT163" i="2" s="1"/>
  <c r="AR163" i="2"/>
  <c r="AX294" i="2"/>
  <c r="AS191" i="2"/>
  <c r="AY191" i="2"/>
  <c r="AV81" i="2"/>
  <c r="BA81" i="2"/>
  <c r="AX102" i="2"/>
  <c r="AQ143" i="2"/>
  <c r="AX257" i="2"/>
  <c r="AX145" i="2"/>
  <c r="AS146" i="2"/>
  <c r="AV31" i="2"/>
  <c r="AY31" i="2"/>
  <c r="AQ38" i="2"/>
  <c r="AQ7" i="2"/>
  <c r="AV85" i="2"/>
  <c r="AO135" i="2"/>
  <c r="AQ149" i="2"/>
  <c r="AP230" i="2"/>
  <c r="AQ12" i="2"/>
  <c r="BA207" i="2"/>
  <c r="BA246" i="2"/>
  <c r="AO246" i="2"/>
  <c r="AO280" i="2"/>
  <c r="AZ280" i="2"/>
  <c r="AY272" i="2"/>
  <c r="BA272" i="2"/>
  <c r="AV48" i="2"/>
  <c r="BA48" i="2"/>
  <c r="AY183" i="2"/>
  <c r="AR322" i="2"/>
  <c r="AZ137" i="2"/>
  <c r="AV195" i="2"/>
  <c r="AR195" i="2"/>
  <c r="BA251" i="2"/>
  <c r="AW65" i="2"/>
  <c r="AX65" i="2"/>
  <c r="AP221" i="2"/>
  <c r="BA83" i="2"/>
  <c r="AY124" i="2"/>
  <c r="AW91" i="2"/>
  <c r="AY113" i="2"/>
  <c r="AP113" i="2"/>
  <c r="AY171" i="2"/>
  <c r="AO276" i="2"/>
  <c r="BA196" i="2"/>
  <c r="AR123" i="2"/>
  <c r="BA305" i="2"/>
  <c r="AY305" i="2"/>
  <c r="AX84" i="2"/>
  <c r="AW148" i="2"/>
  <c r="AX167" i="2"/>
  <c r="AO64" i="2"/>
  <c r="AW163" i="2"/>
  <c r="AV163" i="2"/>
  <c r="AZ294" i="2"/>
  <c r="BA191" i="2"/>
  <c r="AZ191" i="2"/>
  <c r="AZ304" i="2"/>
  <c r="AW81" i="2"/>
  <c r="AY102" i="2"/>
  <c r="AO257" i="2"/>
  <c r="AY257" i="2"/>
  <c r="AZ145" i="2"/>
  <c r="AX146" i="2"/>
  <c r="AR31" i="2"/>
  <c r="BA31" i="2"/>
  <c r="AW38" i="2"/>
  <c r="AR38" i="2"/>
  <c r="AY7" i="2"/>
  <c r="AR77" i="2"/>
  <c r="AY85" i="2"/>
  <c r="AW85" i="2"/>
  <c r="AQ135" i="2"/>
  <c r="AY199" i="2"/>
  <c r="AQ230" i="2"/>
  <c r="AS12" i="2"/>
  <c r="AR12" i="2"/>
  <c r="AP207" i="2"/>
  <c r="AO207" i="2"/>
  <c r="AR246" i="2"/>
  <c r="AP280" i="2"/>
  <c r="AO272" i="2"/>
  <c r="AW48" i="2"/>
  <c r="AO183" i="2"/>
  <c r="AZ183" i="2"/>
  <c r="AX260" i="2"/>
  <c r="AY322" i="2"/>
  <c r="AS322" i="2"/>
  <c r="AO195" i="2"/>
  <c r="AW251" i="2"/>
  <c r="BA65" i="2"/>
  <c r="AZ65" i="2"/>
  <c r="AR221" i="2"/>
  <c r="AQ221" i="2"/>
  <c r="AS124" i="2"/>
  <c r="AZ124" i="2"/>
  <c r="AP91" i="2"/>
  <c r="AZ113" i="2"/>
  <c r="AP201" i="2"/>
  <c r="AV171" i="2"/>
  <c r="AZ171" i="2"/>
  <c r="AP276" i="2"/>
  <c r="AO196" i="2"/>
  <c r="AY10" i="2"/>
  <c r="AX123" i="2"/>
  <c r="AS123" i="2"/>
  <c r="AS305" i="2"/>
  <c r="AZ305" i="2"/>
  <c r="AY84" i="2"/>
  <c r="AW70" i="2"/>
  <c r="AX148" i="2"/>
  <c r="AY148" i="2"/>
  <c r="AO167" i="2"/>
  <c r="AO294" i="2"/>
  <c r="AQ81" i="2"/>
  <c r="AY146" i="2"/>
  <c r="AP85" i="2"/>
  <c r="AY230" i="2"/>
  <c r="AZ12" i="2"/>
  <c r="AW207" i="2"/>
  <c r="AW183" i="2"/>
  <c r="AS183" i="2"/>
  <c r="AV322" i="2"/>
  <c r="BA322" i="2"/>
  <c r="AW195" i="2"/>
  <c r="AW238" i="2"/>
  <c r="AP251" i="2"/>
  <c r="AO65" i="2"/>
  <c r="AS221" i="2"/>
  <c r="AY221" i="2"/>
  <c r="AW124" i="2"/>
  <c r="AV124" i="2"/>
  <c r="AX91" i="2"/>
  <c r="AS113" i="2"/>
  <c r="BA201" i="2"/>
  <c r="AX171" i="2"/>
  <c r="AS171" i="2"/>
  <c r="AW196" i="2"/>
  <c r="AW10" i="2"/>
  <c r="AY123" i="2"/>
  <c r="BA123" i="2"/>
  <c r="AV305" i="2"/>
  <c r="AW84" i="2"/>
  <c r="AR84" i="2"/>
  <c r="AY70" i="2"/>
  <c r="AZ148" i="2"/>
  <c r="AS148" i="2"/>
  <c r="AW167" i="2"/>
  <c r="AP145" i="2"/>
  <c r="AR146" i="2"/>
  <c r="AO31" i="2"/>
  <c r="AT31" i="2" s="1"/>
  <c r="BA38" i="2"/>
  <c r="AZ38" i="2"/>
  <c r="AW7" i="2"/>
  <c r="AQ85" i="2"/>
  <c r="AY135" i="2"/>
  <c r="AS230" i="2"/>
  <c r="AW12" i="2"/>
  <c r="AR207" i="2"/>
  <c r="AS246" i="2"/>
  <c r="AS280" i="2"/>
  <c r="AP272" i="2"/>
  <c r="AQ48" i="2"/>
  <c r="AP294" i="2"/>
  <c r="AY81" i="2"/>
  <c r="AZ102" i="2"/>
  <c r="AW257" i="2"/>
  <c r="AZ257" i="2"/>
  <c r="AY303" i="2"/>
  <c r="BA145" i="2"/>
  <c r="AO146" i="2"/>
  <c r="AZ146" i="2"/>
  <c r="AW31" i="2"/>
  <c r="AS38" i="2"/>
  <c r="AX7" i="2"/>
  <c r="AR85" i="2"/>
  <c r="AX85" i="2"/>
  <c r="AR135" i="2"/>
  <c r="AV230" i="2"/>
  <c r="AR230" i="2"/>
  <c r="AP58" i="2"/>
  <c r="BA12" i="2"/>
  <c r="AX207" i="2"/>
  <c r="AV246" i="2"/>
  <c r="AV280" i="2"/>
  <c r="AQ272" i="2"/>
  <c r="AY48" i="2"/>
  <c r="AV183" i="2"/>
  <c r="BA183" i="2"/>
  <c r="AO322" i="2"/>
  <c r="AP195" i="2"/>
  <c r="AQ251" i="2"/>
  <c r="AX251" i="2"/>
  <c r="AQ65" i="2"/>
  <c r="BA221" i="2"/>
  <c r="BA124" i="2"/>
  <c r="AQ91" i="2"/>
  <c r="BA113" i="2"/>
  <c r="AP171" i="2"/>
  <c r="BA171" i="2"/>
  <c r="AP196" i="2"/>
  <c r="AP123" i="2"/>
  <c r="AX158" i="2"/>
  <c r="AW305" i="2"/>
  <c r="BA84" i="2"/>
  <c r="AZ84" i="2"/>
  <c r="AX16" i="2"/>
  <c r="AO148" i="2"/>
  <c r="BA148" i="2"/>
  <c r="AQ167" i="2"/>
  <c r="AX20" i="2"/>
  <c r="AQ294" i="2"/>
  <c r="AW110" i="2"/>
  <c r="AO102" i="2"/>
  <c r="AS145" i="2"/>
  <c r="AP146" i="2"/>
  <c r="AO7" i="2"/>
  <c r="AP135" i="2"/>
  <c r="BA230" i="2"/>
  <c r="AV58" i="2"/>
  <c r="AS251" i="2"/>
  <c r="AS65" i="2"/>
  <c r="AV221" i="2"/>
  <c r="AP124" i="2"/>
  <c r="AV129" i="2"/>
  <c r="BA91" i="2"/>
  <c r="AV113" i="2"/>
  <c r="AO171" i="2"/>
  <c r="AR196" i="2"/>
  <c r="AX196" i="2"/>
  <c r="AV123" i="2"/>
  <c r="AP305" i="2"/>
  <c r="AO84" i="2"/>
  <c r="AV84" i="2"/>
  <c r="AP148" i="2"/>
  <c r="AP167" i="2"/>
  <c r="AY167" i="2"/>
  <c r="AY265" i="2"/>
  <c r="BA222" i="2"/>
  <c r="BA129" i="2"/>
  <c r="AS196" i="2"/>
  <c r="AS167" i="2"/>
  <c r="AQ159" i="2"/>
  <c r="AW159" i="2"/>
  <c r="AQ154" i="2"/>
  <c r="AT154" i="2" s="1"/>
  <c r="AQ162" i="2"/>
  <c r="AV192" i="2"/>
  <c r="AS192" i="2"/>
  <c r="AP159" i="2"/>
  <c r="AY159" i="2"/>
  <c r="AS154" i="2"/>
  <c r="AY154" i="2"/>
  <c r="AV162" i="2"/>
  <c r="AY162" i="2"/>
  <c r="AX192" i="2"/>
  <c r="BA192" i="2"/>
  <c r="AR159" i="2"/>
  <c r="AW154" i="2"/>
  <c r="AR154" i="2"/>
  <c r="AZ162" i="2"/>
  <c r="AS162" i="2"/>
  <c r="AO192" i="2"/>
  <c r="AZ159" i="2"/>
  <c r="BA154" i="2"/>
  <c r="AZ154" i="2"/>
  <c r="AR162" i="2"/>
  <c r="BA162" i="2"/>
  <c r="AW192" i="2"/>
  <c r="AO159" i="2"/>
  <c r="AX162" i="2"/>
  <c r="BA147" i="2"/>
  <c r="AY60" i="2"/>
  <c r="AO174" i="2"/>
  <c r="AW250" i="2"/>
  <c r="AY250" i="2"/>
  <c r="AS304" i="2"/>
  <c r="AR164" i="2"/>
  <c r="AV232" i="2"/>
  <c r="AP110" i="2"/>
  <c r="AV110" i="2"/>
  <c r="AY143" i="2"/>
  <c r="AY211" i="2"/>
  <c r="AS77" i="2"/>
  <c r="AZ77" i="2"/>
  <c r="AR149" i="2"/>
  <c r="AS149" i="2"/>
  <c r="AQ265" i="2"/>
  <c r="BA265" i="2"/>
  <c r="AX58" i="2"/>
  <c r="AV222" i="2"/>
  <c r="AS260" i="2"/>
  <c r="AQ260" i="2"/>
  <c r="AW137" i="2"/>
  <c r="AV137" i="2"/>
  <c r="AP238" i="2"/>
  <c r="AQ15" i="2"/>
  <c r="AT15" i="2" s="1"/>
  <c r="BA112" i="2"/>
  <c r="AO83" i="2"/>
  <c r="AO129" i="2"/>
  <c r="AV165" i="2"/>
  <c r="AO201" i="2"/>
  <c r="AQ10" i="2"/>
  <c r="AP10" i="2"/>
  <c r="AQ158" i="2"/>
  <c r="AV147" i="2"/>
  <c r="AO147" i="2"/>
  <c r="AS60" i="2"/>
  <c r="BA70" i="2"/>
  <c r="AR70" i="2"/>
  <c r="AQ16" i="2"/>
  <c r="AW11" i="2"/>
  <c r="BA36" i="2"/>
  <c r="AY96" i="2"/>
  <c r="AW174" i="2"/>
  <c r="AZ250" i="2"/>
  <c r="AS250" i="2"/>
  <c r="BA304" i="2"/>
  <c r="AZ164" i="2"/>
  <c r="AY232" i="2"/>
  <c r="AO232" i="2"/>
  <c r="AX110" i="2"/>
  <c r="AR143" i="2"/>
  <c r="AR211" i="2"/>
  <c r="AW77" i="2"/>
  <c r="AV77" i="2"/>
  <c r="AV149" i="2"/>
  <c r="BA149" i="2"/>
  <c r="AR265" i="2"/>
  <c r="AQ58" i="2"/>
  <c r="AO222" i="2"/>
  <c r="AW260" i="2"/>
  <c r="AY260" i="2"/>
  <c r="BA137" i="2"/>
  <c r="AX238" i="2"/>
  <c r="AR15" i="2"/>
  <c r="AY15" i="2"/>
  <c r="AV112" i="2"/>
  <c r="AW83" i="2"/>
  <c r="AW129" i="2"/>
  <c r="AO165" i="2"/>
  <c r="AW201" i="2"/>
  <c r="AR10" i="2"/>
  <c r="AX10" i="2"/>
  <c r="AY158" i="2"/>
  <c r="AX147" i="2"/>
  <c r="AW147" i="2"/>
  <c r="AV60" i="2"/>
  <c r="BA60" i="2"/>
  <c r="AO70" i="2"/>
  <c r="AZ70" i="2"/>
  <c r="AY16" i="2"/>
  <c r="AU266" i="2"/>
  <c r="AV36" i="2"/>
  <c r="AR96" i="2"/>
  <c r="AP174" i="2"/>
  <c r="AO250" i="2"/>
  <c r="BA250" i="2"/>
  <c r="AO304" i="2"/>
  <c r="AS164" i="2"/>
  <c r="AQ232" i="2"/>
  <c r="AW232" i="2"/>
  <c r="AQ110" i="2"/>
  <c r="AV143" i="2"/>
  <c r="AZ143" i="2"/>
  <c r="AV211" i="2"/>
  <c r="AZ211" i="2"/>
  <c r="BA77" i="2"/>
  <c r="AY149" i="2"/>
  <c r="AV265" i="2"/>
  <c r="AY58" i="2"/>
  <c r="AQ222" i="2"/>
  <c r="AW222" i="2"/>
  <c r="BA260" i="2"/>
  <c r="AP137" i="2"/>
  <c r="AQ238" i="2"/>
  <c r="AV15" i="2"/>
  <c r="AS15" i="2"/>
  <c r="AO112" i="2"/>
  <c r="AP83" i="2"/>
  <c r="AQ129" i="2"/>
  <c r="AQ165" i="2"/>
  <c r="AW165" i="2"/>
  <c r="AQ201" i="2"/>
  <c r="AZ10" i="2"/>
  <c r="BA158" i="2"/>
  <c r="AR158" i="2"/>
  <c r="AZ147" i="2"/>
  <c r="AY147" i="2"/>
  <c r="AX60" i="2"/>
  <c r="AO60" i="2"/>
  <c r="AS70" i="2"/>
  <c r="AO16" i="2"/>
  <c r="AR16" i="2"/>
  <c r="BA96" i="2"/>
  <c r="AR58" i="2"/>
  <c r="AY222" i="2"/>
  <c r="AP222" i="2"/>
  <c r="AR260" i="2"/>
  <c r="AX137" i="2"/>
  <c r="AS238" i="2"/>
  <c r="AY238" i="2"/>
  <c r="AZ15" i="2"/>
  <c r="BA15" i="2"/>
  <c r="AQ112" i="2"/>
  <c r="AW112" i="2"/>
  <c r="AX83" i="2"/>
  <c r="AY129" i="2"/>
  <c r="AY165" i="2"/>
  <c r="AP165" i="2"/>
  <c r="AY201" i="2"/>
  <c r="AS10" i="2"/>
  <c r="AO158" i="2"/>
  <c r="AZ158" i="2"/>
  <c r="AP147" i="2"/>
  <c r="AZ60" i="2"/>
  <c r="AW60" i="2"/>
  <c r="AV70" i="2"/>
  <c r="AS16" i="2"/>
  <c r="AZ16" i="2"/>
  <c r="AV96" i="2"/>
  <c r="AR250" i="2"/>
  <c r="AQ304" i="2"/>
  <c r="AO143" i="2"/>
  <c r="AP77" i="2"/>
  <c r="AQ174" i="2"/>
  <c r="AV250" i="2"/>
  <c r="AR304" i="2"/>
  <c r="AP304" i="2"/>
  <c r="AP164" i="2"/>
  <c r="AV164" i="2"/>
  <c r="AZ232" i="2"/>
  <c r="AX232" i="2"/>
  <c r="AR110" i="2"/>
  <c r="AW143" i="2"/>
  <c r="BA143" i="2"/>
  <c r="AW211" i="2"/>
  <c r="BA211" i="2"/>
  <c r="AX77" i="2"/>
  <c r="AO149" i="2"/>
  <c r="AX265" i="2"/>
  <c r="AZ58" i="2"/>
  <c r="AR222" i="2"/>
  <c r="AX222" i="2"/>
  <c r="AV260" i="2"/>
  <c r="AQ137" i="2"/>
  <c r="AV238" i="2"/>
  <c r="AR238" i="2"/>
  <c r="AO15" i="2"/>
  <c r="AY112" i="2"/>
  <c r="AP112" i="2"/>
  <c r="AQ83" i="2"/>
  <c r="AR129" i="2"/>
  <c r="AR165" i="2"/>
  <c r="AX165" i="2"/>
  <c r="AR201" i="2"/>
  <c r="BA10" i="2"/>
  <c r="AS158" i="2"/>
  <c r="AV158" i="2"/>
  <c r="AQ147" i="2"/>
  <c r="AP60" i="2"/>
  <c r="AP70" i="2"/>
  <c r="AW16" i="2"/>
  <c r="AV16" i="2"/>
  <c r="AX121" i="2"/>
  <c r="AZ174" i="2"/>
  <c r="BA164" i="2"/>
  <c r="AR232" i="2"/>
  <c r="AP232" i="2"/>
  <c r="AY110" i="2"/>
  <c r="AS143" i="2"/>
  <c r="AS211" i="2"/>
  <c r="AZ149" i="2"/>
  <c r="AW265" i="2"/>
  <c r="BA174" i="2"/>
  <c r="AP250" i="2"/>
  <c r="AV304" i="2"/>
  <c r="AX304" i="2"/>
  <c r="AX164" i="2"/>
  <c r="AO164" i="2"/>
  <c r="AS232" i="2"/>
  <c r="AZ110" i="2"/>
  <c r="AP143" i="2"/>
  <c r="AP211" i="2"/>
  <c r="AQ77" i="2"/>
  <c r="AW149" i="2"/>
  <c r="AO265" i="2"/>
  <c r="AO58" i="2"/>
  <c r="AS58" i="2"/>
  <c r="AZ222" i="2"/>
  <c r="AZ260" i="2"/>
  <c r="AY137" i="2"/>
  <c r="BA238" i="2"/>
  <c r="AZ238" i="2"/>
  <c r="AW15" i="2"/>
  <c r="AR112" i="2"/>
  <c r="AX112" i="2"/>
  <c r="AR83" i="2"/>
  <c r="AY83" i="2"/>
  <c r="AP129" i="2"/>
  <c r="AZ129" i="2"/>
  <c r="AZ165" i="2"/>
  <c r="AV201" i="2"/>
  <c r="AZ201" i="2"/>
  <c r="AV10" i="2"/>
  <c r="AW158" i="2"/>
  <c r="AR147" i="2"/>
  <c r="AR60" i="2"/>
  <c r="AX70" i="2"/>
  <c r="BA16" i="2"/>
  <c r="BA54" i="2"/>
  <c r="AW96" i="2"/>
  <c r="AQ121" i="2"/>
  <c r="AX174" i="2"/>
  <c r="AW304" i="2"/>
  <c r="AO211" i="2"/>
  <c r="AR174" i="2"/>
  <c r="AY174" i="2"/>
  <c r="AQ164" i="2"/>
  <c r="AO110" i="2"/>
  <c r="AP265" i="2"/>
  <c r="AW58" i="2"/>
  <c r="AO137" i="2"/>
  <c r="AV83" i="2"/>
  <c r="AX129" i="2"/>
  <c r="AX201" i="2"/>
  <c r="AO54" i="2"/>
  <c r="AP96" i="2"/>
  <c r="AO117" i="2"/>
  <c r="AR172" i="2"/>
  <c r="AS114" i="2"/>
  <c r="AP117" i="2"/>
  <c r="AY161" i="2"/>
  <c r="AQ172" i="2"/>
  <c r="AX114" i="2"/>
  <c r="AY116" i="2"/>
  <c r="AX161" i="2"/>
  <c r="AS172" i="2"/>
  <c r="AO116" i="2"/>
  <c r="AY169" i="2"/>
  <c r="AZ160" i="2"/>
  <c r="AZ161" i="2"/>
  <c r="AP116" i="2"/>
  <c r="AV169" i="2"/>
  <c r="BA160" i="2"/>
  <c r="AW169" i="2"/>
  <c r="AY138" i="2"/>
  <c r="BA74" i="2"/>
  <c r="AQ96" i="2"/>
  <c r="AZ138" i="2"/>
  <c r="AO74" i="2"/>
  <c r="AZ96" i="2"/>
  <c r="AO96" i="2"/>
  <c r="AS62" i="2"/>
  <c r="AO219" i="2"/>
  <c r="AS219" i="2"/>
  <c r="AQ117" i="2"/>
  <c r="AW117" i="2"/>
  <c r="AP150" i="2"/>
  <c r="AV303" i="2"/>
  <c r="BA303" i="2"/>
  <c r="AW142" i="2"/>
  <c r="AS18" i="2"/>
  <c r="AQ116" i="2"/>
  <c r="AW116" i="2"/>
  <c r="AS47" i="2"/>
  <c r="AY47" i="2"/>
  <c r="AO169" i="2"/>
  <c r="AY210" i="2"/>
  <c r="AP289" i="2"/>
  <c r="AQ199" i="2"/>
  <c r="AR138" i="2"/>
  <c r="AS160" i="2"/>
  <c r="AY234" i="2"/>
  <c r="AR242" i="2"/>
  <c r="BA242" i="2"/>
  <c r="AX299" i="2"/>
  <c r="AZ285" i="2"/>
  <c r="AR161" i="2"/>
  <c r="AX214" i="2"/>
  <c r="AO252" i="2"/>
  <c r="AY172" i="2"/>
  <c r="AY61" i="2"/>
  <c r="AP61" i="2"/>
  <c r="AZ225" i="2"/>
  <c r="AO218" i="2"/>
  <c r="AS218" i="2"/>
  <c r="AS140" i="2"/>
  <c r="AS63" i="2"/>
  <c r="AZ63" i="2"/>
  <c r="AV74" i="2"/>
  <c r="BA136" i="2"/>
  <c r="AS253" i="2"/>
  <c r="AQ40" i="2"/>
  <c r="AZ114" i="2"/>
  <c r="AQ203" i="2"/>
  <c r="AY273" i="2"/>
  <c r="AS273" i="2"/>
  <c r="AV134" i="2"/>
  <c r="AO226" i="2"/>
  <c r="BA226" i="2"/>
  <c r="AR64" i="2"/>
  <c r="AW36" i="2"/>
  <c r="AP62" i="2"/>
  <c r="AO62" i="2"/>
  <c r="AP219" i="2"/>
  <c r="AR117" i="2"/>
  <c r="AX117" i="2"/>
  <c r="AW150" i="2"/>
  <c r="AQ150" i="2"/>
  <c r="AW303" i="2"/>
  <c r="AX142" i="2"/>
  <c r="AI307" i="2"/>
  <c r="AZ307" i="2" s="1"/>
  <c r="AV18" i="2"/>
  <c r="AR116" i="2"/>
  <c r="AX116" i="2"/>
  <c r="BA47" i="2"/>
  <c r="AZ47" i="2"/>
  <c r="AQ169" i="2"/>
  <c r="AP169" i="2"/>
  <c r="AV210" i="2"/>
  <c r="AZ210" i="2"/>
  <c r="AQ289" i="2"/>
  <c r="AS199" i="2"/>
  <c r="AU101" i="2"/>
  <c r="AS138" i="2"/>
  <c r="AP160" i="2"/>
  <c r="AV160" i="2"/>
  <c r="AZ234" i="2"/>
  <c r="BA234" i="2"/>
  <c r="AZ242" i="2"/>
  <c r="AO299" i="2"/>
  <c r="AR285" i="2"/>
  <c r="AQ161" i="2"/>
  <c r="AS161" i="2"/>
  <c r="AX252" i="2"/>
  <c r="AQ252" i="2"/>
  <c r="AW172" i="2"/>
  <c r="BA172" i="2"/>
  <c r="AO61" i="2"/>
  <c r="AQ225" i="2"/>
  <c r="AP218" i="2"/>
  <c r="AY63" i="2"/>
  <c r="AQ74" i="2"/>
  <c r="AW74" i="2"/>
  <c r="AR253" i="2"/>
  <c r="AS40" i="2"/>
  <c r="AR40" i="2"/>
  <c r="BA114" i="2"/>
  <c r="AR203" i="2"/>
  <c r="AP273" i="2"/>
  <c r="AX134" i="2"/>
  <c r="AW226" i="2"/>
  <c r="AW64" i="2"/>
  <c r="AX36" i="2"/>
  <c r="AP134" i="2"/>
  <c r="AP36" i="2"/>
  <c r="AI308" i="2"/>
  <c r="AZ308" i="2" s="1"/>
  <c r="AR62" i="2"/>
  <c r="AW62" i="2"/>
  <c r="AX219" i="2"/>
  <c r="AZ117" i="2"/>
  <c r="BA261" i="2"/>
  <c r="AZ150" i="2"/>
  <c r="AY150" i="2"/>
  <c r="AP303" i="2"/>
  <c r="AR142" i="2"/>
  <c r="AO18" i="2"/>
  <c r="AZ116" i="2"/>
  <c r="AO47" i="2"/>
  <c r="AR169" i="2"/>
  <c r="AX169" i="2"/>
  <c r="AO210" i="2"/>
  <c r="AS210" i="2"/>
  <c r="AY289" i="2"/>
  <c r="BA199" i="2"/>
  <c r="BA138" i="2"/>
  <c r="AX160" i="2"/>
  <c r="AO160" i="2"/>
  <c r="AO234" i="2"/>
  <c r="AV234" i="2"/>
  <c r="AP242" i="2"/>
  <c r="AP299" i="2"/>
  <c r="AS285" i="2"/>
  <c r="AV161" i="2"/>
  <c r="BA161" i="2"/>
  <c r="AZ252" i="2"/>
  <c r="AY252" i="2"/>
  <c r="AX172" i="2"/>
  <c r="AV172" i="2"/>
  <c r="AQ22" i="2"/>
  <c r="AQ61" i="2"/>
  <c r="AY225" i="2"/>
  <c r="AX218" i="2"/>
  <c r="BA63" i="2"/>
  <c r="AY74" i="2"/>
  <c r="AP74" i="2"/>
  <c r="AZ253" i="2"/>
  <c r="AO40" i="2"/>
  <c r="AZ40" i="2"/>
  <c r="AV114" i="2"/>
  <c r="AW128" i="2"/>
  <c r="AV203" i="2"/>
  <c r="AZ203" i="2"/>
  <c r="AQ273" i="2"/>
  <c r="AS134" i="2"/>
  <c r="AQ134" i="2"/>
  <c r="AP226" i="2"/>
  <c r="AQ64" i="2"/>
  <c r="AQ36" i="2"/>
  <c r="AQ92" i="2"/>
  <c r="AQ18" i="2"/>
  <c r="AR289" i="2"/>
  <c r="AP199" i="2"/>
  <c r="AV199" i="2"/>
  <c r="AP138" i="2"/>
  <c r="AV138" i="2"/>
  <c r="AQ160" i="2"/>
  <c r="AW160" i="2"/>
  <c r="AR234" i="2"/>
  <c r="AX242" i="2"/>
  <c r="AQ299" i="2"/>
  <c r="AP285" i="2"/>
  <c r="AW285" i="2"/>
  <c r="AO161" i="2"/>
  <c r="AP252" i="2"/>
  <c r="AZ172" i="2"/>
  <c r="AS61" i="2"/>
  <c r="AP225" i="2"/>
  <c r="AV225" i="2"/>
  <c r="AQ218" i="2"/>
  <c r="AV63" i="2"/>
  <c r="AR74" i="2"/>
  <c r="AX74" i="2"/>
  <c r="AY253" i="2"/>
  <c r="AV253" i="2"/>
  <c r="AW40" i="2"/>
  <c r="AV40" i="2"/>
  <c r="AO114" i="2"/>
  <c r="AZ128" i="2"/>
  <c r="AO203" i="2"/>
  <c r="AS203" i="2"/>
  <c r="AV273" i="2"/>
  <c r="AW134" i="2"/>
  <c r="AY134" i="2"/>
  <c r="AX226" i="2"/>
  <c r="AY36" i="2"/>
  <c r="AQ219" i="2"/>
  <c r="AS117" i="2"/>
  <c r="AV150" i="2"/>
  <c r="AX303" i="2"/>
  <c r="AU45" i="2"/>
  <c r="AZ142" i="2"/>
  <c r="AW18" i="2"/>
  <c r="AV47" i="2"/>
  <c r="AY219" i="2"/>
  <c r="BA117" i="2"/>
  <c r="AO150" i="2"/>
  <c r="AR303" i="2"/>
  <c r="AY142" i="2"/>
  <c r="AS142" i="2"/>
  <c r="AY18" i="2"/>
  <c r="AP18" i="2"/>
  <c r="BA116" i="2"/>
  <c r="AP47" i="2"/>
  <c r="AS169" i="2"/>
  <c r="AP210" i="2"/>
  <c r="AW289" i="2"/>
  <c r="AZ289" i="2"/>
  <c r="AR199" i="2"/>
  <c r="AO199" i="2"/>
  <c r="AX138" i="2"/>
  <c r="AO138" i="2"/>
  <c r="AY160" i="2"/>
  <c r="AP234" i="2"/>
  <c r="AQ242" i="2"/>
  <c r="AS299" i="2"/>
  <c r="AY299" i="2"/>
  <c r="AY285" i="2"/>
  <c r="AX285" i="2"/>
  <c r="AW161" i="2"/>
  <c r="AS252" i="2"/>
  <c r="AO172" i="2"/>
  <c r="AR61" i="2"/>
  <c r="AR225" i="2"/>
  <c r="AO225" i="2"/>
  <c r="AY218" i="2"/>
  <c r="AP63" i="2"/>
  <c r="AZ74" i="2"/>
  <c r="BA253" i="2"/>
  <c r="AP253" i="2"/>
  <c r="BA40" i="2"/>
  <c r="AQ114" i="2"/>
  <c r="AW114" i="2"/>
  <c r="AW203" i="2"/>
  <c r="BA203" i="2"/>
  <c r="AX273" i="2"/>
  <c r="BA134" i="2"/>
  <c r="AR134" i="2"/>
  <c r="AQ226" i="2"/>
  <c r="AX64" i="2"/>
  <c r="AS64" i="2"/>
  <c r="AO36" i="2"/>
  <c r="AR36" i="2"/>
  <c r="AT291" i="2"/>
  <c r="AQ62" i="2"/>
  <c r="BA150" i="2"/>
  <c r="AQ142" i="2"/>
  <c r="AS116" i="2"/>
  <c r="AZ169" i="2"/>
  <c r="AW210" i="2"/>
  <c r="BA210" i="2"/>
  <c r="AV62" i="2"/>
  <c r="AY62" i="2"/>
  <c r="AQ303" i="2"/>
  <c r="AV142" i="2"/>
  <c r="AR18" i="2"/>
  <c r="AV289" i="2"/>
  <c r="AP127" i="2"/>
  <c r="AX199" i="2"/>
  <c r="AQ138" i="2"/>
  <c r="AV299" i="2"/>
  <c r="BA285" i="2"/>
  <c r="AS225" i="2"/>
  <c r="AO63" i="2"/>
  <c r="AO253" i="2"/>
  <c r="AY114" i="2"/>
  <c r="AO134" i="2"/>
  <c r="AZ64" i="2"/>
  <c r="AS36" i="2"/>
  <c r="AU71" i="2"/>
  <c r="AY239" i="2"/>
  <c r="BA239" i="2"/>
  <c r="AQ239" i="2"/>
  <c r="AS239" i="2"/>
  <c r="AX239" i="2"/>
  <c r="AZ239" i="2"/>
  <c r="AP239" i="2"/>
  <c r="AW239" i="2"/>
  <c r="AR239" i="2"/>
  <c r="AO239" i="2"/>
  <c r="AV239" i="2"/>
  <c r="AY76" i="2"/>
  <c r="AR76" i="2"/>
  <c r="AQ76" i="2"/>
  <c r="AX76" i="2"/>
  <c r="AP76" i="2"/>
  <c r="AW76" i="2"/>
  <c r="AO76" i="2"/>
  <c r="BA76" i="2"/>
  <c r="AZ76" i="2"/>
  <c r="AY29" i="2"/>
  <c r="BA29" i="2"/>
  <c r="AQ29" i="2"/>
  <c r="AX29" i="2"/>
  <c r="AP29" i="2"/>
  <c r="AV29" i="2"/>
  <c r="AS29" i="2"/>
  <c r="AZ29" i="2"/>
  <c r="AO29" i="2"/>
  <c r="AR29" i="2"/>
  <c r="AV76" i="2"/>
  <c r="AT306" i="2"/>
  <c r="AR261" i="2"/>
  <c r="AQ27" i="2"/>
  <c r="AV127" i="2"/>
  <c r="AX127" i="2"/>
  <c r="AO24" i="2"/>
  <c r="AS214" i="2"/>
  <c r="AR22" i="2"/>
  <c r="AY22" i="2"/>
  <c r="AZ140" i="2"/>
  <c r="AO136" i="2"/>
  <c r="AU130" i="2"/>
  <c r="BA128" i="2"/>
  <c r="AW54" i="2"/>
  <c r="AO92" i="2"/>
  <c r="AY92" i="2"/>
  <c r="AY121" i="2"/>
  <c r="AR121" i="2"/>
  <c r="AZ189" i="2"/>
  <c r="AY27" i="2"/>
  <c r="AZ127" i="2"/>
  <c r="AQ127" i="2"/>
  <c r="AY24" i="2"/>
  <c r="AW24" i="2"/>
  <c r="AT101" i="2"/>
  <c r="BA214" i="2"/>
  <c r="AV22" i="2"/>
  <c r="AS22" i="2"/>
  <c r="AW136" i="2"/>
  <c r="AV128" i="2"/>
  <c r="AU35" i="2"/>
  <c r="AP54" i="2"/>
  <c r="AS92" i="2"/>
  <c r="AR92" i="2"/>
  <c r="AO121" i="2"/>
  <c r="AZ121" i="2"/>
  <c r="AX189" i="2"/>
  <c r="AY261" i="2"/>
  <c r="AO261" i="2"/>
  <c r="BA27" i="2"/>
  <c r="AR27" i="2"/>
  <c r="AR127" i="2"/>
  <c r="AY127" i="2"/>
  <c r="AQ24" i="2"/>
  <c r="AP24" i="2"/>
  <c r="AZ22" i="2"/>
  <c r="BA22" i="2"/>
  <c r="AV140" i="2"/>
  <c r="AP136" i="2"/>
  <c r="AU224" i="2"/>
  <c r="AP128" i="2"/>
  <c r="AX54" i="2"/>
  <c r="AW92" i="2"/>
  <c r="AZ92" i="2"/>
  <c r="BA121" i="2"/>
  <c r="AY189" i="2"/>
  <c r="AS261" i="2"/>
  <c r="AW261" i="2"/>
  <c r="AO27" i="2"/>
  <c r="AZ27" i="2"/>
  <c r="AS127" i="2"/>
  <c r="AR24" i="2"/>
  <c r="AX24" i="2"/>
  <c r="AV214" i="2"/>
  <c r="AO22" i="2"/>
  <c r="AP140" i="2"/>
  <c r="AX136" i="2"/>
  <c r="AX128" i="2"/>
  <c r="AS54" i="2"/>
  <c r="AQ54" i="2"/>
  <c r="BA92" i="2"/>
  <c r="AP121" i="2"/>
  <c r="BA189" i="2"/>
  <c r="AV189" i="2"/>
  <c r="BA127" i="2"/>
  <c r="AZ24" i="2"/>
  <c r="AQ214" i="2"/>
  <c r="AO214" i="2"/>
  <c r="AW22" i="2"/>
  <c r="AW140" i="2"/>
  <c r="AX140" i="2"/>
  <c r="AR136" i="2"/>
  <c r="AQ128" i="2"/>
  <c r="AV92" i="2"/>
  <c r="AP189" i="2"/>
  <c r="AO189" i="2"/>
  <c r="AP261" i="2"/>
  <c r="AS27" i="2"/>
  <c r="AU93" i="2"/>
  <c r="AZ261" i="2"/>
  <c r="AX261" i="2"/>
  <c r="AT53" i="2"/>
  <c r="AW27" i="2"/>
  <c r="AO127" i="2"/>
  <c r="AS24" i="2"/>
  <c r="AY214" i="2"/>
  <c r="AW214" i="2"/>
  <c r="AP22" i="2"/>
  <c r="AT13" i="2"/>
  <c r="AU151" i="2"/>
  <c r="BA140" i="2"/>
  <c r="AQ140" i="2"/>
  <c r="AQ136" i="2"/>
  <c r="AZ136" i="2"/>
  <c r="AO128" i="2"/>
  <c r="AY128" i="2"/>
  <c r="AR54" i="2"/>
  <c r="AP92" i="2"/>
  <c r="AS121" i="2"/>
  <c r="AT71" i="2"/>
  <c r="AQ189" i="2"/>
  <c r="AW189" i="2"/>
  <c r="AV261" i="2"/>
  <c r="AV27" i="2"/>
  <c r="AR214" i="2"/>
  <c r="AO140" i="2"/>
  <c r="AY136" i="2"/>
  <c r="AS128" i="2"/>
  <c r="AV54" i="2"/>
  <c r="AW121" i="2"/>
  <c r="AO308" i="2"/>
  <c r="BA308" i="2"/>
  <c r="H310" i="2"/>
  <c r="G311" i="2"/>
  <c r="AX126" i="2"/>
  <c r="AP126" i="2"/>
  <c r="AW126" i="2"/>
  <c r="AO126" i="2"/>
  <c r="AV126" i="2"/>
  <c r="BA126" i="2"/>
  <c r="AS126" i="2"/>
  <c r="AZ126" i="2"/>
  <c r="AR126" i="2"/>
  <c r="AQ126" i="2"/>
  <c r="AY126" i="2"/>
  <c r="AX103" i="2"/>
  <c r="AP103" i="2"/>
  <c r="AW103" i="2"/>
  <c r="AO103" i="2"/>
  <c r="AV103" i="2"/>
  <c r="BA103" i="2"/>
  <c r="AS103" i="2"/>
  <c r="AZ103" i="2"/>
  <c r="AR103" i="2"/>
  <c r="AQ103" i="2"/>
  <c r="AY103" i="2"/>
  <c r="AT35" i="2"/>
  <c r="AV200" i="2"/>
  <c r="BA200" i="2"/>
  <c r="AS200" i="2"/>
  <c r="AZ200" i="2"/>
  <c r="AR200" i="2"/>
  <c r="AX200" i="2"/>
  <c r="AP200" i="2"/>
  <c r="AQ200" i="2"/>
  <c r="AO200" i="2"/>
  <c r="AY200" i="2"/>
  <c r="AW200" i="2"/>
  <c r="BA8" i="2"/>
  <c r="AS8" i="2"/>
  <c r="AX8" i="2"/>
  <c r="AP8" i="2"/>
  <c r="AW8" i="2"/>
  <c r="AO8" i="2"/>
  <c r="AZ8" i="2"/>
  <c r="AQ8" i="2"/>
  <c r="AY8" i="2"/>
  <c r="AV8" i="2"/>
  <c r="AR8" i="2"/>
  <c r="BA43" i="2"/>
  <c r="AS43" i="2"/>
  <c r="AZ43" i="2"/>
  <c r="AR43" i="2"/>
  <c r="AX43" i="2"/>
  <c r="AP43" i="2"/>
  <c r="AW43" i="2"/>
  <c r="AO43" i="2"/>
  <c r="AV43" i="2"/>
  <c r="AQ43" i="2"/>
  <c r="AY43" i="2"/>
  <c r="AV186" i="2"/>
  <c r="BA186" i="2"/>
  <c r="AS186" i="2"/>
  <c r="AY186" i="2"/>
  <c r="AQ186" i="2"/>
  <c r="AZ186" i="2"/>
  <c r="AX186" i="2"/>
  <c r="AW186" i="2"/>
  <c r="AR186" i="2"/>
  <c r="AP186" i="2"/>
  <c r="AO186" i="2"/>
  <c r="AX278" i="2"/>
  <c r="AP278" i="2"/>
  <c r="AW278" i="2"/>
  <c r="AO278" i="2"/>
  <c r="AV278" i="2"/>
  <c r="AS278" i="2"/>
  <c r="AQ278" i="2"/>
  <c r="BA278" i="2"/>
  <c r="AZ278" i="2"/>
  <c r="AY278" i="2"/>
  <c r="AR278" i="2"/>
  <c r="AT93" i="2"/>
  <c r="AX86" i="2"/>
  <c r="AP86" i="2"/>
  <c r="AW86" i="2"/>
  <c r="AO86" i="2"/>
  <c r="AV86" i="2"/>
  <c r="BA86" i="2"/>
  <c r="AS86" i="2"/>
  <c r="AZ86" i="2"/>
  <c r="AR86" i="2"/>
  <c r="AY86" i="2"/>
  <c r="AQ86" i="2"/>
  <c r="AX28" i="2"/>
  <c r="AP28" i="2"/>
  <c r="AW28" i="2"/>
  <c r="AO28" i="2"/>
  <c r="AV28" i="2"/>
  <c r="BA28" i="2"/>
  <c r="AS28" i="2"/>
  <c r="AZ28" i="2"/>
  <c r="AR28" i="2"/>
  <c r="AQ28" i="2"/>
  <c r="AY28" i="2"/>
  <c r="AT113" i="2"/>
  <c r="AV208" i="2"/>
  <c r="BA208" i="2"/>
  <c r="AS208" i="2"/>
  <c r="AZ208" i="2"/>
  <c r="AR208" i="2"/>
  <c r="AX208" i="2"/>
  <c r="AP208" i="2"/>
  <c r="AY208" i="2"/>
  <c r="AW208" i="2"/>
  <c r="AQ208" i="2"/>
  <c r="AO208" i="2"/>
  <c r="AX206" i="2"/>
  <c r="AP206" i="2"/>
  <c r="AW206" i="2"/>
  <c r="AO206" i="2"/>
  <c r="AV206" i="2"/>
  <c r="AZ206" i="2"/>
  <c r="AR206" i="2"/>
  <c r="AY206" i="2"/>
  <c r="AS206" i="2"/>
  <c r="AQ206" i="2"/>
  <c r="BA206" i="2"/>
  <c r="BA227" i="2"/>
  <c r="AS227" i="2"/>
  <c r="AZ227" i="2"/>
  <c r="AR227" i="2"/>
  <c r="AX227" i="2"/>
  <c r="AP227" i="2"/>
  <c r="AW227" i="2"/>
  <c r="AO227" i="2"/>
  <c r="AY227" i="2"/>
  <c r="AV227" i="2"/>
  <c r="AQ227" i="2"/>
  <c r="AT302" i="2"/>
  <c r="O309" i="2"/>
  <c r="AC309" i="2"/>
  <c r="P309" i="2"/>
  <c r="AX107" i="2"/>
  <c r="AP107" i="2"/>
  <c r="AW107" i="2"/>
  <c r="AO107" i="2"/>
  <c r="AV107" i="2"/>
  <c r="BA107" i="2"/>
  <c r="AS107" i="2"/>
  <c r="AZ107" i="2"/>
  <c r="AR107" i="2"/>
  <c r="AY107" i="2"/>
  <c r="AQ107" i="2"/>
  <c r="AX68" i="2"/>
  <c r="AP68" i="2"/>
  <c r="AV68" i="2"/>
  <c r="BA68" i="2"/>
  <c r="AS68" i="2"/>
  <c r="AZ68" i="2"/>
  <c r="AR68" i="2"/>
  <c r="AY68" i="2"/>
  <c r="AW68" i="2"/>
  <c r="AQ68" i="2"/>
  <c r="AO68" i="2"/>
  <c r="AX88" i="2"/>
  <c r="AP88" i="2"/>
  <c r="AW88" i="2"/>
  <c r="AO88" i="2"/>
  <c r="AV88" i="2"/>
  <c r="BA88" i="2"/>
  <c r="AS88" i="2"/>
  <c r="AZ88" i="2"/>
  <c r="AR88" i="2"/>
  <c r="AY88" i="2"/>
  <c r="AQ88" i="2"/>
  <c r="AX240" i="2"/>
  <c r="AP240" i="2"/>
  <c r="AW240" i="2"/>
  <c r="AO240" i="2"/>
  <c r="AV240" i="2"/>
  <c r="BA240" i="2"/>
  <c r="AS240" i="2"/>
  <c r="AZ240" i="2"/>
  <c r="AR240" i="2"/>
  <c r="AQ240" i="2"/>
  <c r="AY240" i="2"/>
  <c r="AN311" i="2"/>
  <c r="AK312" i="2"/>
  <c r="AX37" i="2"/>
  <c r="AP37" i="2"/>
  <c r="AW37" i="2"/>
  <c r="AO37" i="2"/>
  <c r="AV37" i="2"/>
  <c r="BA37" i="2"/>
  <c r="AS37" i="2"/>
  <c r="AZ37" i="2"/>
  <c r="AR37" i="2"/>
  <c r="AY37" i="2"/>
  <c r="AQ37" i="2"/>
  <c r="AV263" i="2"/>
  <c r="AS263" i="2"/>
  <c r="BA263" i="2"/>
  <c r="AQ263" i="2"/>
  <c r="AZ263" i="2"/>
  <c r="AP263" i="2"/>
  <c r="AY263" i="2"/>
  <c r="AO263" i="2"/>
  <c r="AW263" i="2"/>
  <c r="AX263" i="2"/>
  <c r="AR263" i="2"/>
  <c r="X16" i="3" l="1"/>
  <c r="AZ46" i="2"/>
  <c r="AT182" i="2"/>
  <c r="Y20" i="3"/>
  <c r="X11" i="3"/>
  <c r="AT322" i="2"/>
  <c r="AT168" i="2"/>
  <c r="AT69" i="2"/>
  <c r="AU108" i="2"/>
  <c r="AT125" i="2"/>
  <c r="AT95" i="2"/>
  <c r="Y11" i="3"/>
  <c r="X20" i="3"/>
  <c r="AT258" i="2"/>
  <c r="AT202" i="2"/>
  <c r="AT279" i="2"/>
  <c r="AT66" i="2"/>
  <c r="AT65" i="2"/>
  <c r="AU94" i="2"/>
  <c r="AT89" i="2"/>
  <c r="AU118" i="2"/>
  <c r="AU324" i="2"/>
  <c r="AU291" i="2"/>
  <c r="AU194" i="2"/>
  <c r="AT139" i="2"/>
  <c r="AT295" i="2"/>
  <c r="AU292" i="2"/>
  <c r="AU215" i="2"/>
  <c r="AT82" i="2"/>
  <c r="AU49" i="2"/>
  <c r="AT33" i="2"/>
  <c r="AU98" i="2"/>
  <c r="AT179" i="2"/>
  <c r="AT52" i="2"/>
  <c r="AU67" i="2"/>
  <c r="AT194" i="2"/>
  <c r="AT75" i="2"/>
  <c r="AU279" i="2"/>
  <c r="AU141" i="2"/>
  <c r="AU176" i="2"/>
  <c r="AU233" i="2"/>
  <c r="AU33" i="2"/>
  <c r="AU249" i="2"/>
  <c r="AT268" i="2"/>
  <c r="AV308" i="2"/>
  <c r="AV46" i="2"/>
  <c r="AT49" i="2"/>
  <c r="AT176" i="2"/>
  <c r="AT223" i="2"/>
  <c r="AT32" i="2"/>
  <c r="AT73" i="2"/>
  <c r="AW308" i="2"/>
  <c r="AU75" i="2"/>
  <c r="AP308" i="2"/>
  <c r="AY308" i="2"/>
  <c r="AQ308" i="2"/>
  <c r="AS308" i="2"/>
  <c r="AR308" i="2"/>
  <c r="AT177" i="2"/>
  <c r="AU25" i="2"/>
  <c r="AT26" i="2"/>
  <c r="AU231" i="2"/>
  <c r="AU202" i="2"/>
  <c r="AT324" i="2"/>
  <c r="AX308" i="2"/>
  <c r="AU274" i="2"/>
  <c r="AX46" i="2"/>
  <c r="AT105" i="2"/>
  <c r="AT298" i="2"/>
  <c r="AU295" i="2"/>
  <c r="AT16" i="2"/>
  <c r="AU32" i="2"/>
  <c r="AU153" i="2"/>
  <c r="AU217" i="2"/>
  <c r="AT30" i="2"/>
  <c r="AU281" i="2"/>
  <c r="AU298" i="2"/>
  <c r="AT213" i="2"/>
  <c r="AT118" i="2"/>
  <c r="AT79" i="2"/>
  <c r="AU109" i="2"/>
  <c r="AY46" i="2"/>
  <c r="AU95" i="2"/>
  <c r="AO46" i="2"/>
  <c r="AR46" i="2"/>
  <c r="AU82" i="2"/>
  <c r="AT94" i="2"/>
  <c r="AP46" i="2"/>
  <c r="AQ46" i="2"/>
  <c r="AW46" i="2"/>
  <c r="BA46" i="2"/>
  <c r="AT215" i="2"/>
  <c r="AT217" i="2"/>
  <c r="AT184" i="2"/>
  <c r="AT281" i="2"/>
  <c r="AU30" i="2"/>
  <c r="AU39" i="2"/>
  <c r="AT104" i="2"/>
  <c r="AU17" i="2"/>
  <c r="AU26" i="2"/>
  <c r="AT131" i="2"/>
  <c r="AT185" i="2"/>
  <c r="AT100" i="2"/>
  <c r="AU79" i="2"/>
  <c r="AT17" i="2"/>
  <c r="AU300" i="2"/>
  <c r="AU97" i="2"/>
  <c r="AT108" i="2"/>
  <c r="AU301" i="2"/>
  <c r="AT56" i="2"/>
  <c r="AU179" i="2"/>
  <c r="AU268" i="2"/>
  <c r="AT99" i="2"/>
  <c r="AU9" i="2"/>
  <c r="AT292" i="2"/>
  <c r="AT25" i="2"/>
  <c r="AU15" i="2"/>
  <c r="AU156" i="2"/>
  <c r="AU157" i="2"/>
  <c r="AU42" i="2"/>
  <c r="AT231" i="2"/>
  <c r="AU52" i="2"/>
  <c r="AT106" i="2"/>
  <c r="AU125" i="2"/>
  <c r="AT142" i="2"/>
  <c r="AU152" i="2"/>
  <c r="AT198" i="2"/>
  <c r="AT123" i="2"/>
  <c r="AT122" i="2"/>
  <c r="AT97" i="2"/>
  <c r="AT180" i="2"/>
  <c r="AU119" i="2"/>
  <c r="AU23" i="2"/>
  <c r="AU173" i="2"/>
  <c r="AT98" i="2"/>
  <c r="AU213" i="2"/>
  <c r="AT301" i="2"/>
  <c r="AU105" i="2"/>
  <c r="AU258" i="2"/>
  <c r="AT67" i="2"/>
  <c r="AU188" i="2"/>
  <c r="AT59" i="2"/>
  <c r="AT248" i="2"/>
  <c r="AU56" i="2"/>
  <c r="AU83" i="2"/>
  <c r="AT327" i="2"/>
  <c r="AU104" i="2"/>
  <c r="AT141" i="2"/>
  <c r="AT119" i="2"/>
  <c r="AU100" i="2"/>
  <c r="AU41" i="2"/>
  <c r="AT249" i="2"/>
  <c r="AU178" i="2"/>
  <c r="AU248" i="2"/>
  <c r="AT9" i="2"/>
  <c r="AT102" i="2"/>
  <c r="AU99" i="2"/>
  <c r="AT188" i="2"/>
  <c r="AT41" i="2"/>
  <c r="AU154" i="2"/>
  <c r="AU106" i="2"/>
  <c r="AU122" i="2"/>
  <c r="AT48" i="2"/>
  <c r="AT282" i="2"/>
  <c r="AU59" i="2"/>
  <c r="AS307" i="2"/>
  <c r="AT173" i="2"/>
  <c r="AT23" i="2"/>
  <c r="AT178" i="2"/>
  <c r="AU180" i="2"/>
  <c r="AT274" i="2"/>
  <c r="AT262" i="2"/>
  <c r="AT181" i="2"/>
  <c r="AU297" i="2"/>
  <c r="AU235" i="2"/>
  <c r="AU197" i="2"/>
  <c r="AU48" i="2"/>
  <c r="AU191" i="2"/>
  <c r="AT288" i="2"/>
  <c r="AT115" i="2"/>
  <c r="AU290" i="2"/>
  <c r="AU325" i="2"/>
  <c r="AT255" i="2"/>
  <c r="AT229" i="2"/>
  <c r="AT228" i="2"/>
  <c r="AU21" i="2"/>
  <c r="AT90" i="2"/>
  <c r="AT57" i="2"/>
  <c r="AT39" i="2"/>
  <c r="AU185" i="2"/>
  <c r="AT144" i="2"/>
  <c r="AU223" i="2"/>
  <c r="AU131" i="2"/>
  <c r="AU187" i="2"/>
  <c r="AT157" i="2"/>
  <c r="AT44" i="2"/>
  <c r="AU244" i="2"/>
  <c r="AT233" i="2"/>
  <c r="AU144" i="2"/>
  <c r="AT55" i="2"/>
  <c r="AT285" i="2"/>
  <c r="AT192" i="2"/>
  <c r="AT187" i="2"/>
  <c r="AT244" i="2"/>
  <c r="AU90" i="2"/>
  <c r="AU44" i="2"/>
  <c r="AT174" i="2"/>
  <c r="AT243" i="2"/>
  <c r="AT197" i="2"/>
  <c r="AU293" i="2"/>
  <c r="AU177" i="2"/>
  <c r="AT21" i="2"/>
  <c r="AU55" i="2"/>
  <c r="AT158" i="2"/>
  <c r="AT152" i="2"/>
  <c r="AT325" i="2"/>
  <c r="AU115" i="2"/>
  <c r="AU228" i="2"/>
  <c r="AU57" i="2"/>
  <c r="AU102" i="2"/>
  <c r="AU111" i="2"/>
  <c r="AU19" i="2"/>
  <c r="AT124" i="2"/>
  <c r="AT266" i="2"/>
  <c r="AU255" i="2"/>
  <c r="AU229" i="2"/>
  <c r="AU163" i="2"/>
  <c r="AU327" i="2"/>
  <c r="AX307" i="2"/>
  <c r="AT293" i="2"/>
  <c r="AT290" i="2"/>
  <c r="AT145" i="2"/>
  <c r="AT284" i="2"/>
  <c r="AU50" i="2"/>
  <c r="AU73" i="2"/>
  <c r="AU69" i="2"/>
  <c r="AT191" i="2"/>
  <c r="AU175" i="2"/>
  <c r="AU7" i="2"/>
  <c r="AU91" i="2"/>
  <c r="AU326" i="2"/>
  <c r="AU66" i="2"/>
  <c r="AU14" i="2"/>
  <c r="AT247" i="2"/>
  <c r="AT236" i="2"/>
  <c r="AT270" i="2"/>
  <c r="AU11" i="2"/>
  <c r="AU51" i="2"/>
  <c r="AU155" i="2"/>
  <c r="AU241" i="2"/>
  <c r="AO307" i="2"/>
  <c r="BA307" i="2"/>
  <c r="AT155" i="2"/>
  <c r="AT241" i="2"/>
  <c r="AW307" i="2"/>
  <c r="AT51" i="2"/>
  <c r="AT304" i="2"/>
  <c r="AP307" i="2"/>
  <c r="AQ307" i="2"/>
  <c r="AT27" i="2"/>
  <c r="AT221" i="2"/>
  <c r="AU305" i="2"/>
  <c r="AU190" i="2"/>
  <c r="AU277" i="2"/>
  <c r="AT19" i="2"/>
  <c r="AT50" i="2"/>
  <c r="AT237" i="2"/>
  <c r="AT209" i="2"/>
  <c r="AT267" i="2"/>
  <c r="AT254" i="2"/>
  <c r="AT183" i="2"/>
  <c r="AT323" i="2"/>
  <c r="AT171" i="2"/>
  <c r="AU306" i="2"/>
  <c r="AT153" i="2"/>
  <c r="AU89" i="2"/>
  <c r="AY307" i="2"/>
  <c r="AU282" i="2"/>
  <c r="AR307" i="2"/>
  <c r="AT117" i="2"/>
  <c r="AU84" i="2"/>
  <c r="AU80" i="2"/>
  <c r="AT132" i="2"/>
  <c r="AU132" i="2"/>
  <c r="AT87" i="2"/>
  <c r="AT80" i="2"/>
  <c r="AV307" i="2"/>
  <c r="AU269" i="2"/>
  <c r="AT235" i="2"/>
  <c r="AT159" i="2"/>
  <c r="AT85" i="2"/>
  <c r="AT12" i="2"/>
  <c r="AT34" i="2"/>
  <c r="AU77" i="2"/>
  <c r="AT256" i="2"/>
  <c r="AU323" i="2"/>
  <c r="AT326" i="2"/>
  <c r="AU120" i="2"/>
  <c r="AU168" i="2"/>
  <c r="AU81" i="2"/>
  <c r="AT296" i="2"/>
  <c r="AT20" i="2"/>
  <c r="AT166" i="2"/>
  <c r="AU275" i="2"/>
  <c r="AU271" i="2"/>
  <c r="AU113" i="2"/>
  <c r="AU270" i="2"/>
  <c r="AT38" i="2"/>
  <c r="AU135" i="2"/>
  <c r="AU256" i="2"/>
  <c r="AT162" i="2"/>
  <c r="AU149" i="2"/>
  <c r="AT40" i="2"/>
  <c r="AT146" i="2"/>
  <c r="AT175" i="2"/>
  <c r="AU166" i="2"/>
  <c r="AT137" i="2"/>
  <c r="AT84" i="2"/>
  <c r="AU60" i="2"/>
  <c r="AT64" i="2"/>
  <c r="AT147" i="2"/>
  <c r="AU53" i="2"/>
  <c r="AU237" i="2"/>
  <c r="AU288" i="2"/>
  <c r="AU209" i="2"/>
  <c r="AT297" i="2"/>
  <c r="AT259" i="2"/>
  <c r="AU284" i="2"/>
  <c r="AT277" i="2"/>
  <c r="AT216" i="2"/>
  <c r="AU254" i="2"/>
  <c r="AU267" i="2"/>
  <c r="AT245" i="2"/>
  <c r="AT81" i="2"/>
  <c r="AT14" i="2"/>
  <c r="AU150" i="2"/>
  <c r="AT120" i="2"/>
  <c r="AU133" i="2"/>
  <c r="AU170" i="2"/>
  <c r="AU184" i="2"/>
  <c r="AU87" i="2"/>
  <c r="AT271" i="2"/>
  <c r="AT165" i="2"/>
  <c r="AU148" i="2"/>
  <c r="AU129" i="2"/>
  <c r="AT164" i="2"/>
  <c r="AT149" i="2"/>
  <c r="AU283" i="2"/>
  <c r="AU296" i="2"/>
  <c r="AU204" i="2"/>
  <c r="AU259" i="2"/>
  <c r="AU286" i="2"/>
  <c r="AT275" i="2"/>
  <c r="AU192" i="2"/>
  <c r="AU147" i="2"/>
  <c r="AT305" i="2"/>
  <c r="AU20" i="2"/>
  <c r="AT286" i="2"/>
  <c r="AU198" i="2"/>
  <c r="AU247" i="2"/>
  <c r="AU236" i="2"/>
  <c r="AT260" i="2"/>
  <c r="AU205" i="2"/>
  <c r="AT220" i="2"/>
  <c r="AU216" i="2"/>
  <c r="AU262" i="2"/>
  <c r="AT257" i="2"/>
  <c r="AT83" i="2"/>
  <c r="AT7" i="2"/>
  <c r="AT283" i="2"/>
  <c r="AT72" i="2"/>
  <c r="AU139" i="2"/>
  <c r="AU12" i="2"/>
  <c r="AU287" i="2"/>
  <c r="AU159" i="2"/>
  <c r="AU143" i="2"/>
  <c r="AU112" i="2"/>
  <c r="AT170" i="2"/>
  <c r="AT133" i="2"/>
  <c r="AU182" i="2"/>
  <c r="AT276" i="2"/>
  <c r="AU145" i="2"/>
  <c r="AU72" i="2"/>
  <c r="AU183" i="2"/>
  <c r="AU123" i="2"/>
  <c r="AT190" i="2"/>
  <c r="AU34" i="2"/>
  <c r="AU137" i="2"/>
  <c r="AU85" i="2"/>
  <c r="AU174" i="2"/>
  <c r="AU158" i="2"/>
  <c r="AU58" i="2"/>
  <c r="AT207" i="2"/>
  <c r="AU38" i="2"/>
  <c r="AT205" i="2"/>
  <c r="AU222" i="2"/>
  <c r="AU246" i="2"/>
  <c r="AU245" i="2"/>
  <c r="AU243" i="2"/>
  <c r="AU193" i="2"/>
  <c r="AT287" i="2"/>
  <c r="AU220" i="2"/>
  <c r="AT246" i="2"/>
  <c r="AT250" i="2"/>
  <c r="AU294" i="2"/>
  <c r="AT211" i="2"/>
  <c r="AT269" i="2"/>
  <c r="AU201" i="2"/>
  <c r="AT193" i="2"/>
  <c r="AT219" i="2"/>
  <c r="AU276" i="2"/>
  <c r="AT29" i="2"/>
  <c r="AT222" i="2"/>
  <c r="AU65" i="2"/>
  <c r="AT96" i="2"/>
  <c r="AU124" i="2"/>
  <c r="AT234" i="2"/>
  <c r="AU272" i="2"/>
  <c r="AU250" i="2"/>
  <c r="AU146" i="2"/>
  <c r="AU167" i="2"/>
  <c r="AT135" i="2"/>
  <c r="AU31" i="2"/>
  <c r="AU110" i="2"/>
  <c r="AU16" i="2"/>
  <c r="AT112" i="2"/>
  <c r="AT110" i="2"/>
  <c r="AU171" i="2"/>
  <c r="AU162" i="2"/>
  <c r="AT54" i="2"/>
  <c r="AT253" i="2"/>
  <c r="AU203" i="2"/>
  <c r="AU74" i="2"/>
  <c r="AT70" i="2"/>
  <c r="AT143" i="2"/>
  <c r="AT201" i="2"/>
  <c r="AT10" i="2"/>
  <c r="AU117" i="2"/>
  <c r="AU322" i="2"/>
  <c r="AT294" i="2"/>
  <c r="AT225" i="2"/>
  <c r="AU289" i="2"/>
  <c r="AU211" i="2"/>
  <c r="AU196" i="2"/>
  <c r="AU221" i="2"/>
  <c r="AT195" i="2"/>
  <c r="AT230" i="2"/>
  <c r="AU257" i="2"/>
  <c r="AT232" i="2"/>
  <c r="AU207" i="2"/>
  <c r="AT261" i="2"/>
  <c r="AT272" i="2"/>
  <c r="AU304" i="2"/>
  <c r="AU280" i="2"/>
  <c r="AU226" i="2"/>
  <c r="AT265" i="2"/>
  <c r="AU238" i="2"/>
  <c r="AT251" i="2"/>
  <c r="AT196" i="2"/>
  <c r="AU230" i="2"/>
  <c r="AU195" i="2"/>
  <c r="AU234" i="2"/>
  <c r="AT226" i="2"/>
  <c r="AU252" i="2"/>
  <c r="AT238" i="2"/>
  <c r="AT91" i="2"/>
  <c r="AT280" i="2"/>
  <c r="AT148" i="2"/>
  <c r="AT114" i="2"/>
  <c r="AU165" i="2"/>
  <c r="AU70" i="2"/>
  <c r="AU96" i="2"/>
  <c r="AU134" i="2"/>
  <c r="AU251" i="2"/>
  <c r="AU27" i="2"/>
  <c r="AU265" i="2"/>
  <c r="AT47" i="2"/>
  <c r="AT167" i="2"/>
  <c r="AT289" i="2"/>
  <c r="AU138" i="2"/>
  <c r="AT116" i="2"/>
  <c r="AT129" i="2"/>
  <c r="AT58" i="2"/>
  <c r="AU260" i="2"/>
  <c r="AT62" i="2"/>
  <c r="AT28" i="2"/>
  <c r="AU278" i="2"/>
  <c r="AU8" i="2"/>
  <c r="AU24" i="2"/>
  <c r="AT127" i="2"/>
  <c r="AT150" i="2"/>
  <c r="AU136" i="2"/>
  <c r="AU208" i="2"/>
  <c r="AT37" i="2"/>
  <c r="AU210" i="2"/>
  <c r="AU303" i="2"/>
  <c r="AU62" i="2"/>
  <c r="AU40" i="2"/>
  <c r="AU299" i="2"/>
  <c r="AT252" i="2"/>
  <c r="AU219" i="2"/>
  <c r="AT77" i="2"/>
  <c r="AU10" i="2"/>
  <c r="AU64" i="2"/>
  <c r="AU172" i="2"/>
  <c r="AU199" i="2"/>
  <c r="AT61" i="2"/>
  <c r="AU36" i="2"/>
  <c r="AU253" i="2"/>
  <c r="AU218" i="2"/>
  <c r="AU273" i="2"/>
  <c r="AU232" i="2"/>
  <c r="AT60" i="2"/>
  <c r="AT63" i="2"/>
  <c r="AT242" i="2"/>
  <c r="AT18" i="2"/>
  <c r="AU164" i="2"/>
  <c r="AT92" i="2"/>
  <c r="AT203" i="2"/>
  <c r="AT128" i="2"/>
  <c r="AU116" i="2"/>
  <c r="AU161" i="2"/>
  <c r="AT160" i="2"/>
  <c r="AT169" i="2"/>
  <c r="AU114" i="2"/>
  <c r="AT189" i="2"/>
  <c r="AU142" i="2"/>
  <c r="AT74" i="2"/>
  <c r="AT140" i="2"/>
  <c r="AT263" i="2"/>
  <c r="AT88" i="2"/>
  <c r="AT199" i="2"/>
  <c r="AT126" i="2"/>
  <c r="AT218" i="2"/>
  <c r="AU160" i="2"/>
  <c r="AU169" i="2"/>
  <c r="AU225" i="2"/>
  <c r="AT138" i="2"/>
  <c r="AT240" i="2"/>
  <c r="AU103" i="2"/>
  <c r="AU285" i="2"/>
  <c r="AU18" i="2"/>
  <c r="AU63" i="2"/>
  <c r="AU239" i="2"/>
  <c r="AU61" i="2"/>
  <c r="AU47" i="2"/>
  <c r="AU186" i="2"/>
  <c r="AT161" i="2"/>
  <c r="AT36" i="2"/>
  <c r="AT303" i="2"/>
  <c r="AU242" i="2"/>
  <c r="AT134" i="2"/>
  <c r="AT273" i="2"/>
  <c r="AT206" i="2"/>
  <c r="AU86" i="2"/>
  <c r="AT8" i="2"/>
  <c r="AT214" i="2"/>
  <c r="AU189" i="2"/>
  <c r="AU127" i="2"/>
  <c r="AT136" i="2"/>
  <c r="AT210" i="2"/>
  <c r="AU227" i="2"/>
  <c r="AU43" i="2"/>
  <c r="AT299" i="2"/>
  <c r="AU214" i="2"/>
  <c r="AT172" i="2"/>
  <c r="AT239" i="2"/>
  <c r="AT107" i="2"/>
  <c r="AU28" i="2"/>
  <c r="AT208" i="2"/>
  <c r="AT86" i="2"/>
  <c r="AU200" i="2"/>
  <c r="AU92" i="2"/>
  <c r="AT76" i="2"/>
  <c r="AU240" i="2"/>
  <c r="AU88" i="2"/>
  <c r="AU107" i="2"/>
  <c r="AT227" i="2"/>
  <c r="AT278" i="2"/>
  <c r="AT186" i="2"/>
  <c r="AT43" i="2"/>
  <c r="AU22" i="2"/>
  <c r="AU126" i="2"/>
  <c r="AU121" i="2"/>
  <c r="AT121" i="2"/>
  <c r="AT24" i="2"/>
  <c r="AU54" i="2"/>
  <c r="AU140" i="2"/>
  <c r="AU29" i="2"/>
  <c r="AU76" i="2"/>
  <c r="AU263" i="2"/>
  <c r="AU206" i="2"/>
  <c r="AT103" i="2"/>
  <c r="AU37" i="2"/>
  <c r="AI309" i="2"/>
  <c r="AY309" i="2" s="1"/>
  <c r="AU68" i="2"/>
  <c r="AU128" i="2"/>
  <c r="AU261" i="2"/>
  <c r="AT22" i="2"/>
  <c r="G312" i="2"/>
  <c r="H311" i="2"/>
  <c r="AT68" i="2"/>
  <c r="AC310" i="2"/>
  <c r="P310" i="2"/>
  <c r="O310" i="2"/>
  <c r="AT200" i="2"/>
  <c r="AK313" i="2"/>
  <c r="AN312" i="2"/>
  <c r="AU46" i="2" l="1"/>
  <c r="AU308" i="2"/>
  <c r="AT46" i="2"/>
  <c r="AT308" i="2"/>
  <c r="AU307" i="2"/>
  <c r="AT307" i="2"/>
  <c r="AR309" i="2"/>
  <c r="AP309" i="2"/>
  <c r="BA309" i="2"/>
  <c r="AS309" i="2"/>
  <c r="AV309" i="2"/>
  <c r="AI310" i="2"/>
  <c r="AR310" i="2" s="1"/>
  <c r="AX309" i="2"/>
  <c r="AZ309" i="2"/>
  <c r="AO309" i="2"/>
  <c r="AW309" i="2"/>
  <c r="AQ309" i="2"/>
  <c r="O311" i="2"/>
  <c r="AC311" i="2"/>
  <c r="P311" i="2"/>
  <c r="H312" i="2"/>
  <c r="G313" i="2"/>
  <c r="AN313" i="2"/>
  <c r="AK314" i="2"/>
  <c r="AU309" i="2" l="1"/>
  <c r="AI311" i="2"/>
  <c r="AZ311" i="2" s="1"/>
  <c r="AW310" i="2"/>
  <c r="AQ310" i="2"/>
  <c r="BA310" i="2"/>
  <c r="AX310" i="2"/>
  <c r="AY310" i="2"/>
  <c r="AP310" i="2"/>
  <c r="AO310" i="2"/>
  <c r="AS310" i="2"/>
  <c r="AV310" i="2"/>
  <c r="AZ310" i="2"/>
  <c r="AT309" i="2"/>
  <c r="AK315" i="2"/>
  <c r="AN314" i="2"/>
  <c r="G314" i="2"/>
  <c r="H313" i="2"/>
  <c r="AC312" i="2"/>
  <c r="P312" i="2"/>
  <c r="O312" i="2"/>
  <c r="AS311" i="2" l="1"/>
  <c r="AO311" i="2"/>
  <c r="AP311" i="2"/>
  <c r="AX311" i="2"/>
  <c r="BA311" i="2"/>
  <c r="AW311" i="2"/>
  <c r="AV311" i="2"/>
  <c r="AT310" i="2"/>
  <c r="AR311" i="2"/>
  <c r="AQ311" i="2"/>
  <c r="AY311" i="2"/>
  <c r="AU310" i="2"/>
  <c r="AI312" i="2"/>
  <c r="AV312" i="2" s="1"/>
  <c r="H314" i="2"/>
  <c r="G315" i="2"/>
  <c r="O313" i="2"/>
  <c r="AC313" i="2"/>
  <c r="P313" i="2"/>
  <c r="AN315" i="2"/>
  <c r="AK316" i="2"/>
  <c r="AT311" i="2" l="1"/>
  <c r="AU311" i="2"/>
  <c r="BA312" i="2"/>
  <c r="AI313" i="2"/>
  <c r="AV313" i="2" s="1"/>
  <c r="AO312" i="2"/>
  <c r="AW312" i="2"/>
  <c r="AQ312" i="2"/>
  <c r="AP312" i="2"/>
  <c r="AY312" i="2"/>
  <c r="AS312" i="2"/>
  <c r="AR312" i="2"/>
  <c r="AX312" i="2"/>
  <c r="AZ312" i="2"/>
  <c r="G316" i="2"/>
  <c r="H315" i="2"/>
  <c r="AC314" i="2"/>
  <c r="P314" i="2"/>
  <c r="O314" i="2"/>
  <c r="AK317" i="2"/>
  <c r="AN316" i="2"/>
  <c r="AP313" i="2" l="1"/>
  <c r="AQ313" i="2"/>
  <c r="AI314" i="2"/>
  <c r="AQ314" i="2" s="1"/>
  <c r="AY313" i="2"/>
  <c r="AZ313" i="2"/>
  <c r="AS313" i="2"/>
  <c r="AR313" i="2"/>
  <c r="AX313" i="2"/>
  <c r="AW313" i="2"/>
  <c r="BA313" i="2"/>
  <c r="AO313" i="2"/>
  <c r="AU312" i="2"/>
  <c r="AT312" i="2"/>
  <c r="AV314" i="2"/>
  <c r="H316" i="2"/>
  <c r="G317" i="2"/>
  <c r="O315" i="2"/>
  <c r="AC315" i="2"/>
  <c r="P315" i="2"/>
  <c r="AN317" i="2"/>
  <c r="AK318" i="2"/>
  <c r="AY314" i="2" l="1"/>
  <c r="AR314" i="2"/>
  <c r="AX314" i="2"/>
  <c r="AU313" i="2"/>
  <c r="AP314" i="2"/>
  <c r="AT313" i="2"/>
  <c r="AS314" i="2"/>
  <c r="AZ314" i="2"/>
  <c r="BA314" i="2"/>
  <c r="AO314" i="2"/>
  <c r="AW314" i="2"/>
  <c r="AI315" i="2"/>
  <c r="AX315" i="2" s="1"/>
  <c r="AC316" i="2"/>
  <c r="P316" i="2"/>
  <c r="O316" i="2"/>
  <c r="AK319" i="2"/>
  <c r="AN318" i="2"/>
  <c r="G318" i="2"/>
  <c r="H317" i="2"/>
  <c r="AU314" i="2" l="1"/>
  <c r="AT314" i="2"/>
  <c r="AI316" i="2"/>
  <c r="AV316" i="2" s="1"/>
  <c r="AQ315" i="2"/>
  <c r="AY315" i="2"/>
  <c r="AZ315" i="2"/>
  <c r="AS315" i="2"/>
  <c r="AO315" i="2"/>
  <c r="BA315" i="2"/>
  <c r="AR315" i="2"/>
  <c r="AP315" i="2"/>
  <c r="AW315" i="2"/>
  <c r="AV315" i="2"/>
  <c r="H318" i="2"/>
  <c r="G319" i="2"/>
  <c r="AN319" i="2"/>
  <c r="AK320" i="2"/>
  <c r="O317" i="2"/>
  <c r="AC317" i="2"/>
  <c r="P317" i="2"/>
  <c r="AT315" i="2" l="1"/>
  <c r="AY316" i="2"/>
  <c r="AR316" i="2"/>
  <c r="AZ316" i="2"/>
  <c r="AO316" i="2"/>
  <c r="AQ316" i="2"/>
  <c r="BA316" i="2"/>
  <c r="AX316" i="2"/>
  <c r="AP316" i="2"/>
  <c r="AS316" i="2"/>
  <c r="AW316" i="2"/>
  <c r="AI317" i="2"/>
  <c r="AZ317" i="2" s="1"/>
  <c r="AU315" i="2"/>
  <c r="G320" i="2"/>
  <c r="H319" i="2"/>
  <c r="AC318" i="2"/>
  <c r="P318" i="2"/>
  <c r="O318" i="2"/>
  <c r="AK321" i="2"/>
  <c r="AN321" i="2" s="1"/>
  <c r="AN320" i="2"/>
  <c r="AU316" i="2" l="1"/>
  <c r="AS317" i="2"/>
  <c r="BA317" i="2"/>
  <c r="AQ317" i="2"/>
  <c r="AV317" i="2"/>
  <c r="AO317" i="2"/>
  <c r="AX317" i="2"/>
  <c r="AP317" i="2"/>
  <c r="AW317" i="2"/>
  <c r="AT316" i="2"/>
  <c r="AY317" i="2"/>
  <c r="AR317" i="2"/>
  <c r="AI318" i="2"/>
  <c r="BA318" i="2" s="1"/>
  <c r="O319" i="2"/>
  <c r="AC319" i="2"/>
  <c r="P319" i="2"/>
  <c r="H320" i="2"/>
  <c r="G321" i="2"/>
  <c r="H321" i="2" s="1"/>
  <c r="AI319" i="2" l="1"/>
  <c r="AY319" i="2" s="1"/>
  <c r="AT317" i="2"/>
  <c r="AQ318" i="2"/>
  <c r="AU317" i="2"/>
  <c r="AY318" i="2"/>
  <c r="AP318" i="2"/>
  <c r="AZ318" i="2"/>
  <c r="AX318" i="2"/>
  <c r="AO318" i="2"/>
  <c r="AR318" i="2"/>
  <c r="AS318" i="2"/>
  <c r="AV318" i="2"/>
  <c r="AW318" i="2"/>
  <c r="O321" i="2"/>
  <c r="AC321" i="2"/>
  <c r="P321" i="2"/>
  <c r="AC320" i="2"/>
  <c r="P320" i="2"/>
  <c r="O320" i="2"/>
  <c r="AR319" i="2" l="1"/>
  <c r="AZ319" i="2"/>
  <c r="AP319" i="2"/>
  <c r="AS319" i="2"/>
  <c r="AW319" i="2"/>
  <c r="BA319" i="2"/>
  <c r="AX319" i="2"/>
  <c r="AV319" i="2"/>
  <c r="AO319" i="2"/>
  <c r="AQ319" i="2"/>
  <c r="AU318" i="2"/>
  <c r="AT318" i="2"/>
  <c r="AI320" i="2"/>
  <c r="AX320" i="2" s="1"/>
  <c r="AI321" i="2"/>
  <c r="AQ321" i="2" s="1"/>
  <c r="AU319" i="2" l="1"/>
  <c r="AT319" i="2"/>
  <c r="AV320" i="2"/>
  <c r="AO320" i="2"/>
  <c r="AW320" i="2"/>
  <c r="AQ320" i="2"/>
  <c r="BA320" i="2"/>
  <c r="AY320" i="2"/>
  <c r="AP320" i="2"/>
  <c r="AR320" i="2"/>
  <c r="AS320" i="2"/>
  <c r="AZ320" i="2"/>
  <c r="AY321" i="2"/>
  <c r="AZ321" i="2"/>
  <c r="BA321" i="2"/>
  <c r="AR321" i="2"/>
  <c r="AO321" i="2"/>
  <c r="AS321" i="2"/>
  <c r="AP321" i="2"/>
  <c r="AW321" i="2"/>
  <c r="AX321" i="2"/>
  <c r="AV321" i="2"/>
  <c r="AT321" i="2" l="1"/>
  <c r="AT320" i="2"/>
  <c r="AU320" i="2"/>
  <c r="AU321" i="2"/>
</calcChain>
</file>

<file path=xl/sharedStrings.xml><?xml version="1.0" encoding="utf-8"?>
<sst xmlns="http://schemas.openxmlformats.org/spreadsheetml/2006/main" count="1209" uniqueCount="665">
  <si>
    <t>CONTROL</t>
  </si>
  <si>
    <t>TOPE</t>
  </si>
  <si>
    <t>Años</t>
  </si>
  <si>
    <t>Porcentaje</t>
  </si>
  <si>
    <t>SI</t>
  </si>
  <si>
    <t>Valor del Punto</t>
  </si>
  <si>
    <t>Bon. Por Minoridad</t>
  </si>
  <si>
    <t>Estado Docente %</t>
  </si>
  <si>
    <t>NO</t>
  </si>
  <si>
    <t>Mat. Did. Mensual Secr y Prosecr</t>
  </si>
  <si>
    <t>Mat. Did. Mensual Prec Bibl y Ay Téc</t>
  </si>
  <si>
    <t>Mat. Did. Mensual Dir y Frente Alumnos</t>
  </si>
  <si>
    <t>Mat. Did. Mensual Superv jor compl y min</t>
  </si>
  <si>
    <t>Mat. Did. Mens (5%)</t>
  </si>
  <si>
    <t>Mat. Did. Hs.</t>
  </si>
  <si>
    <t>Mat. Did. 930</t>
  </si>
  <si>
    <t>Ad Rem Hs</t>
  </si>
  <si>
    <t>Adic Rem Cgo 1 DIRECTOR CORO</t>
  </si>
  <si>
    <t>Adic Rem Cgo 2 DIR ENS SUP</t>
  </si>
  <si>
    <t>Adic Rem Cgo 4 SUBINSP GRAL</t>
  </si>
  <si>
    <t>Adic Rem Cgo 5 SUPERV</t>
  </si>
  <si>
    <t>Adic Rem Cgo 6 ASESOR TECNICO</t>
  </si>
  <si>
    <t>Adic Rem Cgo 7 SECR DOCENTE</t>
  </si>
  <si>
    <t>Prom hs</t>
  </si>
  <si>
    <t>Prom Cgos 1</t>
  </si>
  <si>
    <t>Prom Cgos 2</t>
  </si>
  <si>
    <t>Supl. Cap 01</t>
  </si>
  <si>
    <t>Supl. Cap 02</t>
  </si>
  <si>
    <t>ARD Cgo</t>
  </si>
  <si>
    <t>NARD Cgo</t>
  </si>
  <si>
    <t>Ad. Rem. Doc HS</t>
  </si>
  <si>
    <t>Nvo Ad. Rem Doc HS</t>
  </si>
  <si>
    <t>Corr pauta FONID CGO</t>
  </si>
  <si>
    <t>Corr pauta FONID HS</t>
  </si>
  <si>
    <t>Ad. Extr</t>
  </si>
  <si>
    <t>Gto. Inh. Lab. Doc 01</t>
  </si>
  <si>
    <t>Gto. Inh. Lab. Doc 02</t>
  </si>
  <si>
    <t>Gto. Inh. Lab. Doc 03</t>
  </si>
  <si>
    <t>Gto. Inh. Lab. Doc 04</t>
  </si>
  <si>
    <t>Gto. Inh. Lab. Doc (5%)</t>
  </si>
  <si>
    <t>Gto. Inh. Lab. Doc hs</t>
  </si>
  <si>
    <t>Gto. Inh. Lab. Doc 930</t>
  </si>
  <si>
    <t>Fonid hs</t>
  </si>
  <si>
    <t>Fonid cgos</t>
  </si>
  <si>
    <t>Adelanto Fonid cgos 01</t>
  </si>
  <si>
    <t>Adelanto Fonid cgos 02</t>
  </si>
  <si>
    <t>Adelanto Fonid cgos 03</t>
  </si>
  <si>
    <t>Adelanto Fonid cgos 04</t>
  </si>
  <si>
    <t>Adelanto Fonid cgos 05</t>
  </si>
  <si>
    <t>Adelanto Fonid cgos 06</t>
  </si>
  <si>
    <t>Adelanto Fonid HS 900</t>
  </si>
  <si>
    <t>Adelanto Fonid HS 910</t>
  </si>
  <si>
    <t>Ap Mat Did Rem.</t>
  </si>
  <si>
    <t>Ap Mat Did Rem. 930</t>
  </si>
  <si>
    <t>Ap Mat Did Rem.Compl</t>
  </si>
  <si>
    <t>Ap Mat Did Rem.Compl 930</t>
  </si>
  <si>
    <t>Correccion Pauta Salarial</t>
  </si>
  <si>
    <t xml:space="preserve">Aporte Jubil </t>
  </si>
  <si>
    <t>Aporte Jubil Compl</t>
  </si>
  <si>
    <t>Aporte APROSS</t>
  </si>
  <si>
    <t>Aporte DIPE</t>
  </si>
  <si>
    <t>Aporte DIPE ANSSAL</t>
  </si>
  <si>
    <t>Contr Patr Jub</t>
  </si>
  <si>
    <t>Contr Patr Jub Compl</t>
  </si>
  <si>
    <t>Contr Patr Adicional</t>
  </si>
  <si>
    <t>Contr Patr APROSS</t>
  </si>
  <si>
    <t>Contr Patr DIPE ANSSAL</t>
  </si>
  <si>
    <t>Contr Patr OS DIPE</t>
  </si>
  <si>
    <t>Fondo</t>
  </si>
  <si>
    <t>ANTIGÜEDAD (EN AÑOS)</t>
  </si>
  <si>
    <t>ZONA DESFAVORABLE (EN NUMEROS)</t>
  </si>
  <si>
    <t>Valor Punto:$</t>
  </si>
  <si>
    <t>COBRA ADEL INC DOC (SI/NO)</t>
  </si>
  <si>
    <t xml:space="preserve">Basico </t>
  </si>
  <si>
    <t>Ded. Funcional</t>
  </si>
  <si>
    <t>Ded. Excl.</t>
  </si>
  <si>
    <t>Compl. Esp.</t>
  </si>
  <si>
    <t>Compl. Inicial</t>
  </si>
  <si>
    <t>Antig</t>
  </si>
  <si>
    <t xml:space="preserve">Ad. Rem </t>
  </si>
  <si>
    <t>Est. Doc</t>
  </si>
  <si>
    <t>Supl. Cap.</t>
  </si>
  <si>
    <t>Gtos. Inh. Lab. Doc.</t>
  </si>
  <si>
    <t>P.Cal Ed.</t>
  </si>
  <si>
    <t>Func. Jer</t>
  </si>
  <si>
    <t>Pr.Jor Func.</t>
  </si>
  <si>
    <t>Pr.Jor Pts.</t>
  </si>
  <si>
    <t>Bon Minor.</t>
  </si>
  <si>
    <t>Ad R Doc</t>
  </si>
  <si>
    <t>Zona</t>
  </si>
  <si>
    <t>Nuevo  A.R.D.</t>
  </si>
  <si>
    <t>Fun. Dif</t>
  </si>
  <si>
    <t>Ap Mat Did Rem. Compl</t>
  </si>
  <si>
    <t>Total Rem</t>
  </si>
  <si>
    <t>Corrección Pauta Salarial sobre FONID</t>
  </si>
  <si>
    <t>M.Did Men.</t>
  </si>
  <si>
    <t>Adel Inc Docente</t>
  </si>
  <si>
    <t>Total No Rem</t>
  </si>
  <si>
    <t>Ap Pers Jub</t>
  </si>
  <si>
    <t>Ap Pers Jub Compl</t>
  </si>
  <si>
    <t>APROSS</t>
  </si>
  <si>
    <t>OS DIPE</t>
  </si>
  <si>
    <t>DIPE ANSSAL</t>
  </si>
  <si>
    <t>LIQUIDO C/ OS APROSS</t>
  </si>
  <si>
    <t>LIQUIDO C/ OS DIPE</t>
  </si>
  <si>
    <t>Contr Patronal Jub</t>
  </si>
  <si>
    <t>Contr Patr Jub Adic</t>
  </si>
  <si>
    <t>HS FONID</t>
  </si>
  <si>
    <t>HS SEM</t>
  </si>
  <si>
    <t>LIQ PN</t>
  </si>
  <si>
    <t>NRO</t>
  </si>
  <si>
    <t>CGO</t>
  </si>
  <si>
    <t>DENOMINACION</t>
  </si>
  <si>
    <t>P001</t>
  </si>
  <si>
    <t>C100003</t>
  </si>
  <si>
    <t>P1723</t>
  </si>
  <si>
    <t>C117230</t>
  </si>
  <si>
    <t>P1763</t>
  </si>
  <si>
    <t>C117630</t>
  </si>
  <si>
    <t>P1821</t>
  </si>
  <si>
    <t>C118210</t>
  </si>
  <si>
    <t>C130300</t>
  </si>
  <si>
    <t>C118360</t>
  </si>
  <si>
    <t>C110230</t>
  </si>
  <si>
    <t>C117730</t>
  </si>
  <si>
    <t>C117430</t>
  </si>
  <si>
    <t>C112620</t>
  </si>
  <si>
    <t>C118420</t>
  </si>
  <si>
    <t>C117930</t>
  </si>
  <si>
    <t>C117830</t>
  </si>
  <si>
    <t>P1803</t>
  </si>
  <si>
    <t>C118030</t>
  </si>
  <si>
    <t>C118510</t>
  </si>
  <si>
    <t>C 117900</t>
  </si>
  <si>
    <t>C118460</t>
  </si>
  <si>
    <t>C114200</t>
  </si>
  <si>
    <t>P1839</t>
  </si>
  <si>
    <t>C118390</t>
  </si>
  <si>
    <t>C120170</t>
  </si>
  <si>
    <t>C121170</t>
  </si>
  <si>
    <t>TR</t>
  </si>
  <si>
    <t>C117530</t>
  </si>
  <si>
    <t>C130030</t>
  </si>
  <si>
    <t>TNR</t>
  </si>
  <si>
    <t>C660060</t>
  </si>
  <si>
    <t>C660070</t>
  </si>
  <si>
    <t>C660300</t>
  </si>
  <si>
    <t>C672400</t>
  </si>
  <si>
    <t>C672440</t>
  </si>
  <si>
    <t>C662200</t>
  </si>
  <si>
    <t>C662300</t>
  </si>
  <si>
    <t>C662400</t>
  </si>
  <si>
    <t>C670920</t>
  </si>
  <si>
    <t>C661460</t>
  </si>
  <si>
    <t>C661470</t>
  </si>
  <si>
    <t>13-001</t>
  </si>
  <si>
    <t>Director D.E.M.E.S.</t>
  </si>
  <si>
    <t>13-002</t>
  </si>
  <si>
    <t>Director D.N.I.P.y P</t>
  </si>
  <si>
    <t>13-003</t>
  </si>
  <si>
    <t>Asesor Técnico</t>
  </si>
  <si>
    <t>13-004</t>
  </si>
  <si>
    <t>Director D.I.I.E.</t>
  </si>
  <si>
    <t>x</t>
  </si>
  <si>
    <t>13-005</t>
  </si>
  <si>
    <t>Director D.I.P.E.</t>
  </si>
  <si>
    <t>13-006</t>
  </si>
  <si>
    <t>Director D.A.E.I.</t>
  </si>
  <si>
    <t>13-007</t>
  </si>
  <si>
    <t>Director D.E.A</t>
  </si>
  <si>
    <t>13-009</t>
  </si>
  <si>
    <t>Director D.E.F.</t>
  </si>
  <si>
    <t>13-010</t>
  </si>
  <si>
    <t>Subdirector D.I.I.E.</t>
  </si>
  <si>
    <t>13-011</t>
  </si>
  <si>
    <t>Subdirector D.E.M.E.S.</t>
  </si>
  <si>
    <t>13-012</t>
  </si>
  <si>
    <t>Subdirector Perfecc. Educativo</t>
  </si>
  <si>
    <t>13-013</t>
  </si>
  <si>
    <t>Subdirector D.N.I.P.y P.</t>
  </si>
  <si>
    <t>13-014</t>
  </si>
  <si>
    <t>Subdirector D.I.P.E.</t>
  </si>
  <si>
    <t>13-015</t>
  </si>
  <si>
    <t>Inspector Gral. D.N.I.P. y P.</t>
  </si>
  <si>
    <t>13-016</t>
  </si>
  <si>
    <t>Subdirector D.A.E.I.</t>
  </si>
  <si>
    <t>13-017</t>
  </si>
  <si>
    <t>Subdirector D.E.F.</t>
  </si>
  <si>
    <t>13-018</t>
  </si>
  <si>
    <t>Subdirector D.E.A.</t>
  </si>
  <si>
    <t>13-019</t>
  </si>
  <si>
    <t>Inspector Gral.D.E.M.E.S.</t>
  </si>
  <si>
    <t>13-020</t>
  </si>
  <si>
    <t xml:space="preserve">Inspector Gral. De Adultos </t>
  </si>
  <si>
    <t>13-021</t>
  </si>
  <si>
    <t>Inspector Gral. D.I.P.E.</t>
  </si>
  <si>
    <t>13-023</t>
  </si>
  <si>
    <t>Inspector Gral. D.E.F.</t>
  </si>
  <si>
    <t>13-024</t>
  </si>
  <si>
    <t>Subinspector Gral. D.E.M.E.S.</t>
  </si>
  <si>
    <t>13-025</t>
  </si>
  <si>
    <t>Subinspector Gral. D.E.F.</t>
  </si>
  <si>
    <t>13-030</t>
  </si>
  <si>
    <t>Subinspector Gral. D.N.I.P. y P.</t>
  </si>
  <si>
    <t>13-035</t>
  </si>
  <si>
    <t>Inspector Gral. Instituto del Menor</t>
  </si>
  <si>
    <t>13-040</t>
  </si>
  <si>
    <t>Inspector D.E.M.E.S.</t>
  </si>
  <si>
    <t>13-041</t>
  </si>
  <si>
    <t>Inspector de Jovenes y Adultos</t>
  </si>
  <si>
    <t>13-045</t>
  </si>
  <si>
    <t>Inspector D.E.F.</t>
  </si>
  <si>
    <t>13-050</t>
  </si>
  <si>
    <t>Inspector Educación Complem.</t>
  </si>
  <si>
    <t>13-055</t>
  </si>
  <si>
    <t>Inspector Instituto del Menor</t>
  </si>
  <si>
    <t>13-060</t>
  </si>
  <si>
    <t>Jefe Departamento Nutrición</t>
  </si>
  <si>
    <t>13-065</t>
  </si>
  <si>
    <t>Inspector D.N.I.P.y P.</t>
  </si>
  <si>
    <t>13-070</t>
  </si>
  <si>
    <t>Supervisor Enseñanza Religiosa</t>
  </si>
  <si>
    <t>13-080</t>
  </si>
  <si>
    <t>Jefe Departamento Planeamiento</t>
  </si>
  <si>
    <t>13-085</t>
  </si>
  <si>
    <t>13-090</t>
  </si>
  <si>
    <t>Analista Mayor Planeamiento</t>
  </si>
  <si>
    <t>13-095</t>
  </si>
  <si>
    <t>Analista Principal Planeamiento</t>
  </si>
  <si>
    <t>13-100</t>
  </si>
  <si>
    <t>Presidente Junta Clas. Primaria</t>
  </si>
  <si>
    <t>13-101</t>
  </si>
  <si>
    <t>Vocal Junta Clas. Primaria</t>
  </si>
  <si>
    <t>13-102</t>
  </si>
  <si>
    <t>Miembro Vocal de Junta D.E.M.E.S.</t>
  </si>
  <si>
    <t>13-105</t>
  </si>
  <si>
    <t>Director de 1ª Enseñanza Superior</t>
  </si>
  <si>
    <t>13-110</t>
  </si>
  <si>
    <t>Director de 2ª Enseñanza Superior</t>
  </si>
  <si>
    <t>13-115</t>
  </si>
  <si>
    <t>Vicedirector de Enseñ. Superior</t>
  </si>
  <si>
    <t>13-120</t>
  </si>
  <si>
    <t>Regente de Enseñ. Superior</t>
  </si>
  <si>
    <t>13-140</t>
  </si>
  <si>
    <t>Director de 1ª Ens. Media J. Comp</t>
  </si>
  <si>
    <t>13-143</t>
  </si>
  <si>
    <t>Director de 2ª Ens. Media J. Comp</t>
  </si>
  <si>
    <t>13-145</t>
  </si>
  <si>
    <t>Director de 3ª Ens. Media J. Comp</t>
  </si>
  <si>
    <t>13-150</t>
  </si>
  <si>
    <t>Director de 1ª Ens. Media</t>
  </si>
  <si>
    <t>13-153</t>
  </si>
  <si>
    <t>Director de 1ª Ens. Especial</t>
  </si>
  <si>
    <t>13-155</t>
  </si>
  <si>
    <t>Director de 2ª Ens. Media</t>
  </si>
  <si>
    <t>13-157</t>
  </si>
  <si>
    <t>Director de 2ª Ens. Especial</t>
  </si>
  <si>
    <t>13-160</t>
  </si>
  <si>
    <t>Director de 3ª Ens. Media</t>
  </si>
  <si>
    <t>13-163</t>
  </si>
  <si>
    <t>Director de 3ª Ens. Especial</t>
  </si>
  <si>
    <t>13-164</t>
  </si>
  <si>
    <t>Vicedirector Ens. Media J. Compl.</t>
  </si>
  <si>
    <t>13-165</t>
  </si>
  <si>
    <t>Vicedirector de 1ª  Ens. Media</t>
  </si>
  <si>
    <t>13-167</t>
  </si>
  <si>
    <t>Vicedirector de 1ª  Ens. Especial</t>
  </si>
  <si>
    <t>13-170</t>
  </si>
  <si>
    <t>Vicedirector de 2ª  Ens. Media</t>
  </si>
  <si>
    <t>13-173</t>
  </si>
  <si>
    <t>Vicedirector de 2ª  Ens. Especial</t>
  </si>
  <si>
    <t>13-175</t>
  </si>
  <si>
    <t>Vicedirector de 3ª  Ens. Media</t>
  </si>
  <si>
    <t>13-178</t>
  </si>
  <si>
    <t>Vicedirector de 3ª  Ens. Especial</t>
  </si>
  <si>
    <t>13-179</t>
  </si>
  <si>
    <t>Asesor Pedagógico Proyecto 13</t>
  </si>
  <si>
    <t>13-180</t>
  </si>
  <si>
    <t>Regente de 1ª Ens. Media</t>
  </si>
  <si>
    <t>13-181</t>
  </si>
  <si>
    <t>Regente de 1ª Ens. Media J. Com.</t>
  </si>
  <si>
    <t>13-183</t>
  </si>
  <si>
    <t>Regente de 1ª Ens. Primaria</t>
  </si>
  <si>
    <t>13-184</t>
  </si>
  <si>
    <t>Regente de 2ª Ens. Media J. Com.</t>
  </si>
  <si>
    <t>13-185</t>
  </si>
  <si>
    <t>Regente Educación Artística</t>
  </si>
  <si>
    <t>13-186</t>
  </si>
  <si>
    <t>Regente de 3ª Ens. Media J. Com.</t>
  </si>
  <si>
    <t>13-187</t>
  </si>
  <si>
    <t>Director de Coro</t>
  </si>
  <si>
    <t>13-188</t>
  </si>
  <si>
    <t>Director de Coro Jornada Reducida</t>
  </si>
  <si>
    <t>13-189</t>
  </si>
  <si>
    <t>Director de Orquesta de Ctro.Educ</t>
  </si>
  <si>
    <t>13-190</t>
  </si>
  <si>
    <t>Jefe Gabinete Psicopedagógico</t>
  </si>
  <si>
    <t>13-195</t>
  </si>
  <si>
    <t>Regente de 2ª Ens. Media</t>
  </si>
  <si>
    <t>13-196</t>
  </si>
  <si>
    <t>Regente de 3ª Ens. Media</t>
  </si>
  <si>
    <t>13-197</t>
  </si>
  <si>
    <t>Regente de 2ª Ens. Primaria</t>
  </si>
  <si>
    <t>13-200</t>
  </si>
  <si>
    <t>Subregente de 1ª Ens. Media</t>
  </si>
  <si>
    <t>13-203</t>
  </si>
  <si>
    <t>Subregente de 1ª Ens. Primaria</t>
  </si>
  <si>
    <t>13-205</t>
  </si>
  <si>
    <t>Jefe Departamento Didáctico</t>
  </si>
  <si>
    <t>13-210</t>
  </si>
  <si>
    <t>Coordinador Curso Ens. Superior</t>
  </si>
  <si>
    <t>13-215</t>
  </si>
  <si>
    <t>Coordinador Curso Ens. Media</t>
  </si>
  <si>
    <t>13-250</t>
  </si>
  <si>
    <t>Director Cantina Base</t>
  </si>
  <si>
    <t>13-255</t>
  </si>
  <si>
    <t>Director de 1ª Ens. Primaria</t>
  </si>
  <si>
    <t>Director de 1ª Ens. Primaria (Jardin Inf)</t>
  </si>
  <si>
    <t>13-256</t>
  </si>
  <si>
    <t>Director de 1ª Ens. Prim.T. P. P.</t>
  </si>
  <si>
    <t>13-260</t>
  </si>
  <si>
    <t>Director de 2ª Ens. Primaria</t>
  </si>
  <si>
    <t>Director de 2ª Ens. Primaria (Jardin Inf)</t>
  </si>
  <si>
    <t>13-265</t>
  </si>
  <si>
    <t>Director de 3ª Ens. Primaria</t>
  </si>
  <si>
    <t>Director de 3ª Ens. Primaria (Jardin Inf)</t>
  </si>
  <si>
    <t>13-270</t>
  </si>
  <si>
    <t>Vicedirector Ens. Primaria</t>
  </si>
  <si>
    <t>13-290</t>
  </si>
  <si>
    <t>Regente Ctro. Educ. Complemen.</t>
  </si>
  <si>
    <t>13-293</t>
  </si>
  <si>
    <t>Dir. 1ª Ctro. Dep. Educ. Física</t>
  </si>
  <si>
    <t>13-294</t>
  </si>
  <si>
    <t>Dir. 2ª Ctro. Dep. Educ. Física</t>
  </si>
  <si>
    <t>13-295</t>
  </si>
  <si>
    <t>Dir. 3ª Ctro. Dep. Educ. Física</t>
  </si>
  <si>
    <t>13-298</t>
  </si>
  <si>
    <t>Coordinador Reg. Educ. Física</t>
  </si>
  <si>
    <t>13-300</t>
  </si>
  <si>
    <t>Vicedirec. de 1ª Ctro.Dep.Ed.F.</t>
  </si>
  <si>
    <t>13-301</t>
  </si>
  <si>
    <t>Vicedirec. de 2ª Ctro.Dep.Ed.F.</t>
  </si>
  <si>
    <t>13-302</t>
  </si>
  <si>
    <t>Vicedirec. de 3ª Ctro.Dep.Ed.F.</t>
  </si>
  <si>
    <t>13-305</t>
  </si>
  <si>
    <t>Secretario (Enseñanza Superior)</t>
  </si>
  <si>
    <t>13-307</t>
  </si>
  <si>
    <t>Prosecr. Docente Ens. Superior</t>
  </si>
  <si>
    <t>13-310</t>
  </si>
  <si>
    <t>Secretario Doc. de 1ª Ens. Media</t>
  </si>
  <si>
    <t>13-315</t>
  </si>
  <si>
    <t>Secretario Doc. de 2ª Ens. Media</t>
  </si>
  <si>
    <t>13-320</t>
  </si>
  <si>
    <t>Secretario Doc. de 3ª Ens. Media</t>
  </si>
  <si>
    <t>13-325</t>
  </si>
  <si>
    <t>Prosecr. Doc. de 1ª Ens. Media</t>
  </si>
  <si>
    <t>13-330</t>
  </si>
  <si>
    <t>Prosecr. Doc. de 2ª Ens. Media</t>
  </si>
  <si>
    <t>13-335</t>
  </si>
  <si>
    <t>Prosecr. Doc. de 3ª Ens. Media</t>
  </si>
  <si>
    <t>13-340</t>
  </si>
  <si>
    <t>Secretario Docente Ens. Especial</t>
  </si>
  <si>
    <t>13-345</t>
  </si>
  <si>
    <t>Prosecr. Docente Ens. Especial</t>
  </si>
  <si>
    <t>13-350</t>
  </si>
  <si>
    <t>Secr. Doc. de 1ª Ens. Primaria</t>
  </si>
  <si>
    <t>13-355</t>
  </si>
  <si>
    <t>Secr. Doc. de 2ª Ens. Primaria</t>
  </si>
  <si>
    <t>13-360</t>
  </si>
  <si>
    <t>Secr. Doc. de 3ª Ens. Primaria</t>
  </si>
  <si>
    <t>13-365</t>
  </si>
  <si>
    <t>Secr. Doc. de 4ª Ens. Primaria</t>
  </si>
  <si>
    <t>13-370</t>
  </si>
  <si>
    <t>Secr. Doc. de 5ª Ens. Primaria</t>
  </si>
  <si>
    <t>13-420</t>
  </si>
  <si>
    <t>Jefe de Internado</t>
  </si>
  <si>
    <t>13-425</t>
  </si>
  <si>
    <t>Jefe Enseñanza Practica de 1ª</t>
  </si>
  <si>
    <t>13-430</t>
  </si>
  <si>
    <t>Jefe Enseñanza Practica de 2ª</t>
  </si>
  <si>
    <t>13-435</t>
  </si>
  <si>
    <t>Jefe Enseñanza Practica de 3ª</t>
  </si>
  <si>
    <t>13-436</t>
  </si>
  <si>
    <t>Instructor Jor. Compl. Agr.</t>
  </si>
  <si>
    <t>13-437</t>
  </si>
  <si>
    <t>Jefe Sección Jorn. Completa</t>
  </si>
  <si>
    <t>13-438</t>
  </si>
  <si>
    <t>Instructor Enfermería</t>
  </si>
  <si>
    <t>13-440</t>
  </si>
  <si>
    <t>Encar.Secc.Gab.Psicop.(Med. y Sup.)</t>
  </si>
  <si>
    <t>13-443</t>
  </si>
  <si>
    <t>Encar.Secc.Gab.Psicop.(Especial)</t>
  </si>
  <si>
    <t>13-444</t>
  </si>
  <si>
    <t>Jefe de Gabinete Psicoped. (Primar.)</t>
  </si>
  <si>
    <t>13-445</t>
  </si>
  <si>
    <t>Ayudante de Gab. Psic. Ens. M y Sup</t>
  </si>
  <si>
    <t>13-447</t>
  </si>
  <si>
    <t>Ayudante de Gab. Psic. Ens. Esp.</t>
  </si>
  <si>
    <t>13-448</t>
  </si>
  <si>
    <t>Ayudante de Gab. Psic. Ens. Prim.</t>
  </si>
  <si>
    <t>13-450</t>
  </si>
  <si>
    <t>Maestro de Grupo Escolar</t>
  </si>
  <si>
    <t>13-455</t>
  </si>
  <si>
    <t>Maestro de Grado Ens. Especial</t>
  </si>
  <si>
    <t>13-457</t>
  </si>
  <si>
    <t>Reeducador Especial</t>
  </si>
  <si>
    <t>13-460</t>
  </si>
  <si>
    <t>Encargado de Taller</t>
  </si>
  <si>
    <t>13-463</t>
  </si>
  <si>
    <t>Jefe de Trabajos Prácticos</t>
  </si>
  <si>
    <t>13-464</t>
  </si>
  <si>
    <t>Jefe de Laboratorio</t>
  </si>
  <si>
    <t>13-465</t>
  </si>
  <si>
    <t>Jefe de Gabinete Contabilidad</t>
  </si>
  <si>
    <t>13-466</t>
  </si>
  <si>
    <t>Jefe de Dpto. Educ. Física</t>
  </si>
  <si>
    <t>13-470</t>
  </si>
  <si>
    <t>Prof. Ctro. Depor. Educ. Física</t>
  </si>
  <si>
    <t>13-472</t>
  </si>
  <si>
    <t>Jefe de Ens. Pract. Ens. Especial</t>
  </si>
  <si>
    <t>13-473</t>
  </si>
  <si>
    <t>Jefe de Sección Ens. Practica</t>
  </si>
  <si>
    <t>13-475</t>
  </si>
  <si>
    <t>Maestra de Grado Ens. Primaria</t>
  </si>
  <si>
    <t>13-476</t>
  </si>
  <si>
    <t>Maestro Grado Pasividad Perman.</t>
  </si>
  <si>
    <t>13-477</t>
  </si>
  <si>
    <t>Maestro de D. E. A.</t>
  </si>
  <si>
    <t>13-480</t>
  </si>
  <si>
    <t>Maestro de Jardín de Infantes</t>
  </si>
  <si>
    <t>13-484</t>
  </si>
  <si>
    <t>Maestro Ens. Practica Ens. Esp.</t>
  </si>
  <si>
    <t>13-485</t>
  </si>
  <si>
    <t>Maestro Enseñanza Practica</t>
  </si>
  <si>
    <t>13-486</t>
  </si>
  <si>
    <t>Maestro de Grado Artístico</t>
  </si>
  <si>
    <t>13-487</t>
  </si>
  <si>
    <t>Maestro de Grado Artístico Jorn. Red.</t>
  </si>
  <si>
    <t>13-488</t>
  </si>
  <si>
    <t>Maestro de Grado de Adultos</t>
  </si>
  <si>
    <t>13-490</t>
  </si>
  <si>
    <t>Maestro Cultura General</t>
  </si>
  <si>
    <t>13-495</t>
  </si>
  <si>
    <t>Bibliotecario Jefe</t>
  </si>
  <si>
    <t>13-500</t>
  </si>
  <si>
    <t>Bibliotecario</t>
  </si>
  <si>
    <t>13-505</t>
  </si>
  <si>
    <t>Ayudante Técnico</t>
  </si>
  <si>
    <t>13-507</t>
  </si>
  <si>
    <t>Jefe de Preceptores J. Completa</t>
  </si>
  <si>
    <t>13-510</t>
  </si>
  <si>
    <t>Jefe de Preceptores</t>
  </si>
  <si>
    <t>13-512</t>
  </si>
  <si>
    <t>Subjefe de Preceptores de 1ª</t>
  </si>
  <si>
    <t>13-514</t>
  </si>
  <si>
    <t>Maestro Cultura Rural Dom</t>
  </si>
  <si>
    <t>13-515</t>
  </si>
  <si>
    <t>Maestro Materia Especial</t>
  </si>
  <si>
    <t>Maestro Mat. Esp. - Ex. Cons. Menor</t>
  </si>
  <si>
    <t>Maestro Mat. Esp. - Ex. Cons. Menor Jubilado</t>
  </si>
  <si>
    <t>13-517</t>
  </si>
  <si>
    <t>Maestro Esp Artística</t>
  </si>
  <si>
    <t>13-520</t>
  </si>
  <si>
    <t>Preceptor</t>
  </si>
  <si>
    <t>Preceptor Escuela de Mod Especial</t>
  </si>
  <si>
    <t>13-700</t>
  </si>
  <si>
    <t>Director de 1ª Inst. del Menor</t>
  </si>
  <si>
    <t>13-705</t>
  </si>
  <si>
    <t>Director de 2ª Inst. del Menor</t>
  </si>
  <si>
    <t>13-710</t>
  </si>
  <si>
    <t>Director de 3ª Inst. del Menor</t>
  </si>
  <si>
    <t>13-715</t>
  </si>
  <si>
    <t>Vicedir de 1ª Instit. del Menor</t>
  </si>
  <si>
    <t>13-720</t>
  </si>
  <si>
    <t>Vicedir de 2ª Instit. del Menor</t>
  </si>
  <si>
    <t>13-725</t>
  </si>
  <si>
    <t>Vicedir de 3ª Instit. del Menor</t>
  </si>
  <si>
    <t>13-730</t>
  </si>
  <si>
    <t>Regente de Instituto del Menor</t>
  </si>
  <si>
    <t>13-732</t>
  </si>
  <si>
    <t>Secr. Doc. de 1ª Inst. Menor</t>
  </si>
  <si>
    <t>13-733</t>
  </si>
  <si>
    <t>Secr. Doc. de 2ª Inst. Menor</t>
  </si>
  <si>
    <t>13-735</t>
  </si>
  <si>
    <t>Maestro de Inst. de Menores</t>
  </si>
  <si>
    <t>13-740</t>
  </si>
  <si>
    <t>Dir. de 1ª Jornada Completa</t>
  </si>
  <si>
    <t>13-743</t>
  </si>
  <si>
    <t>Dir. de 2ª Jornada Completa</t>
  </si>
  <si>
    <t>13-745</t>
  </si>
  <si>
    <t>Dir. de 3ª Jornada Completa</t>
  </si>
  <si>
    <t>13-747</t>
  </si>
  <si>
    <t>Vicedirector Jornada Completa</t>
  </si>
  <si>
    <t>13-748</t>
  </si>
  <si>
    <t>Maestro Grado Jorn. Completa</t>
  </si>
  <si>
    <t>13-749</t>
  </si>
  <si>
    <t>Maestro Ram. Esp. Jor. Compl.</t>
  </si>
  <si>
    <t>13-750</t>
  </si>
  <si>
    <t>Director Escuela Hogar</t>
  </si>
  <si>
    <t>13-760</t>
  </si>
  <si>
    <t>Director 2ª Anexo Albergue</t>
  </si>
  <si>
    <t>13-765</t>
  </si>
  <si>
    <t>Director 3ª Anexo Albergue</t>
  </si>
  <si>
    <t>13-767</t>
  </si>
  <si>
    <t>Maestro Anexo Albergue</t>
  </si>
  <si>
    <t>13-769</t>
  </si>
  <si>
    <t>Maestro Ram. Esp. An. Alber.</t>
  </si>
  <si>
    <t>13-770</t>
  </si>
  <si>
    <t>Vicedir. Esc. Hogar Te.</t>
  </si>
  <si>
    <t>13-775</t>
  </si>
  <si>
    <t>Secretario Téc. Esc. Hogar</t>
  </si>
  <si>
    <t>13-780</t>
  </si>
  <si>
    <t>Jefe Serv. Soc. Esc. Hogar</t>
  </si>
  <si>
    <t>13-785</t>
  </si>
  <si>
    <t>Visitador Higiene Social</t>
  </si>
  <si>
    <t>13-795</t>
  </si>
  <si>
    <t>Maestro Grado Esc. Hogar</t>
  </si>
  <si>
    <t>13-797</t>
  </si>
  <si>
    <t>Preceptor Jor Compl, Esc Hogar, An Alb</t>
  </si>
  <si>
    <t>13-800</t>
  </si>
  <si>
    <t>Mtro. Mat. Esp. Esc. Hogar</t>
  </si>
  <si>
    <t>13-900</t>
  </si>
  <si>
    <t>13-910</t>
  </si>
  <si>
    <t>13-920</t>
  </si>
  <si>
    <t>Hs. Cat. Ley 22416 01 Hora</t>
  </si>
  <si>
    <t>13-930</t>
  </si>
  <si>
    <t>Jornada Extendida Modulo de 2 hs</t>
  </si>
  <si>
    <t>Prol Jor Dir B1 (25 + 15 Hs)</t>
  </si>
  <si>
    <t>Prol Jor Dir B2 (25 + 10 Hs)</t>
  </si>
  <si>
    <t>Prol Jor Dir B3 (25 + 05 Hs)</t>
  </si>
  <si>
    <t>Prol Jor (13-515) 01 hora</t>
  </si>
  <si>
    <t>Prol Jor (13-515) 02 horas</t>
  </si>
  <si>
    <t>Prol Jor (13-515) 03 horas</t>
  </si>
  <si>
    <t>Prol Jor (13-515) 04 horas</t>
  </si>
  <si>
    <t>Prol Jor (13-515) 05 horas</t>
  </si>
  <si>
    <t>Prol Jor (13-515) 06 horas</t>
  </si>
  <si>
    <t>Prol Jor (13-515) 07 horas</t>
  </si>
  <si>
    <t>Prol Jor (13-515) 08 horas</t>
  </si>
  <si>
    <t>Prol Jor (13-515) 09 horas</t>
  </si>
  <si>
    <t>Prol Jor (13-515) 10 horas</t>
  </si>
  <si>
    <t>Prol Jor (13-515) 11 horas</t>
  </si>
  <si>
    <t>Prol Jor (13-515) 12 horas</t>
  </si>
  <si>
    <t>Prol Jor (13-515) 13 horas</t>
  </si>
  <si>
    <t>Prol Jor (13-515) 14 horas</t>
  </si>
  <si>
    <t>Prol Jor (13-515) 15 horas</t>
  </si>
  <si>
    <t>Prol Jor (13-515) 16 horas</t>
  </si>
  <si>
    <t>Jorn Ext Dir Prim de 1°  Por mod de 2 hs</t>
  </si>
  <si>
    <t>Jorn Ext Dir Prim de 2°  Por mod de 2 hs</t>
  </si>
  <si>
    <t>Jorn Ext Dir Prim de 3°  Por mod de 2 hs</t>
  </si>
  <si>
    <t>Jorn Ext Vice Dir Prim   Por mod de 2 hs</t>
  </si>
  <si>
    <t>Jorn Ext Maestra Gr. Prim   Por mod de 2 hs</t>
  </si>
  <si>
    <t>Jorn Ext Maestra Mat Especial  Por mod de 2 hs</t>
  </si>
  <si>
    <t>Aportes Personales</t>
  </si>
  <si>
    <t>Contribuciones Patronales</t>
  </si>
  <si>
    <t>Basico</t>
  </si>
  <si>
    <t>Adic. Equip Escal. Gral. RM</t>
  </si>
  <si>
    <t>Titulo</t>
  </si>
  <si>
    <t>Total</t>
  </si>
  <si>
    <t>M.Did. Anual</t>
  </si>
  <si>
    <t>Ap. Jub.</t>
  </si>
  <si>
    <t>Ap. Jub. Compl</t>
  </si>
  <si>
    <t>Ob Soc</t>
  </si>
  <si>
    <t>Jub.</t>
  </si>
  <si>
    <t>Jub. Adic</t>
  </si>
  <si>
    <t>Jub. Compl</t>
  </si>
  <si>
    <t>COSTO</t>
  </si>
  <si>
    <t>LIQUIDO</t>
  </si>
  <si>
    <t>C130230</t>
  </si>
  <si>
    <t>Remun</t>
  </si>
  <si>
    <t>C117330</t>
  </si>
  <si>
    <t>No Rem</t>
  </si>
  <si>
    <t>EQUIV</t>
  </si>
  <si>
    <t>45-100</t>
  </si>
  <si>
    <t>Titular Ded Simple</t>
  </si>
  <si>
    <t>45-110</t>
  </si>
  <si>
    <t>Titular Ded Semiexclusiva</t>
  </si>
  <si>
    <t>45-120</t>
  </si>
  <si>
    <t>Titular Ded Exclusiva</t>
  </si>
  <si>
    <t>Adic Rem</t>
  </si>
  <si>
    <t>45-200</t>
  </si>
  <si>
    <t>Asociado Ded Simple</t>
  </si>
  <si>
    <t>Est Doc</t>
  </si>
  <si>
    <t>45-210</t>
  </si>
  <si>
    <t>Asiciado  Ded Semiexclusiva</t>
  </si>
  <si>
    <t>Gildo</t>
  </si>
  <si>
    <t>45-220</t>
  </si>
  <si>
    <t>Asociado Ded Exclusiva</t>
  </si>
  <si>
    <t>Prom. Cal. Ed</t>
  </si>
  <si>
    <t>45-300</t>
  </si>
  <si>
    <t>Adjunto Ded Simple</t>
  </si>
  <si>
    <t>Ad. Rem Doc</t>
  </si>
  <si>
    <t>45-310</t>
  </si>
  <si>
    <t>Adjunto  Ded Semiexclusiva</t>
  </si>
  <si>
    <t>Ap. Mat</t>
  </si>
  <si>
    <t>45-320</t>
  </si>
  <si>
    <t>Adjunto Ded Exclusiva</t>
  </si>
  <si>
    <t>Ap. Mat.</t>
  </si>
  <si>
    <t>45-400</t>
  </si>
  <si>
    <t>Jefe Trabajos Practicos Ded Simple</t>
  </si>
  <si>
    <t>Nvo Ad. Rem. Doc</t>
  </si>
  <si>
    <t>45-410</t>
  </si>
  <si>
    <t>Jefe Trabajos Practicos Ded Semiexclusiva</t>
  </si>
  <si>
    <t>45-420</t>
  </si>
  <si>
    <t>Jefe Trabajos Practicos Ded Exclusiva</t>
  </si>
  <si>
    <t>45-500</t>
  </si>
  <si>
    <t>Ayudante Trabajos Practicos Ded Simple</t>
  </si>
  <si>
    <t>Mat. Did.</t>
  </si>
  <si>
    <t>45-510</t>
  </si>
  <si>
    <t>Ayudante Jefe Trabajos Practicos Ded Semiexclusiva</t>
  </si>
  <si>
    <t>Fonid</t>
  </si>
  <si>
    <t>45-520</t>
  </si>
  <si>
    <t>Ayudante  Trabajos Practicos Ded Exclusiva</t>
  </si>
  <si>
    <t>45-900</t>
  </si>
  <si>
    <t>Horas Universitarias 01</t>
  </si>
  <si>
    <t>Horas Universitarias 02</t>
  </si>
  <si>
    <t>Horas Universitarias 03</t>
  </si>
  <si>
    <t>Horas Universitarias 04</t>
  </si>
  <si>
    <t>Horas Universitarias 05</t>
  </si>
  <si>
    <t>Horas Universitarias 06</t>
  </si>
  <si>
    <t>Horas Universitarias 07</t>
  </si>
  <si>
    <t>Horas Universitarias 08</t>
  </si>
  <si>
    <t>Horas Universitarias 09</t>
  </si>
  <si>
    <t>Horas Universitarias 10</t>
  </si>
  <si>
    <t>Horas Universitarias 11</t>
  </si>
  <si>
    <t>Horas Universitarias 12</t>
  </si>
  <si>
    <t xml:space="preserve"> </t>
  </si>
  <si>
    <t>46-100</t>
  </si>
  <si>
    <t>Decano</t>
  </si>
  <si>
    <t>0101024</t>
  </si>
  <si>
    <t>46-110</t>
  </si>
  <si>
    <t>Vicedecano</t>
  </si>
  <si>
    <t>0205005</t>
  </si>
  <si>
    <t>según pn 45 200</t>
  </si>
  <si>
    <t>46-120</t>
  </si>
  <si>
    <t>Rector</t>
  </si>
  <si>
    <t>0101023</t>
  </si>
  <si>
    <t>según pn 45 210</t>
  </si>
  <si>
    <t>46-125</t>
  </si>
  <si>
    <t>Vicerector</t>
  </si>
  <si>
    <t>46-130</t>
  </si>
  <si>
    <t>Secretario Academico</t>
  </si>
  <si>
    <t>46-140</t>
  </si>
  <si>
    <t>Secretario de Extension</t>
  </si>
  <si>
    <t>46-150</t>
  </si>
  <si>
    <t>Secretario de Ciencia y Tecnologia</t>
  </si>
  <si>
    <t>46-160</t>
  </si>
  <si>
    <t>Secretario General</t>
  </si>
  <si>
    <t>46-165</t>
  </si>
  <si>
    <t>Director</t>
  </si>
  <si>
    <t>46-170</t>
  </si>
  <si>
    <t>Subsecretario Academico</t>
  </si>
  <si>
    <t>46-180</t>
  </si>
  <si>
    <t>Subsecretario de Formación y Vinculación Institucional</t>
  </si>
  <si>
    <t>46-190</t>
  </si>
  <si>
    <t>Subsecretario de Coordinación Administrativa</t>
  </si>
  <si>
    <t>46-200</t>
  </si>
  <si>
    <t>Subsecretaria de Asuntos Estudiantiles y Egresados</t>
  </si>
  <si>
    <t>Bon Compensatoria Cargos</t>
  </si>
  <si>
    <t>Bon Compe Cargos Dir Med Esp y Sup</t>
  </si>
  <si>
    <t>Bon Compe Cargos Superv y Jor Completa</t>
  </si>
  <si>
    <t>Bon Compensatoria Hs</t>
  </si>
  <si>
    <t>Bon Compensatoria Jornada Extendida</t>
  </si>
  <si>
    <t>Bonificación Compensatoria</t>
  </si>
  <si>
    <t>C102190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</si>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</sst>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3" formatCode="_ * #,##0.00_ ;_ * \-#,##0.00_ ;_ * &quot;-&quot;??_ ;_ @_ "/>
    <numFmt numFmtId="164" formatCode="0.000000"/>
    <numFmt numFmtId="165" formatCode="_ * #,##0.00_ ;_ * \-#,##0.00_ ;_ * \-??_ ;_ @_ "/>
    <numFmt numFmtId="166" formatCode="0.00000"/>
    <numFmt numFmtId="167" formatCode="#,##0.00_ ;\-#,##0.00\ "/>
    <numFmt numFmtId="168" formatCode="_-* #,##0.00\ _€_-;\-* #,##0.00\ _€_-;_-* \-??\ _€_-;_-@_-"/>
    <numFmt numFmtId="169" formatCode="_ * #,##0.00000_ ;_ * \-#,##0.00000_ ;_ * \-??_ ;_ @_ "/>
    <numFmt numFmtId="170" formatCode="0\ %"/>
    <numFmt numFmtId="171" formatCode="0.0000%"/>
    <numFmt numFmtId="172" formatCode="0.00\ %"/>
    <numFmt numFmtId="173" formatCode="_-* #,##0_-;\-* #,##0_-;_-* \-_-;_-@_-"/>
    <numFmt numFmtId="174" formatCode="_ &quot;$ &quot;* #,##0.00_ ;_ &quot;$ &quot;* \-#,##0.00_ ;_ &quot;$ &quot;* \-??_ ;_ @_ "/>
    <numFmt numFmtId="175" formatCode="_ * #,##0_ ;_ * \-#,##0_ ;_ * \-??_ ;_ @_ "/>
    <numFmt numFmtId="176" formatCode="0_ ;\-0\ "/>
    <numFmt numFmtId="177" formatCode="0.0000"/>
  </numFmts>
  <fonts count="24" x14ac:knownFonts="1">
    <font>
      <sz val="10"/>
      <name val="Arial"/>
      <charset val="1"/>
    </font>
    <font>
      <sz val="10"/>
      <color rgb="FF000000"/>
      <name val="MS Sans Serif"/>
      <family val="2"/>
      <charset val="1"/>
    </font>
    <font>
      <sz val="10"/>
      <name val="Arial"/>
      <family val="2"/>
      <charset val="1"/>
    </font>
    <font>
      <sz val="6"/>
      <color rgb="FF000000"/>
      <name val="Times New Roman"/>
      <family val="1"/>
      <charset val="1"/>
    </font>
    <font>
      <b/>
      <sz val="6"/>
      <color rgb="FF000000"/>
      <name val="Times New Roman"/>
      <family val="1"/>
      <charset val="1"/>
    </font>
    <font>
      <sz val="7"/>
      <color rgb="FF000000"/>
      <name val="Times New Roman"/>
      <family val="1"/>
      <charset val="1"/>
    </font>
    <font>
      <b/>
      <sz val="20"/>
      <color rgb="FF000000"/>
      <name val="Times New Roman"/>
      <family val="1"/>
      <charset val="1"/>
    </font>
    <font>
      <sz val="20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sz val="6"/>
      <color rgb="FFFFFFFF"/>
      <name val="Times New Roman"/>
      <family val="1"/>
      <charset val="1"/>
    </font>
    <font>
      <u/>
      <sz val="10"/>
      <color rgb="FF0000FF"/>
      <name val="Arial"/>
      <family val="2"/>
      <charset val="1"/>
    </font>
    <font>
      <sz val="5"/>
      <color rgb="FF000000"/>
      <name val="Times New Roman"/>
      <family val="1"/>
      <charset val="1"/>
    </font>
    <font>
      <sz val="7"/>
      <color rgb="FFFFFFFF"/>
      <name val="Times New Roman"/>
      <family val="1"/>
      <charset val="1"/>
    </font>
    <font>
      <sz val="8"/>
      <color rgb="FF000000"/>
      <name val="Times New Roman"/>
      <family val="1"/>
      <charset val="1"/>
    </font>
    <font>
      <sz val="9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2"/>
      <color rgb="FFFFFFFF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b/>
      <sz val="7"/>
      <color rgb="FF000000"/>
      <name val="Times New Roman"/>
      <family val="1"/>
      <charset val="1"/>
    </font>
    <font>
      <sz val="7"/>
      <name val="Times New Roman"/>
      <family val="1"/>
      <charset val="1"/>
    </font>
    <font>
      <b/>
      <sz val="7"/>
      <name val="Times New Roman"/>
      <family val="1"/>
      <charset val="1"/>
    </font>
    <font>
      <sz val="6"/>
      <color rgb="FFC6D9F1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2DCDB"/>
        <bgColor rgb="FFEEECE1"/>
      </patternFill>
    </fill>
    <fill>
      <patternFill patternType="solid">
        <fgColor rgb="FFD7E4BD"/>
        <bgColor rgb="FFDCE6F2"/>
      </patternFill>
    </fill>
    <fill>
      <patternFill patternType="solid">
        <fgColor rgb="FFEEECE1"/>
        <bgColor rgb="FFDCE6F2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6">
    <xf numFmtId="0" fontId="0" fillId="0" borderId="0"/>
    <xf numFmtId="165" fontId="23" fillId="0" borderId="0" applyBorder="0" applyProtection="0"/>
    <xf numFmtId="174" fontId="23" fillId="0" borderId="0" applyBorder="0" applyProtection="0"/>
    <xf numFmtId="170" fontId="23" fillId="0" borderId="0" applyBorder="0" applyProtection="0"/>
    <xf numFmtId="0" fontId="10" fillId="0" borderId="0" applyBorder="0" applyProtection="0"/>
    <xf numFmtId="0" fontId="1" fillId="0" borderId="0"/>
  </cellStyleXfs>
  <cellXfs count="212">
    <xf numFmtId="0" fontId="0" fillId="0" borderId="0" xfId="0"/>
    <xf numFmtId="0" fontId="0" fillId="0" borderId="0" xfId="0" applyFont="1"/>
    <xf numFmtId="0" fontId="2" fillId="0" borderId="0" xfId="0" applyFont="1"/>
    <xf numFmtId="2" fontId="0" fillId="0" borderId="0" xfId="0" applyNumberFormat="1"/>
    <xf numFmtId="165" fontId="0" fillId="0" borderId="0" xfId="1" applyFont="1" applyBorder="1" applyAlignment="1" applyProtection="1"/>
    <xf numFmtId="165" fontId="0" fillId="0" borderId="0" xfId="0" applyNumberFormat="1"/>
    <xf numFmtId="165" fontId="0" fillId="0" borderId="0" xfId="0" applyNumberFormat="1"/>
    <xf numFmtId="166" fontId="0" fillId="0" borderId="0" xfId="0" applyNumberFormat="1"/>
    <xf numFmtId="165" fontId="0" fillId="0" borderId="0" xfId="1" applyFont="1" applyBorder="1" applyAlignment="1" applyProtection="1"/>
    <xf numFmtId="167" fontId="0" fillId="0" borderId="0" xfId="0" applyNumberFormat="1"/>
    <xf numFmtId="168" fontId="0" fillId="0" borderId="0" xfId="0" applyNumberFormat="1"/>
    <xf numFmtId="4" fontId="0" fillId="0" borderId="0" xfId="0" applyNumberFormat="1"/>
    <xf numFmtId="164" fontId="0" fillId="0" borderId="0" xfId="0" applyNumberFormat="1"/>
    <xf numFmtId="171" fontId="0" fillId="0" borderId="0" xfId="3" applyNumberFormat="1" applyFont="1" applyBorder="1" applyAlignment="1" applyProtection="1"/>
    <xf numFmtId="172" fontId="0" fillId="0" borderId="0" xfId="3" applyNumberFormat="1" applyFont="1" applyBorder="1" applyAlignment="1" applyProtection="1"/>
    <xf numFmtId="0" fontId="3" fillId="0" borderId="0" xfId="5" applyFont="1" applyBorder="1" applyAlignment="1">
      <alignment horizontal="center"/>
    </xf>
    <xf numFmtId="0" fontId="3" fillId="0" borderId="0" xfId="5" applyFont="1" applyBorder="1"/>
    <xf numFmtId="0" fontId="4" fillId="0" borderId="0" xfId="5" applyFont="1" applyBorder="1" applyAlignment="1">
      <alignment horizontal="right"/>
    </xf>
    <xf numFmtId="165" fontId="3" fillId="0" borderId="0" xfId="5" applyNumberFormat="1" applyFont="1" applyBorder="1" applyAlignment="1" applyProtection="1"/>
    <xf numFmtId="173" fontId="3" fillId="0" borderId="0" xfId="5" applyNumberFormat="1" applyFont="1" applyBorder="1" applyAlignment="1">
      <alignment horizontal="right" wrapText="1"/>
    </xf>
    <xf numFmtId="165" fontId="3" fillId="0" borderId="0" xfId="5" applyNumberFormat="1" applyFont="1" applyBorder="1" applyAlignment="1"/>
    <xf numFmtId="175" fontId="3" fillId="0" borderId="0" xfId="2" applyNumberFormat="1" applyFont="1" applyBorder="1" applyAlignment="1" applyProtection="1">
      <alignment horizontal="right"/>
    </xf>
    <xf numFmtId="165" fontId="3" fillId="0" borderId="0" xfId="5" applyNumberFormat="1" applyFont="1" applyBorder="1"/>
    <xf numFmtId="175" fontId="3" fillId="0" borderId="0" xfId="5" applyNumberFormat="1" applyFont="1" applyBorder="1" applyAlignment="1">
      <alignment horizontal="right"/>
    </xf>
    <xf numFmtId="173" fontId="3" fillId="0" borderId="0" xfId="5" applyNumberFormat="1" applyFont="1" applyBorder="1" applyAlignment="1">
      <alignment horizontal="right"/>
    </xf>
    <xf numFmtId="165" fontId="3" fillId="0" borderId="0" xfId="1" applyFont="1" applyBorder="1" applyAlignment="1" applyProtection="1"/>
    <xf numFmtId="165" fontId="4" fillId="0" borderId="0" xfId="5" applyNumberFormat="1" applyFont="1" applyBorder="1"/>
    <xf numFmtId="0" fontId="5" fillId="0" borderId="0" xfId="5" applyFont="1" applyBorder="1"/>
    <xf numFmtId="0" fontId="7" fillId="0" borderId="0" xfId="5" applyFont="1" applyBorder="1" applyAlignment="1">
      <alignment horizontal="center" vertical="center" wrapText="1"/>
    </xf>
    <xf numFmtId="0" fontId="8" fillId="0" borderId="0" xfId="5" applyFont="1" applyBorder="1" applyAlignment="1">
      <alignment horizontal="center"/>
    </xf>
    <xf numFmtId="0" fontId="8" fillId="0" borderId="0" xfId="5" applyFont="1" applyBorder="1" applyAlignment="1"/>
    <xf numFmtId="176" fontId="3" fillId="0" borderId="0" xfId="5" applyNumberFormat="1" applyFont="1" applyBorder="1" applyAlignment="1" applyProtection="1">
      <alignment horizontal="center"/>
    </xf>
    <xf numFmtId="165" fontId="9" fillId="0" borderId="0" xfId="5" applyNumberFormat="1" applyFont="1" applyBorder="1"/>
    <xf numFmtId="165" fontId="10" fillId="0" borderId="0" xfId="4" applyNumberFormat="1" applyBorder="1" applyAlignment="1" applyProtection="1"/>
    <xf numFmtId="0" fontId="12" fillId="0" borderId="0" xfId="5" applyFont="1" applyBorder="1"/>
    <xf numFmtId="177" fontId="15" fillId="0" borderId="0" xfId="2" applyNumberFormat="1" applyFont="1" applyBorder="1" applyAlignment="1" applyProtection="1">
      <alignment vertical="center"/>
    </xf>
    <xf numFmtId="177" fontId="16" fillId="0" borderId="0" xfId="2" applyNumberFormat="1" applyFont="1" applyBorder="1" applyAlignment="1" applyProtection="1">
      <alignment vertical="center"/>
    </xf>
    <xf numFmtId="177" fontId="16" fillId="0" borderId="0" xfId="2" applyNumberFormat="1" applyFont="1" applyBorder="1" applyAlignment="1" applyProtection="1">
      <alignment horizontal="center"/>
    </xf>
    <xf numFmtId="177" fontId="15" fillId="0" borderId="0" xfId="2" applyNumberFormat="1" applyFont="1" applyBorder="1" applyAlignment="1" applyProtection="1">
      <alignment horizontal="center"/>
    </xf>
    <xf numFmtId="177" fontId="17" fillId="0" borderId="0" xfId="2" applyNumberFormat="1" applyFont="1" applyBorder="1" applyAlignment="1" applyProtection="1">
      <alignment horizontal="center"/>
    </xf>
    <xf numFmtId="0" fontId="8" fillId="0" borderId="0" xfId="5" applyFont="1" applyAlignment="1">
      <alignment horizontal="center"/>
    </xf>
    <xf numFmtId="165" fontId="3" fillId="0" borderId="0" xfId="1" applyFont="1" applyBorder="1" applyAlignment="1" applyProtection="1">
      <alignment horizontal="center"/>
    </xf>
    <xf numFmtId="2" fontId="3" fillId="0" borderId="0" xfId="5" applyNumberFormat="1" applyFont="1" applyBorder="1" applyAlignment="1">
      <alignment horizontal="center"/>
    </xf>
    <xf numFmtId="0" fontId="3" fillId="0" borderId="1" xfId="5" applyFont="1" applyBorder="1"/>
    <xf numFmtId="165" fontId="4" fillId="0" borderId="1" xfId="5" applyNumberFormat="1" applyFont="1" applyBorder="1" applyAlignment="1">
      <alignment horizontal="center" vertical="center" wrapText="1"/>
    </xf>
    <xf numFmtId="165" fontId="4" fillId="0" borderId="1" xfId="5" applyNumberFormat="1" applyFont="1" applyBorder="1" applyAlignment="1">
      <alignment horizontal="center" vertical="center"/>
    </xf>
    <xf numFmtId="165" fontId="4" fillId="0" borderId="1" xfId="1" applyFont="1" applyBorder="1" applyAlignment="1" applyProtection="1">
      <alignment vertical="center" wrapText="1"/>
    </xf>
    <xf numFmtId="165" fontId="18" fillId="0" borderId="1" xfId="5" applyNumberFormat="1" applyFont="1" applyBorder="1" applyAlignment="1">
      <alignment horizontal="center" vertical="center" wrapText="1"/>
    </xf>
    <xf numFmtId="165" fontId="4" fillId="0" borderId="1" xfId="1" applyFont="1" applyBorder="1" applyAlignment="1" applyProtection="1">
      <alignment horizontal="center" vertical="center" wrapText="1"/>
    </xf>
    <xf numFmtId="165" fontId="5" fillId="0" borderId="1" xfId="5" applyNumberFormat="1" applyFont="1" applyBorder="1" applyAlignment="1">
      <alignment horizontal="center" vertical="center" wrapText="1"/>
    </xf>
    <xf numFmtId="0" fontId="5" fillId="0" borderId="1" xfId="5" applyFont="1" applyBorder="1" applyAlignment="1">
      <alignment horizontal="center" vertical="center" wrapText="1"/>
    </xf>
    <xf numFmtId="0" fontId="5" fillId="0" borderId="0" xfId="5" applyFont="1" applyBorder="1" applyAlignment="1">
      <alignment horizontal="center"/>
    </xf>
    <xf numFmtId="0" fontId="5" fillId="0" borderId="2" xfId="5" applyFont="1" applyBorder="1" applyAlignment="1"/>
    <xf numFmtId="0" fontId="5" fillId="0" borderId="0" xfId="5" applyFont="1" applyBorder="1" applyAlignment="1"/>
    <xf numFmtId="165" fontId="5" fillId="0" borderId="2" xfId="5" applyNumberFormat="1" applyFont="1" applyBorder="1" applyAlignment="1"/>
    <xf numFmtId="0" fontId="18" fillId="0" borderId="3" xfId="5" applyFont="1" applyBorder="1" applyAlignment="1">
      <alignment horizontal="right"/>
    </xf>
    <xf numFmtId="165" fontId="5" fillId="0" borderId="4" xfId="5" applyNumberFormat="1" applyFont="1" applyBorder="1" applyAlignment="1" applyProtection="1"/>
    <xf numFmtId="173" fontId="18" fillId="0" borderId="3" xfId="5" applyNumberFormat="1" applyFont="1" applyBorder="1" applyAlignment="1">
      <alignment horizontal="right" wrapText="1"/>
    </xf>
    <xf numFmtId="165" fontId="5" fillId="0" borderId="4" xfId="5" applyNumberFormat="1" applyFont="1" applyBorder="1" applyAlignment="1"/>
    <xf numFmtId="175" fontId="18" fillId="0" borderId="3" xfId="2" applyNumberFormat="1" applyFont="1" applyBorder="1" applyAlignment="1" applyProtection="1">
      <alignment horizontal="right"/>
    </xf>
    <xf numFmtId="175" fontId="18" fillId="0" borderId="3" xfId="5" applyNumberFormat="1" applyFont="1" applyBorder="1" applyAlignment="1">
      <alignment horizontal="right"/>
    </xf>
    <xf numFmtId="165" fontId="5" fillId="0" borderId="0" xfId="5" applyNumberFormat="1" applyFont="1" applyBorder="1" applyAlignment="1"/>
    <xf numFmtId="173" fontId="18" fillId="0" borderId="3" xfId="5" applyNumberFormat="1" applyFont="1" applyBorder="1" applyAlignment="1">
      <alignment horizontal="right"/>
    </xf>
    <xf numFmtId="165" fontId="5" fillId="0" borderId="2" xfId="1" applyFont="1" applyBorder="1" applyAlignment="1" applyProtection="1"/>
    <xf numFmtId="165" fontId="18" fillId="0" borderId="2" xfId="5" applyNumberFormat="1" applyFont="1" applyBorder="1" applyAlignment="1">
      <alignment horizontal="center" vertical="center"/>
    </xf>
    <xf numFmtId="165" fontId="5" fillId="0" borderId="2" xfId="5" applyNumberFormat="1" applyFont="1" applyBorder="1" applyAlignment="1">
      <alignment horizontal="center" vertical="center"/>
    </xf>
    <xf numFmtId="165" fontId="18" fillId="0" borderId="2" xfId="5" applyNumberFormat="1" applyFont="1" applyBorder="1" applyAlignment="1">
      <alignment horizontal="center" vertical="center" wrapText="1"/>
    </xf>
    <xf numFmtId="165" fontId="5" fillId="0" borderId="2" xfId="5" applyNumberFormat="1" applyFont="1" applyBorder="1" applyAlignment="1">
      <alignment horizontal="center" vertical="center" wrapText="1"/>
    </xf>
    <xf numFmtId="165" fontId="18" fillId="0" borderId="2" xfId="5" applyNumberFormat="1" applyFont="1" applyBorder="1" applyAlignment="1"/>
    <xf numFmtId="0" fontId="5" fillId="0" borderId="2" xfId="5" applyFont="1" applyBorder="1" applyAlignment="1">
      <alignment horizontal="center"/>
    </xf>
    <xf numFmtId="0" fontId="5" fillId="0" borderId="2" xfId="5" applyFont="1" applyBorder="1"/>
    <xf numFmtId="0" fontId="5" fillId="0" borderId="0" xfId="5" applyFont="1" applyBorder="1" applyAlignment="1">
      <alignment horizontal="left" wrapText="1"/>
    </xf>
    <xf numFmtId="175" fontId="18" fillId="0" borderId="0" xfId="5" applyNumberFormat="1" applyFont="1" applyBorder="1" applyAlignment="1">
      <alignment horizontal="right"/>
    </xf>
    <xf numFmtId="165" fontId="5" fillId="0" borderId="0" xfId="5" applyNumberFormat="1" applyFont="1" applyBorder="1" applyAlignment="1" applyProtection="1"/>
    <xf numFmtId="173" fontId="18" fillId="0" borderId="0" xfId="5" applyNumberFormat="1" applyFont="1" applyBorder="1" applyAlignment="1">
      <alignment horizontal="right" wrapText="1"/>
    </xf>
    <xf numFmtId="165" fontId="5" fillId="0" borderId="0" xfId="5" applyNumberFormat="1" applyFont="1" applyBorder="1" applyAlignment="1" applyProtection="1">
      <alignment horizontal="right"/>
    </xf>
    <xf numFmtId="175" fontId="18" fillId="0" borderId="0" xfId="2" applyNumberFormat="1" applyFont="1" applyBorder="1" applyAlignment="1" applyProtection="1">
      <alignment horizontal="right" wrapText="1"/>
    </xf>
    <xf numFmtId="165" fontId="5" fillId="0" borderId="0" xfId="5" applyNumberFormat="1" applyFont="1" applyBorder="1" applyAlignment="1">
      <alignment horizontal="right" wrapText="1"/>
    </xf>
    <xf numFmtId="165" fontId="19" fillId="0" borderId="0" xfId="5" applyNumberFormat="1" applyFont="1" applyBorder="1" applyAlignment="1" applyProtection="1">
      <alignment horizontal="right"/>
    </xf>
    <xf numFmtId="173" fontId="18" fillId="0" borderId="0" xfId="5" applyNumberFormat="1" applyFont="1" applyBorder="1" applyAlignment="1" applyProtection="1">
      <alignment horizontal="right"/>
    </xf>
    <xf numFmtId="165" fontId="5" fillId="0" borderId="0" xfId="1" applyFont="1" applyBorder="1" applyAlignment="1" applyProtection="1">
      <alignment horizontal="right"/>
    </xf>
    <xf numFmtId="165" fontId="18" fillId="0" borderId="0" xfId="5" applyNumberFormat="1" applyFont="1" applyBorder="1" applyAlignment="1">
      <alignment horizontal="right" wrapText="1"/>
    </xf>
    <xf numFmtId="165" fontId="18" fillId="0" borderId="0" xfId="5" applyNumberFormat="1" applyFont="1" applyBorder="1" applyAlignment="1">
      <alignment wrapText="1"/>
    </xf>
    <xf numFmtId="165" fontId="5" fillId="0" borderId="0" xfId="5" applyNumberFormat="1" applyFont="1" applyBorder="1" applyAlignment="1">
      <alignment wrapText="1"/>
    </xf>
    <xf numFmtId="165" fontId="19" fillId="0" borderId="0" xfId="5" applyNumberFormat="1" applyFont="1" applyBorder="1" applyAlignment="1" applyProtection="1"/>
    <xf numFmtId="0" fontId="5" fillId="0" borderId="5" xfId="5" applyFont="1" applyBorder="1" applyAlignment="1">
      <alignment horizontal="center"/>
    </xf>
    <xf numFmtId="0" fontId="5" fillId="0" borderId="5" xfId="5" applyFont="1" applyBorder="1"/>
    <xf numFmtId="0" fontId="5" fillId="0" borderId="5" xfId="5" applyFont="1" applyBorder="1" applyAlignment="1">
      <alignment horizontal="left" wrapText="1"/>
    </xf>
    <xf numFmtId="175" fontId="18" fillId="0" borderId="5" xfId="5" applyNumberFormat="1" applyFont="1" applyBorder="1" applyAlignment="1">
      <alignment horizontal="right"/>
    </xf>
    <xf numFmtId="165" fontId="5" fillId="0" borderId="5" xfId="5" applyNumberFormat="1" applyFont="1" applyBorder="1" applyAlignment="1" applyProtection="1"/>
    <xf numFmtId="173" fontId="18" fillId="0" borderId="5" xfId="5" applyNumberFormat="1" applyFont="1" applyBorder="1" applyAlignment="1">
      <alignment horizontal="right" wrapText="1"/>
    </xf>
    <xf numFmtId="165" fontId="5" fillId="0" borderId="5" xfId="5" applyNumberFormat="1" applyFont="1" applyBorder="1" applyAlignment="1" applyProtection="1">
      <alignment horizontal="right"/>
    </xf>
    <xf numFmtId="175" fontId="18" fillId="0" borderId="5" xfId="2" applyNumberFormat="1" applyFont="1" applyBorder="1" applyAlignment="1" applyProtection="1">
      <alignment horizontal="right" wrapText="1"/>
    </xf>
    <xf numFmtId="165" fontId="5" fillId="0" borderId="5" xfId="5" applyNumberFormat="1" applyFont="1" applyBorder="1" applyAlignment="1">
      <alignment horizontal="right" wrapText="1"/>
    </xf>
    <xf numFmtId="165" fontId="19" fillId="0" borderId="5" xfId="5" applyNumberFormat="1" applyFont="1" applyBorder="1" applyAlignment="1" applyProtection="1">
      <alignment horizontal="right"/>
    </xf>
    <xf numFmtId="173" fontId="18" fillId="0" borderId="5" xfId="5" applyNumberFormat="1" applyFont="1" applyBorder="1" applyAlignment="1" applyProtection="1">
      <alignment horizontal="right"/>
    </xf>
    <xf numFmtId="165" fontId="5" fillId="0" borderId="5" xfId="1" applyFont="1" applyBorder="1" applyAlignment="1" applyProtection="1">
      <alignment horizontal="right"/>
    </xf>
    <xf numFmtId="165" fontId="18" fillId="0" borderId="5" xfId="5" applyNumberFormat="1" applyFont="1" applyBorder="1" applyAlignment="1">
      <alignment horizontal="right" wrapText="1"/>
    </xf>
    <xf numFmtId="165" fontId="18" fillId="0" borderId="5" xfId="5" applyNumberFormat="1" applyFont="1" applyBorder="1" applyAlignment="1">
      <alignment wrapText="1"/>
    </xf>
    <xf numFmtId="165" fontId="5" fillId="0" borderId="5" xfId="5" applyNumberFormat="1" applyFont="1" applyBorder="1" applyAlignment="1">
      <alignment wrapText="1"/>
    </xf>
    <xf numFmtId="175" fontId="18" fillId="0" borderId="0" xfId="5" applyNumberFormat="1" applyFont="1" applyBorder="1" applyAlignment="1" applyProtection="1">
      <alignment horizontal="right"/>
    </xf>
    <xf numFmtId="165" fontId="5" fillId="0" borderId="0" xfId="5" applyNumberFormat="1" applyFont="1" applyBorder="1" applyAlignment="1">
      <alignment horizontal="right"/>
    </xf>
    <xf numFmtId="175" fontId="18" fillId="0" borderId="0" xfId="2" applyNumberFormat="1" applyFont="1" applyBorder="1" applyAlignment="1" applyProtection="1">
      <alignment horizontal="right"/>
    </xf>
    <xf numFmtId="173" fontId="18" fillId="0" borderId="5" xfId="5" applyNumberFormat="1" applyFont="1" applyBorder="1" applyAlignment="1" applyProtection="1">
      <alignment horizontal="right" wrapText="1"/>
    </xf>
    <xf numFmtId="175" fontId="18" fillId="0" borderId="5" xfId="2" applyNumberFormat="1" applyFont="1" applyBorder="1" applyAlignment="1" applyProtection="1">
      <alignment horizontal="right"/>
    </xf>
    <xf numFmtId="175" fontId="18" fillId="0" borderId="5" xfId="5" applyNumberFormat="1" applyFont="1" applyBorder="1" applyAlignment="1" applyProtection="1">
      <alignment horizontal="right"/>
    </xf>
    <xf numFmtId="165" fontId="19" fillId="0" borderId="0" xfId="5" applyNumberFormat="1" applyFont="1" applyBorder="1" applyAlignment="1">
      <alignment horizontal="right"/>
    </xf>
    <xf numFmtId="165" fontId="5" fillId="0" borderId="5" xfId="5" applyNumberFormat="1" applyFont="1" applyBorder="1" applyAlignment="1">
      <alignment horizontal="right"/>
    </xf>
    <xf numFmtId="165" fontId="19" fillId="0" borderId="5" xfId="5" applyNumberFormat="1" applyFont="1" applyBorder="1" applyAlignment="1">
      <alignment horizontal="right"/>
    </xf>
    <xf numFmtId="165" fontId="19" fillId="0" borderId="0" xfId="5" applyNumberFormat="1" applyFont="1" applyBorder="1" applyAlignment="1">
      <alignment horizontal="right" wrapText="1"/>
    </xf>
    <xf numFmtId="165" fontId="19" fillId="0" borderId="5" xfId="5" applyNumberFormat="1" applyFont="1" applyBorder="1" applyAlignment="1">
      <alignment horizontal="right" wrapText="1"/>
    </xf>
    <xf numFmtId="165" fontId="19" fillId="2" borderId="0" xfId="5" applyNumberFormat="1" applyFont="1" applyFill="1" applyBorder="1" applyAlignment="1" applyProtection="1">
      <alignment horizontal="right"/>
    </xf>
    <xf numFmtId="173" fontId="18" fillId="0" borderId="0" xfId="5" applyNumberFormat="1" applyFont="1" applyBorder="1" applyAlignment="1" applyProtection="1">
      <alignment horizontal="right" wrapText="1"/>
    </xf>
    <xf numFmtId="173" fontId="20" fillId="0" borderId="0" xfId="5" applyNumberFormat="1" applyFont="1" applyBorder="1" applyAlignment="1" applyProtection="1">
      <alignment horizontal="right"/>
    </xf>
    <xf numFmtId="165" fontId="18" fillId="0" borderId="0" xfId="5" applyNumberFormat="1" applyFont="1" applyBorder="1" applyAlignment="1">
      <alignment horizontal="right"/>
    </xf>
    <xf numFmtId="165" fontId="18" fillId="0" borderId="5" xfId="5" applyNumberFormat="1" applyFont="1" applyBorder="1" applyAlignment="1">
      <alignment horizontal="right"/>
    </xf>
    <xf numFmtId="165" fontId="5" fillId="0" borderId="5" xfId="5" applyNumberFormat="1" applyFont="1" applyBorder="1" applyAlignment="1"/>
    <xf numFmtId="165" fontId="19" fillId="2" borderId="0" xfId="5" applyNumberFormat="1" applyFont="1" applyFill="1" applyBorder="1" applyAlignment="1">
      <alignment horizontal="right"/>
    </xf>
    <xf numFmtId="165" fontId="18" fillId="0" borderId="0" xfId="5" applyNumberFormat="1" applyFont="1" applyBorder="1" applyAlignment="1" applyProtection="1">
      <alignment horizontal="right"/>
    </xf>
    <xf numFmtId="165" fontId="18" fillId="0" borderId="5" xfId="5" applyNumberFormat="1" applyFont="1" applyBorder="1" applyAlignment="1" applyProtection="1">
      <alignment horizontal="right"/>
    </xf>
    <xf numFmtId="0" fontId="5" fillId="0" borderId="6" xfId="5" applyFont="1" applyBorder="1" applyAlignment="1">
      <alignment horizontal="center"/>
    </xf>
    <xf numFmtId="0" fontId="18" fillId="0" borderId="0" xfId="5" applyFont="1" applyBorder="1" applyAlignment="1">
      <alignment horizontal="right"/>
    </xf>
    <xf numFmtId="173" fontId="5" fillId="0" borderId="0" xfId="5" applyNumberFormat="1" applyFont="1" applyBorder="1" applyAlignment="1">
      <alignment horizontal="right" wrapText="1"/>
    </xf>
    <xf numFmtId="175" fontId="5" fillId="0" borderId="0" xfId="2" applyNumberFormat="1" applyFont="1" applyBorder="1" applyAlignment="1" applyProtection="1">
      <alignment horizontal="right"/>
    </xf>
    <xf numFmtId="175" fontId="5" fillId="0" borderId="0" xfId="5" applyNumberFormat="1" applyFont="1" applyBorder="1" applyAlignment="1">
      <alignment horizontal="right"/>
    </xf>
    <xf numFmtId="173" fontId="5" fillId="0" borderId="0" xfId="5" applyNumberFormat="1" applyFont="1" applyBorder="1" applyAlignment="1">
      <alignment horizontal="right"/>
    </xf>
    <xf numFmtId="175" fontId="18" fillId="0" borderId="0" xfId="1" applyNumberFormat="1" applyFont="1" applyBorder="1" applyAlignment="1" applyProtection="1">
      <alignment horizontal="right"/>
    </xf>
    <xf numFmtId="0" fontId="4" fillId="0" borderId="0" xfId="5" applyFont="1" applyBorder="1" applyAlignment="1">
      <alignment horizontal="left"/>
    </xf>
    <xf numFmtId="1" fontId="0" fillId="0" borderId="0" xfId="0" applyNumberFormat="1" applyBorder="1"/>
    <xf numFmtId="0" fontId="3" fillId="0" borderId="5" xfId="5" applyFont="1" applyBorder="1" applyAlignment="1">
      <alignment horizontal="center"/>
    </xf>
    <xf numFmtId="1" fontId="0" fillId="0" borderId="5" xfId="0" applyNumberFormat="1" applyBorder="1"/>
    <xf numFmtId="0" fontId="5" fillId="0" borderId="5" xfId="5" applyFont="1" applyBorder="1" applyAlignment="1"/>
    <xf numFmtId="175" fontId="18" fillId="0" borderId="5" xfId="1" applyNumberFormat="1" applyFont="1" applyBorder="1" applyAlignment="1" applyProtection="1">
      <alignment horizontal="right"/>
    </xf>
    <xf numFmtId="0" fontId="3" fillId="0" borderId="5" xfId="5" applyFont="1" applyBorder="1"/>
    <xf numFmtId="0" fontId="9" fillId="0" borderId="0" xfId="5" applyFont="1" applyBorder="1"/>
    <xf numFmtId="0" fontId="21" fillId="0" borderId="0" xfId="5" applyFont="1" applyBorder="1"/>
    <xf numFmtId="0" fontId="9" fillId="0" borderId="5" xfId="5" applyFont="1" applyBorder="1"/>
    <xf numFmtId="173" fontId="3" fillId="0" borderId="0" xfId="5" applyNumberFormat="1" applyFont="1" applyBorder="1" applyAlignment="1" applyProtection="1"/>
    <xf numFmtId="165" fontId="13" fillId="0" borderId="0" xfId="5" applyNumberFormat="1" applyFont="1" applyBorder="1"/>
    <xf numFmtId="165" fontId="22" fillId="0" borderId="0" xfId="5" applyNumberFormat="1" applyFont="1" applyBorder="1"/>
    <xf numFmtId="0" fontId="6" fillId="0" borderId="0" xfId="5" applyFont="1" applyBorder="1" applyAlignment="1">
      <alignment vertical="center" wrapText="1"/>
    </xf>
    <xf numFmtId="0" fontId="8" fillId="0" borderId="7" xfId="5" applyFont="1" applyBorder="1" applyAlignment="1"/>
    <xf numFmtId="0" fontId="8" fillId="0" borderId="8" xfId="5" applyFont="1" applyBorder="1" applyAlignment="1"/>
    <xf numFmtId="176" fontId="3" fillId="0" borderId="7" xfId="5" applyNumberFormat="1" applyFont="1" applyBorder="1" applyAlignment="1" applyProtection="1"/>
    <xf numFmtId="0" fontId="0" fillId="0" borderId="7" xfId="0" applyBorder="1"/>
    <xf numFmtId="0" fontId="0" fillId="0" borderId="9" xfId="0" applyBorder="1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4" fillId="0" borderId="10" xfId="5" applyFont="1" applyBorder="1" applyAlignment="1">
      <alignment horizontal="center"/>
    </xf>
    <xf numFmtId="165" fontId="4" fillId="0" borderId="11" xfId="5" applyNumberFormat="1" applyFont="1" applyBorder="1" applyAlignment="1">
      <alignment horizontal="center" wrapText="1"/>
    </xf>
    <xf numFmtId="165" fontId="4" fillId="0" borderId="4" xfId="5" applyNumberFormat="1" applyFont="1" applyBorder="1" applyAlignment="1">
      <alignment horizontal="center"/>
    </xf>
    <xf numFmtId="165" fontId="4" fillId="0" borderId="2" xfId="5" applyNumberFormat="1" applyFont="1" applyBorder="1" applyAlignment="1">
      <alignment horizontal="center" wrapText="1"/>
    </xf>
    <xf numFmtId="165" fontId="18" fillId="0" borderId="12" xfId="5" applyNumberFormat="1" applyFont="1" applyBorder="1" applyAlignment="1">
      <alignment horizontal="center" vertical="center" wrapText="1"/>
    </xf>
    <xf numFmtId="165" fontId="4" fillId="0" borderId="4" xfId="5" applyNumberFormat="1" applyFont="1" applyBorder="1" applyAlignment="1">
      <alignment horizontal="center" wrapText="1"/>
    </xf>
    <xf numFmtId="165" fontId="4" fillId="0" borderId="12" xfId="5" applyNumberFormat="1" applyFont="1" applyBorder="1" applyAlignment="1">
      <alignment horizontal="center" vertical="center" wrapText="1"/>
    </xf>
    <xf numFmtId="0" fontId="4" fillId="3" borderId="11" xfId="5" applyFont="1" applyFill="1" applyBorder="1" applyAlignment="1">
      <alignment horizontal="center" wrapText="1"/>
    </xf>
    <xf numFmtId="0" fontId="4" fillId="3" borderId="10" xfId="5" applyFont="1" applyFill="1" applyBorder="1" applyAlignment="1">
      <alignment horizontal="center" wrapText="1"/>
    </xf>
    <xf numFmtId="0" fontId="4" fillId="4" borderId="11" xfId="5" applyFont="1" applyFill="1" applyBorder="1" applyAlignment="1">
      <alignment horizontal="center" wrapText="1"/>
    </xf>
    <xf numFmtId="0" fontId="4" fillId="4" borderId="10" xfId="5" applyFont="1" applyFill="1" applyBorder="1" applyAlignment="1">
      <alignment horizontal="center" wrapText="1"/>
    </xf>
    <xf numFmtId="0" fontId="4" fillId="0" borderId="0" xfId="5" applyFont="1" applyBorder="1" applyAlignment="1">
      <alignment horizontal="center" wrapText="1"/>
    </xf>
    <xf numFmtId="165" fontId="5" fillId="0" borderId="11" xfId="5" applyNumberFormat="1" applyFont="1" applyBorder="1" applyAlignment="1" applyProtection="1">
      <alignment horizontal="center"/>
    </xf>
    <xf numFmtId="165" fontId="5" fillId="0" borderId="11" xfId="5" applyNumberFormat="1" applyFont="1" applyBorder="1" applyAlignment="1">
      <alignment horizontal="center"/>
    </xf>
    <xf numFmtId="165" fontId="5" fillId="0" borderId="2" xfId="5" applyNumberFormat="1" applyFont="1" applyBorder="1" applyAlignment="1">
      <alignment horizontal="center"/>
    </xf>
    <xf numFmtId="165" fontId="18" fillId="0" borderId="2" xfId="5" applyNumberFormat="1" applyFont="1" applyBorder="1" applyAlignment="1">
      <alignment horizontal="center"/>
    </xf>
    <xf numFmtId="165" fontId="5" fillId="0" borderId="4" xfId="5" applyNumberFormat="1" applyFont="1" applyBorder="1" applyAlignment="1">
      <alignment horizontal="center"/>
    </xf>
    <xf numFmtId="165" fontId="5" fillId="0" borderId="13" xfId="5" applyNumberFormat="1" applyFont="1" applyBorder="1" applyAlignment="1">
      <alignment horizontal="center"/>
    </xf>
    <xf numFmtId="172" fontId="5" fillId="3" borderId="2" xfId="3" applyNumberFormat="1" applyFont="1" applyFill="1" applyBorder="1" applyAlignment="1" applyProtection="1">
      <alignment horizontal="center"/>
    </xf>
    <xf numFmtId="172" fontId="5" fillId="3" borderId="4" xfId="3" applyNumberFormat="1" applyFont="1" applyFill="1" applyBorder="1" applyAlignment="1" applyProtection="1">
      <alignment horizontal="center"/>
    </xf>
    <xf numFmtId="172" fontId="5" fillId="3" borderId="4" xfId="5" applyNumberFormat="1" applyFont="1" applyFill="1" applyBorder="1" applyAlignment="1">
      <alignment horizontal="center"/>
    </xf>
    <xf numFmtId="172" fontId="5" fillId="4" borderId="2" xfId="3" applyNumberFormat="1" applyFont="1" applyFill="1" applyBorder="1" applyAlignment="1" applyProtection="1">
      <alignment horizontal="center"/>
    </xf>
    <xf numFmtId="172" fontId="5" fillId="4" borderId="4" xfId="3" applyNumberFormat="1" applyFont="1" applyFill="1" applyBorder="1" applyAlignment="1" applyProtection="1">
      <alignment horizontal="center"/>
    </xf>
    <xf numFmtId="172" fontId="5" fillId="4" borderId="4" xfId="5" applyNumberFormat="1" applyFont="1" applyFill="1" applyBorder="1" applyAlignment="1">
      <alignment horizontal="center"/>
    </xf>
    <xf numFmtId="0" fontId="19" fillId="0" borderId="0" xfId="0" applyFont="1"/>
    <xf numFmtId="2" fontId="5" fillId="0" borderId="0" xfId="5" applyNumberFormat="1" applyFont="1" applyBorder="1" applyAlignment="1">
      <alignment horizontal="right" wrapText="1"/>
    </xf>
    <xf numFmtId="0" fontId="5" fillId="2" borderId="0" xfId="5" applyFont="1" applyFill="1" applyBorder="1"/>
    <xf numFmtId="0" fontId="5" fillId="2" borderId="0" xfId="5" applyFont="1" applyFill="1" applyBorder="1" applyAlignment="1">
      <alignment horizontal="left" wrapText="1"/>
    </xf>
    <xf numFmtId="165" fontId="5" fillId="2" borderId="0" xfId="5" applyNumberFormat="1" applyFont="1" applyFill="1" applyBorder="1" applyAlignment="1" applyProtection="1"/>
    <xf numFmtId="165" fontId="18" fillId="2" borderId="0" xfId="5" applyNumberFormat="1" applyFont="1" applyFill="1" applyBorder="1" applyAlignment="1">
      <alignment horizontal="right" wrapText="1"/>
    </xf>
    <xf numFmtId="165" fontId="18" fillId="2" borderId="0" xfId="5" applyNumberFormat="1" applyFont="1" applyFill="1" applyBorder="1" applyAlignment="1">
      <alignment wrapText="1"/>
    </xf>
    <xf numFmtId="0" fontId="18" fillId="0" borderId="0" xfId="5" applyFont="1" applyBorder="1" applyAlignment="1">
      <alignment horizontal="left" wrapText="1"/>
    </xf>
    <xf numFmtId="2" fontId="18" fillId="0" borderId="0" xfId="5" applyNumberFormat="1" applyFont="1" applyBorder="1" applyAlignment="1">
      <alignment horizontal="right" wrapText="1"/>
    </xf>
    <xf numFmtId="0" fontId="19" fillId="5" borderId="0" xfId="0" applyFont="1" applyFill="1"/>
    <xf numFmtId="0" fontId="5" fillId="5" borderId="0" xfId="5" applyFont="1" applyFill="1" applyBorder="1" applyAlignment="1">
      <alignment horizontal="left" wrapText="1"/>
    </xf>
    <xf numFmtId="165" fontId="5" fillId="5" borderId="0" xfId="5" applyNumberFormat="1" applyFont="1" applyFill="1" applyBorder="1" applyAlignment="1" applyProtection="1"/>
    <xf numFmtId="165" fontId="18" fillId="5" borderId="0" xfId="5" applyNumberFormat="1" applyFont="1" applyFill="1" applyBorder="1" applyAlignment="1">
      <alignment horizontal="right" wrapText="1"/>
    </xf>
    <xf numFmtId="165" fontId="18" fillId="5" borderId="0" xfId="5" applyNumberFormat="1" applyFont="1" applyFill="1" applyBorder="1" applyAlignment="1">
      <alignment wrapText="1"/>
    </xf>
    <xf numFmtId="172" fontId="5" fillId="0" borderId="11" xfId="3" applyNumberFormat="1" applyFont="1" applyBorder="1" applyAlignment="1" applyProtection="1">
      <alignment horizontal="center"/>
    </xf>
    <xf numFmtId="172" fontId="5" fillId="0" borderId="11" xfId="5" applyNumberFormat="1" applyFont="1" applyBorder="1" applyAlignment="1">
      <alignment horizontal="center"/>
    </xf>
    <xf numFmtId="172" fontId="5" fillId="0" borderId="2" xfId="3" applyNumberFormat="1" applyFont="1" applyBorder="1" applyAlignment="1" applyProtection="1">
      <alignment horizontal="center"/>
    </xf>
    <xf numFmtId="172" fontId="5" fillId="0" borderId="4" xfId="3" applyNumberFormat="1" applyFont="1" applyBorder="1" applyAlignment="1" applyProtection="1">
      <alignment horizontal="center"/>
    </xf>
    <xf numFmtId="172" fontId="5" fillId="0" borderId="4" xfId="5" applyNumberFormat="1" applyFont="1" applyBorder="1" applyAlignment="1">
      <alignment horizontal="center"/>
    </xf>
    <xf numFmtId="49" fontId="5" fillId="0" borderId="0" xfId="5" applyNumberFormat="1" applyFont="1" applyBorder="1" applyAlignment="1" applyProtection="1"/>
    <xf numFmtId="170" fontId="23" fillId="0" borderId="0" xfId="3" applyBorder="1" applyProtection="1"/>
    <xf numFmtId="43" fontId="0" fillId="0" borderId="0" xfId="0" applyNumberFormat="1"/>
    <xf numFmtId="0" fontId="23" fillId="0" borderId="0" xfId="0" applyFont="1"/>
    <xf numFmtId="177" fontId="0" fillId="0" borderId="0" xfId="0" applyNumberFormat="1"/>
    <xf numFmtId="0" fontId="0" fillId="6" borderId="0" xfId="0" applyFill="1"/>
    <xf numFmtId="165" fontId="0" fillId="6" borderId="0" xfId="1" applyFont="1" applyFill="1" applyBorder="1" applyAlignment="1" applyProtection="1"/>
    <xf numFmtId="0" fontId="6" fillId="0" borderId="0" xfId="5" applyFont="1" applyBorder="1" applyAlignment="1">
      <alignment horizontal="left" vertical="center" wrapText="1"/>
    </xf>
    <xf numFmtId="165" fontId="11" fillId="0" borderId="0" xfId="1" applyFont="1" applyBorder="1" applyAlignment="1" applyProtection="1">
      <alignment horizontal="center" wrapText="1"/>
    </xf>
    <xf numFmtId="165" fontId="13" fillId="0" borderId="0" xfId="5" applyNumberFormat="1" applyFont="1" applyBorder="1" applyAlignment="1">
      <alignment horizontal="center"/>
    </xf>
    <xf numFmtId="169" fontId="14" fillId="0" borderId="0" xfId="2" applyNumberFormat="1" applyFont="1" applyBorder="1" applyAlignment="1" applyProtection="1">
      <alignment horizontal="center"/>
    </xf>
    <xf numFmtId="0" fontId="4" fillId="0" borderId="1" xfId="5" applyFont="1" applyBorder="1" applyAlignment="1">
      <alignment horizontal="center" vertical="center"/>
    </xf>
    <xf numFmtId="1" fontId="4" fillId="0" borderId="1" xfId="5" applyNumberFormat="1" applyFont="1" applyBorder="1" applyAlignment="1">
      <alignment horizontal="center" vertical="center" wrapText="1"/>
    </xf>
    <xf numFmtId="174" fontId="4" fillId="0" borderId="1" xfId="5" applyNumberFormat="1" applyFont="1" applyBorder="1" applyAlignment="1">
      <alignment horizontal="center" vertical="center"/>
    </xf>
    <xf numFmtId="0" fontId="4" fillId="0" borderId="1" xfId="5" applyFont="1" applyBorder="1" applyAlignment="1">
      <alignment horizontal="center" vertical="center" wrapText="1"/>
    </xf>
    <xf numFmtId="173" fontId="4" fillId="0" borderId="1" xfId="5" applyNumberFormat="1" applyFont="1" applyBorder="1" applyAlignment="1">
      <alignment horizontal="center" vertical="center" wrapText="1"/>
    </xf>
    <xf numFmtId="0" fontId="6" fillId="0" borderId="0" xfId="5" applyFont="1" applyBorder="1" applyAlignment="1">
      <alignment horizontal="center" vertical="center" wrapText="1"/>
    </xf>
    <xf numFmtId="0" fontId="8" fillId="0" borderId="7" xfId="5" applyFont="1" applyBorder="1" applyAlignment="1">
      <alignment horizontal="center"/>
    </xf>
    <xf numFmtId="0" fontId="0" fillId="3" borderId="0" xfId="0" applyFont="1" applyFill="1" applyBorder="1" applyAlignment="1">
      <alignment horizontal="center" wrapText="1"/>
    </xf>
    <xf numFmtId="0" fontId="0" fillId="4" borderId="5" xfId="0" applyFont="1" applyFill="1" applyBorder="1" applyAlignment="1">
      <alignment horizontal="center"/>
    </xf>
  </cellXfs>
  <cellStyles count="6">
    <cellStyle name="Hipervínculo" xfId="4" builtinId="8"/>
    <cellStyle name="Millares" xfId="1" builtinId="3"/>
    <cellStyle name="Moneda" xfId="2" builtinId="4"/>
    <cellStyle name="Normal" xfId="0" builtinId="0"/>
    <cellStyle name="Porcentaje" xfId="3" builtinId="5"/>
    <cellStyle name="Texto explicativo" xfId="5" builtinId="53" customBuiltin="1"/>
  </cellStyles>
  <dxfs count="66"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border diagonalUp="0" diagonalDown="0">
        <left/>
        <right/>
        <top/>
        <bottom style="thin">
          <color auto="1"/>
        </bottom>
      </border>
    </dxf>
    <dxf>
      <fill>
        <patternFill>
          <bgColor rgb="FFDCE6F2"/>
        </patternFill>
      </fill>
    </dxf>
    <dxf>
      <fill>
        <patternFill>
          <bgColor rgb="FFDCE6F2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CE1"/>
      <rgbColor rgb="FFDCE6F2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5"/>
  <sheetViews>
    <sheetView topLeftCell="A34" zoomScaleNormal="100" workbookViewId="0">
      <selection activeCell="D58" sqref="D58"/>
    </sheetView>
  </sheetViews>
  <sheetFormatPr baseColWidth="10" defaultColWidth="9.109375" defaultRowHeight="13.2" x14ac:dyDescent="0.25"/>
  <cols>
    <col min="1" max="1" width="4.6640625" customWidth="1"/>
    <col min="2" max="2" width="37.5546875" customWidth="1"/>
    <col min="3" max="3" width="11.44140625" customWidth="1"/>
    <col min="4" max="4" width="13.33203125" customWidth="1"/>
    <col min="5" max="5" width="10.6640625" customWidth="1"/>
    <col min="6" max="6" width="12.5546875" customWidth="1"/>
    <col min="7" max="8" width="10.6640625" customWidth="1"/>
    <col min="9" max="9" width="5.33203125" customWidth="1"/>
    <col min="10" max="1025" width="10.6640625" customWidth="1"/>
  </cols>
  <sheetData>
    <row r="1" spans="1:12" x14ac:dyDescent="0.25">
      <c r="A1" s="1" t="s">
        <v>0</v>
      </c>
      <c r="B1" s="1"/>
      <c r="C1" s="1"/>
      <c r="D1" s="1"/>
      <c r="E1" s="1"/>
      <c r="F1" s="2" t="s">
        <v>1</v>
      </c>
      <c r="G1" s="1"/>
      <c r="H1" s="1"/>
      <c r="I1" s="1" t="s">
        <v>2</v>
      </c>
      <c r="J1" s="1" t="s">
        <v>3</v>
      </c>
    </row>
    <row r="2" spans="1:12" x14ac:dyDescent="0.25">
      <c r="B2" t="s">
        <v>5</v>
      </c>
      <c r="C2" s="196">
        <v>6.8781999999999996</v>
      </c>
      <c r="I2">
        <v>0</v>
      </c>
      <c r="J2" s="3">
        <v>0</v>
      </c>
    </row>
    <row r="3" spans="1:12" x14ac:dyDescent="0.25">
      <c r="B3" t="s">
        <v>6</v>
      </c>
      <c r="C3" s="4">
        <v>0.15</v>
      </c>
      <c r="I3">
        <v>1</v>
      </c>
      <c r="J3" s="3">
        <v>0.15</v>
      </c>
    </row>
    <row r="4" spans="1:12" x14ac:dyDescent="0.25">
      <c r="B4" t="s">
        <v>7</v>
      </c>
      <c r="C4" s="4">
        <v>0.35</v>
      </c>
      <c r="D4" s="5">
        <f>INT(('Escala Docente'!H142*0.35*100)+0.51)/100</f>
        <v>3076.62</v>
      </c>
      <c r="E4" s="6">
        <f>(INT(D4/15*100)/100)+0.01</f>
        <v>205.10999999999999</v>
      </c>
      <c r="F4" s="6"/>
      <c r="G4" s="6"/>
      <c r="H4" s="6"/>
      <c r="I4">
        <v>2</v>
      </c>
      <c r="J4" s="3">
        <v>0.15</v>
      </c>
    </row>
    <row r="5" spans="1:12" x14ac:dyDescent="0.25">
      <c r="A5" s="197" t="s">
        <v>664</v>
      </c>
      <c r="B5" s="197"/>
      <c r="C5" s="198"/>
      <c r="D5" s="197"/>
      <c r="E5" s="197"/>
      <c r="F5" s="197"/>
      <c r="G5" s="197"/>
      <c r="I5">
        <v>3</v>
      </c>
      <c r="J5" s="3">
        <v>0.15</v>
      </c>
    </row>
    <row r="6" spans="1:12" x14ac:dyDescent="0.25">
      <c r="B6" t="s">
        <v>9</v>
      </c>
      <c r="C6" s="4">
        <v>0</v>
      </c>
      <c r="D6" s="4"/>
      <c r="I6">
        <v>4</v>
      </c>
      <c r="J6" s="3">
        <v>0.15</v>
      </c>
    </row>
    <row r="7" spans="1:12" x14ac:dyDescent="0.25">
      <c r="B7" t="s">
        <v>10</v>
      </c>
      <c r="C7" s="4">
        <v>0</v>
      </c>
      <c r="D7" s="4"/>
      <c r="I7">
        <v>5</v>
      </c>
      <c r="J7" s="3">
        <v>0.3</v>
      </c>
      <c r="L7" s="7"/>
    </row>
    <row r="8" spans="1:12" x14ac:dyDescent="0.25">
      <c r="B8" t="s">
        <v>11</v>
      </c>
      <c r="C8" s="4">
        <v>0</v>
      </c>
      <c r="D8" s="4"/>
      <c r="I8">
        <v>6</v>
      </c>
      <c r="J8" s="3">
        <v>0.3</v>
      </c>
    </row>
    <row r="9" spans="1:12" x14ac:dyDescent="0.25">
      <c r="B9" t="s">
        <v>12</v>
      </c>
      <c r="C9" s="4">
        <v>0</v>
      </c>
      <c r="D9" s="4"/>
      <c r="I9">
        <v>7</v>
      </c>
      <c r="J9" s="3">
        <v>0.4</v>
      </c>
    </row>
    <row r="10" spans="1:12" x14ac:dyDescent="0.25">
      <c r="B10" t="s">
        <v>13</v>
      </c>
      <c r="C10" s="4">
        <v>0</v>
      </c>
      <c r="D10" s="4"/>
      <c r="I10">
        <v>8</v>
      </c>
      <c r="J10" s="3">
        <v>0.4</v>
      </c>
    </row>
    <row r="11" spans="1:12" x14ac:dyDescent="0.25">
      <c r="B11" t="s">
        <v>14</v>
      </c>
      <c r="C11" s="8">
        <v>0</v>
      </c>
      <c r="D11" s="4"/>
      <c r="F11" s="6">
        <f>C9</f>
        <v>0</v>
      </c>
      <c r="I11">
        <v>9</v>
      </c>
      <c r="J11" s="3">
        <v>0.4</v>
      </c>
    </row>
    <row r="12" spans="1:12" x14ac:dyDescent="0.25">
      <c r="B12" s="2" t="s">
        <v>15</v>
      </c>
      <c r="C12" s="9">
        <v>0</v>
      </c>
      <c r="D12" s="4"/>
      <c r="I12">
        <v>10</v>
      </c>
      <c r="J12" s="3">
        <v>0.5</v>
      </c>
    </row>
    <row r="13" spans="1:12" x14ac:dyDescent="0.25">
      <c r="A13" s="197" t="s">
        <v>664</v>
      </c>
      <c r="B13" s="197"/>
      <c r="C13" s="198"/>
      <c r="D13" s="197"/>
      <c r="E13" s="197"/>
      <c r="F13" s="197"/>
      <c r="G13" s="197"/>
      <c r="I13">
        <v>11</v>
      </c>
      <c r="J13" s="3">
        <v>0.5</v>
      </c>
    </row>
    <row r="14" spans="1:12" x14ac:dyDescent="0.25">
      <c r="B14" t="s">
        <v>16</v>
      </c>
      <c r="C14" s="11">
        <v>166.13</v>
      </c>
      <c r="D14" s="10"/>
      <c r="I14">
        <v>12</v>
      </c>
      <c r="J14" s="3">
        <v>0.6</v>
      </c>
    </row>
    <row r="15" spans="1:12" x14ac:dyDescent="0.25">
      <c r="B15" s="2" t="s">
        <v>17</v>
      </c>
      <c r="C15" s="11">
        <v>4424.9399999999996</v>
      </c>
      <c r="D15" s="6"/>
      <c r="E15" s="8"/>
      <c r="F15" s="194"/>
      <c r="I15">
        <v>13</v>
      </c>
      <c r="J15" s="3">
        <v>0.6</v>
      </c>
    </row>
    <row r="16" spans="1:12" x14ac:dyDescent="0.25">
      <c r="B16" s="2" t="s">
        <v>18</v>
      </c>
      <c r="C16" s="4">
        <v>4450.7</v>
      </c>
      <c r="D16" s="6"/>
      <c r="E16" s="8"/>
      <c r="F16" s="194"/>
      <c r="I16">
        <v>14</v>
      </c>
      <c r="J16" s="3">
        <v>0.6</v>
      </c>
    </row>
    <row r="17" spans="1:13" x14ac:dyDescent="0.25">
      <c r="B17" s="2" t="s">
        <v>19</v>
      </c>
      <c r="C17" s="4">
        <v>4579.4399999999996</v>
      </c>
      <c r="D17" s="6"/>
      <c r="E17" s="8"/>
      <c r="F17" s="194"/>
      <c r="G17" s="6"/>
      <c r="H17" s="6"/>
      <c r="I17">
        <v>15</v>
      </c>
      <c r="J17" s="3">
        <v>0.7</v>
      </c>
    </row>
    <row r="18" spans="1:13" x14ac:dyDescent="0.25">
      <c r="B18" t="s">
        <v>20</v>
      </c>
      <c r="C18" s="4">
        <v>8155.5</v>
      </c>
      <c r="D18" s="6"/>
      <c r="E18" s="8"/>
      <c r="F18" s="194"/>
      <c r="I18">
        <v>16</v>
      </c>
      <c r="J18" s="3">
        <v>0.7</v>
      </c>
    </row>
    <row r="19" spans="1:13" x14ac:dyDescent="0.25">
      <c r="A19" s="2"/>
      <c r="B19" s="2" t="s">
        <v>21</v>
      </c>
      <c r="C19" s="4">
        <v>4643.83</v>
      </c>
      <c r="D19" s="6"/>
      <c r="E19" s="8"/>
      <c r="F19" s="194"/>
      <c r="G19" s="6"/>
      <c r="H19" s="6"/>
      <c r="I19">
        <v>17</v>
      </c>
      <c r="J19" s="3">
        <v>0.8</v>
      </c>
    </row>
    <row r="20" spans="1:13" x14ac:dyDescent="0.25">
      <c r="B20" s="2" t="s">
        <v>22</v>
      </c>
      <c r="C20" s="11">
        <v>4231.82</v>
      </c>
      <c r="D20" s="6"/>
      <c r="E20" s="8"/>
      <c r="F20" s="194"/>
      <c r="G20" s="6"/>
      <c r="H20" s="6"/>
      <c r="I20">
        <v>18</v>
      </c>
      <c r="J20" s="3">
        <v>0.8</v>
      </c>
    </row>
    <row r="21" spans="1:13" x14ac:dyDescent="0.25">
      <c r="A21" s="197" t="s">
        <v>664</v>
      </c>
      <c r="B21" s="197"/>
      <c r="C21" s="198"/>
      <c r="D21" s="197"/>
      <c r="E21" s="197"/>
      <c r="F21" s="197"/>
      <c r="G21" s="197"/>
      <c r="H21" s="6"/>
      <c r="I21">
        <v>19</v>
      </c>
      <c r="J21" s="3">
        <v>0.8</v>
      </c>
    </row>
    <row r="22" spans="1:13" x14ac:dyDescent="0.25">
      <c r="B22" t="s">
        <v>23</v>
      </c>
      <c r="C22" s="4">
        <v>58.58</v>
      </c>
      <c r="D22" s="6"/>
      <c r="E22" s="6"/>
      <c r="F22" s="6"/>
      <c r="G22" s="6"/>
      <c r="H22" s="6"/>
      <c r="I22">
        <v>20</v>
      </c>
      <c r="J22" s="3">
        <v>1</v>
      </c>
    </row>
    <row r="23" spans="1:13" x14ac:dyDescent="0.25">
      <c r="A23" s="195"/>
      <c r="B23" t="s">
        <v>24</v>
      </c>
      <c r="C23" s="4">
        <v>2840.79</v>
      </c>
      <c r="E23" s="6"/>
      <c r="F23" s="6"/>
      <c r="G23" s="6"/>
      <c r="H23" s="6"/>
      <c r="I23">
        <v>21</v>
      </c>
      <c r="J23" s="3">
        <v>1</v>
      </c>
    </row>
    <row r="24" spans="1:13" x14ac:dyDescent="0.25">
      <c r="B24" t="s">
        <v>25</v>
      </c>
      <c r="C24" s="4">
        <v>2802.13</v>
      </c>
      <c r="E24" s="6"/>
      <c r="F24" s="6"/>
      <c r="G24" s="6"/>
      <c r="H24" s="6"/>
      <c r="I24">
        <v>22</v>
      </c>
      <c r="J24" s="3">
        <v>1.1000000000000001</v>
      </c>
    </row>
    <row r="25" spans="1:13" x14ac:dyDescent="0.25">
      <c r="A25" s="197" t="s">
        <v>664</v>
      </c>
      <c r="B25" s="197"/>
      <c r="C25" s="198"/>
      <c r="D25" s="197"/>
      <c r="E25" s="197"/>
      <c r="F25" s="197"/>
      <c r="G25" s="197"/>
      <c r="H25" s="6"/>
      <c r="I25">
        <v>23</v>
      </c>
      <c r="J25" s="3">
        <v>1.1000000000000001</v>
      </c>
    </row>
    <row r="26" spans="1:13" x14ac:dyDescent="0.25">
      <c r="A26" s="195"/>
      <c r="B26" s="2" t="s">
        <v>26</v>
      </c>
      <c r="C26" s="4">
        <v>3208.72</v>
      </c>
      <c r="D26" s="10"/>
      <c r="I26">
        <v>24</v>
      </c>
      <c r="J26" s="3">
        <v>1.2</v>
      </c>
    </row>
    <row r="27" spans="1:13" x14ac:dyDescent="0.25">
      <c r="A27" s="195"/>
      <c r="B27" s="2" t="s">
        <v>27</v>
      </c>
      <c r="C27" s="4">
        <v>2957.66</v>
      </c>
      <c r="D27" s="10"/>
      <c r="I27">
        <v>25</v>
      </c>
      <c r="J27" s="3">
        <v>1.2</v>
      </c>
    </row>
    <row r="28" spans="1:13" x14ac:dyDescent="0.25">
      <c r="A28" s="197" t="s">
        <v>664</v>
      </c>
      <c r="B28" s="197"/>
      <c r="C28" s="198"/>
      <c r="D28" s="197"/>
      <c r="E28" s="197"/>
      <c r="F28" s="197"/>
      <c r="G28" s="197"/>
      <c r="I28">
        <v>26</v>
      </c>
      <c r="J28" s="3">
        <v>1.3</v>
      </c>
    </row>
    <row r="29" spans="1:13" x14ac:dyDescent="0.25">
      <c r="A29" s="2"/>
      <c r="B29" s="2" t="s">
        <v>28</v>
      </c>
      <c r="C29" s="11">
        <v>166.15</v>
      </c>
      <c r="F29" s="11">
        <f>+C29*1.5</f>
        <v>249.22500000000002</v>
      </c>
      <c r="I29">
        <v>27</v>
      </c>
      <c r="J29" s="3">
        <v>1.3</v>
      </c>
    </row>
    <row r="30" spans="1:13" x14ac:dyDescent="0.25">
      <c r="A30" s="2"/>
      <c r="B30" s="2" t="s">
        <v>29</v>
      </c>
      <c r="C30" s="11">
        <v>166.15</v>
      </c>
      <c r="D30" s="6"/>
      <c r="F30" s="11">
        <f>C30</f>
        <v>166.15</v>
      </c>
      <c r="I30">
        <v>28</v>
      </c>
      <c r="J30" s="3">
        <v>1.4</v>
      </c>
    </row>
    <row r="31" spans="1:13" x14ac:dyDescent="0.25">
      <c r="A31" s="197" t="s">
        <v>664</v>
      </c>
      <c r="B31" s="197"/>
      <c r="C31" s="198"/>
      <c r="D31" s="197"/>
      <c r="E31" s="197"/>
      <c r="F31" s="197"/>
      <c r="G31" s="197"/>
      <c r="I31">
        <v>29</v>
      </c>
      <c r="J31" s="3">
        <v>1.4</v>
      </c>
    </row>
    <row r="32" spans="1:13" x14ac:dyDescent="0.25">
      <c r="B32" t="s">
        <v>30</v>
      </c>
      <c r="C32" s="4">
        <v>6.66</v>
      </c>
      <c r="F32" s="11">
        <f>F29</f>
        <v>249.22500000000002</v>
      </c>
      <c r="I32">
        <v>30</v>
      </c>
      <c r="J32" s="3">
        <v>1.5</v>
      </c>
      <c r="M32" s="10"/>
    </row>
    <row r="33" spans="1:13" x14ac:dyDescent="0.25">
      <c r="B33" t="s">
        <v>31</v>
      </c>
      <c r="C33" s="4">
        <v>5.54</v>
      </c>
      <c r="F33" s="11">
        <f>F30</f>
        <v>166.15</v>
      </c>
      <c r="I33">
        <v>31</v>
      </c>
      <c r="J33" s="3">
        <v>1.5</v>
      </c>
    </row>
    <row r="34" spans="1:13" x14ac:dyDescent="0.25">
      <c r="A34" s="197" t="s">
        <v>664</v>
      </c>
      <c r="B34" s="197"/>
      <c r="C34" s="198"/>
      <c r="D34" s="197"/>
      <c r="E34" s="197"/>
      <c r="F34" s="197"/>
      <c r="G34" s="197"/>
      <c r="I34">
        <v>32</v>
      </c>
      <c r="J34" s="3">
        <v>1.5</v>
      </c>
      <c r="M34" s="10"/>
    </row>
    <row r="35" spans="1:13" x14ac:dyDescent="0.25">
      <c r="A35" s="2"/>
      <c r="B35" s="2" t="s">
        <v>32</v>
      </c>
      <c r="C35" s="4">
        <v>666.25</v>
      </c>
      <c r="D35" s="6">
        <f>C35/C36</f>
        <v>14.9988743809095</v>
      </c>
      <c r="E35" s="6"/>
      <c r="F35" s="6">
        <v>364.14</v>
      </c>
      <c r="G35" s="6"/>
      <c r="H35" s="6"/>
      <c r="I35">
        <v>33</v>
      </c>
      <c r="J35" s="3">
        <v>1.5</v>
      </c>
    </row>
    <row r="36" spans="1:13" x14ac:dyDescent="0.25">
      <c r="A36" s="2"/>
      <c r="B36" s="2" t="s">
        <v>33</v>
      </c>
      <c r="C36" s="4">
        <v>44.42</v>
      </c>
      <c r="D36" s="10"/>
      <c r="E36" s="6"/>
      <c r="F36" s="6">
        <f>C35*2</f>
        <v>1332.5</v>
      </c>
      <c r="G36" s="6"/>
      <c r="H36" s="6"/>
      <c r="I36">
        <v>34</v>
      </c>
      <c r="J36" s="3">
        <v>1.5</v>
      </c>
    </row>
    <row r="37" spans="1:13" x14ac:dyDescent="0.25">
      <c r="A37" s="197" t="s">
        <v>664</v>
      </c>
      <c r="B37" s="197"/>
      <c r="C37" s="198"/>
      <c r="D37" s="197"/>
      <c r="E37" s="197"/>
      <c r="F37" s="197"/>
      <c r="G37" s="197"/>
      <c r="H37" s="6"/>
      <c r="I37">
        <v>35</v>
      </c>
      <c r="J37" s="3">
        <v>1.5</v>
      </c>
    </row>
    <row r="38" spans="1:13" x14ac:dyDescent="0.25">
      <c r="B38" t="s">
        <v>34</v>
      </c>
      <c r="C38" s="4">
        <v>5000</v>
      </c>
      <c r="D38" s="6">
        <v>332</v>
      </c>
      <c r="E38" s="6"/>
      <c r="F38" s="6"/>
      <c r="G38" s="6"/>
      <c r="H38" s="6"/>
      <c r="I38">
        <v>36</v>
      </c>
      <c r="J38" s="3">
        <v>1.5</v>
      </c>
    </row>
    <row r="39" spans="1:13" x14ac:dyDescent="0.25">
      <c r="A39" s="197" t="s">
        <v>664</v>
      </c>
      <c r="B39" s="197"/>
      <c r="C39" s="198"/>
      <c r="D39" s="197"/>
      <c r="E39" s="197"/>
      <c r="F39" s="197"/>
      <c r="G39" s="197"/>
      <c r="H39" s="6"/>
      <c r="I39">
        <v>39</v>
      </c>
      <c r="J39" s="3">
        <v>1.5</v>
      </c>
    </row>
    <row r="40" spans="1:13" x14ac:dyDescent="0.25">
      <c r="B40" s="2" t="s">
        <v>35</v>
      </c>
      <c r="C40" s="11">
        <v>953.84</v>
      </c>
      <c r="D40" s="4"/>
      <c r="E40" s="6"/>
      <c r="F40" s="6"/>
      <c r="G40" s="6"/>
      <c r="H40" s="6"/>
      <c r="I40">
        <v>40</v>
      </c>
      <c r="J40" s="3">
        <v>1.5</v>
      </c>
    </row>
    <row r="41" spans="1:13" x14ac:dyDescent="0.25">
      <c r="B41" s="2" t="s">
        <v>36</v>
      </c>
      <c r="C41" s="4">
        <v>1112.8399999999999</v>
      </c>
      <c r="D41" s="4"/>
      <c r="E41" s="6"/>
      <c r="F41" s="6"/>
      <c r="G41" s="6"/>
      <c r="H41" s="6"/>
      <c r="I41">
        <v>41</v>
      </c>
      <c r="J41" s="3">
        <v>1.5</v>
      </c>
    </row>
    <row r="42" spans="1:13" x14ac:dyDescent="0.25">
      <c r="B42" s="2" t="s">
        <v>37</v>
      </c>
      <c r="C42" s="4">
        <v>1271.83</v>
      </c>
      <c r="D42" s="4"/>
      <c r="I42">
        <v>42</v>
      </c>
      <c r="J42" s="3">
        <v>1.5</v>
      </c>
    </row>
    <row r="43" spans="1:13" x14ac:dyDescent="0.25">
      <c r="A43" s="2"/>
      <c r="B43" s="2" t="s">
        <v>38</v>
      </c>
      <c r="C43" s="4">
        <v>1907.73</v>
      </c>
      <c r="D43" s="4"/>
      <c r="I43">
        <v>43</v>
      </c>
      <c r="J43" s="3">
        <v>1.5</v>
      </c>
    </row>
    <row r="44" spans="1:13" x14ac:dyDescent="0.25">
      <c r="B44" t="s">
        <v>39</v>
      </c>
      <c r="C44" s="4">
        <f>D44*0.25*1.2904</f>
        <v>0</v>
      </c>
      <c r="D44" s="4"/>
      <c r="E44" s="6"/>
      <c r="F44" s="6"/>
      <c r="G44" s="6"/>
      <c r="H44" s="6"/>
      <c r="I44">
        <v>44</v>
      </c>
      <c r="J44" s="3">
        <v>1.5</v>
      </c>
    </row>
    <row r="45" spans="1:13" x14ac:dyDescent="0.25">
      <c r="B45" s="2" t="s">
        <v>40</v>
      </c>
      <c r="C45" s="8">
        <v>53.01</v>
      </c>
      <c r="D45" s="4"/>
      <c r="I45">
        <v>45</v>
      </c>
      <c r="J45" s="3">
        <v>1.5</v>
      </c>
    </row>
    <row r="46" spans="1:13" x14ac:dyDescent="0.25">
      <c r="B46" s="2" t="s">
        <v>41</v>
      </c>
      <c r="C46" s="8">
        <v>127.16</v>
      </c>
      <c r="I46">
        <v>46</v>
      </c>
      <c r="J46" s="3">
        <v>1.5</v>
      </c>
    </row>
    <row r="47" spans="1:13" x14ac:dyDescent="0.25">
      <c r="A47" s="197" t="s">
        <v>664</v>
      </c>
      <c r="B47" s="197"/>
      <c r="C47" s="198"/>
      <c r="D47" s="197"/>
      <c r="E47" s="197"/>
      <c r="F47" s="197"/>
      <c r="G47" s="197"/>
      <c r="I47">
        <v>47</v>
      </c>
      <c r="J47" s="3">
        <v>1.5</v>
      </c>
    </row>
    <row r="48" spans="1:13" x14ac:dyDescent="0.25">
      <c r="B48" s="2" t="s">
        <v>42</v>
      </c>
      <c r="C48" s="8">
        <f>INT((D48/15*100)+0.49)/100</f>
        <v>80.67</v>
      </c>
      <c r="D48">
        <f>D49</f>
        <v>1210</v>
      </c>
      <c r="F48">
        <v>1210</v>
      </c>
      <c r="I48">
        <v>48</v>
      </c>
      <c r="J48" s="3">
        <v>1.5</v>
      </c>
      <c r="L48">
        <f>267.87+5.37</f>
        <v>273.24</v>
      </c>
    </row>
    <row r="49" spans="1:10" x14ac:dyDescent="0.25">
      <c r="B49" s="2" t="s">
        <v>43</v>
      </c>
      <c r="C49" s="8">
        <v>1210</v>
      </c>
      <c r="D49">
        <v>1210</v>
      </c>
      <c r="I49">
        <v>49</v>
      </c>
      <c r="J49" s="3">
        <v>1.5</v>
      </c>
    </row>
    <row r="50" spans="1:10" ht="12" customHeight="1" x14ac:dyDescent="0.25">
      <c r="B50" s="2" t="s">
        <v>44</v>
      </c>
      <c r="C50" s="11">
        <v>283.24</v>
      </c>
      <c r="I50">
        <v>50</v>
      </c>
      <c r="J50" s="3">
        <v>1.5</v>
      </c>
    </row>
    <row r="51" spans="1:10" x14ac:dyDescent="0.25">
      <c r="B51" s="2" t="s">
        <v>45</v>
      </c>
      <c r="C51" s="11">
        <v>141.62</v>
      </c>
      <c r="I51">
        <v>51</v>
      </c>
      <c r="J51" s="3">
        <v>1.5</v>
      </c>
    </row>
    <row r="52" spans="1:10" x14ac:dyDescent="0.25">
      <c r="B52" s="2" t="s">
        <v>46</v>
      </c>
      <c r="C52" s="8">
        <f>C50</f>
        <v>283.24</v>
      </c>
      <c r="I52">
        <v>52</v>
      </c>
      <c r="J52" s="3">
        <v>1.5</v>
      </c>
    </row>
    <row r="53" spans="1:10" x14ac:dyDescent="0.25">
      <c r="B53" s="2" t="s">
        <v>47</v>
      </c>
      <c r="C53" s="8">
        <v>129.32</v>
      </c>
      <c r="I53">
        <v>53</v>
      </c>
      <c r="J53" s="3">
        <v>1.5</v>
      </c>
    </row>
    <row r="54" spans="1:10" x14ac:dyDescent="0.25">
      <c r="B54" s="2" t="s">
        <v>48</v>
      </c>
      <c r="C54" s="8">
        <v>123.97</v>
      </c>
    </row>
    <row r="55" spans="1:10" x14ac:dyDescent="0.25">
      <c r="B55" s="2" t="s">
        <v>49</v>
      </c>
      <c r="C55" s="8">
        <v>225.12</v>
      </c>
    </row>
    <row r="56" spans="1:10" x14ac:dyDescent="0.25">
      <c r="B56" s="2" t="s">
        <v>50</v>
      </c>
      <c r="C56" s="8">
        <v>11.8</v>
      </c>
      <c r="E56">
        <f>F56/C56</f>
        <v>24.003389830508475</v>
      </c>
      <c r="F56" s="6">
        <f>C50</f>
        <v>283.24</v>
      </c>
    </row>
    <row r="57" spans="1:10" x14ac:dyDescent="0.25">
      <c r="B57" s="2" t="s">
        <v>51</v>
      </c>
      <c r="C57" s="8">
        <v>9.44</v>
      </c>
      <c r="E57">
        <f>F57/C57</f>
        <v>30.004237288135595</v>
      </c>
      <c r="F57" s="6">
        <f>C50</f>
        <v>283.24</v>
      </c>
    </row>
    <row r="58" spans="1:10" x14ac:dyDescent="0.25">
      <c r="A58" s="195"/>
      <c r="B58" s="2" t="s">
        <v>52</v>
      </c>
      <c r="C58" s="11">
        <v>337.97</v>
      </c>
      <c r="D58" s="3">
        <v>22.53</v>
      </c>
      <c r="E58">
        <v>38.47</v>
      </c>
      <c r="F58">
        <f>+C58*2</f>
        <v>675.94</v>
      </c>
    </row>
    <row r="59" spans="1:10" x14ac:dyDescent="0.25">
      <c r="B59" s="2" t="s">
        <v>53</v>
      </c>
      <c r="C59" s="11">
        <v>45.06</v>
      </c>
      <c r="D59" s="3"/>
    </row>
    <row r="60" spans="1:10" x14ac:dyDescent="0.25">
      <c r="A60" s="195"/>
      <c r="B60" s="2" t="s">
        <v>54</v>
      </c>
      <c r="C60" s="11">
        <v>96.56</v>
      </c>
      <c r="D60" s="11">
        <v>6.44</v>
      </c>
      <c r="E60">
        <v>10.99</v>
      </c>
      <c r="F60">
        <f>+C60*2</f>
        <v>193.12</v>
      </c>
    </row>
    <row r="61" spans="1:10" x14ac:dyDescent="0.25">
      <c r="B61" s="2" t="s">
        <v>55</v>
      </c>
      <c r="C61" s="3">
        <v>12.87</v>
      </c>
    </row>
    <row r="62" spans="1:10" x14ac:dyDescent="0.25">
      <c r="A62" s="197" t="s">
        <v>664</v>
      </c>
      <c r="B62" s="197"/>
      <c r="C62" s="198"/>
      <c r="D62" s="197"/>
      <c r="E62" s="197"/>
      <c r="F62" s="197"/>
      <c r="G62" s="197"/>
    </row>
    <row r="63" spans="1:10" x14ac:dyDescent="0.25">
      <c r="B63" s="2" t="s">
        <v>56</v>
      </c>
      <c r="C63" s="12">
        <v>0</v>
      </c>
      <c r="D63" s="13"/>
    </row>
    <row r="64" spans="1:10" x14ac:dyDescent="0.25">
      <c r="A64" s="197" t="s">
        <v>664</v>
      </c>
      <c r="B64" s="197"/>
      <c r="C64" s="198"/>
      <c r="D64" s="197"/>
      <c r="E64" s="197"/>
      <c r="F64" s="197"/>
      <c r="G64" s="197"/>
    </row>
    <row r="65" spans="1:7" x14ac:dyDescent="0.25">
      <c r="B65" t="s">
        <v>57</v>
      </c>
      <c r="C65" s="14">
        <v>0.13</v>
      </c>
    </row>
    <row r="66" spans="1:7" x14ac:dyDescent="0.25">
      <c r="B66" t="s">
        <v>58</v>
      </c>
      <c r="C66" s="14">
        <v>5.0000000000000001E-3</v>
      </c>
    </row>
    <row r="67" spans="1:7" x14ac:dyDescent="0.25">
      <c r="B67" t="s">
        <v>59</v>
      </c>
      <c r="C67" s="14">
        <v>4.4999999999999998E-2</v>
      </c>
    </row>
    <row r="68" spans="1:7" x14ac:dyDescent="0.25">
      <c r="B68" t="s">
        <v>60</v>
      </c>
      <c r="C68" s="14">
        <v>2.7E-2</v>
      </c>
    </row>
    <row r="69" spans="1:7" x14ac:dyDescent="0.25">
      <c r="B69" t="s">
        <v>61</v>
      </c>
      <c r="C69" s="14">
        <v>3.0000000000000001E-3</v>
      </c>
    </row>
    <row r="70" spans="1:7" x14ac:dyDescent="0.25">
      <c r="A70" s="197" t="s">
        <v>664</v>
      </c>
      <c r="B70" s="197"/>
      <c r="C70" s="198"/>
      <c r="D70" s="197"/>
      <c r="E70" s="197"/>
      <c r="F70" s="197"/>
      <c r="G70" s="197"/>
    </row>
    <row r="71" spans="1:7" x14ac:dyDescent="0.25">
      <c r="B71" t="s">
        <v>62</v>
      </c>
      <c r="C71" s="14">
        <v>0.16</v>
      </c>
    </row>
    <row r="72" spans="1:7" x14ac:dyDescent="0.25">
      <c r="B72" t="s">
        <v>63</v>
      </c>
      <c r="C72" s="14">
        <v>4.4999999999999998E-2</v>
      </c>
    </row>
    <row r="73" spans="1:7" x14ac:dyDescent="0.25">
      <c r="B73" t="s">
        <v>64</v>
      </c>
      <c r="C73" s="14">
        <v>0.01</v>
      </c>
    </row>
    <row r="74" spans="1:7" x14ac:dyDescent="0.25">
      <c r="A74" s="197" t="s">
        <v>664</v>
      </c>
      <c r="B74" s="197"/>
      <c r="C74" s="198"/>
      <c r="D74" s="197"/>
      <c r="E74" s="197"/>
      <c r="F74" s="197"/>
      <c r="G74" s="197"/>
    </row>
    <row r="75" spans="1:7" x14ac:dyDescent="0.25">
      <c r="B75" t="s">
        <v>65</v>
      </c>
      <c r="C75" s="14">
        <v>3.5000000000000003E-2</v>
      </c>
    </row>
    <row r="76" spans="1:7" x14ac:dyDescent="0.25">
      <c r="B76" t="s">
        <v>66</v>
      </c>
      <c r="C76" s="14">
        <v>6.0000000000000001E-3</v>
      </c>
    </row>
    <row r="77" spans="1:7" x14ac:dyDescent="0.25">
      <c r="B77" t="s">
        <v>67</v>
      </c>
      <c r="C77" s="14">
        <v>5.3999999999999999E-2</v>
      </c>
    </row>
    <row r="78" spans="1:7" x14ac:dyDescent="0.25">
      <c r="A78" s="197" t="s">
        <v>664</v>
      </c>
      <c r="B78" s="197"/>
      <c r="C78" s="198"/>
      <c r="D78" s="197"/>
      <c r="E78" s="197"/>
      <c r="F78" s="197"/>
      <c r="G78" s="197"/>
    </row>
    <row r="79" spans="1:7" x14ac:dyDescent="0.25">
      <c r="B79" t="s">
        <v>68</v>
      </c>
      <c r="C79" s="4">
        <v>0.5</v>
      </c>
    </row>
    <row r="80" spans="1:7" x14ac:dyDescent="0.25">
      <c r="A80" s="197" t="s">
        <v>664</v>
      </c>
      <c r="B80" s="197"/>
      <c r="C80" s="198"/>
      <c r="D80" s="197"/>
      <c r="E80" s="197"/>
      <c r="F80" s="197"/>
      <c r="G80" s="197"/>
    </row>
    <row r="81" spans="1:3" x14ac:dyDescent="0.25">
      <c r="A81" s="195"/>
      <c r="B81" s="195" t="s">
        <v>657</v>
      </c>
      <c r="C81" s="11">
        <v>1500</v>
      </c>
    </row>
    <row r="82" spans="1:3" x14ac:dyDescent="0.25">
      <c r="B82" s="195" t="s">
        <v>658</v>
      </c>
      <c r="C82" s="11">
        <v>1800</v>
      </c>
    </row>
    <row r="83" spans="1:3" x14ac:dyDescent="0.25">
      <c r="B83" s="195" t="s">
        <v>659</v>
      </c>
      <c r="C83" s="11">
        <v>3000</v>
      </c>
    </row>
    <row r="84" spans="1:3" x14ac:dyDescent="0.25">
      <c r="B84" s="195" t="s">
        <v>660</v>
      </c>
      <c r="C84" s="11">
        <v>75</v>
      </c>
    </row>
    <row r="85" spans="1:3" x14ac:dyDescent="0.25">
      <c r="B85" s="195" t="s">
        <v>661</v>
      </c>
      <c r="C85" s="11">
        <f>C84*2</f>
        <v>150</v>
      </c>
    </row>
  </sheetData>
  <autoFilter ref="A1:J85"/>
  <pageMargins left="0.25" right="0.25" top="0.75" bottom="0.75" header="0.51180555555555496" footer="0.51180555555555496"/>
  <pageSetup paperSize="9" scale="98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9"/>
  <sheetViews>
    <sheetView showGridLines="0" tabSelected="1" zoomScale="130" zoomScaleNormal="130" workbookViewId="0">
      <pane xSplit="6" ySplit="6" topLeftCell="G227" activePane="bottomRight" state="frozen"/>
      <selection pane="topRight" activeCell="U1" sqref="U1"/>
      <selection pane="bottomLeft" activeCell="A69" sqref="A69"/>
      <selection pane="bottomRight" activeCell="C1" sqref="C1:AM1"/>
    </sheetView>
  </sheetViews>
  <sheetFormatPr baseColWidth="10" defaultColWidth="9.109375" defaultRowHeight="13.2" x14ac:dyDescent="0.25"/>
  <cols>
    <col min="1" max="1" width="6.5546875" style="15" hidden="1" customWidth="1"/>
    <col min="2" max="2" width="8.6640625" style="15" hidden="1" customWidth="1"/>
    <col min="3" max="3" width="4.6640625" style="16" customWidth="1"/>
    <col min="4" max="5" width="3.6640625" style="16" hidden="1" customWidth="1"/>
    <col min="6" max="6" width="28.44140625" style="16" customWidth="1"/>
    <col min="7" max="7" width="4.88671875" style="17" hidden="1" customWidth="1"/>
    <col min="8" max="8" width="7.5546875" style="18" customWidth="1"/>
    <col min="9" max="9" width="8.33203125" style="19" hidden="1" customWidth="1"/>
    <col min="10" max="10" width="7.33203125" style="20" customWidth="1"/>
    <col min="11" max="11" width="5.33203125" style="21" hidden="1" customWidth="1"/>
    <col min="12" max="12" width="7.33203125" style="22" customWidth="1"/>
    <col min="13" max="13" width="6.33203125" style="23" hidden="1" customWidth="1"/>
    <col min="14" max="14" width="6.6640625" style="22" customWidth="1"/>
    <col min="15" max="15" width="7.88671875" style="22" customWidth="1"/>
    <col min="16" max="16" width="8.44140625" style="22" customWidth="1"/>
    <col min="17" max="18" width="6.5546875" style="22" customWidth="1"/>
    <col min="19" max="19" width="7.109375" style="22" customWidth="1"/>
    <col min="20" max="20" width="7.6640625" style="22" customWidth="1"/>
    <col min="21" max="21" width="7" style="20" hidden="1" customWidth="1"/>
    <col min="22" max="22" width="7.109375" style="22" customWidth="1"/>
    <col min="23" max="23" width="7" style="22" customWidth="1"/>
    <col min="24" max="24" width="7.5546875" style="22" customWidth="1"/>
    <col min="25" max="25" width="4.33203125" style="24" hidden="1" customWidth="1"/>
    <col min="26" max="26" width="7.109375" style="22" customWidth="1"/>
    <col min="27" max="27" width="7.44140625" style="22" customWidth="1"/>
    <col min="28" max="28" width="6.109375" style="25" customWidth="1"/>
    <col min="29" max="29" width="7.109375" style="22" customWidth="1"/>
    <col min="30" max="30" width="6.33203125" style="22" customWidth="1"/>
    <col min="31" max="31" width="4.44140625" style="24" hidden="1" customWidth="1"/>
    <col min="32" max="32" width="6.33203125" style="22" customWidth="1"/>
    <col min="33" max="33" width="6" style="22" customWidth="1"/>
    <col min="34" max="34" width="6.33203125" style="22" customWidth="1"/>
    <col min="35" max="35" width="7.88671875" style="22" customWidth="1"/>
    <col min="36" max="36" width="6.44140625" style="22" customWidth="1"/>
    <col min="37" max="37" width="6.109375" style="25" hidden="1" customWidth="1"/>
    <col min="38" max="38" width="6.109375" style="25" customWidth="1"/>
    <col min="39" max="39" width="5.6640625" style="25" customWidth="1"/>
    <col min="40" max="40" width="7.33203125" style="22" customWidth="1"/>
    <col min="41" max="41" width="8.44140625" style="22" customWidth="1"/>
    <col min="42" max="42" width="6.6640625" style="22" customWidth="1"/>
    <col min="43" max="43" width="7.44140625" style="22" customWidth="1"/>
    <col min="44" max="44" width="7.88671875" style="22" customWidth="1"/>
    <col min="45" max="46" width="7.88671875" style="26" customWidth="1"/>
    <col min="47" max="52" width="7.109375" style="22" customWidth="1"/>
    <col min="53" max="53" width="7.109375" style="25" customWidth="1"/>
    <col min="54" max="54" width="5" style="15" customWidth="1"/>
    <col min="55" max="55" width="3.6640625" style="15" customWidth="1"/>
    <col min="56" max="56" width="3.44140625" style="27" customWidth="1"/>
    <col min="57" max="57" width="9.88671875" style="16" customWidth="1"/>
    <col min="58" max="1024" width="11.44140625" style="16" customWidth="1"/>
  </cols>
  <sheetData>
    <row r="1" spans="1:56" ht="50.25" customHeight="1" x14ac:dyDescent="0.25">
      <c r="C1" s="199" t="str">
        <f ca="1">MID(CELL("FILENAME",N33),FIND("[",CELL("FILENAME",N33))+1,FIND("]",CELL("FILENAME",N33))-FIND("[",CELL("FILENAME",N33))-1)</f>
        <v>Esc Doc 2019 04 Cba v1 1.xlsx</v>
      </c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28"/>
      <c r="AO1" s="28"/>
    </row>
    <row r="2" spans="1:56" ht="11.25" customHeight="1" x14ac:dyDescent="0.25">
      <c r="B2" s="29"/>
      <c r="C2" s="30" t="s">
        <v>69</v>
      </c>
      <c r="D2" s="30"/>
      <c r="E2" s="30"/>
      <c r="F2" s="30"/>
      <c r="H2" s="31">
        <v>0</v>
      </c>
      <c r="J2" s="193">
        <f>LOOKUP(H2,Valores!I:I,Valores!J:J)</f>
        <v>0</v>
      </c>
      <c r="O2" s="32">
        <v>0.15</v>
      </c>
      <c r="P2" s="33"/>
      <c r="AM2" s="200"/>
      <c r="BD2" s="34">
        <f>(((H139+U139)*1.15)+Q139+R139+S139+AB139+AD139)*0.05</f>
        <v>1048.6040250000001</v>
      </c>
    </row>
    <row r="3" spans="1:56" ht="11.25" customHeight="1" x14ac:dyDescent="0.3">
      <c r="B3" s="29"/>
      <c r="C3" s="30" t="s">
        <v>70</v>
      </c>
      <c r="D3" s="30"/>
      <c r="E3" s="30"/>
      <c r="F3" s="30"/>
      <c r="H3" s="31">
        <v>0</v>
      </c>
      <c r="I3" s="201" t="s">
        <v>71</v>
      </c>
      <c r="J3" s="201"/>
      <c r="K3" s="202">
        <f>Valores!C2</f>
        <v>6.8781999999999996</v>
      </c>
      <c r="L3" s="202"/>
      <c r="AM3" s="200"/>
      <c r="AN3" s="36" t="s">
        <v>4</v>
      </c>
      <c r="AO3" s="35"/>
      <c r="AP3" s="37">
        <f>Valores!C2</f>
        <v>6.8781999999999996</v>
      </c>
      <c r="AQ3" s="38"/>
      <c r="AR3" s="38"/>
      <c r="AS3" s="39"/>
      <c r="AT3" s="39"/>
      <c r="AU3" s="38"/>
      <c r="AV3" s="38"/>
      <c r="AW3" s="38"/>
      <c r="AX3" s="38"/>
      <c r="AY3" s="38"/>
      <c r="AZ3" s="38"/>
    </row>
    <row r="4" spans="1:56" ht="11.25" customHeight="1" x14ac:dyDescent="0.3">
      <c r="A4" s="40"/>
      <c r="B4" s="29"/>
      <c r="C4" s="30" t="s">
        <v>72</v>
      </c>
      <c r="D4" s="29"/>
      <c r="E4" s="29"/>
      <c r="F4" s="29"/>
      <c r="H4" s="41" t="s">
        <v>8</v>
      </c>
      <c r="AM4" s="41"/>
      <c r="AN4" s="36" t="s">
        <v>8</v>
      </c>
      <c r="AO4" s="35"/>
      <c r="AP4" s="38"/>
      <c r="AQ4" s="38"/>
      <c r="AR4" s="38"/>
      <c r="AS4" s="39"/>
      <c r="AT4" s="39"/>
      <c r="AU4" s="38"/>
      <c r="AV4" s="38"/>
      <c r="AW4" s="38"/>
      <c r="AX4" s="38"/>
      <c r="AY4" s="38"/>
      <c r="AZ4" s="38"/>
    </row>
    <row r="5" spans="1:56" ht="48" customHeight="1" x14ac:dyDescent="0.25">
      <c r="A5" s="42"/>
      <c r="B5" s="42"/>
      <c r="C5" s="43"/>
      <c r="F5" s="43"/>
      <c r="G5" s="203" t="s">
        <v>73</v>
      </c>
      <c r="H5" s="203"/>
      <c r="I5" s="204" t="s">
        <v>74</v>
      </c>
      <c r="J5" s="204"/>
      <c r="K5" s="205" t="s">
        <v>75</v>
      </c>
      <c r="L5" s="205"/>
      <c r="M5" s="206" t="s">
        <v>76</v>
      </c>
      <c r="N5" s="206"/>
      <c r="O5" s="44" t="s">
        <v>77</v>
      </c>
      <c r="P5" s="45" t="s">
        <v>78</v>
      </c>
      <c r="Q5" s="44" t="s">
        <v>79</v>
      </c>
      <c r="R5" s="44" t="s">
        <v>80</v>
      </c>
      <c r="S5" s="44" t="s">
        <v>81</v>
      </c>
      <c r="T5" s="44" t="s">
        <v>82</v>
      </c>
      <c r="U5" s="45" t="s">
        <v>83</v>
      </c>
      <c r="V5" s="44" t="s">
        <v>83</v>
      </c>
      <c r="W5" s="44" t="s">
        <v>84</v>
      </c>
      <c r="X5" s="44" t="s">
        <v>85</v>
      </c>
      <c r="Y5" s="207" t="s">
        <v>86</v>
      </c>
      <c r="Z5" s="207"/>
      <c r="AA5" s="44" t="s">
        <v>87</v>
      </c>
      <c r="AB5" s="46" t="s">
        <v>88</v>
      </c>
      <c r="AC5" s="44" t="s">
        <v>89</v>
      </c>
      <c r="AD5" s="44" t="s">
        <v>90</v>
      </c>
      <c r="AE5" s="206" t="s">
        <v>91</v>
      </c>
      <c r="AF5" s="206"/>
      <c r="AG5" s="44" t="s">
        <v>52</v>
      </c>
      <c r="AH5" s="44" t="s">
        <v>92</v>
      </c>
      <c r="AI5" s="47" t="s">
        <v>93</v>
      </c>
      <c r="AJ5" s="44" t="s">
        <v>94</v>
      </c>
      <c r="AK5" s="48" t="s">
        <v>95</v>
      </c>
      <c r="AL5" s="48" t="s">
        <v>662</v>
      </c>
      <c r="AM5" s="48" t="s">
        <v>96</v>
      </c>
      <c r="AN5" s="47" t="s">
        <v>97</v>
      </c>
      <c r="AO5" s="49" t="s">
        <v>98</v>
      </c>
      <c r="AP5" s="49" t="s">
        <v>99</v>
      </c>
      <c r="AQ5" s="49" t="s">
        <v>100</v>
      </c>
      <c r="AR5" s="49" t="s">
        <v>101</v>
      </c>
      <c r="AS5" s="49" t="s">
        <v>102</v>
      </c>
      <c r="AT5" s="47" t="s">
        <v>103</v>
      </c>
      <c r="AU5" s="47" t="s">
        <v>104</v>
      </c>
      <c r="AV5" s="49" t="s">
        <v>105</v>
      </c>
      <c r="AW5" s="49" t="s">
        <v>63</v>
      </c>
      <c r="AX5" s="49" t="s">
        <v>106</v>
      </c>
      <c r="AY5" s="49" t="s">
        <v>65</v>
      </c>
      <c r="AZ5" s="49" t="s">
        <v>66</v>
      </c>
      <c r="BA5" s="49" t="s">
        <v>67</v>
      </c>
      <c r="BB5" s="48" t="s">
        <v>107</v>
      </c>
      <c r="BC5" s="48" t="s">
        <v>108</v>
      </c>
      <c r="BD5" s="50" t="s">
        <v>109</v>
      </c>
    </row>
    <row r="6" spans="1:56" s="53" customFormat="1" ht="11.25" customHeight="1" x14ac:dyDescent="0.2">
      <c r="A6" s="51" t="s">
        <v>110</v>
      </c>
      <c r="B6" s="51"/>
      <c r="C6" s="52" t="s">
        <v>111</v>
      </c>
      <c r="F6" s="54" t="s">
        <v>112</v>
      </c>
      <c r="G6" s="55" t="s">
        <v>113</v>
      </c>
      <c r="H6" s="56" t="s">
        <v>114</v>
      </c>
      <c r="I6" s="57" t="s">
        <v>115</v>
      </c>
      <c r="J6" s="58" t="s">
        <v>116</v>
      </c>
      <c r="K6" s="59" t="s">
        <v>117</v>
      </c>
      <c r="L6" s="58" t="s">
        <v>118</v>
      </c>
      <c r="M6" s="60" t="s">
        <v>119</v>
      </c>
      <c r="N6" s="58" t="s">
        <v>120</v>
      </c>
      <c r="O6" s="54" t="s">
        <v>121</v>
      </c>
      <c r="P6" s="54" t="s">
        <v>122</v>
      </c>
      <c r="Q6" s="54" t="s">
        <v>123</v>
      </c>
      <c r="R6" s="54" t="s">
        <v>124</v>
      </c>
      <c r="S6" s="54" t="s">
        <v>125</v>
      </c>
      <c r="T6" s="54" t="s">
        <v>126</v>
      </c>
      <c r="U6" s="61" t="s">
        <v>127</v>
      </c>
      <c r="V6" s="54" t="s">
        <v>127</v>
      </c>
      <c r="W6" s="54" t="s">
        <v>128</v>
      </c>
      <c r="X6" s="54" t="s">
        <v>129</v>
      </c>
      <c r="Y6" s="62" t="s">
        <v>130</v>
      </c>
      <c r="Z6" s="58" t="s">
        <v>131</v>
      </c>
      <c r="AA6" s="54" t="s">
        <v>132</v>
      </c>
      <c r="AB6" s="63" t="s">
        <v>133</v>
      </c>
      <c r="AC6" s="63" t="s">
        <v>134</v>
      </c>
      <c r="AD6" s="54" t="s">
        <v>135</v>
      </c>
      <c r="AE6" s="62" t="s">
        <v>136</v>
      </c>
      <c r="AF6" s="58" t="s">
        <v>137</v>
      </c>
      <c r="AG6" s="54" t="s">
        <v>138</v>
      </c>
      <c r="AH6" s="54" t="s">
        <v>139</v>
      </c>
      <c r="AI6" s="64" t="s">
        <v>140</v>
      </c>
      <c r="AJ6" s="65" t="s">
        <v>663</v>
      </c>
      <c r="AK6" s="63" t="s">
        <v>141</v>
      </c>
      <c r="AL6" s="63"/>
      <c r="AM6" s="63" t="s">
        <v>142</v>
      </c>
      <c r="AN6" s="66" t="s">
        <v>143</v>
      </c>
      <c r="AO6" s="67" t="s">
        <v>144</v>
      </c>
      <c r="AP6" s="67" t="s">
        <v>145</v>
      </c>
      <c r="AQ6" s="54" t="s">
        <v>146</v>
      </c>
      <c r="AR6" s="54" t="s">
        <v>147</v>
      </c>
      <c r="AS6" s="54" t="s">
        <v>148</v>
      </c>
      <c r="AT6" s="68"/>
      <c r="AU6" s="68"/>
      <c r="AV6" s="54" t="s">
        <v>149</v>
      </c>
      <c r="AW6" s="54" t="s">
        <v>150</v>
      </c>
      <c r="AX6" s="54" t="s">
        <v>151</v>
      </c>
      <c r="AY6" s="54" t="s">
        <v>152</v>
      </c>
      <c r="AZ6" s="54" t="s">
        <v>153</v>
      </c>
      <c r="BA6" s="54" t="s">
        <v>154</v>
      </c>
      <c r="BB6" s="69"/>
      <c r="BC6" s="69"/>
      <c r="BD6" s="70"/>
    </row>
    <row r="7" spans="1:56" s="27" customFormat="1" ht="11.25" customHeight="1" x14ac:dyDescent="0.2">
      <c r="A7" s="51">
        <v>6</v>
      </c>
      <c r="B7" s="51"/>
      <c r="C7" s="27" t="s">
        <v>155</v>
      </c>
      <c r="E7" s="27">
        <f t="shared" ref="E7:E70" si="0">LEN(F7)</f>
        <v>19</v>
      </c>
      <c r="F7" s="71" t="s">
        <v>156</v>
      </c>
      <c r="G7" s="72">
        <v>107</v>
      </c>
      <c r="H7" s="73">
        <f>INT((G7*Valores!$C$2*100)+0.5)/100</f>
        <v>735.97</v>
      </c>
      <c r="I7" s="74">
        <v>3779</v>
      </c>
      <c r="J7" s="75">
        <f>INT((I7*Valores!$C$2*100)+0.5)/100</f>
        <v>25992.720000000001</v>
      </c>
      <c r="K7" s="76">
        <v>219</v>
      </c>
      <c r="L7" s="75">
        <f>INT((K7*Valores!$C$2*100)+0.5)/100</f>
        <v>1506.33</v>
      </c>
      <c r="M7" s="72">
        <v>0</v>
      </c>
      <c r="N7" s="75">
        <f>INT((M7*Valores!$C$2*100)+0.5)/100</f>
        <v>0</v>
      </c>
      <c r="O7" s="75">
        <f t="shared" ref="O7:O70" si="1">IF($J$2=0,IF(C7&lt;&gt;"13-930",(SUM(H7,J7,L7,N7,Z7,U7,T7)*$O$2),0),0)</f>
        <v>4521.4125000000004</v>
      </c>
      <c r="P7" s="75">
        <f t="shared" ref="P7:P70" si="2">SUM(H7,J7,L7,N7,Z7,T7)*$J$2</f>
        <v>0</v>
      </c>
      <c r="Q7" s="77">
        <f>Valores!$C$16</f>
        <v>4450.7</v>
      </c>
      <c r="R7" s="77">
        <f>Valores!$D$4</f>
        <v>3076.62</v>
      </c>
      <c r="S7" s="75">
        <v>0</v>
      </c>
      <c r="T7" s="78">
        <f>Valores!$C$43</f>
        <v>1907.73</v>
      </c>
      <c r="U7" s="75">
        <v>0</v>
      </c>
      <c r="V7" s="75">
        <f t="shared" ref="V7:V44" si="3">U7*(1+$J$2)</f>
        <v>0</v>
      </c>
      <c r="W7" s="77">
        <f>SUM(H7,J7,L7)</f>
        <v>28235.020000000004</v>
      </c>
      <c r="X7" s="77">
        <f>INT((SUM(H7,J7,L7)*0.4*100)+0.49)/100</f>
        <v>11294.01</v>
      </c>
      <c r="Y7" s="79">
        <v>0</v>
      </c>
      <c r="Z7" s="75">
        <f>Y7*Valores!$C$2</f>
        <v>0</v>
      </c>
      <c r="AA7" s="75">
        <v>0</v>
      </c>
      <c r="AB7" s="80">
        <f>Valores!$C$29</f>
        <v>166.15</v>
      </c>
      <c r="AC7" s="75">
        <f>SUM(H7,J7,L7,Z7,T7)*$H$3/100</f>
        <v>0</v>
      </c>
      <c r="AD7" s="75">
        <f>Valores!$C$30</f>
        <v>166.15</v>
      </c>
      <c r="AE7" s="79">
        <v>0</v>
      </c>
      <c r="AF7" s="75">
        <f>AE7*Valores!$C$2</f>
        <v>0</v>
      </c>
      <c r="AG7" s="75">
        <f>Valores!$C$58</f>
        <v>337.97</v>
      </c>
      <c r="AH7" s="75">
        <f>Valores!$C$60</f>
        <v>96.56</v>
      </c>
      <c r="AI7" s="81">
        <f>SUM(H7,J7,L7,N7,O7,P7,Q7,R7,S7,V7,W7,X7,Z7,AA7,AB7,AC7,AD7,AF7,T7,AG7,AH7)</f>
        <v>82487.342499999984</v>
      </c>
      <c r="AJ7" s="77">
        <f>Valores!$C$35</f>
        <v>666.25</v>
      </c>
      <c r="AK7" s="78">
        <f>Valores!$C$9</f>
        <v>0</v>
      </c>
      <c r="AL7" s="78">
        <f>Valores!$C$81</f>
        <v>1500</v>
      </c>
      <c r="AM7" s="80">
        <f>Valores!$C$50</f>
        <v>283.24</v>
      </c>
      <c r="AN7" s="82">
        <f>IF($H$4="SI",SUM(AJ7:AL7,AM7),SUM(AJ7:AL7))</f>
        <v>2166.25</v>
      </c>
      <c r="AO7" s="83">
        <f>AI7*-Valores!$C$65</f>
        <v>-10723.354524999999</v>
      </c>
      <c r="AP7" s="61">
        <f>AI7*-Valores!$C$66</f>
        <v>-412.43671249999994</v>
      </c>
      <c r="AQ7" s="77">
        <f>AI7*-Valores!$C$67</f>
        <v>-3711.930412499999</v>
      </c>
      <c r="AR7" s="77">
        <f>AI7*-Valores!$C$68</f>
        <v>-2227.1582474999996</v>
      </c>
      <c r="AS7" s="77">
        <f>AI7*-Valores!$C$69</f>
        <v>-247.46202749999995</v>
      </c>
      <c r="AT7" s="81">
        <f t="shared" ref="AT7:AT70" si="4">AI7+AN7+AP7+AQ7+AO7</f>
        <v>69805.870849999978</v>
      </c>
      <c r="AU7" s="81">
        <f t="shared" ref="AU7:AU70" si="5">AI7+AN7+AP7+AR7+AO7+AS7</f>
        <v>71043.180987499974</v>
      </c>
      <c r="AV7" s="77">
        <f>AI7*Valores!$C$71</f>
        <v>13197.974799999998</v>
      </c>
      <c r="AW7" s="77">
        <f>AI7*Valores!$C$72</f>
        <v>3711.930412499999</v>
      </c>
      <c r="AX7" s="77">
        <f>AI7*Valores!$C$73</f>
        <v>824.87342499999988</v>
      </c>
      <c r="AY7" s="77">
        <f>AI7*Valores!$C$75</f>
        <v>2887.0569874999997</v>
      </c>
      <c r="AZ7" s="77">
        <f>AI7*Valores!$C$76</f>
        <v>494.9240549999999</v>
      </c>
      <c r="BA7" s="77">
        <f>AI7*5.4/100</f>
        <v>4454.3164949999991</v>
      </c>
      <c r="BB7" s="51">
        <v>33</v>
      </c>
      <c r="BC7" s="51">
        <v>45</v>
      </c>
      <c r="BD7" s="27" t="s">
        <v>8</v>
      </c>
    </row>
    <row r="8" spans="1:56" s="27" customFormat="1" ht="11.25" customHeight="1" x14ac:dyDescent="0.2">
      <c r="A8" s="51">
        <v>7</v>
      </c>
      <c r="B8" s="51"/>
      <c r="C8" s="27" t="s">
        <v>157</v>
      </c>
      <c r="E8" s="27">
        <f t="shared" si="0"/>
        <v>20</v>
      </c>
      <c r="F8" s="71" t="s">
        <v>158</v>
      </c>
      <c r="G8" s="72">
        <v>107</v>
      </c>
      <c r="H8" s="73">
        <f>INT((G8*Valores!$C$2*100)+0.5)/100</f>
        <v>735.97</v>
      </c>
      <c r="I8" s="74">
        <v>3779</v>
      </c>
      <c r="J8" s="75">
        <f>INT((I8*Valores!$C$2*100)+0.5)/100</f>
        <v>25992.720000000001</v>
      </c>
      <c r="K8" s="76">
        <v>219</v>
      </c>
      <c r="L8" s="75">
        <f>INT((K8*Valores!$C$2*100)+0.5)/100</f>
        <v>1506.33</v>
      </c>
      <c r="M8" s="72">
        <v>0</v>
      </c>
      <c r="N8" s="75">
        <f>INT((M8*Valores!$C$2*100)+0.5)/100</f>
        <v>0</v>
      </c>
      <c r="O8" s="75">
        <f t="shared" si="1"/>
        <v>4521.4125000000004</v>
      </c>
      <c r="P8" s="75">
        <f t="shared" si="2"/>
        <v>0</v>
      </c>
      <c r="Q8" s="77">
        <f>Valores!$C$16</f>
        <v>4450.7</v>
      </c>
      <c r="R8" s="77">
        <f>Valores!$D$4</f>
        <v>3076.62</v>
      </c>
      <c r="S8" s="75">
        <v>0</v>
      </c>
      <c r="T8" s="78">
        <f>Valores!$C$43</f>
        <v>1907.73</v>
      </c>
      <c r="U8" s="75">
        <v>0</v>
      </c>
      <c r="V8" s="75">
        <f t="shared" si="3"/>
        <v>0</v>
      </c>
      <c r="W8" s="77">
        <f>SUM(H8,J8,L8)</f>
        <v>28235.020000000004</v>
      </c>
      <c r="X8" s="77">
        <f>INT((SUM(H8,J8,L8)*0.4*100)+0.49)/100</f>
        <v>11294.01</v>
      </c>
      <c r="Y8" s="79">
        <v>0</v>
      </c>
      <c r="Z8" s="75">
        <f>Y8*Valores!$C$2</f>
        <v>0</v>
      </c>
      <c r="AA8" s="75">
        <v>0</v>
      </c>
      <c r="AB8" s="80">
        <f>Valores!$C$29</f>
        <v>166.15</v>
      </c>
      <c r="AC8" s="75">
        <f t="shared" ref="AC8:AC71" si="6">SUM(H8,J8,L8,Z8,T8)*$H$3/100</f>
        <v>0</v>
      </c>
      <c r="AD8" s="75">
        <f>Valores!$C$30</f>
        <v>166.15</v>
      </c>
      <c r="AE8" s="79">
        <v>0</v>
      </c>
      <c r="AF8" s="75">
        <f>INT(((AE8*Valores!$C$2)*100)+0.5)/100</f>
        <v>0</v>
      </c>
      <c r="AG8" s="75">
        <f>Valores!$C$58</f>
        <v>337.97</v>
      </c>
      <c r="AH8" s="75">
        <f>Valores!$C$60</f>
        <v>96.56</v>
      </c>
      <c r="AI8" s="81">
        <f t="shared" ref="AI8:AI71" si="7">SUM(H8,J8,L8,N8,O8,P8,Q8,R8,S8,V8,W8,X8,Z8,AA8,AB8,AC8,AD8,AF8,T8,AG8,AH8)</f>
        <v>82487.342499999984</v>
      </c>
      <c r="AJ8" s="77">
        <f>Valores!$C$35</f>
        <v>666.25</v>
      </c>
      <c r="AK8" s="78">
        <f>Valores!$C$9</f>
        <v>0</v>
      </c>
      <c r="AL8" s="78">
        <f>Valores!$C$81</f>
        <v>1500</v>
      </c>
      <c r="AM8" s="80">
        <f>Valores!$C$50</f>
        <v>283.24</v>
      </c>
      <c r="AN8" s="82">
        <f t="shared" ref="AN8:AN71" si="8">IF($H$4="SI",SUM(AJ8:AL8,AM8),SUM(AJ8:AL8))</f>
        <v>2166.25</v>
      </c>
      <c r="AO8" s="83">
        <f>AI8*-Valores!$C$65</f>
        <v>-10723.354524999999</v>
      </c>
      <c r="AP8" s="83">
        <f>AI8*-Valores!$C$66</f>
        <v>-412.43671249999994</v>
      </c>
      <c r="AQ8" s="77">
        <f>AI8*-Valores!$C$67</f>
        <v>-3711.930412499999</v>
      </c>
      <c r="AR8" s="77">
        <f>AI8*-Valores!$C$68</f>
        <v>-2227.1582474999996</v>
      </c>
      <c r="AS8" s="77">
        <f>AI8*-Valores!$C$69</f>
        <v>-247.46202749999995</v>
      </c>
      <c r="AT8" s="81">
        <f t="shared" si="4"/>
        <v>69805.870849999978</v>
      </c>
      <c r="AU8" s="81">
        <f t="shared" si="5"/>
        <v>71043.180987499974</v>
      </c>
      <c r="AV8" s="77">
        <f>AI8*Valores!$C$71</f>
        <v>13197.974799999998</v>
      </c>
      <c r="AW8" s="77">
        <f>AI8*Valores!$C$72</f>
        <v>3711.930412499999</v>
      </c>
      <c r="AX8" s="77">
        <f>AI8*Valores!$C$73</f>
        <v>824.87342499999988</v>
      </c>
      <c r="AY8" s="77">
        <f>AI8*Valores!$C$75</f>
        <v>2887.0569874999997</v>
      </c>
      <c r="AZ8" s="77">
        <f>AI8*Valores!$C$76</f>
        <v>494.9240549999999</v>
      </c>
      <c r="BA8" s="77">
        <f>AI8*Valores!$C$77</f>
        <v>4454.3164949999991</v>
      </c>
      <c r="BB8" s="51">
        <v>33</v>
      </c>
      <c r="BC8" s="51">
        <v>45</v>
      </c>
      <c r="BD8" s="27" t="s">
        <v>8</v>
      </c>
    </row>
    <row r="9" spans="1:56" s="27" customFormat="1" ht="11.25" customHeight="1" x14ac:dyDescent="0.2">
      <c r="A9" s="51">
        <v>8</v>
      </c>
      <c r="B9" s="51"/>
      <c r="C9" s="27" t="s">
        <v>159</v>
      </c>
      <c r="E9" s="27">
        <f t="shared" si="0"/>
        <v>14</v>
      </c>
      <c r="F9" s="71" t="s">
        <v>160</v>
      </c>
      <c r="G9" s="72">
        <v>107</v>
      </c>
      <c r="H9" s="84">
        <f>INT((G9*Valores!$C$2*100)+0.5)/100</f>
        <v>735.97</v>
      </c>
      <c r="I9" s="74">
        <v>3720</v>
      </c>
      <c r="J9" s="75">
        <f>INT((I9*Valores!$C$2*100)+0.5)/100</f>
        <v>25586.9</v>
      </c>
      <c r="K9" s="76">
        <v>1226</v>
      </c>
      <c r="L9" s="75">
        <f>INT((K9*Valores!$C$2*100)+0.5)/100</f>
        <v>8432.67</v>
      </c>
      <c r="M9" s="72">
        <v>0</v>
      </c>
      <c r="N9" s="75">
        <f>INT((M9*Valores!$C$2*100)+0.5)/100</f>
        <v>0</v>
      </c>
      <c r="O9" s="75">
        <f t="shared" si="1"/>
        <v>5925.6090000000004</v>
      </c>
      <c r="P9" s="75">
        <f t="shared" si="2"/>
        <v>0</v>
      </c>
      <c r="Q9" s="77">
        <f>Valores!$C$19</f>
        <v>4643.83</v>
      </c>
      <c r="R9" s="77">
        <f>Valores!$D$4</f>
        <v>3076.62</v>
      </c>
      <c r="S9" s="75">
        <v>0</v>
      </c>
      <c r="T9" s="78">
        <f>Valores!$C$43</f>
        <v>1907.73</v>
      </c>
      <c r="U9" s="75">
        <f>Valores!$C$23</f>
        <v>2840.79</v>
      </c>
      <c r="V9" s="75">
        <f t="shared" si="3"/>
        <v>2840.79</v>
      </c>
      <c r="W9" s="75">
        <v>0</v>
      </c>
      <c r="X9" s="75">
        <v>0</v>
      </c>
      <c r="Y9" s="79">
        <v>0</v>
      </c>
      <c r="Z9" s="75">
        <f>Y9*Valores!$C$2</f>
        <v>0</v>
      </c>
      <c r="AA9" s="75">
        <v>0</v>
      </c>
      <c r="AB9" s="80">
        <f>Valores!$C$29</f>
        <v>166.15</v>
      </c>
      <c r="AC9" s="75">
        <f t="shared" si="6"/>
        <v>0</v>
      </c>
      <c r="AD9" s="75">
        <f>Valores!$C$30</f>
        <v>166.15</v>
      </c>
      <c r="AE9" s="79">
        <v>0</v>
      </c>
      <c r="AF9" s="75">
        <f>INT(((AE9*Valores!$C$2)*100)+0.5)/100</f>
        <v>0</v>
      </c>
      <c r="AG9" s="75">
        <f>Valores!$C$58</f>
        <v>337.97</v>
      </c>
      <c r="AH9" s="75">
        <f>Valores!$C$60</f>
        <v>96.56</v>
      </c>
      <c r="AI9" s="81">
        <f t="shared" si="7"/>
        <v>53916.949000000015</v>
      </c>
      <c r="AJ9" s="77">
        <f>Valores!$C$35</f>
        <v>666.25</v>
      </c>
      <c r="AK9" s="78">
        <f>Valores!$C$9</f>
        <v>0</v>
      </c>
      <c r="AL9" s="78">
        <f>Valores!$C$81</f>
        <v>1500</v>
      </c>
      <c r="AM9" s="80">
        <f>Valores!$C$50</f>
        <v>283.24</v>
      </c>
      <c r="AN9" s="82">
        <f t="shared" si="8"/>
        <v>2166.25</v>
      </c>
      <c r="AO9" s="83">
        <f>AI9*-Valores!$C$65</f>
        <v>-7009.203370000002</v>
      </c>
      <c r="AP9" s="83">
        <f>AI9*-Valores!$C$66</f>
        <v>-269.58474500000005</v>
      </c>
      <c r="AQ9" s="77">
        <f>AI9*-Valores!$C$67</f>
        <v>-2426.2627050000006</v>
      </c>
      <c r="AR9" s="77">
        <f>AI9*-Valores!$C$68</f>
        <v>-1455.7576230000004</v>
      </c>
      <c r="AS9" s="77">
        <f>AI9*-Valores!$C$69</f>
        <v>-161.75084700000005</v>
      </c>
      <c r="AT9" s="81">
        <f t="shared" si="4"/>
        <v>46378.148180000011</v>
      </c>
      <c r="AU9" s="81">
        <f t="shared" si="5"/>
        <v>47186.902415000011</v>
      </c>
      <c r="AV9" s="77">
        <f>AI9*Valores!$C$71</f>
        <v>8626.7118400000018</v>
      </c>
      <c r="AW9" s="77">
        <f>AI9*Valores!$C$72</f>
        <v>2426.2627050000006</v>
      </c>
      <c r="AX9" s="77">
        <f>AI9*Valores!$C$73</f>
        <v>539.16949000000011</v>
      </c>
      <c r="AY9" s="77">
        <f>AI9*Valores!$C$75</f>
        <v>1887.0932150000008</v>
      </c>
      <c r="AZ9" s="77">
        <f>AI9*Valores!$C$76</f>
        <v>323.5016940000001</v>
      </c>
      <c r="BA9" s="77">
        <f t="shared" ref="BA9:BA72" si="9">AI9*5.4/100</f>
        <v>2911.5152460000013</v>
      </c>
      <c r="BB9" s="51">
        <v>35</v>
      </c>
      <c r="BC9" s="51">
        <v>45</v>
      </c>
      <c r="BD9" s="27" t="s">
        <v>4</v>
      </c>
    </row>
    <row r="10" spans="1:56" s="27" customFormat="1" ht="11.25" customHeight="1" x14ac:dyDescent="0.2">
      <c r="A10" s="51">
        <v>9</v>
      </c>
      <c r="B10" s="51"/>
      <c r="C10" s="27" t="s">
        <v>161</v>
      </c>
      <c r="E10" s="27">
        <f t="shared" si="0"/>
        <v>17</v>
      </c>
      <c r="F10" s="71" t="s">
        <v>162</v>
      </c>
      <c r="G10" s="72">
        <v>107</v>
      </c>
      <c r="H10" s="73">
        <f>INT((G10*Valores!$C$2*100)+0.5)/100</f>
        <v>735.97</v>
      </c>
      <c r="I10" s="74">
        <v>3779</v>
      </c>
      <c r="J10" s="75">
        <f>INT((I10*Valores!$C$2*100)+0.5)/100</f>
        <v>25992.720000000001</v>
      </c>
      <c r="K10" s="76">
        <v>219</v>
      </c>
      <c r="L10" s="75">
        <f>INT((K10*Valores!$C$2*100)+0.5)/100</f>
        <v>1506.33</v>
      </c>
      <c r="M10" s="72">
        <v>0</v>
      </c>
      <c r="N10" s="75">
        <f>INT((M10*Valores!$C$2*100)+0.5)/100</f>
        <v>0</v>
      </c>
      <c r="O10" s="75">
        <f t="shared" si="1"/>
        <v>4521.4125000000004</v>
      </c>
      <c r="P10" s="75">
        <f t="shared" si="2"/>
        <v>0</v>
      </c>
      <c r="Q10" s="77">
        <f>Valores!$C$16</f>
        <v>4450.7</v>
      </c>
      <c r="R10" s="77">
        <f>Valores!$D$4</f>
        <v>3076.62</v>
      </c>
      <c r="S10" s="75">
        <v>0</v>
      </c>
      <c r="T10" s="78">
        <f>Valores!$C$43</f>
        <v>1907.73</v>
      </c>
      <c r="U10" s="75">
        <v>0</v>
      </c>
      <c r="V10" s="75">
        <f t="shared" si="3"/>
        <v>0</v>
      </c>
      <c r="W10" s="77">
        <f t="shared" ref="W10:W19" si="10">SUM(H10,J10,L10)</f>
        <v>28235.020000000004</v>
      </c>
      <c r="X10" s="77">
        <f t="shared" ref="X10:X19" si="11">INT((SUM(H10,J10,L10)*0.4*100)+0.49)/100</f>
        <v>11294.01</v>
      </c>
      <c r="Y10" s="79">
        <v>0</v>
      </c>
      <c r="Z10" s="75">
        <f>Y10*Valores!$C$2</f>
        <v>0</v>
      </c>
      <c r="AA10" s="75">
        <v>0</v>
      </c>
      <c r="AB10" s="80">
        <f>Valores!$C$29</f>
        <v>166.15</v>
      </c>
      <c r="AC10" s="75">
        <f t="shared" si="6"/>
        <v>0</v>
      </c>
      <c r="AD10" s="75">
        <f>Valores!$C$30</f>
        <v>166.15</v>
      </c>
      <c r="AE10" s="79">
        <v>0</v>
      </c>
      <c r="AF10" s="75">
        <f>INT(((AE10*Valores!$C$2)*100)+0.5)/100</f>
        <v>0</v>
      </c>
      <c r="AG10" s="75">
        <f>Valores!$C$58</f>
        <v>337.97</v>
      </c>
      <c r="AH10" s="75">
        <f>Valores!$C$60</f>
        <v>96.56</v>
      </c>
      <c r="AI10" s="81">
        <f t="shared" si="7"/>
        <v>82487.342499999984</v>
      </c>
      <c r="AJ10" s="77">
        <f>Valores!$C$35</f>
        <v>666.25</v>
      </c>
      <c r="AK10" s="78">
        <f>Valores!$C$9</f>
        <v>0</v>
      </c>
      <c r="AL10" s="78">
        <f>Valores!$C$81</f>
        <v>1500</v>
      </c>
      <c r="AM10" s="80">
        <f>Valores!$C$50</f>
        <v>283.24</v>
      </c>
      <c r="AN10" s="82">
        <f t="shared" si="8"/>
        <v>2166.25</v>
      </c>
      <c r="AO10" s="83">
        <f>AI10*-Valores!$C$65</f>
        <v>-10723.354524999999</v>
      </c>
      <c r="AP10" s="83">
        <f>AI10*-Valores!$C$66</f>
        <v>-412.43671249999994</v>
      </c>
      <c r="AQ10" s="77">
        <f>AI10*-Valores!$C$67</f>
        <v>-3711.930412499999</v>
      </c>
      <c r="AR10" s="77">
        <f>AI10*-Valores!$C$68</f>
        <v>-2227.1582474999996</v>
      </c>
      <c r="AS10" s="77">
        <f>AI10*-Valores!$C$69</f>
        <v>-247.46202749999995</v>
      </c>
      <c r="AT10" s="81">
        <f t="shared" si="4"/>
        <v>69805.870849999978</v>
      </c>
      <c r="AU10" s="81">
        <f t="shared" si="5"/>
        <v>71043.180987499974</v>
      </c>
      <c r="AV10" s="77">
        <f>AI10*Valores!$C$71</f>
        <v>13197.974799999998</v>
      </c>
      <c r="AW10" s="77">
        <f>AI10*Valores!$C$72</f>
        <v>3711.930412499999</v>
      </c>
      <c r="AX10" s="77">
        <f>AI10*Valores!$C$73</f>
        <v>824.87342499999988</v>
      </c>
      <c r="AY10" s="77">
        <f>AI10*Valores!$C$75</f>
        <v>2887.0569874999997</v>
      </c>
      <c r="AZ10" s="77">
        <f>AI10*Valores!$C$76</f>
        <v>494.9240549999999</v>
      </c>
      <c r="BA10" s="77">
        <f t="shared" si="9"/>
        <v>4454.3164949999991</v>
      </c>
      <c r="BB10" s="51">
        <v>33</v>
      </c>
      <c r="BC10" s="51">
        <v>45</v>
      </c>
      <c r="BD10" s="27" t="s">
        <v>8</v>
      </c>
    </row>
    <row r="11" spans="1:56" s="27" customFormat="1" ht="11.25" customHeight="1" x14ac:dyDescent="0.2">
      <c r="A11" s="85">
        <v>10</v>
      </c>
      <c r="B11" s="85" t="s">
        <v>163</v>
      </c>
      <c r="C11" s="86" t="s">
        <v>164</v>
      </c>
      <c r="D11" s="86"/>
      <c r="E11" s="86">
        <f t="shared" si="0"/>
        <v>17</v>
      </c>
      <c r="F11" s="87" t="s">
        <v>165</v>
      </c>
      <c r="G11" s="88">
        <v>107</v>
      </c>
      <c r="H11" s="89">
        <f>INT((G11*Valores!$C$2*100)+0.5)/100</f>
        <v>735.97</v>
      </c>
      <c r="I11" s="90">
        <v>3779</v>
      </c>
      <c r="J11" s="91">
        <f>INT((I11*Valores!$C$2*100)+0.5)/100</f>
        <v>25992.720000000001</v>
      </c>
      <c r="K11" s="92">
        <v>219</v>
      </c>
      <c r="L11" s="91">
        <f>INT((K11*Valores!$C$2*100)+0.5)/100</f>
        <v>1506.33</v>
      </c>
      <c r="M11" s="88">
        <v>0</v>
      </c>
      <c r="N11" s="91">
        <f>INT((M11*Valores!$C$2*100)+0.5)/100</f>
        <v>0</v>
      </c>
      <c r="O11" s="91">
        <f t="shared" si="1"/>
        <v>4521.4125000000004</v>
      </c>
      <c r="P11" s="91">
        <f t="shared" si="2"/>
        <v>0</v>
      </c>
      <c r="Q11" s="93">
        <f>Valores!$C$16</f>
        <v>4450.7</v>
      </c>
      <c r="R11" s="93">
        <f>Valores!$D$4</f>
        <v>3076.62</v>
      </c>
      <c r="S11" s="91">
        <v>0</v>
      </c>
      <c r="T11" s="94">
        <f>Valores!$C$43</f>
        <v>1907.73</v>
      </c>
      <c r="U11" s="91">
        <v>0</v>
      </c>
      <c r="V11" s="91">
        <f t="shared" si="3"/>
        <v>0</v>
      </c>
      <c r="W11" s="93">
        <f t="shared" si="10"/>
        <v>28235.020000000004</v>
      </c>
      <c r="X11" s="93">
        <f t="shared" si="11"/>
        <v>11294.01</v>
      </c>
      <c r="Y11" s="95">
        <v>0</v>
      </c>
      <c r="Z11" s="91">
        <f>Y11*Valores!$C$2</f>
        <v>0</v>
      </c>
      <c r="AA11" s="91">
        <v>0</v>
      </c>
      <c r="AB11" s="96">
        <f>Valores!$C$29</f>
        <v>166.15</v>
      </c>
      <c r="AC11" s="91">
        <f t="shared" si="6"/>
        <v>0</v>
      </c>
      <c r="AD11" s="91">
        <f>Valores!$C$30</f>
        <v>166.15</v>
      </c>
      <c r="AE11" s="95">
        <v>0</v>
      </c>
      <c r="AF11" s="91">
        <f>INT(((AE11*Valores!$C$2)*100)+0.5)/100</f>
        <v>0</v>
      </c>
      <c r="AG11" s="91">
        <f>Valores!$C$58</f>
        <v>337.97</v>
      </c>
      <c r="AH11" s="91">
        <f>Valores!$C$60</f>
        <v>96.56</v>
      </c>
      <c r="AI11" s="97">
        <f t="shared" si="7"/>
        <v>82487.342499999984</v>
      </c>
      <c r="AJ11" s="93">
        <f>Valores!$C$35</f>
        <v>666.25</v>
      </c>
      <c r="AK11" s="94">
        <f>Valores!$C$9</f>
        <v>0</v>
      </c>
      <c r="AL11" s="94">
        <f>Valores!$C$81</f>
        <v>1500</v>
      </c>
      <c r="AM11" s="96">
        <f>Valores!$C$50</f>
        <v>283.24</v>
      </c>
      <c r="AN11" s="98">
        <f t="shared" si="8"/>
        <v>2166.25</v>
      </c>
      <c r="AO11" s="99">
        <f>AI11*-Valores!$C$65</f>
        <v>-10723.354524999999</v>
      </c>
      <c r="AP11" s="99">
        <f>AI11*-Valores!$C$66</f>
        <v>-412.43671249999994</v>
      </c>
      <c r="AQ11" s="93">
        <f>AI11*-Valores!$C$67</f>
        <v>-3711.930412499999</v>
      </c>
      <c r="AR11" s="93">
        <f>AI11*-Valores!$C$68</f>
        <v>-2227.1582474999996</v>
      </c>
      <c r="AS11" s="93">
        <f>AI11*-Valores!$C$69</f>
        <v>-247.46202749999995</v>
      </c>
      <c r="AT11" s="97">
        <f t="shared" si="4"/>
        <v>69805.870849999978</v>
      </c>
      <c r="AU11" s="97">
        <f t="shared" si="5"/>
        <v>71043.180987499974</v>
      </c>
      <c r="AV11" s="93">
        <f>AI11*Valores!$C$71</f>
        <v>13197.974799999998</v>
      </c>
      <c r="AW11" s="93">
        <f>AI11*Valores!$C$72</f>
        <v>3711.930412499999</v>
      </c>
      <c r="AX11" s="93">
        <f>AI11*Valores!$C$73</f>
        <v>824.87342499999988</v>
      </c>
      <c r="AY11" s="93">
        <f>AI11*Valores!$C$75</f>
        <v>2887.0569874999997</v>
      </c>
      <c r="AZ11" s="93">
        <f>AI11*Valores!$C$76</f>
        <v>494.9240549999999</v>
      </c>
      <c r="BA11" s="93">
        <f t="shared" si="9"/>
        <v>4454.3164949999991</v>
      </c>
      <c r="BB11" s="85">
        <v>33</v>
      </c>
      <c r="BC11" s="85">
        <v>45</v>
      </c>
      <c r="BD11" s="86" t="s">
        <v>8</v>
      </c>
    </row>
    <row r="12" spans="1:56" s="27" customFormat="1" ht="11.25" customHeight="1" x14ac:dyDescent="0.2">
      <c r="A12" s="51">
        <v>11</v>
      </c>
      <c r="B12" s="51"/>
      <c r="C12" s="27" t="s">
        <v>166</v>
      </c>
      <c r="E12" s="27">
        <f t="shared" si="0"/>
        <v>17</v>
      </c>
      <c r="F12" s="71" t="s">
        <v>167</v>
      </c>
      <c r="G12" s="72">
        <v>107</v>
      </c>
      <c r="H12" s="73">
        <f>INT((G12*Valores!$C$2*100)+0.5)/100</f>
        <v>735.97</v>
      </c>
      <c r="I12" s="74">
        <v>3779</v>
      </c>
      <c r="J12" s="75">
        <f>INT((I12*Valores!$C$2*100)+0.5)/100</f>
        <v>25992.720000000001</v>
      </c>
      <c r="K12" s="76">
        <v>219</v>
      </c>
      <c r="L12" s="75">
        <f>INT((K12*Valores!$C$2*100)+0.5)/100</f>
        <v>1506.33</v>
      </c>
      <c r="M12" s="72">
        <v>0</v>
      </c>
      <c r="N12" s="75">
        <f>INT((M12*Valores!$C$2*100)+0.5)/100</f>
        <v>0</v>
      </c>
      <c r="O12" s="75">
        <f t="shared" si="1"/>
        <v>4521.4125000000004</v>
      </c>
      <c r="P12" s="75">
        <f t="shared" si="2"/>
        <v>0</v>
      </c>
      <c r="Q12" s="77">
        <f>Valores!$C$16</f>
        <v>4450.7</v>
      </c>
      <c r="R12" s="77">
        <f>Valores!$D$4</f>
        <v>3076.62</v>
      </c>
      <c r="S12" s="75">
        <v>0</v>
      </c>
      <c r="T12" s="78">
        <f>Valores!$C$43</f>
        <v>1907.73</v>
      </c>
      <c r="U12" s="75">
        <v>0</v>
      </c>
      <c r="V12" s="75">
        <f t="shared" si="3"/>
        <v>0</v>
      </c>
      <c r="W12" s="77">
        <f t="shared" si="10"/>
        <v>28235.020000000004</v>
      </c>
      <c r="X12" s="77">
        <f t="shared" si="11"/>
        <v>11294.01</v>
      </c>
      <c r="Y12" s="79">
        <v>0</v>
      </c>
      <c r="Z12" s="75">
        <f>Y12*Valores!$C$2</f>
        <v>0</v>
      </c>
      <c r="AA12" s="75">
        <v>0</v>
      </c>
      <c r="AB12" s="80">
        <f>Valores!$C$29</f>
        <v>166.15</v>
      </c>
      <c r="AC12" s="75">
        <f t="shared" si="6"/>
        <v>0</v>
      </c>
      <c r="AD12" s="75">
        <f>Valores!$C$30</f>
        <v>166.15</v>
      </c>
      <c r="AE12" s="79">
        <v>0</v>
      </c>
      <c r="AF12" s="75">
        <f>INT(((AE12*Valores!$C$2)*100)+0.5)/100</f>
        <v>0</v>
      </c>
      <c r="AG12" s="75">
        <f>Valores!$C$58</f>
        <v>337.97</v>
      </c>
      <c r="AH12" s="75">
        <f>Valores!$C$60</f>
        <v>96.56</v>
      </c>
      <c r="AI12" s="81">
        <f t="shared" si="7"/>
        <v>82487.342499999984</v>
      </c>
      <c r="AJ12" s="77">
        <f>Valores!$C$35</f>
        <v>666.25</v>
      </c>
      <c r="AK12" s="78">
        <f>Valores!$C$9</f>
        <v>0</v>
      </c>
      <c r="AL12" s="78">
        <f>Valores!$C$81</f>
        <v>1500</v>
      </c>
      <c r="AM12" s="80">
        <f>Valores!$C$50</f>
        <v>283.24</v>
      </c>
      <c r="AN12" s="82">
        <f t="shared" si="8"/>
        <v>2166.25</v>
      </c>
      <c r="AO12" s="83">
        <f>AI12*-Valores!$C$65</f>
        <v>-10723.354524999999</v>
      </c>
      <c r="AP12" s="83">
        <f>AI12*-Valores!$C$66</f>
        <v>-412.43671249999994</v>
      </c>
      <c r="AQ12" s="77">
        <f>AI12*-Valores!$C$67</f>
        <v>-3711.930412499999</v>
      </c>
      <c r="AR12" s="77">
        <f>AI12*-Valores!$C$68</f>
        <v>-2227.1582474999996</v>
      </c>
      <c r="AS12" s="77">
        <f>AI12*-Valores!$C$69</f>
        <v>-247.46202749999995</v>
      </c>
      <c r="AT12" s="81">
        <f t="shared" si="4"/>
        <v>69805.870849999978</v>
      </c>
      <c r="AU12" s="81">
        <f t="shared" si="5"/>
        <v>71043.180987499974</v>
      </c>
      <c r="AV12" s="77">
        <f>AI12*Valores!$C$71</f>
        <v>13197.974799999998</v>
      </c>
      <c r="AW12" s="77">
        <f>AI12*Valores!$C$72</f>
        <v>3711.930412499999</v>
      </c>
      <c r="AX12" s="77">
        <f>AI12*Valores!$C$73</f>
        <v>824.87342499999988</v>
      </c>
      <c r="AY12" s="77">
        <f>AI12*Valores!$C$75</f>
        <v>2887.0569874999997</v>
      </c>
      <c r="AZ12" s="77">
        <f>AI12*Valores!$C$76</f>
        <v>494.9240549999999</v>
      </c>
      <c r="BA12" s="77">
        <f t="shared" si="9"/>
        <v>4454.3164949999991</v>
      </c>
      <c r="BB12" s="51">
        <v>33</v>
      </c>
      <c r="BC12" s="51">
        <v>45</v>
      </c>
      <c r="BD12" s="27" t="s">
        <v>8</v>
      </c>
    </row>
    <row r="13" spans="1:56" s="27" customFormat="1" ht="11.25" customHeight="1" x14ac:dyDescent="0.2">
      <c r="A13" s="51">
        <v>12</v>
      </c>
      <c r="B13" s="51"/>
      <c r="C13" s="27" t="s">
        <v>168</v>
      </c>
      <c r="E13" s="27">
        <f t="shared" si="0"/>
        <v>14</v>
      </c>
      <c r="F13" s="71" t="s">
        <v>169</v>
      </c>
      <c r="G13" s="72">
        <v>107</v>
      </c>
      <c r="H13" s="73">
        <f>INT((G13*Valores!$C$2*100)+0.5)/100</f>
        <v>735.97</v>
      </c>
      <c r="I13" s="74">
        <v>3779</v>
      </c>
      <c r="J13" s="75">
        <f>INT((I13*Valores!$C$2*100)+0.5)/100</f>
        <v>25992.720000000001</v>
      </c>
      <c r="K13" s="76">
        <v>219</v>
      </c>
      <c r="L13" s="75">
        <f>INT((K13*Valores!$C$2*100)+0.5)/100</f>
        <v>1506.33</v>
      </c>
      <c r="M13" s="72">
        <v>0</v>
      </c>
      <c r="N13" s="75">
        <f>INT((M13*Valores!$C$2*100)+0.5)/100</f>
        <v>0</v>
      </c>
      <c r="O13" s="75">
        <f t="shared" si="1"/>
        <v>4521.4125000000004</v>
      </c>
      <c r="P13" s="75">
        <f t="shared" si="2"/>
        <v>0</v>
      </c>
      <c r="Q13" s="77">
        <f>Valores!$C$16</f>
        <v>4450.7</v>
      </c>
      <c r="R13" s="77">
        <f>Valores!$D$4</f>
        <v>3076.62</v>
      </c>
      <c r="S13" s="75">
        <v>0</v>
      </c>
      <c r="T13" s="78">
        <f>Valores!$C$43</f>
        <v>1907.73</v>
      </c>
      <c r="U13" s="75">
        <v>0</v>
      </c>
      <c r="V13" s="75">
        <f t="shared" si="3"/>
        <v>0</v>
      </c>
      <c r="W13" s="77">
        <f t="shared" si="10"/>
        <v>28235.020000000004</v>
      </c>
      <c r="X13" s="77">
        <f t="shared" si="11"/>
        <v>11294.01</v>
      </c>
      <c r="Y13" s="79">
        <v>0</v>
      </c>
      <c r="Z13" s="75">
        <f>Y13*Valores!$C$2</f>
        <v>0</v>
      </c>
      <c r="AA13" s="75">
        <v>0</v>
      </c>
      <c r="AB13" s="80">
        <f>Valores!$C$29</f>
        <v>166.15</v>
      </c>
      <c r="AC13" s="75">
        <f t="shared" si="6"/>
        <v>0</v>
      </c>
      <c r="AD13" s="75">
        <f>Valores!$C$30</f>
        <v>166.15</v>
      </c>
      <c r="AE13" s="79">
        <v>0</v>
      </c>
      <c r="AF13" s="75">
        <f>INT(((AE13*Valores!$C$2)*100)+0.5)/100</f>
        <v>0</v>
      </c>
      <c r="AG13" s="75">
        <f>Valores!$C$58</f>
        <v>337.97</v>
      </c>
      <c r="AH13" s="75">
        <f>Valores!$C$60</f>
        <v>96.56</v>
      </c>
      <c r="AI13" s="81">
        <f t="shared" si="7"/>
        <v>82487.342499999984</v>
      </c>
      <c r="AJ13" s="77">
        <f>Valores!$C$35</f>
        <v>666.25</v>
      </c>
      <c r="AK13" s="78">
        <f>Valores!$C$9</f>
        <v>0</v>
      </c>
      <c r="AL13" s="78">
        <f>Valores!$C$81</f>
        <v>1500</v>
      </c>
      <c r="AM13" s="80">
        <f>Valores!$C$50</f>
        <v>283.24</v>
      </c>
      <c r="AN13" s="82">
        <f t="shared" si="8"/>
        <v>2166.25</v>
      </c>
      <c r="AO13" s="83">
        <f>AI13*-Valores!$C$65</f>
        <v>-10723.354524999999</v>
      </c>
      <c r="AP13" s="83">
        <f>AI13*-Valores!$C$66</f>
        <v>-412.43671249999994</v>
      </c>
      <c r="AQ13" s="77">
        <f>AI13*-Valores!$C$67</f>
        <v>-3711.930412499999</v>
      </c>
      <c r="AR13" s="77">
        <f>AI13*-Valores!$C$68</f>
        <v>-2227.1582474999996</v>
      </c>
      <c r="AS13" s="77">
        <f>AI13*-Valores!$C$69</f>
        <v>-247.46202749999995</v>
      </c>
      <c r="AT13" s="81">
        <f t="shared" si="4"/>
        <v>69805.870849999978</v>
      </c>
      <c r="AU13" s="81">
        <f t="shared" si="5"/>
        <v>71043.180987499974</v>
      </c>
      <c r="AV13" s="77">
        <f>AI13*Valores!$C$71</f>
        <v>13197.974799999998</v>
      </c>
      <c r="AW13" s="77">
        <f>AI13*Valores!$C$72</f>
        <v>3711.930412499999</v>
      </c>
      <c r="AX13" s="77">
        <f>AI13*Valores!$C$73</f>
        <v>824.87342499999988</v>
      </c>
      <c r="AY13" s="77">
        <f>AI13*Valores!$C$75</f>
        <v>2887.0569874999997</v>
      </c>
      <c r="AZ13" s="77">
        <f>AI13*Valores!$C$76</f>
        <v>494.9240549999999</v>
      </c>
      <c r="BA13" s="77">
        <f t="shared" si="9"/>
        <v>4454.3164949999991</v>
      </c>
      <c r="BB13" s="51">
        <v>33</v>
      </c>
      <c r="BC13" s="51">
        <v>45</v>
      </c>
      <c r="BD13" s="27" t="s">
        <v>8</v>
      </c>
    </row>
    <row r="14" spans="1:56" s="27" customFormat="1" ht="11.25" customHeight="1" x14ac:dyDescent="0.2">
      <c r="A14" s="51">
        <v>13</v>
      </c>
      <c r="B14" s="51"/>
      <c r="C14" s="27" t="s">
        <v>170</v>
      </c>
      <c r="E14" s="27">
        <f t="shared" si="0"/>
        <v>15</v>
      </c>
      <c r="F14" s="71" t="s">
        <v>171</v>
      </c>
      <c r="G14" s="72">
        <v>107</v>
      </c>
      <c r="H14" s="73">
        <f>INT((G14*Valores!$C$2*100)+0.5)/100</f>
        <v>735.97</v>
      </c>
      <c r="I14" s="74">
        <v>3779</v>
      </c>
      <c r="J14" s="75">
        <f>INT((I14*Valores!$C$2*100)+0.5)/100</f>
        <v>25992.720000000001</v>
      </c>
      <c r="K14" s="76">
        <v>219</v>
      </c>
      <c r="L14" s="75">
        <f>INT((K14*Valores!$C$2*100)+0.5)/100</f>
        <v>1506.33</v>
      </c>
      <c r="M14" s="72">
        <v>0</v>
      </c>
      <c r="N14" s="75">
        <f>INT((M14*Valores!$C$2*100)+0.5)/100</f>
        <v>0</v>
      </c>
      <c r="O14" s="75">
        <f t="shared" si="1"/>
        <v>4521.4125000000004</v>
      </c>
      <c r="P14" s="75">
        <f t="shared" si="2"/>
        <v>0</v>
      </c>
      <c r="Q14" s="77">
        <f>Valores!$C$16</f>
        <v>4450.7</v>
      </c>
      <c r="R14" s="77">
        <f>Valores!$D$4</f>
        <v>3076.62</v>
      </c>
      <c r="S14" s="75">
        <v>0</v>
      </c>
      <c r="T14" s="78">
        <f>Valores!$C$43</f>
        <v>1907.73</v>
      </c>
      <c r="U14" s="75">
        <v>0</v>
      </c>
      <c r="V14" s="75">
        <f t="shared" si="3"/>
        <v>0</v>
      </c>
      <c r="W14" s="77">
        <f t="shared" si="10"/>
        <v>28235.020000000004</v>
      </c>
      <c r="X14" s="77">
        <f t="shared" si="11"/>
        <v>11294.01</v>
      </c>
      <c r="Y14" s="79">
        <v>0</v>
      </c>
      <c r="Z14" s="75">
        <f>Y14*Valores!$C$2</f>
        <v>0</v>
      </c>
      <c r="AA14" s="75">
        <v>0</v>
      </c>
      <c r="AB14" s="80">
        <f>Valores!$C$29</f>
        <v>166.15</v>
      </c>
      <c r="AC14" s="75">
        <f t="shared" si="6"/>
        <v>0</v>
      </c>
      <c r="AD14" s="75">
        <f>Valores!$C$30</f>
        <v>166.15</v>
      </c>
      <c r="AE14" s="79">
        <v>0</v>
      </c>
      <c r="AF14" s="75">
        <f>INT(((AE14*Valores!$C$2)*100)+0.5)/100</f>
        <v>0</v>
      </c>
      <c r="AG14" s="75">
        <f>Valores!$C$58</f>
        <v>337.97</v>
      </c>
      <c r="AH14" s="75">
        <f>Valores!$C$60</f>
        <v>96.56</v>
      </c>
      <c r="AI14" s="81">
        <f t="shared" si="7"/>
        <v>82487.342499999984</v>
      </c>
      <c r="AJ14" s="77">
        <f>Valores!$C$35</f>
        <v>666.25</v>
      </c>
      <c r="AK14" s="78">
        <f>Valores!$C$9</f>
        <v>0</v>
      </c>
      <c r="AL14" s="78">
        <f>Valores!$C$81</f>
        <v>1500</v>
      </c>
      <c r="AM14" s="80">
        <f>Valores!$C$50</f>
        <v>283.24</v>
      </c>
      <c r="AN14" s="82">
        <f t="shared" si="8"/>
        <v>2166.25</v>
      </c>
      <c r="AO14" s="83">
        <f>AI14*-Valores!$C$65</f>
        <v>-10723.354524999999</v>
      </c>
      <c r="AP14" s="83">
        <f>AI14*-Valores!$C$66</f>
        <v>-412.43671249999994</v>
      </c>
      <c r="AQ14" s="77">
        <f>AI14*-Valores!$C$67</f>
        <v>-3711.930412499999</v>
      </c>
      <c r="AR14" s="77">
        <f>AI14*-Valores!$C$68</f>
        <v>-2227.1582474999996</v>
      </c>
      <c r="AS14" s="77">
        <f>AI14*-Valores!$C$69</f>
        <v>-247.46202749999995</v>
      </c>
      <c r="AT14" s="81">
        <f t="shared" si="4"/>
        <v>69805.870849999978</v>
      </c>
      <c r="AU14" s="81">
        <f t="shared" si="5"/>
        <v>71043.180987499974</v>
      </c>
      <c r="AV14" s="77">
        <f>AI14*Valores!$C$71</f>
        <v>13197.974799999998</v>
      </c>
      <c r="AW14" s="77">
        <f>AI14*Valores!$C$72</f>
        <v>3711.930412499999</v>
      </c>
      <c r="AX14" s="77">
        <f>AI14*Valores!$C$73</f>
        <v>824.87342499999988</v>
      </c>
      <c r="AY14" s="77">
        <f>AI14*Valores!$C$75</f>
        <v>2887.0569874999997</v>
      </c>
      <c r="AZ14" s="77">
        <f>AI14*Valores!$C$76</f>
        <v>494.9240549999999</v>
      </c>
      <c r="BA14" s="77">
        <f t="shared" si="9"/>
        <v>4454.3164949999991</v>
      </c>
      <c r="BB14" s="51">
        <v>33</v>
      </c>
      <c r="BC14" s="51">
        <v>45</v>
      </c>
      <c r="BD14" s="27" t="s">
        <v>8</v>
      </c>
    </row>
    <row r="15" spans="1:56" s="27" customFormat="1" ht="11.25" customHeight="1" x14ac:dyDescent="0.2">
      <c r="A15" s="51">
        <v>14</v>
      </c>
      <c r="B15" s="51"/>
      <c r="C15" s="27" t="s">
        <v>172</v>
      </c>
      <c r="E15" s="27">
        <f t="shared" si="0"/>
        <v>20</v>
      </c>
      <c r="F15" s="71" t="s">
        <v>173</v>
      </c>
      <c r="G15" s="72">
        <v>100</v>
      </c>
      <c r="H15" s="73">
        <f>INT((G15*Valores!$C$2*100)+0.5)/100</f>
        <v>687.82</v>
      </c>
      <c r="I15" s="74">
        <v>3727</v>
      </c>
      <c r="J15" s="75">
        <f>INT((I15*Valores!$C$2*100)+0.5)/100</f>
        <v>25635.05</v>
      </c>
      <c r="K15" s="76">
        <v>219</v>
      </c>
      <c r="L15" s="75">
        <f>INT((K15*Valores!$C$2*100)+0.5)/100</f>
        <v>1506.33</v>
      </c>
      <c r="M15" s="72">
        <v>0</v>
      </c>
      <c r="N15" s="75">
        <f>INT((M15*Valores!$C$2*100)+0.5)/100</f>
        <v>0</v>
      </c>
      <c r="O15" s="75">
        <f t="shared" si="1"/>
        <v>4460.539499999999</v>
      </c>
      <c r="P15" s="75">
        <f t="shared" si="2"/>
        <v>0</v>
      </c>
      <c r="Q15" s="77">
        <f>Valores!$C$16</f>
        <v>4450.7</v>
      </c>
      <c r="R15" s="77">
        <f>Valores!$D$4</f>
        <v>3076.62</v>
      </c>
      <c r="S15" s="75">
        <v>0</v>
      </c>
      <c r="T15" s="78">
        <f>Valores!$C$43</f>
        <v>1907.73</v>
      </c>
      <c r="U15" s="75">
        <v>0</v>
      </c>
      <c r="V15" s="75">
        <f t="shared" si="3"/>
        <v>0</v>
      </c>
      <c r="W15" s="77">
        <f t="shared" si="10"/>
        <v>27829.199999999997</v>
      </c>
      <c r="X15" s="77">
        <f t="shared" si="11"/>
        <v>11131.68</v>
      </c>
      <c r="Y15" s="79">
        <v>0</v>
      </c>
      <c r="Z15" s="75">
        <f>Y15*Valores!$C$2</f>
        <v>0</v>
      </c>
      <c r="AA15" s="75">
        <v>0</v>
      </c>
      <c r="AB15" s="80">
        <f>Valores!$C$29</f>
        <v>166.15</v>
      </c>
      <c r="AC15" s="75">
        <f t="shared" si="6"/>
        <v>0</v>
      </c>
      <c r="AD15" s="75">
        <f>Valores!$C$30</f>
        <v>166.15</v>
      </c>
      <c r="AE15" s="79">
        <v>0</v>
      </c>
      <c r="AF15" s="75">
        <f>INT(((AE15*Valores!$C$2)*100)+0.5)/100</f>
        <v>0</v>
      </c>
      <c r="AG15" s="75">
        <f>Valores!$C$58</f>
        <v>337.97</v>
      </c>
      <c r="AH15" s="75">
        <f>Valores!$C$60</f>
        <v>96.56</v>
      </c>
      <c r="AI15" s="81">
        <f t="shared" si="7"/>
        <v>81452.499499999962</v>
      </c>
      <c r="AJ15" s="77">
        <f>Valores!$C$35</f>
        <v>666.25</v>
      </c>
      <c r="AK15" s="78">
        <f>Valores!$C$9</f>
        <v>0</v>
      </c>
      <c r="AL15" s="78">
        <f>Valores!$C$81</f>
        <v>1500</v>
      </c>
      <c r="AM15" s="80">
        <f>Valores!$C$50</f>
        <v>283.24</v>
      </c>
      <c r="AN15" s="82">
        <f t="shared" si="8"/>
        <v>2166.25</v>
      </c>
      <c r="AO15" s="83">
        <f>AI15*-Valores!$C$65</f>
        <v>-10588.824934999995</v>
      </c>
      <c r="AP15" s="83">
        <f>AI15*-Valores!$C$66</f>
        <v>-407.26249749999982</v>
      </c>
      <c r="AQ15" s="77">
        <f>AI15*-Valores!$C$67</f>
        <v>-3665.362477499998</v>
      </c>
      <c r="AR15" s="77">
        <f>AI15*-Valores!$C$68</f>
        <v>-2199.2174864999988</v>
      </c>
      <c r="AS15" s="77">
        <f>AI15*-Valores!$C$69</f>
        <v>-244.35749849999988</v>
      </c>
      <c r="AT15" s="81">
        <f t="shared" si="4"/>
        <v>68957.299589999981</v>
      </c>
      <c r="AU15" s="81">
        <f t="shared" si="5"/>
        <v>70179.087082499973</v>
      </c>
      <c r="AV15" s="77">
        <f>AI15*Valores!$C$71</f>
        <v>13032.399919999994</v>
      </c>
      <c r="AW15" s="77">
        <f>AI15*Valores!$C$72</f>
        <v>3665.362477499998</v>
      </c>
      <c r="AX15" s="77">
        <f>AI15*Valores!$C$73</f>
        <v>814.52499499999965</v>
      </c>
      <c r="AY15" s="77">
        <f>AI15*Valores!$C$75</f>
        <v>2850.8374824999987</v>
      </c>
      <c r="AZ15" s="77">
        <f>AI15*Valores!$C$76</f>
        <v>488.71499699999976</v>
      </c>
      <c r="BA15" s="77">
        <f t="shared" si="9"/>
        <v>4398.4349729999985</v>
      </c>
      <c r="BB15" s="51">
        <v>33</v>
      </c>
      <c r="BC15" s="51">
        <v>45</v>
      </c>
      <c r="BD15" s="27" t="s">
        <v>8</v>
      </c>
    </row>
    <row r="16" spans="1:56" s="27" customFormat="1" ht="11.25" customHeight="1" x14ac:dyDescent="0.2">
      <c r="A16" s="85">
        <v>15</v>
      </c>
      <c r="B16" s="85" t="s">
        <v>163</v>
      </c>
      <c r="C16" s="86" t="s">
        <v>174</v>
      </c>
      <c r="D16" s="86"/>
      <c r="E16" s="86">
        <f t="shared" si="0"/>
        <v>22</v>
      </c>
      <c r="F16" s="87" t="s">
        <v>175</v>
      </c>
      <c r="G16" s="88">
        <v>100</v>
      </c>
      <c r="H16" s="89">
        <f>INT((G16*Valores!$C$2*100)+0.5)/100</f>
        <v>687.82</v>
      </c>
      <c r="I16" s="90">
        <v>3727</v>
      </c>
      <c r="J16" s="91">
        <f>INT((I16*Valores!$C$2*100)+0.5)/100</f>
        <v>25635.05</v>
      </c>
      <c r="K16" s="92">
        <v>219</v>
      </c>
      <c r="L16" s="91">
        <f>INT((K16*Valores!$C$2*100)+0.5)/100</f>
        <v>1506.33</v>
      </c>
      <c r="M16" s="88">
        <v>0</v>
      </c>
      <c r="N16" s="91">
        <f>INT((M16*Valores!$C$2*100)+0.5)/100</f>
        <v>0</v>
      </c>
      <c r="O16" s="91">
        <f t="shared" si="1"/>
        <v>4460.539499999999</v>
      </c>
      <c r="P16" s="91">
        <f t="shared" si="2"/>
        <v>0</v>
      </c>
      <c r="Q16" s="93">
        <f>Valores!$C$16</f>
        <v>4450.7</v>
      </c>
      <c r="R16" s="93">
        <f>Valores!$D$4</f>
        <v>3076.62</v>
      </c>
      <c r="S16" s="91">
        <v>0</v>
      </c>
      <c r="T16" s="94">
        <f>Valores!$C$43</f>
        <v>1907.73</v>
      </c>
      <c r="U16" s="91">
        <v>0</v>
      </c>
      <c r="V16" s="91">
        <f t="shared" si="3"/>
        <v>0</v>
      </c>
      <c r="W16" s="93">
        <f t="shared" si="10"/>
        <v>27829.199999999997</v>
      </c>
      <c r="X16" s="93">
        <f t="shared" si="11"/>
        <v>11131.68</v>
      </c>
      <c r="Y16" s="95">
        <v>0</v>
      </c>
      <c r="Z16" s="91">
        <f>Y16*Valores!$C$2</f>
        <v>0</v>
      </c>
      <c r="AA16" s="91">
        <v>0</v>
      </c>
      <c r="AB16" s="96">
        <f>Valores!$C$29</f>
        <v>166.15</v>
      </c>
      <c r="AC16" s="91">
        <f t="shared" si="6"/>
        <v>0</v>
      </c>
      <c r="AD16" s="91">
        <f>Valores!$C$30</f>
        <v>166.15</v>
      </c>
      <c r="AE16" s="95">
        <v>0</v>
      </c>
      <c r="AF16" s="91">
        <f>INT(((AE16*Valores!$C$2)*100)+0.5)/100</f>
        <v>0</v>
      </c>
      <c r="AG16" s="91">
        <f>Valores!$C$58</f>
        <v>337.97</v>
      </c>
      <c r="AH16" s="91">
        <f>Valores!$C$60</f>
        <v>96.56</v>
      </c>
      <c r="AI16" s="97">
        <f t="shared" si="7"/>
        <v>81452.499499999962</v>
      </c>
      <c r="AJ16" s="93">
        <f>Valores!$C$35</f>
        <v>666.25</v>
      </c>
      <c r="AK16" s="94">
        <f>Valores!$C$9</f>
        <v>0</v>
      </c>
      <c r="AL16" s="94">
        <f>Valores!$C$81</f>
        <v>1500</v>
      </c>
      <c r="AM16" s="96">
        <f>Valores!$C$50</f>
        <v>283.24</v>
      </c>
      <c r="AN16" s="98">
        <f t="shared" si="8"/>
        <v>2166.25</v>
      </c>
      <c r="AO16" s="99">
        <f>AI16*-Valores!$C$65</f>
        <v>-10588.824934999995</v>
      </c>
      <c r="AP16" s="99">
        <f>AI16*-Valores!$C$66</f>
        <v>-407.26249749999982</v>
      </c>
      <c r="AQ16" s="93">
        <f>AI16*-Valores!$C$67</f>
        <v>-3665.362477499998</v>
      </c>
      <c r="AR16" s="93">
        <f>AI16*-Valores!$C$68</f>
        <v>-2199.2174864999988</v>
      </c>
      <c r="AS16" s="93">
        <f>AI16*-Valores!$C$69</f>
        <v>-244.35749849999988</v>
      </c>
      <c r="AT16" s="97">
        <f t="shared" si="4"/>
        <v>68957.299589999981</v>
      </c>
      <c r="AU16" s="97">
        <f t="shared" si="5"/>
        <v>70179.087082499973</v>
      </c>
      <c r="AV16" s="93">
        <f>AI16*Valores!$C$71</f>
        <v>13032.399919999994</v>
      </c>
      <c r="AW16" s="93">
        <f>AI16*Valores!$C$72</f>
        <v>3665.362477499998</v>
      </c>
      <c r="AX16" s="93">
        <f>AI16*Valores!$C$73</f>
        <v>814.52499499999965</v>
      </c>
      <c r="AY16" s="93">
        <f>AI16*Valores!$C$75</f>
        <v>2850.8374824999987</v>
      </c>
      <c r="AZ16" s="93">
        <f>AI16*Valores!$C$76</f>
        <v>488.71499699999976</v>
      </c>
      <c r="BA16" s="93">
        <f t="shared" si="9"/>
        <v>4398.4349729999985</v>
      </c>
      <c r="BB16" s="85">
        <v>33</v>
      </c>
      <c r="BC16" s="85">
        <v>45</v>
      </c>
      <c r="BD16" s="86" t="s">
        <v>8</v>
      </c>
    </row>
    <row r="17" spans="1:56" s="27" customFormat="1" ht="11.25" customHeight="1" x14ac:dyDescent="0.2">
      <c r="A17" s="51">
        <v>16</v>
      </c>
      <c r="B17" s="51"/>
      <c r="C17" s="27" t="s">
        <v>176</v>
      </c>
      <c r="E17" s="27">
        <f t="shared" si="0"/>
        <v>30</v>
      </c>
      <c r="F17" s="71" t="s">
        <v>177</v>
      </c>
      <c r="G17" s="72">
        <v>100</v>
      </c>
      <c r="H17" s="73">
        <f>INT((G17*Valores!$C$2*100)+0.5)/100</f>
        <v>687.82</v>
      </c>
      <c r="I17" s="74">
        <v>3727</v>
      </c>
      <c r="J17" s="75">
        <f>INT((I17*Valores!$C$2*100)+0.5)/100</f>
        <v>25635.05</v>
      </c>
      <c r="K17" s="76">
        <v>219</v>
      </c>
      <c r="L17" s="75">
        <f>INT((K17*Valores!$C$2*100)+0.5)/100</f>
        <v>1506.33</v>
      </c>
      <c r="M17" s="72">
        <v>0</v>
      </c>
      <c r="N17" s="75">
        <f>INT((M17*Valores!$C$2*100)+0.5)/100</f>
        <v>0</v>
      </c>
      <c r="O17" s="75">
        <f t="shared" si="1"/>
        <v>4460.539499999999</v>
      </c>
      <c r="P17" s="75">
        <f t="shared" si="2"/>
        <v>0</v>
      </c>
      <c r="Q17" s="77">
        <f>Valores!$C$16</f>
        <v>4450.7</v>
      </c>
      <c r="R17" s="77">
        <f>Valores!$D$4</f>
        <v>3076.62</v>
      </c>
      <c r="S17" s="75">
        <v>0</v>
      </c>
      <c r="T17" s="78">
        <f>Valores!$C$43</f>
        <v>1907.73</v>
      </c>
      <c r="U17" s="75">
        <v>0</v>
      </c>
      <c r="V17" s="75">
        <f t="shared" si="3"/>
        <v>0</v>
      </c>
      <c r="W17" s="77">
        <f t="shared" si="10"/>
        <v>27829.199999999997</v>
      </c>
      <c r="X17" s="77">
        <f t="shared" si="11"/>
        <v>11131.68</v>
      </c>
      <c r="Y17" s="79">
        <v>0</v>
      </c>
      <c r="Z17" s="75">
        <f>Y17*Valores!$C$2</f>
        <v>0</v>
      </c>
      <c r="AA17" s="75">
        <v>0</v>
      </c>
      <c r="AB17" s="80">
        <f>Valores!$C$29</f>
        <v>166.15</v>
      </c>
      <c r="AC17" s="75">
        <f t="shared" si="6"/>
        <v>0</v>
      </c>
      <c r="AD17" s="75">
        <f>Valores!$C$30</f>
        <v>166.15</v>
      </c>
      <c r="AE17" s="79">
        <v>0</v>
      </c>
      <c r="AF17" s="75">
        <f>INT(((AE17*Valores!$C$2)*100)+0.5)/100</f>
        <v>0</v>
      </c>
      <c r="AG17" s="75">
        <f>Valores!$C$58</f>
        <v>337.97</v>
      </c>
      <c r="AH17" s="75">
        <f>Valores!$C$60</f>
        <v>96.56</v>
      </c>
      <c r="AI17" s="81">
        <f t="shared" si="7"/>
        <v>81452.499499999962</v>
      </c>
      <c r="AJ17" s="77">
        <f>Valores!$C$35</f>
        <v>666.25</v>
      </c>
      <c r="AK17" s="78">
        <f>Valores!$C$9</f>
        <v>0</v>
      </c>
      <c r="AL17" s="78">
        <f>Valores!$C$81</f>
        <v>1500</v>
      </c>
      <c r="AM17" s="80">
        <f>Valores!$C$50</f>
        <v>283.24</v>
      </c>
      <c r="AN17" s="82">
        <f t="shared" si="8"/>
        <v>2166.25</v>
      </c>
      <c r="AO17" s="83">
        <f>AI17*-Valores!$C$65</f>
        <v>-10588.824934999995</v>
      </c>
      <c r="AP17" s="83">
        <f>AI17*-Valores!$C$66</f>
        <v>-407.26249749999982</v>
      </c>
      <c r="AQ17" s="77">
        <f>AI17*-Valores!$C$67</f>
        <v>-3665.362477499998</v>
      </c>
      <c r="AR17" s="77">
        <f>AI17*-Valores!$C$68</f>
        <v>-2199.2174864999988</v>
      </c>
      <c r="AS17" s="77">
        <f>AI17*-Valores!$C$69</f>
        <v>-244.35749849999988</v>
      </c>
      <c r="AT17" s="81">
        <f t="shared" si="4"/>
        <v>68957.299589999981</v>
      </c>
      <c r="AU17" s="81">
        <f t="shared" si="5"/>
        <v>70179.087082499973</v>
      </c>
      <c r="AV17" s="77">
        <f>AI17*Valores!$C$71</f>
        <v>13032.399919999994</v>
      </c>
      <c r="AW17" s="77">
        <f>AI17*Valores!$C$72</f>
        <v>3665.362477499998</v>
      </c>
      <c r="AX17" s="77">
        <f>AI17*Valores!$C$73</f>
        <v>814.52499499999965</v>
      </c>
      <c r="AY17" s="77">
        <f>AI17*Valores!$C$75</f>
        <v>2850.8374824999987</v>
      </c>
      <c r="AZ17" s="77">
        <f>AI17*Valores!$C$76</f>
        <v>488.71499699999976</v>
      </c>
      <c r="BA17" s="77">
        <f t="shared" si="9"/>
        <v>4398.4349729999985</v>
      </c>
      <c r="BB17" s="51"/>
      <c r="BC17" s="51">
        <v>45</v>
      </c>
      <c r="BD17" s="27" t="s">
        <v>8</v>
      </c>
    </row>
    <row r="18" spans="1:56" s="27" customFormat="1" ht="11.25" customHeight="1" x14ac:dyDescent="0.2">
      <c r="A18" s="51">
        <v>17</v>
      </c>
      <c r="B18" s="51"/>
      <c r="C18" s="27" t="s">
        <v>178</v>
      </c>
      <c r="E18" s="27">
        <f t="shared" si="0"/>
        <v>24</v>
      </c>
      <c r="F18" s="71" t="s">
        <v>179</v>
      </c>
      <c r="G18" s="72">
        <v>100</v>
      </c>
      <c r="H18" s="73">
        <f>INT((G18*Valores!$C$2*100)+0.5)/100</f>
        <v>687.82</v>
      </c>
      <c r="I18" s="74">
        <v>3727</v>
      </c>
      <c r="J18" s="75">
        <f>INT((I18*Valores!$C$2*100)+0.5)/100</f>
        <v>25635.05</v>
      </c>
      <c r="K18" s="76">
        <v>219</v>
      </c>
      <c r="L18" s="75">
        <f>INT((K18*Valores!$C$2*100)+0.5)/100</f>
        <v>1506.33</v>
      </c>
      <c r="M18" s="72">
        <v>0</v>
      </c>
      <c r="N18" s="75">
        <f>INT((M18*Valores!$C$2*100)+0.5)/100</f>
        <v>0</v>
      </c>
      <c r="O18" s="75">
        <f t="shared" si="1"/>
        <v>4460.539499999999</v>
      </c>
      <c r="P18" s="75">
        <f t="shared" si="2"/>
        <v>0</v>
      </c>
      <c r="Q18" s="77">
        <f>Valores!$C$16</f>
        <v>4450.7</v>
      </c>
      <c r="R18" s="77">
        <f>Valores!$D$4</f>
        <v>3076.62</v>
      </c>
      <c r="S18" s="75">
        <v>0</v>
      </c>
      <c r="T18" s="78">
        <f>Valores!$C$43</f>
        <v>1907.73</v>
      </c>
      <c r="U18" s="75">
        <v>0</v>
      </c>
      <c r="V18" s="75">
        <f t="shared" si="3"/>
        <v>0</v>
      </c>
      <c r="W18" s="77">
        <f t="shared" si="10"/>
        <v>27829.199999999997</v>
      </c>
      <c r="X18" s="77">
        <f t="shared" si="11"/>
        <v>11131.68</v>
      </c>
      <c r="Y18" s="79">
        <v>0</v>
      </c>
      <c r="Z18" s="75">
        <f>Y18*Valores!$C$2</f>
        <v>0</v>
      </c>
      <c r="AA18" s="75">
        <v>0</v>
      </c>
      <c r="AB18" s="80">
        <f>Valores!$C$29</f>
        <v>166.15</v>
      </c>
      <c r="AC18" s="75">
        <f t="shared" si="6"/>
        <v>0</v>
      </c>
      <c r="AD18" s="75">
        <f>Valores!$C$30</f>
        <v>166.15</v>
      </c>
      <c r="AE18" s="79">
        <v>0</v>
      </c>
      <c r="AF18" s="75">
        <f>INT(((AE18*Valores!$C$2)*100)+0.5)/100</f>
        <v>0</v>
      </c>
      <c r="AG18" s="75">
        <f>Valores!$C$58</f>
        <v>337.97</v>
      </c>
      <c r="AH18" s="75">
        <f>Valores!$C$60</f>
        <v>96.56</v>
      </c>
      <c r="AI18" s="81">
        <f t="shared" si="7"/>
        <v>81452.499499999962</v>
      </c>
      <c r="AJ18" s="77">
        <f>Valores!$C$35</f>
        <v>666.25</v>
      </c>
      <c r="AK18" s="78">
        <f>Valores!$C$9</f>
        <v>0</v>
      </c>
      <c r="AL18" s="78">
        <f>Valores!$C$81</f>
        <v>1500</v>
      </c>
      <c r="AM18" s="80">
        <f>Valores!$C$50</f>
        <v>283.24</v>
      </c>
      <c r="AN18" s="82">
        <f t="shared" si="8"/>
        <v>2166.25</v>
      </c>
      <c r="AO18" s="83">
        <f>AI18*-Valores!$C$65</f>
        <v>-10588.824934999995</v>
      </c>
      <c r="AP18" s="83">
        <f>AI18*-Valores!$C$66</f>
        <v>-407.26249749999982</v>
      </c>
      <c r="AQ18" s="77">
        <f>AI18*-Valores!$C$67</f>
        <v>-3665.362477499998</v>
      </c>
      <c r="AR18" s="77">
        <f>AI18*-Valores!$C$68</f>
        <v>-2199.2174864999988</v>
      </c>
      <c r="AS18" s="77">
        <f>AI18*-Valores!$C$69</f>
        <v>-244.35749849999988</v>
      </c>
      <c r="AT18" s="81">
        <f t="shared" si="4"/>
        <v>68957.299589999981</v>
      </c>
      <c r="AU18" s="81">
        <f t="shared" si="5"/>
        <v>70179.087082499973</v>
      </c>
      <c r="AV18" s="77">
        <f>AI18*Valores!$C$71</f>
        <v>13032.399919999994</v>
      </c>
      <c r="AW18" s="77">
        <f>AI18*Valores!$C$72</f>
        <v>3665.362477499998</v>
      </c>
      <c r="AX18" s="77">
        <f>AI18*Valores!$C$73</f>
        <v>814.52499499999965</v>
      </c>
      <c r="AY18" s="77">
        <f>AI18*Valores!$C$75</f>
        <v>2850.8374824999987</v>
      </c>
      <c r="AZ18" s="77">
        <f>AI18*Valores!$C$76</f>
        <v>488.71499699999976</v>
      </c>
      <c r="BA18" s="77">
        <f t="shared" si="9"/>
        <v>4398.4349729999985</v>
      </c>
      <c r="BB18" s="51"/>
      <c r="BC18" s="51">
        <v>45</v>
      </c>
      <c r="BD18" s="27" t="s">
        <v>8</v>
      </c>
    </row>
    <row r="19" spans="1:56" s="27" customFormat="1" ht="11.25" customHeight="1" x14ac:dyDescent="0.2">
      <c r="A19" s="51">
        <v>18</v>
      </c>
      <c r="B19" s="51"/>
      <c r="C19" s="27" t="s">
        <v>180</v>
      </c>
      <c r="E19" s="27">
        <f t="shared" si="0"/>
        <v>20</v>
      </c>
      <c r="F19" s="71" t="s">
        <v>181</v>
      </c>
      <c r="G19" s="72">
        <v>100</v>
      </c>
      <c r="H19" s="73">
        <f>INT((G19*Valores!$C$2*100)+0.5)/100</f>
        <v>687.82</v>
      </c>
      <c r="I19" s="74">
        <v>3727</v>
      </c>
      <c r="J19" s="75">
        <f>INT((I19*Valores!$C$2*100)+0.5)/100</f>
        <v>25635.05</v>
      </c>
      <c r="K19" s="76">
        <v>219</v>
      </c>
      <c r="L19" s="75">
        <f>INT((K19*Valores!$C$2*100)+0.5)/100</f>
        <v>1506.33</v>
      </c>
      <c r="M19" s="72">
        <v>0</v>
      </c>
      <c r="N19" s="75">
        <f>INT((M19*Valores!$C$2*100)+0.5)/100</f>
        <v>0</v>
      </c>
      <c r="O19" s="75">
        <f t="shared" si="1"/>
        <v>4460.539499999999</v>
      </c>
      <c r="P19" s="75">
        <f t="shared" si="2"/>
        <v>0</v>
      </c>
      <c r="Q19" s="77">
        <f>Valores!$C$16</f>
        <v>4450.7</v>
      </c>
      <c r="R19" s="77">
        <f>Valores!$D$4</f>
        <v>3076.62</v>
      </c>
      <c r="S19" s="75">
        <v>0</v>
      </c>
      <c r="T19" s="78">
        <f>Valores!$C$43</f>
        <v>1907.73</v>
      </c>
      <c r="U19" s="75">
        <v>0</v>
      </c>
      <c r="V19" s="75">
        <f t="shared" si="3"/>
        <v>0</v>
      </c>
      <c r="W19" s="77">
        <f t="shared" si="10"/>
        <v>27829.199999999997</v>
      </c>
      <c r="X19" s="77">
        <f t="shared" si="11"/>
        <v>11131.68</v>
      </c>
      <c r="Y19" s="79">
        <v>0</v>
      </c>
      <c r="Z19" s="75">
        <f>Y19*Valores!$C$2</f>
        <v>0</v>
      </c>
      <c r="AA19" s="75">
        <v>0</v>
      </c>
      <c r="AB19" s="80">
        <f>Valores!$C$29</f>
        <v>166.15</v>
      </c>
      <c r="AC19" s="75">
        <f t="shared" si="6"/>
        <v>0</v>
      </c>
      <c r="AD19" s="75">
        <f>Valores!$C$30</f>
        <v>166.15</v>
      </c>
      <c r="AE19" s="79">
        <v>0</v>
      </c>
      <c r="AF19" s="75">
        <f>INT(((AE19*Valores!$C$2)*100)+0.5)/100</f>
        <v>0</v>
      </c>
      <c r="AG19" s="75">
        <f>Valores!$C$58</f>
        <v>337.97</v>
      </c>
      <c r="AH19" s="75">
        <f>Valores!$C$60</f>
        <v>96.56</v>
      </c>
      <c r="AI19" s="81">
        <f t="shared" si="7"/>
        <v>81452.499499999962</v>
      </c>
      <c r="AJ19" s="77">
        <f>Valores!$C$35</f>
        <v>666.25</v>
      </c>
      <c r="AK19" s="78">
        <f>Valores!$C$9</f>
        <v>0</v>
      </c>
      <c r="AL19" s="78">
        <f>Valores!$C$81</f>
        <v>1500</v>
      </c>
      <c r="AM19" s="80">
        <f>Valores!$C$50</f>
        <v>283.24</v>
      </c>
      <c r="AN19" s="82">
        <f t="shared" si="8"/>
        <v>2166.25</v>
      </c>
      <c r="AO19" s="83">
        <f>AI19*-Valores!$C$65</f>
        <v>-10588.824934999995</v>
      </c>
      <c r="AP19" s="83">
        <f>AI19*-Valores!$C$66</f>
        <v>-407.26249749999982</v>
      </c>
      <c r="AQ19" s="77">
        <f>AI19*-Valores!$C$67</f>
        <v>-3665.362477499998</v>
      </c>
      <c r="AR19" s="77">
        <f>AI19*-Valores!$C$68</f>
        <v>-2199.2174864999988</v>
      </c>
      <c r="AS19" s="77">
        <f>AI19*-Valores!$C$69</f>
        <v>-244.35749849999988</v>
      </c>
      <c r="AT19" s="81">
        <f t="shared" si="4"/>
        <v>68957.299589999981</v>
      </c>
      <c r="AU19" s="81">
        <f t="shared" si="5"/>
        <v>70179.087082499973</v>
      </c>
      <c r="AV19" s="77">
        <f>AI19*Valores!$C$71</f>
        <v>13032.399919999994</v>
      </c>
      <c r="AW19" s="77">
        <f>AI19*Valores!$C$72</f>
        <v>3665.362477499998</v>
      </c>
      <c r="AX19" s="77">
        <f>AI19*Valores!$C$73</f>
        <v>814.52499499999965</v>
      </c>
      <c r="AY19" s="77">
        <f>AI19*Valores!$C$75</f>
        <v>2850.8374824999987</v>
      </c>
      <c r="AZ19" s="77">
        <f>AI19*Valores!$C$76</f>
        <v>488.71499699999976</v>
      </c>
      <c r="BA19" s="77">
        <f t="shared" si="9"/>
        <v>4398.4349729999985</v>
      </c>
      <c r="BB19" s="51"/>
      <c r="BC19" s="51">
        <v>45</v>
      </c>
      <c r="BD19" s="27" t="s">
        <v>8</v>
      </c>
    </row>
    <row r="20" spans="1:56" s="27" customFormat="1" ht="11.25" customHeight="1" x14ac:dyDescent="0.2">
      <c r="A20" s="51">
        <v>19</v>
      </c>
      <c r="B20" s="51"/>
      <c r="C20" s="27" t="s">
        <v>182</v>
      </c>
      <c r="E20" s="27">
        <f t="shared" si="0"/>
        <v>29</v>
      </c>
      <c r="F20" s="71" t="s">
        <v>183</v>
      </c>
      <c r="G20" s="72">
        <v>107</v>
      </c>
      <c r="H20" s="73">
        <f>INT((G20*Valores!$C$2*100)+0.5)/100</f>
        <v>735.97</v>
      </c>
      <c r="I20" s="74">
        <v>3720</v>
      </c>
      <c r="J20" s="75">
        <f>INT((I20*Valores!$C$2*100)+0.5)/100</f>
        <v>25586.9</v>
      </c>
      <c r="K20" s="76">
        <v>1226</v>
      </c>
      <c r="L20" s="75">
        <f>INT((K20*Valores!$C$2*100)+0.5)/100</f>
        <v>8432.67</v>
      </c>
      <c r="M20" s="72">
        <v>0</v>
      </c>
      <c r="N20" s="75">
        <f>INT((M20*Valores!$C$2*100)+0.5)/100</f>
        <v>0</v>
      </c>
      <c r="O20" s="75">
        <f t="shared" si="1"/>
        <v>5925.6090000000004</v>
      </c>
      <c r="P20" s="75">
        <f t="shared" si="2"/>
        <v>0</v>
      </c>
      <c r="Q20" s="77">
        <f>Valores!$C$19</f>
        <v>4643.83</v>
      </c>
      <c r="R20" s="77">
        <f>Valores!$D$4</f>
        <v>3076.62</v>
      </c>
      <c r="S20" s="75">
        <v>0</v>
      </c>
      <c r="T20" s="78">
        <f>Valores!$C$43</f>
        <v>1907.73</v>
      </c>
      <c r="U20" s="75">
        <f>Valores!$C$23</f>
        <v>2840.79</v>
      </c>
      <c r="V20" s="75">
        <f t="shared" si="3"/>
        <v>2840.79</v>
      </c>
      <c r="W20" s="75">
        <v>0</v>
      </c>
      <c r="X20" s="75">
        <v>0</v>
      </c>
      <c r="Y20" s="79">
        <v>0</v>
      </c>
      <c r="Z20" s="75">
        <f>Y20*Valores!$C$2</f>
        <v>0</v>
      </c>
      <c r="AA20" s="75">
        <v>0</v>
      </c>
      <c r="AB20" s="80">
        <f>Valores!$C$29</f>
        <v>166.15</v>
      </c>
      <c r="AC20" s="75">
        <f t="shared" si="6"/>
        <v>0</v>
      </c>
      <c r="AD20" s="75">
        <f>Valores!$C$30</f>
        <v>166.15</v>
      </c>
      <c r="AE20" s="79">
        <v>0</v>
      </c>
      <c r="AF20" s="75">
        <f>INT(((AE20*Valores!$C$2)*100)+0.5)/100</f>
        <v>0</v>
      </c>
      <c r="AG20" s="75">
        <f>Valores!$C$58</f>
        <v>337.97</v>
      </c>
      <c r="AH20" s="75">
        <f>Valores!$C$60</f>
        <v>96.56</v>
      </c>
      <c r="AI20" s="81">
        <f t="shared" si="7"/>
        <v>53916.949000000015</v>
      </c>
      <c r="AJ20" s="77">
        <f>Valores!$C$35</f>
        <v>666.25</v>
      </c>
      <c r="AK20" s="78">
        <f>Valores!$C$9</f>
        <v>0</v>
      </c>
      <c r="AL20" s="78">
        <f>Valores!$C$81</f>
        <v>1500</v>
      </c>
      <c r="AM20" s="80">
        <f>Valores!$C$50</f>
        <v>283.24</v>
      </c>
      <c r="AN20" s="82">
        <f t="shared" si="8"/>
        <v>2166.25</v>
      </c>
      <c r="AO20" s="83">
        <f>AI20*-Valores!$C$65</f>
        <v>-7009.203370000002</v>
      </c>
      <c r="AP20" s="83">
        <f>AI20*-Valores!$C$66</f>
        <v>-269.58474500000005</v>
      </c>
      <c r="AQ20" s="77">
        <f>AI20*-Valores!$C$67</f>
        <v>-2426.2627050000006</v>
      </c>
      <c r="AR20" s="77">
        <f>AI20*-Valores!$C$68</f>
        <v>-1455.7576230000004</v>
      </c>
      <c r="AS20" s="77">
        <f>AI20*-Valores!$C$69</f>
        <v>-161.75084700000005</v>
      </c>
      <c r="AT20" s="81">
        <f t="shared" si="4"/>
        <v>46378.148180000011</v>
      </c>
      <c r="AU20" s="81">
        <f t="shared" si="5"/>
        <v>47186.902415000011</v>
      </c>
      <c r="AV20" s="77">
        <f>AI20*Valores!$C$71</f>
        <v>8626.7118400000018</v>
      </c>
      <c r="AW20" s="77">
        <f>AI20*Valores!$C$72</f>
        <v>2426.2627050000006</v>
      </c>
      <c r="AX20" s="77">
        <f>AI20*Valores!$C$73</f>
        <v>539.16949000000011</v>
      </c>
      <c r="AY20" s="77">
        <f>AI20*Valores!$C$75</f>
        <v>1887.0932150000008</v>
      </c>
      <c r="AZ20" s="77">
        <f>AI20*Valores!$C$76</f>
        <v>323.5016940000001</v>
      </c>
      <c r="BA20" s="77">
        <f t="shared" si="9"/>
        <v>2911.5152460000013</v>
      </c>
      <c r="BB20" s="51"/>
      <c r="BC20" s="51">
        <v>45</v>
      </c>
      <c r="BD20" s="27" t="s">
        <v>4</v>
      </c>
    </row>
    <row r="21" spans="1:56" s="27" customFormat="1" ht="11.25" customHeight="1" x14ac:dyDescent="0.2">
      <c r="A21" s="85">
        <v>20</v>
      </c>
      <c r="B21" s="85" t="s">
        <v>163</v>
      </c>
      <c r="C21" s="86" t="s">
        <v>184</v>
      </c>
      <c r="D21" s="86"/>
      <c r="E21" s="86">
        <f t="shared" si="0"/>
        <v>20</v>
      </c>
      <c r="F21" s="87" t="s">
        <v>185</v>
      </c>
      <c r="G21" s="88">
        <v>100</v>
      </c>
      <c r="H21" s="89">
        <f>INT((G21*Valores!$C$2*100)+0.5)/100</f>
        <v>687.82</v>
      </c>
      <c r="I21" s="90">
        <v>3727</v>
      </c>
      <c r="J21" s="91">
        <f>INT((I21*Valores!$C$2*100)+0.5)/100</f>
        <v>25635.05</v>
      </c>
      <c r="K21" s="92">
        <v>219</v>
      </c>
      <c r="L21" s="91">
        <f>INT((K21*Valores!$C$2*100)+0.5)/100</f>
        <v>1506.33</v>
      </c>
      <c r="M21" s="88">
        <v>0</v>
      </c>
      <c r="N21" s="91">
        <f>INT((M21*Valores!$C$2*100)+0.5)/100</f>
        <v>0</v>
      </c>
      <c r="O21" s="91">
        <f t="shared" si="1"/>
        <v>4460.539499999999</v>
      </c>
      <c r="P21" s="91">
        <f t="shared" si="2"/>
        <v>0</v>
      </c>
      <c r="Q21" s="93">
        <f>Valores!$C$16</f>
        <v>4450.7</v>
      </c>
      <c r="R21" s="93">
        <f>Valores!$D$4</f>
        <v>3076.62</v>
      </c>
      <c r="S21" s="91">
        <v>0</v>
      </c>
      <c r="T21" s="94">
        <f>Valores!$C$43</f>
        <v>1907.73</v>
      </c>
      <c r="U21" s="91">
        <v>0</v>
      </c>
      <c r="V21" s="91">
        <f t="shared" si="3"/>
        <v>0</v>
      </c>
      <c r="W21" s="93">
        <f>SUM(H21,J21,L21)</f>
        <v>27829.199999999997</v>
      </c>
      <c r="X21" s="93">
        <f>INT((SUM(H21,J21,L21)*0.4*100)+0.49)/100</f>
        <v>11131.68</v>
      </c>
      <c r="Y21" s="95">
        <v>0</v>
      </c>
      <c r="Z21" s="91">
        <f>Y21*Valores!$C$2</f>
        <v>0</v>
      </c>
      <c r="AA21" s="91">
        <v>0</v>
      </c>
      <c r="AB21" s="96">
        <f>Valores!$C$29</f>
        <v>166.15</v>
      </c>
      <c r="AC21" s="91">
        <f t="shared" si="6"/>
        <v>0</v>
      </c>
      <c r="AD21" s="91">
        <f>Valores!$C$30</f>
        <v>166.15</v>
      </c>
      <c r="AE21" s="95">
        <v>0</v>
      </c>
      <c r="AF21" s="91">
        <f>INT(((AE21*Valores!$C$2)*100)+0.5)/100</f>
        <v>0</v>
      </c>
      <c r="AG21" s="91">
        <f>Valores!$C$58</f>
        <v>337.97</v>
      </c>
      <c r="AH21" s="91">
        <f>Valores!$C$60</f>
        <v>96.56</v>
      </c>
      <c r="AI21" s="97">
        <f t="shared" si="7"/>
        <v>81452.499499999962</v>
      </c>
      <c r="AJ21" s="93">
        <f>Valores!$C$35</f>
        <v>666.25</v>
      </c>
      <c r="AK21" s="94">
        <f>Valores!$C$9</f>
        <v>0</v>
      </c>
      <c r="AL21" s="94">
        <f>Valores!$C$81</f>
        <v>1500</v>
      </c>
      <c r="AM21" s="96">
        <f>Valores!$C$50</f>
        <v>283.24</v>
      </c>
      <c r="AN21" s="98">
        <f t="shared" si="8"/>
        <v>2166.25</v>
      </c>
      <c r="AO21" s="99">
        <f>AI21*-Valores!$C$65</f>
        <v>-10588.824934999995</v>
      </c>
      <c r="AP21" s="99">
        <f>AI21*-Valores!$C$66</f>
        <v>-407.26249749999982</v>
      </c>
      <c r="AQ21" s="93">
        <f>AI21*-Valores!$C$67</f>
        <v>-3665.362477499998</v>
      </c>
      <c r="AR21" s="93">
        <f>AI21*-Valores!$C$68</f>
        <v>-2199.2174864999988</v>
      </c>
      <c r="AS21" s="93">
        <f>AI21*-Valores!$C$69</f>
        <v>-244.35749849999988</v>
      </c>
      <c r="AT21" s="97">
        <f t="shared" si="4"/>
        <v>68957.299589999981</v>
      </c>
      <c r="AU21" s="97">
        <f t="shared" si="5"/>
        <v>70179.087082499973</v>
      </c>
      <c r="AV21" s="93">
        <f>AI21*Valores!$C$71</f>
        <v>13032.399919999994</v>
      </c>
      <c r="AW21" s="93">
        <f>AI21*Valores!$C$72</f>
        <v>3665.362477499998</v>
      </c>
      <c r="AX21" s="93">
        <f>AI21*Valores!$C$73</f>
        <v>814.52499499999965</v>
      </c>
      <c r="AY21" s="93">
        <f>AI21*Valores!$C$75</f>
        <v>2850.8374824999987</v>
      </c>
      <c r="AZ21" s="93">
        <f>AI21*Valores!$C$76</f>
        <v>488.71499699999976</v>
      </c>
      <c r="BA21" s="93">
        <f t="shared" si="9"/>
        <v>4398.4349729999985</v>
      </c>
      <c r="BB21" s="85"/>
      <c r="BC21" s="85">
        <v>45</v>
      </c>
      <c r="BD21" s="86" t="s">
        <v>8</v>
      </c>
    </row>
    <row r="22" spans="1:56" s="27" customFormat="1" ht="11.25" customHeight="1" x14ac:dyDescent="0.2">
      <c r="A22" s="51">
        <v>21</v>
      </c>
      <c r="B22" s="51"/>
      <c r="C22" s="27" t="s">
        <v>186</v>
      </c>
      <c r="E22" s="27">
        <f t="shared" si="0"/>
        <v>18</v>
      </c>
      <c r="F22" s="71" t="s">
        <v>187</v>
      </c>
      <c r="G22" s="72">
        <v>100</v>
      </c>
      <c r="H22" s="73">
        <f>INT((G22*Valores!$C$2*100)+0.5)/100</f>
        <v>687.82</v>
      </c>
      <c r="I22" s="74">
        <v>3727</v>
      </c>
      <c r="J22" s="75">
        <f>INT((I22*Valores!$C$2*100)+0.5)/100</f>
        <v>25635.05</v>
      </c>
      <c r="K22" s="76">
        <v>219</v>
      </c>
      <c r="L22" s="75">
        <f>INT((K22*Valores!$C$2*100)+0.5)/100</f>
        <v>1506.33</v>
      </c>
      <c r="M22" s="72">
        <v>0</v>
      </c>
      <c r="N22" s="75">
        <f>INT((M22*Valores!$C$2*100)+0.5)/100</f>
        <v>0</v>
      </c>
      <c r="O22" s="75">
        <f t="shared" si="1"/>
        <v>4460.539499999999</v>
      </c>
      <c r="P22" s="75">
        <f t="shared" si="2"/>
        <v>0</v>
      </c>
      <c r="Q22" s="77">
        <f>Valores!$C$16</f>
        <v>4450.7</v>
      </c>
      <c r="R22" s="77">
        <f>Valores!$D$4</f>
        <v>3076.62</v>
      </c>
      <c r="S22" s="75">
        <v>0</v>
      </c>
      <c r="T22" s="78">
        <f>Valores!$C$43</f>
        <v>1907.73</v>
      </c>
      <c r="U22" s="75">
        <v>0</v>
      </c>
      <c r="V22" s="75">
        <f t="shared" si="3"/>
        <v>0</v>
      </c>
      <c r="W22" s="77">
        <f>SUM(H22,J22,L22)</f>
        <v>27829.199999999997</v>
      </c>
      <c r="X22" s="77">
        <f>INT((SUM(H22,J22,L22)*0.4*100)+0.49)/100</f>
        <v>11131.68</v>
      </c>
      <c r="Y22" s="79">
        <v>0</v>
      </c>
      <c r="Z22" s="75">
        <f>Y22*Valores!$C$2</f>
        <v>0</v>
      </c>
      <c r="AA22" s="75">
        <v>0</v>
      </c>
      <c r="AB22" s="80">
        <f>Valores!$C$29</f>
        <v>166.15</v>
      </c>
      <c r="AC22" s="75">
        <f t="shared" si="6"/>
        <v>0</v>
      </c>
      <c r="AD22" s="75">
        <f>Valores!$C$30</f>
        <v>166.15</v>
      </c>
      <c r="AE22" s="79">
        <v>0</v>
      </c>
      <c r="AF22" s="75">
        <f>INT(((AE22*Valores!$C$2)*100)+0.5)/100</f>
        <v>0</v>
      </c>
      <c r="AG22" s="75">
        <f>Valores!$C$58</f>
        <v>337.97</v>
      </c>
      <c r="AH22" s="75">
        <f>Valores!$C$60</f>
        <v>96.56</v>
      </c>
      <c r="AI22" s="81">
        <f t="shared" si="7"/>
        <v>81452.499499999962</v>
      </c>
      <c r="AJ22" s="77">
        <f>Valores!$C$35</f>
        <v>666.25</v>
      </c>
      <c r="AK22" s="78">
        <f>Valores!$C$9</f>
        <v>0</v>
      </c>
      <c r="AL22" s="78">
        <f>Valores!$C$81</f>
        <v>1500</v>
      </c>
      <c r="AM22" s="80">
        <f>Valores!$C$50</f>
        <v>283.24</v>
      </c>
      <c r="AN22" s="82">
        <f t="shared" si="8"/>
        <v>2166.25</v>
      </c>
      <c r="AO22" s="83">
        <f>AI22*-Valores!$C$65</f>
        <v>-10588.824934999995</v>
      </c>
      <c r="AP22" s="83">
        <f>AI22*-Valores!$C$66</f>
        <v>-407.26249749999982</v>
      </c>
      <c r="AQ22" s="77">
        <f>AI22*-Valores!$C$67</f>
        <v>-3665.362477499998</v>
      </c>
      <c r="AR22" s="77">
        <f>AI22*-Valores!$C$68</f>
        <v>-2199.2174864999988</v>
      </c>
      <c r="AS22" s="77">
        <f>AI22*-Valores!$C$69</f>
        <v>-244.35749849999988</v>
      </c>
      <c r="AT22" s="81">
        <f t="shared" si="4"/>
        <v>68957.299589999981</v>
      </c>
      <c r="AU22" s="81">
        <f t="shared" si="5"/>
        <v>70179.087082499973</v>
      </c>
      <c r="AV22" s="77">
        <f>AI22*Valores!$C$71</f>
        <v>13032.399919999994</v>
      </c>
      <c r="AW22" s="77">
        <f>AI22*Valores!$C$72</f>
        <v>3665.362477499998</v>
      </c>
      <c r="AX22" s="77">
        <f>AI22*Valores!$C$73</f>
        <v>814.52499499999965</v>
      </c>
      <c r="AY22" s="77">
        <f>AI22*Valores!$C$75</f>
        <v>2850.8374824999987</v>
      </c>
      <c r="AZ22" s="77">
        <f>AI22*Valores!$C$76</f>
        <v>488.71499699999976</v>
      </c>
      <c r="BA22" s="77">
        <f t="shared" si="9"/>
        <v>4398.4349729999985</v>
      </c>
      <c r="BB22" s="51"/>
      <c r="BC22" s="51">
        <v>45</v>
      </c>
      <c r="BD22" s="27" t="s">
        <v>8</v>
      </c>
    </row>
    <row r="23" spans="1:56" s="27" customFormat="1" ht="11.25" customHeight="1" x14ac:dyDescent="0.2">
      <c r="A23" s="51">
        <v>22</v>
      </c>
      <c r="B23" s="51"/>
      <c r="C23" s="27" t="s">
        <v>188</v>
      </c>
      <c r="E23" s="27">
        <f t="shared" si="0"/>
        <v>18</v>
      </c>
      <c r="F23" s="71" t="s">
        <v>189</v>
      </c>
      <c r="G23" s="72">
        <v>100</v>
      </c>
      <c r="H23" s="73">
        <f>INT((G23*Valores!$C$2*100)+0.5)/100</f>
        <v>687.82</v>
      </c>
      <c r="I23" s="74">
        <v>3727</v>
      </c>
      <c r="J23" s="75">
        <f>INT((I23*Valores!$C$2*100)+0.5)/100</f>
        <v>25635.05</v>
      </c>
      <c r="K23" s="76">
        <v>219</v>
      </c>
      <c r="L23" s="75">
        <f>INT((K23*Valores!$C$2*100)+0.5)/100</f>
        <v>1506.33</v>
      </c>
      <c r="M23" s="72">
        <v>0</v>
      </c>
      <c r="N23" s="75">
        <f>INT((M23*Valores!$C$2*100)+0.5)/100</f>
        <v>0</v>
      </c>
      <c r="O23" s="75">
        <f t="shared" si="1"/>
        <v>4460.539499999999</v>
      </c>
      <c r="P23" s="75">
        <f t="shared" si="2"/>
        <v>0</v>
      </c>
      <c r="Q23" s="77">
        <f>Valores!$C$16</f>
        <v>4450.7</v>
      </c>
      <c r="R23" s="77">
        <f>Valores!$D$4</f>
        <v>3076.62</v>
      </c>
      <c r="S23" s="75">
        <v>0</v>
      </c>
      <c r="T23" s="78">
        <f>Valores!$C$43</f>
        <v>1907.73</v>
      </c>
      <c r="U23" s="75">
        <v>0</v>
      </c>
      <c r="V23" s="75">
        <f t="shared" si="3"/>
        <v>0</v>
      </c>
      <c r="W23" s="77">
        <f>SUM(H23,J23,L23)</f>
        <v>27829.199999999997</v>
      </c>
      <c r="X23" s="77">
        <f>INT((SUM(H23,J23,L23)*0.4*100)+0.49)/100</f>
        <v>11131.68</v>
      </c>
      <c r="Y23" s="79">
        <v>0</v>
      </c>
      <c r="Z23" s="75">
        <f>Y23*Valores!$C$2</f>
        <v>0</v>
      </c>
      <c r="AA23" s="75">
        <v>0</v>
      </c>
      <c r="AB23" s="80">
        <f>Valores!$C$29</f>
        <v>166.15</v>
      </c>
      <c r="AC23" s="75">
        <f t="shared" si="6"/>
        <v>0</v>
      </c>
      <c r="AD23" s="75">
        <f>Valores!$C$30</f>
        <v>166.15</v>
      </c>
      <c r="AE23" s="79">
        <v>0</v>
      </c>
      <c r="AF23" s="75">
        <f>INT(((AE23*Valores!$C$2)*100)+0.5)/100</f>
        <v>0</v>
      </c>
      <c r="AG23" s="75">
        <f>Valores!$C$58</f>
        <v>337.97</v>
      </c>
      <c r="AH23" s="75">
        <f>Valores!$C$60</f>
        <v>96.56</v>
      </c>
      <c r="AI23" s="81">
        <f t="shared" si="7"/>
        <v>81452.499499999962</v>
      </c>
      <c r="AJ23" s="77">
        <f>Valores!$C$35</f>
        <v>666.25</v>
      </c>
      <c r="AK23" s="78">
        <f>Valores!$C$9</f>
        <v>0</v>
      </c>
      <c r="AL23" s="78">
        <f>Valores!$C$81</f>
        <v>1500</v>
      </c>
      <c r="AM23" s="80">
        <f>Valores!$C$50</f>
        <v>283.24</v>
      </c>
      <c r="AN23" s="82">
        <f t="shared" si="8"/>
        <v>2166.25</v>
      </c>
      <c r="AO23" s="83">
        <f>AI23*-Valores!$C$65</f>
        <v>-10588.824934999995</v>
      </c>
      <c r="AP23" s="83">
        <f>AI23*-Valores!$C$66</f>
        <v>-407.26249749999982</v>
      </c>
      <c r="AQ23" s="77">
        <f>AI23*-Valores!$C$67</f>
        <v>-3665.362477499998</v>
      </c>
      <c r="AR23" s="77">
        <f>AI23*-Valores!$C$68</f>
        <v>-2199.2174864999988</v>
      </c>
      <c r="AS23" s="77">
        <f>AI23*-Valores!$C$69</f>
        <v>-244.35749849999988</v>
      </c>
      <c r="AT23" s="81">
        <f t="shared" si="4"/>
        <v>68957.299589999981</v>
      </c>
      <c r="AU23" s="81">
        <f t="shared" si="5"/>
        <v>70179.087082499973</v>
      </c>
      <c r="AV23" s="77">
        <f>AI23*Valores!$C$71</f>
        <v>13032.399919999994</v>
      </c>
      <c r="AW23" s="77">
        <f>AI23*Valores!$C$72</f>
        <v>3665.362477499998</v>
      </c>
      <c r="AX23" s="77">
        <f>AI23*Valores!$C$73</f>
        <v>814.52499499999965</v>
      </c>
      <c r="AY23" s="77">
        <f>AI23*Valores!$C$75</f>
        <v>2850.8374824999987</v>
      </c>
      <c r="AZ23" s="77">
        <f>AI23*Valores!$C$76</f>
        <v>488.71499699999976</v>
      </c>
      <c r="BA23" s="77">
        <f t="shared" si="9"/>
        <v>4398.4349729999985</v>
      </c>
      <c r="BB23" s="51"/>
      <c r="BC23" s="51">
        <v>45</v>
      </c>
      <c r="BD23" s="27" t="s">
        <v>8</v>
      </c>
    </row>
    <row r="24" spans="1:56" s="27" customFormat="1" ht="11.25" customHeight="1" x14ac:dyDescent="0.2">
      <c r="A24" s="51">
        <v>23</v>
      </c>
      <c r="B24" s="51"/>
      <c r="C24" s="27" t="s">
        <v>190</v>
      </c>
      <c r="E24" s="27">
        <f t="shared" si="0"/>
        <v>25</v>
      </c>
      <c r="F24" s="71" t="s">
        <v>191</v>
      </c>
      <c r="G24" s="72">
        <v>96</v>
      </c>
      <c r="H24" s="73">
        <f>INT((G24*Valores!$C$2*100)+0.5)/100</f>
        <v>660.31</v>
      </c>
      <c r="I24" s="74">
        <v>3737</v>
      </c>
      <c r="J24" s="75">
        <f>INT((I24*Valores!$C$2*100)+0.5)/100</f>
        <v>25703.83</v>
      </c>
      <c r="K24" s="76">
        <v>1220</v>
      </c>
      <c r="L24" s="75">
        <f>INT((K24*Valores!$C$2*100)+0.5)/100</f>
        <v>8391.4</v>
      </c>
      <c r="M24" s="72">
        <v>0</v>
      </c>
      <c r="N24" s="75">
        <f>INT((M24*Valores!$C$2*100)+0.5)/100</f>
        <v>0</v>
      </c>
      <c r="O24" s="75">
        <f t="shared" si="1"/>
        <v>5925.6090000000004</v>
      </c>
      <c r="P24" s="75">
        <f t="shared" si="2"/>
        <v>0</v>
      </c>
      <c r="Q24" s="77">
        <f>Valores!$C$19</f>
        <v>4643.83</v>
      </c>
      <c r="R24" s="77">
        <f>Valores!$D$4</f>
        <v>3076.62</v>
      </c>
      <c r="S24" s="75">
        <v>0</v>
      </c>
      <c r="T24" s="78">
        <f>Valores!$C$43</f>
        <v>1907.73</v>
      </c>
      <c r="U24" s="75">
        <f>Valores!$C$23</f>
        <v>2840.79</v>
      </c>
      <c r="V24" s="75">
        <f t="shared" si="3"/>
        <v>2840.79</v>
      </c>
      <c r="W24" s="75">
        <v>0</v>
      </c>
      <c r="X24" s="75">
        <v>0</v>
      </c>
      <c r="Y24" s="79">
        <v>0</v>
      </c>
      <c r="Z24" s="75">
        <f>Y24*Valores!$C$2</f>
        <v>0</v>
      </c>
      <c r="AA24" s="75">
        <v>0</v>
      </c>
      <c r="AB24" s="80">
        <f>Valores!$C$29</f>
        <v>166.15</v>
      </c>
      <c r="AC24" s="75">
        <f t="shared" si="6"/>
        <v>0</v>
      </c>
      <c r="AD24" s="75">
        <f>Valores!$C$30</f>
        <v>166.15</v>
      </c>
      <c r="AE24" s="79">
        <v>0</v>
      </c>
      <c r="AF24" s="75">
        <f>INT(((AE24*Valores!$C$2)*100)+0.5)/100</f>
        <v>0</v>
      </c>
      <c r="AG24" s="75">
        <f>Valores!$C$58</f>
        <v>337.97</v>
      </c>
      <c r="AH24" s="75">
        <f>Valores!$C$60</f>
        <v>96.56</v>
      </c>
      <c r="AI24" s="81">
        <f t="shared" si="7"/>
        <v>53916.949000000015</v>
      </c>
      <c r="AJ24" s="77">
        <f>Valores!$C$35</f>
        <v>666.25</v>
      </c>
      <c r="AK24" s="78">
        <f>Valores!$C$9</f>
        <v>0</v>
      </c>
      <c r="AL24" s="78">
        <f>Valores!$C$81</f>
        <v>1500</v>
      </c>
      <c r="AM24" s="80">
        <f>Valores!$C$50</f>
        <v>283.24</v>
      </c>
      <c r="AN24" s="82">
        <f t="shared" si="8"/>
        <v>2166.25</v>
      </c>
      <c r="AO24" s="83">
        <f>AI24*-Valores!$C$65</f>
        <v>-7009.203370000002</v>
      </c>
      <c r="AP24" s="83">
        <f>AI24*-Valores!$C$66</f>
        <v>-269.58474500000005</v>
      </c>
      <c r="AQ24" s="77">
        <f>AI24*-Valores!$C$67</f>
        <v>-2426.2627050000006</v>
      </c>
      <c r="AR24" s="77">
        <f>AI24*-Valores!$C$68</f>
        <v>-1455.7576230000004</v>
      </c>
      <c r="AS24" s="77">
        <f>AI24*-Valores!$C$69</f>
        <v>-161.75084700000005</v>
      </c>
      <c r="AT24" s="81">
        <f t="shared" si="4"/>
        <v>46378.148180000011</v>
      </c>
      <c r="AU24" s="81">
        <f t="shared" si="5"/>
        <v>47186.902415000011</v>
      </c>
      <c r="AV24" s="77">
        <f>AI24*Valores!$C$71</f>
        <v>8626.7118400000018</v>
      </c>
      <c r="AW24" s="77">
        <f>AI24*Valores!$C$72</f>
        <v>2426.2627050000006</v>
      </c>
      <c r="AX24" s="77">
        <f>AI24*Valores!$C$73</f>
        <v>539.16949000000011</v>
      </c>
      <c r="AY24" s="77">
        <f>AI24*Valores!$C$75</f>
        <v>1887.0932150000008</v>
      </c>
      <c r="AZ24" s="77">
        <f>AI24*Valores!$C$76</f>
        <v>323.5016940000001</v>
      </c>
      <c r="BA24" s="77">
        <f t="shared" si="9"/>
        <v>2911.5152460000013</v>
      </c>
      <c r="BB24" s="51"/>
      <c r="BC24" s="51">
        <v>45</v>
      </c>
      <c r="BD24" s="27" t="s">
        <v>4</v>
      </c>
    </row>
    <row r="25" spans="1:56" s="27" customFormat="1" ht="11.25" customHeight="1" x14ac:dyDescent="0.2">
      <c r="A25" s="51">
        <v>24</v>
      </c>
      <c r="B25" s="51"/>
      <c r="C25" s="27" t="s">
        <v>192</v>
      </c>
      <c r="E25" s="27">
        <f t="shared" si="0"/>
        <v>27</v>
      </c>
      <c r="F25" s="71" t="s">
        <v>193</v>
      </c>
      <c r="G25" s="72">
        <v>96</v>
      </c>
      <c r="H25" s="73">
        <f>INT((G25*Valores!$C$2*100)+0.5)/100</f>
        <v>660.31</v>
      </c>
      <c r="I25" s="74">
        <v>3737</v>
      </c>
      <c r="J25" s="75">
        <f>INT((I25*Valores!$C$2*100)+0.5)/100</f>
        <v>25703.83</v>
      </c>
      <c r="K25" s="76">
        <v>1220</v>
      </c>
      <c r="L25" s="75">
        <f>INT((K25*Valores!$C$2*100)+0.5)/100</f>
        <v>8391.4</v>
      </c>
      <c r="M25" s="72">
        <v>0</v>
      </c>
      <c r="N25" s="75">
        <f>INT((M25*Valores!$C$2*100)+0.5)/100</f>
        <v>0</v>
      </c>
      <c r="O25" s="75">
        <f t="shared" si="1"/>
        <v>5925.6090000000004</v>
      </c>
      <c r="P25" s="75">
        <f t="shared" si="2"/>
        <v>0</v>
      </c>
      <c r="Q25" s="77">
        <f>Valores!$C$19</f>
        <v>4643.83</v>
      </c>
      <c r="R25" s="77">
        <f>Valores!$D$4</f>
        <v>3076.62</v>
      </c>
      <c r="S25" s="75">
        <v>0</v>
      </c>
      <c r="T25" s="78">
        <f>Valores!$C$43</f>
        <v>1907.73</v>
      </c>
      <c r="U25" s="75">
        <f>Valores!$C$23</f>
        <v>2840.79</v>
      </c>
      <c r="V25" s="75">
        <f t="shared" si="3"/>
        <v>2840.79</v>
      </c>
      <c r="W25" s="75">
        <v>0</v>
      </c>
      <c r="X25" s="75">
        <v>0</v>
      </c>
      <c r="Y25" s="79">
        <v>0</v>
      </c>
      <c r="Z25" s="75">
        <f>Y25*Valores!$C$2</f>
        <v>0</v>
      </c>
      <c r="AA25" s="75">
        <v>0</v>
      </c>
      <c r="AB25" s="80">
        <f>Valores!$C$29</f>
        <v>166.15</v>
      </c>
      <c r="AC25" s="75">
        <f t="shared" si="6"/>
        <v>0</v>
      </c>
      <c r="AD25" s="75">
        <f>Valores!$C$30</f>
        <v>166.15</v>
      </c>
      <c r="AE25" s="79">
        <v>0</v>
      </c>
      <c r="AF25" s="75">
        <f>INT(((AE25*Valores!$C$2)*100)+0.5)/100</f>
        <v>0</v>
      </c>
      <c r="AG25" s="75">
        <f>Valores!$C$58</f>
        <v>337.97</v>
      </c>
      <c r="AH25" s="75">
        <f>Valores!$C$60</f>
        <v>96.56</v>
      </c>
      <c r="AI25" s="81">
        <f t="shared" si="7"/>
        <v>53916.949000000015</v>
      </c>
      <c r="AJ25" s="77">
        <f>Valores!$C$35</f>
        <v>666.25</v>
      </c>
      <c r="AK25" s="78">
        <f>Valores!$C$9</f>
        <v>0</v>
      </c>
      <c r="AL25" s="78">
        <f>Valores!$C$81</f>
        <v>1500</v>
      </c>
      <c r="AM25" s="80">
        <f>Valores!$C$50</f>
        <v>283.24</v>
      </c>
      <c r="AN25" s="82">
        <f t="shared" si="8"/>
        <v>2166.25</v>
      </c>
      <c r="AO25" s="83">
        <f>AI25*-Valores!$C$65</f>
        <v>-7009.203370000002</v>
      </c>
      <c r="AP25" s="83">
        <f>AI25*-Valores!$C$66</f>
        <v>-269.58474500000005</v>
      </c>
      <c r="AQ25" s="77">
        <f>AI25*-Valores!$C$67</f>
        <v>-2426.2627050000006</v>
      </c>
      <c r="AR25" s="77">
        <f>AI25*-Valores!$C$68</f>
        <v>-1455.7576230000004</v>
      </c>
      <c r="AS25" s="77">
        <f>AI25*-Valores!$C$69</f>
        <v>-161.75084700000005</v>
      </c>
      <c r="AT25" s="81">
        <f t="shared" si="4"/>
        <v>46378.148180000011</v>
      </c>
      <c r="AU25" s="81">
        <f t="shared" si="5"/>
        <v>47186.902415000011</v>
      </c>
      <c r="AV25" s="77">
        <f>AI25*Valores!$C$71</f>
        <v>8626.7118400000018</v>
      </c>
      <c r="AW25" s="77">
        <f>AI25*Valores!$C$72</f>
        <v>2426.2627050000006</v>
      </c>
      <c r="AX25" s="77">
        <f>AI25*Valores!$C$73</f>
        <v>539.16949000000011</v>
      </c>
      <c r="AY25" s="77">
        <f>AI25*Valores!$C$75</f>
        <v>1887.0932150000008</v>
      </c>
      <c r="AZ25" s="77">
        <f>AI25*Valores!$C$76</f>
        <v>323.5016940000001</v>
      </c>
      <c r="BA25" s="77">
        <f t="shared" si="9"/>
        <v>2911.5152460000013</v>
      </c>
      <c r="BB25" s="51"/>
      <c r="BC25" s="51">
        <v>45</v>
      </c>
      <c r="BD25" s="27" t="s">
        <v>4</v>
      </c>
    </row>
    <row r="26" spans="1:56" s="27" customFormat="1" ht="11.25" customHeight="1" x14ac:dyDescent="0.2">
      <c r="A26" s="85">
        <v>25</v>
      </c>
      <c r="B26" s="85" t="s">
        <v>163</v>
      </c>
      <c r="C26" s="86" t="s">
        <v>194</v>
      </c>
      <c r="D26" s="86"/>
      <c r="E26" s="86">
        <f t="shared" si="0"/>
        <v>24</v>
      </c>
      <c r="F26" s="87" t="s">
        <v>195</v>
      </c>
      <c r="G26" s="88">
        <v>96</v>
      </c>
      <c r="H26" s="89">
        <f>INT((G26*Valores!$C$2*100)+0.5)/100</f>
        <v>660.31</v>
      </c>
      <c r="I26" s="90">
        <v>3737</v>
      </c>
      <c r="J26" s="91">
        <f>INT((I26*Valores!$C$2*100)+0.5)/100</f>
        <v>25703.83</v>
      </c>
      <c r="K26" s="92">
        <v>1220</v>
      </c>
      <c r="L26" s="91">
        <f>INT((K26*Valores!$C$2*100)+0.5)/100</f>
        <v>8391.4</v>
      </c>
      <c r="M26" s="88">
        <v>0</v>
      </c>
      <c r="N26" s="91">
        <f>INT((M26*Valores!$C$2*100)+0.5)/100</f>
        <v>0</v>
      </c>
      <c r="O26" s="91">
        <f t="shared" si="1"/>
        <v>5925.6090000000004</v>
      </c>
      <c r="P26" s="91">
        <f t="shared" si="2"/>
        <v>0</v>
      </c>
      <c r="Q26" s="93">
        <f>Valores!$C$19</f>
        <v>4643.83</v>
      </c>
      <c r="R26" s="93">
        <f>Valores!$D$4</f>
        <v>3076.62</v>
      </c>
      <c r="S26" s="91">
        <v>0</v>
      </c>
      <c r="T26" s="94">
        <f>Valores!$C$43</f>
        <v>1907.73</v>
      </c>
      <c r="U26" s="91">
        <f>Valores!$C$23</f>
        <v>2840.79</v>
      </c>
      <c r="V26" s="91">
        <f t="shared" si="3"/>
        <v>2840.79</v>
      </c>
      <c r="W26" s="91">
        <v>0</v>
      </c>
      <c r="X26" s="91">
        <v>0</v>
      </c>
      <c r="Y26" s="95">
        <v>0</v>
      </c>
      <c r="Z26" s="91">
        <f>Y26*Valores!$C$2</f>
        <v>0</v>
      </c>
      <c r="AA26" s="91">
        <v>0</v>
      </c>
      <c r="AB26" s="96">
        <f>Valores!$C$29</f>
        <v>166.15</v>
      </c>
      <c r="AC26" s="91">
        <f t="shared" si="6"/>
        <v>0</v>
      </c>
      <c r="AD26" s="91">
        <f>Valores!$C$30</f>
        <v>166.15</v>
      </c>
      <c r="AE26" s="95">
        <v>0</v>
      </c>
      <c r="AF26" s="91">
        <f>INT(((AE26*Valores!$C$2)*100)+0.5)/100</f>
        <v>0</v>
      </c>
      <c r="AG26" s="91">
        <f>Valores!$C$58</f>
        <v>337.97</v>
      </c>
      <c r="AH26" s="91">
        <f>Valores!$C$60</f>
        <v>96.56</v>
      </c>
      <c r="AI26" s="97">
        <f t="shared" si="7"/>
        <v>53916.949000000015</v>
      </c>
      <c r="AJ26" s="93">
        <f>Valores!$C$35</f>
        <v>666.25</v>
      </c>
      <c r="AK26" s="94">
        <f>Valores!$C$9</f>
        <v>0</v>
      </c>
      <c r="AL26" s="94">
        <f>Valores!$C$81</f>
        <v>1500</v>
      </c>
      <c r="AM26" s="96">
        <f>Valores!$C$50</f>
        <v>283.24</v>
      </c>
      <c r="AN26" s="98">
        <f t="shared" si="8"/>
        <v>2166.25</v>
      </c>
      <c r="AO26" s="99">
        <f>AI26*-Valores!$C$65</f>
        <v>-7009.203370000002</v>
      </c>
      <c r="AP26" s="99">
        <f>AI26*-Valores!$C$66</f>
        <v>-269.58474500000005</v>
      </c>
      <c r="AQ26" s="93">
        <f>AI26*-Valores!$C$67</f>
        <v>-2426.2627050000006</v>
      </c>
      <c r="AR26" s="93">
        <f>AI26*-Valores!$C$68</f>
        <v>-1455.7576230000004</v>
      </c>
      <c r="AS26" s="93">
        <f>AI26*-Valores!$C$69</f>
        <v>-161.75084700000005</v>
      </c>
      <c r="AT26" s="97">
        <f t="shared" si="4"/>
        <v>46378.148180000011</v>
      </c>
      <c r="AU26" s="97">
        <f t="shared" si="5"/>
        <v>47186.902415000011</v>
      </c>
      <c r="AV26" s="93">
        <f>AI26*Valores!$C$71</f>
        <v>8626.7118400000018</v>
      </c>
      <c r="AW26" s="93">
        <f>AI26*Valores!$C$72</f>
        <v>2426.2627050000006</v>
      </c>
      <c r="AX26" s="93">
        <f>AI26*Valores!$C$73</f>
        <v>539.16949000000011</v>
      </c>
      <c r="AY26" s="93">
        <f>AI26*Valores!$C$75</f>
        <v>1887.0932150000008</v>
      </c>
      <c r="AZ26" s="93">
        <f>AI26*Valores!$C$76</f>
        <v>323.5016940000001</v>
      </c>
      <c r="BA26" s="93">
        <f t="shared" si="9"/>
        <v>2911.5152460000013</v>
      </c>
      <c r="BB26" s="85"/>
      <c r="BC26" s="85">
        <v>45</v>
      </c>
      <c r="BD26" s="86" t="s">
        <v>4</v>
      </c>
    </row>
    <row r="27" spans="1:56" s="27" customFormat="1" ht="11.25" customHeight="1" x14ac:dyDescent="0.2">
      <c r="A27" s="51">
        <v>26</v>
      </c>
      <c r="B27" s="51"/>
      <c r="C27" s="27" t="s">
        <v>196</v>
      </c>
      <c r="E27" s="27">
        <f t="shared" si="0"/>
        <v>22</v>
      </c>
      <c r="F27" s="71" t="s">
        <v>197</v>
      </c>
      <c r="G27" s="72">
        <v>107</v>
      </c>
      <c r="H27" s="73">
        <f>INT((G27*Valores!$C$2*100)+0.5)/100</f>
        <v>735.97</v>
      </c>
      <c r="I27" s="74">
        <v>3728</v>
      </c>
      <c r="J27" s="75">
        <f>INT((I27*Valores!$C$2*100)+0.5)/100</f>
        <v>25641.93</v>
      </c>
      <c r="K27" s="76">
        <v>1218</v>
      </c>
      <c r="L27" s="75">
        <f>INT((K27*Valores!$C$2*100)+0.5)/100</f>
        <v>8377.65</v>
      </c>
      <c r="M27" s="72">
        <v>0</v>
      </c>
      <c r="N27" s="75">
        <f>INT((M27*Valores!$C$2*100)+0.5)/100</f>
        <v>0</v>
      </c>
      <c r="O27" s="75">
        <f t="shared" si="1"/>
        <v>5925.6105000000007</v>
      </c>
      <c r="P27" s="75">
        <f t="shared" si="2"/>
        <v>0</v>
      </c>
      <c r="Q27" s="77">
        <f>Valores!$C$19</f>
        <v>4643.83</v>
      </c>
      <c r="R27" s="77">
        <f>Valores!$D$4</f>
        <v>3076.62</v>
      </c>
      <c r="S27" s="75">
        <v>0</v>
      </c>
      <c r="T27" s="78">
        <f>Valores!$C$43</f>
        <v>1907.73</v>
      </c>
      <c r="U27" s="75">
        <f>Valores!$C$23</f>
        <v>2840.79</v>
      </c>
      <c r="V27" s="75">
        <f t="shared" si="3"/>
        <v>2840.79</v>
      </c>
      <c r="W27" s="75">
        <v>0</v>
      </c>
      <c r="X27" s="75">
        <v>0</v>
      </c>
      <c r="Y27" s="79">
        <v>0</v>
      </c>
      <c r="Z27" s="75">
        <f>Y27*Valores!$C$2</f>
        <v>0</v>
      </c>
      <c r="AA27" s="75">
        <v>0</v>
      </c>
      <c r="AB27" s="80">
        <f>Valores!$C$29</f>
        <v>166.15</v>
      </c>
      <c r="AC27" s="75">
        <f t="shared" si="6"/>
        <v>0</v>
      </c>
      <c r="AD27" s="75">
        <f>Valores!$C$30</f>
        <v>166.15</v>
      </c>
      <c r="AE27" s="79">
        <v>0</v>
      </c>
      <c r="AF27" s="75">
        <f>INT(((AE27*Valores!$C$2)*100)+0.5)/100</f>
        <v>0</v>
      </c>
      <c r="AG27" s="75">
        <f>Valores!$C$58</f>
        <v>337.97</v>
      </c>
      <c r="AH27" s="75">
        <f>Valores!$C$60</f>
        <v>96.56</v>
      </c>
      <c r="AI27" s="81">
        <f t="shared" si="7"/>
        <v>53916.960500000016</v>
      </c>
      <c r="AJ27" s="77">
        <f>Valores!$C$35</f>
        <v>666.25</v>
      </c>
      <c r="AK27" s="78">
        <f>Valores!$C$9</f>
        <v>0</v>
      </c>
      <c r="AL27" s="78">
        <f>Valores!$C$81</f>
        <v>1500</v>
      </c>
      <c r="AM27" s="80">
        <f>Valores!$C$50</f>
        <v>283.24</v>
      </c>
      <c r="AN27" s="82">
        <f t="shared" si="8"/>
        <v>2166.25</v>
      </c>
      <c r="AO27" s="83">
        <f>AI27*-Valores!$C$65</f>
        <v>-7009.2048650000024</v>
      </c>
      <c r="AP27" s="83">
        <f>AI27*-Valores!$C$66</f>
        <v>-269.58480250000008</v>
      </c>
      <c r="AQ27" s="77">
        <f>AI27*-Valores!$C$67</f>
        <v>-2426.2632225000007</v>
      </c>
      <c r="AR27" s="77">
        <f>AI27*-Valores!$C$68</f>
        <v>-1455.7579335000005</v>
      </c>
      <c r="AS27" s="77">
        <f>AI27*-Valores!$C$69</f>
        <v>-161.75088150000005</v>
      </c>
      <c r="AT27" s="81">
        <f t="shared" si="4"/>
        <v>46378.157610000017</v>
      </c>
      <c r="AU27" s="81">
        <f t="shared" si="5"/>
        <v>47186.912017500021</v>
      </c>
      <c r="AV27" s="77">
        <f>AI27*Valores!$C$71</f>
        <v>8626.7136800000026</v>
      </c>
      <c r="AW27" s="77">
        <f>AI27*Valores!$C$72</f>
        <v>2426.2632225000007</v>
      </c>
      <c r="AX27" s="77">
        <f>AI27*Valores!$C$73</f>
        <v>539.16960500000016</v>
      </c>
      <c r="AY27" s="77">
        <f>AI27*Valores!$C$75</f>
        <v>1887.0936175000006</v>
      </c>
      <c r="AZ27" s="77">
        <f>AI27*Valores!$C$76</f>
        <v>323.5017630000001</v>
      </c>
      <c r="BA27" s="77">
        <f t="shared" si="9"/>
        <v>2911.515867000001</v>
      </c>
      <c r="BB27" s="51"/>
      <c r="BC27" s="51">
        <v>45</v>
      </c>
      <c r="BD27" s="27" t="s">
        <v>8</v>
      </c>
    </row>
    <row r="28" spans="1:56" s="27" customFormat="1" ht="11.25" customHeight="1" x14ac:dyDescent="0.2">
      <c r="A28" s="51">
        <v>27</v>
      </c>
      <c r="B28" s="51"/>
      <c r="C28" s="27" t="s">
        <v>198</v>
      </c>
      <c r="E28" s="27">
        <f t="shared" si="0"/>
        <v>29</v>
      </c>
      <c r="F28" s="71" t="s">
        <v>199</v>
      </c>
      <c r="G28" s="72">
        <v>94</v>
      </c>
      <c r="H28" s="73">
        <f>INT((G28*Valores!$C$2*100)+0.5)/100</f>
        <v>646.54999999999995</v>
      </c>
      <c r="I28" s="74">
        <v>3624</v>
      </c>
      <c r="J28" s="75">
        <f>INT((I28*Valores!$C$2*100)+0.5)/100</f>
        <v>24926.6</v>
      </c>
      <c r="K28" s="76">
        <v>1219</v>
      </c>
      <c r="L28" s="75">
        <f>INT((K28*Valores!$C$2*100)+0.5)/100</f>
        <v>8384.5300000000007</v>
      </c>
      <c r="M28" s="72">
        <v>0</v>
      </c>
      <c r="N28" s="75">
        <f>INT((M28*Valores!$C$2*100)+0.5)/100</f>
        <v>0</v>
      </c>
      <c r="O28" s="75">
        <f t="shared" si="1"/>
        <v>5805.93</v>
      </c>
      <c r="P28" s="75">
        <f t="shared" si="2"/>
        <v>0</v>
      </c>
      <c r="Q28" s="77">
        <f>Valores!$C$17</f>
        <v>4579.4399999999996</v>
      </c>
      <c r="R28" s="77">
        <f>Valores!$D$4</f>
        <v>3076.62</v>
      </c>
      <c r="S28" s="75">
        <v>0</v>
      </c>
      <c r="T28" s="78">
        <f>Valores!$C$43</f>
        <v>1907.73</v>
      </c>
      <c r="U28" s="75">
        <f>Valores!$C$23</f>
        <v>2840.79</v>
      </c>
      <c r="V28" s="75">
        <f t="shared" si="3"/>
        <v>2840.79</v>
      </c>
      <c r="W28" s="75">
        <v>0</v>
      </c>
      <c r="X28" s="75">
        <v>0</v>
      </c>
      <c r="Y28" s="79">
        <v>0</v>
      </c>
      <c r="Z28" s="75">
        <f>Y28*Valores!$C$2</f>
        <v>0</v>
      </c>
      <c r="AA28" s="75">
        <v>0</v>
      </c>
      <c r="AB28" s="80">
        <f>Valores!$C$29</f>
        <v>166.15</v>
      </c>
      <c r="AC28" s="75">
        <f t="shared" si="6"/>
        <v>0</v>
      </c>
      <c r="AD28" s="75">
        <f>Valores!$C$30</f>
        <v>166.15</v>
      </c>
      <c r="AE28" s="79">
        <v>0</v>
      </c>
      <c r="AF28" s="75">
        <f>INT(((AE28*Valores!$C$2)*100)+0.5)/100</f>
        <v>0</v>
      </c>
      <c r="AG28" s="75">
        <f>Valores!$C$58</f>
        <v>337.97</v>
      </c>
      <c r="AH28" s="75">
        <f>Valores!$C$60</f>
        <v>96.56</v>
      </c>
      <c r="AI28" s="81">
        <f t="shared" si="7"/>
        <v>52935.020000000011</v>
      </c>
      <c r="AJ28" s="77">
        <f>Valores!$C$35</f>
        <v>666.25</v>
      </c>
      <c r="AK28" s="78">
        <f>Valores!$C$9</f>
        <v>0</v>
      </c>
      <c r="AL28" s="78">
        <f>Valores!$C$81</f>
        <v>1500</v>
      </c>
      <c r="AM28" s="80">
        <f>Valores!$C$50</f>
        <v>283.24</v>
      </c>
      <c r="AN28" s="82">
        <f t="shared" si="8"/>
        <v>2166.25</v>
      </c>
      <c r="AO28" s="83">
        <f>AI28*-Valores!$C$65</f>
        <v>-6881.5526000000018</v>
      </c>
      <c r="AP28" s="83">
        <f>AI28*-Valores!$C$66</f>
        <v>-264.67510000000004</v>
      </c>
      <c r="AQ28" s="77">
        <f>AI28*-Valores!$C$67</f>
        <v>-2382.0759000000003</v>
      </c>
      <c r="AR28" s="77">
        <f>AI28*-Valores!$C$68</f>
        <v>-1429.2455400000003</v>
      </c>
      <c r="AS28" s="77">
        <f>AI28*-Valores!$C$69</f>
        <v>-158.80506000000003</v>
      </c>
      <c r="AT28" s="81">
        <f t="shared" si="4"/>
        <v>45572.966400000005</v>
      </c>
      <c r="AU28" s="81">
        <f t="shared" si="5"/>
        <v>46366.991700000006</v>
      </c>
      <c r="AV28" s="77">
        <f>AI28*Valores!$C$71</f>
        <v>8469.6032000000014</v>
      </c>
      <c r="AW28" s="77">
        <f>AI28*Valores!$C$72</f>
        <v>2382.0759000000003</v>
      </c>
      <c r="AX28" s="77">
        <f>AI28*Valores!$C$73</f>
        <v>529.35020000000009</v>
      </c>
      <c r="AY28" s="77">
        <f>AI28*Valores!$C$75</f>
        <v>1852.7257000000006</v>
      </c>
      <c r="AZ28" s="77">
        <f>AI28*Valores!$C$76</f>
        <v>317.61012000000005</v>
      </c>
      <c r="BA28" s="77">
        <f t="shared" si="9"/>
        <v>2858.4910800000007</v>
      </c>
      <c r="BB28" s="51"/>
      <c r="BC28" s="51">
        <v>45</v>
      </c>
      <c r="BD28" s="27" t="s">
        <v>4</v>
      </c>
    </row>
    <row r="29" spans="1:56" s="27" customFormat="1" ht="11.25" customHeight="1" x14ac:dyDescent="0.2">
      <c r="A29" s="51">
        <v>28</v>
      </c>
      <c r="B29" s="51"/>
      <c r="C29" s="27" t="s">
        <v>200</v>
      </c>
      <c r="E29" s="27">
        <f t="shared" si="0"/>
        <v>25</v>
      </c>
      <c r="F29" s="71" t="s">
        <v>201</v>
      </c>
      <c r="G29" s="72">
        <v>93</v>
      </c>
      <c r="H29" s="73">
        <f>INT((G29*Valores!$C$2*100)+0.5)/100</f>
        <v>639.66999999999996</v>
      </c>
      <c r="I29" s="74">
        <v>3627</v>
      </c>
      <c r="J29" s="75">
        <f>INT((I29*Valores!$C$2*100)+0.5)/100</f>
        <v>24947.23</v>
      </c>
      <c r="K29" s="76">
        <v>210</v>
      </c>
      <c r="L29" s="75">
        <f>INT((K29*Valores!$C$2*100)+0.5)/100</f>
        <v>1444.42</v>
      </c>
      <c r="M29" s="72">
        <v>0</v>
      </c>
      <c r="N29" s="75">
        <f>INT((M29*Valores!$C$2*100)+0.5)/100</f>
        <v>0</v>
      </c>
      <c r="O29" s="75">
        <f t="shared" si="1"/>
        <v>4766.9759999999997</v>
      </c>
      <c r="P29" s="75">
        <f t="shared" si="2"/>
        <v>0</v>
      </c>
      <c r="Q29" s="77">
        <f>Valores!$C$17</f>
        <v>4579.4399999999996</v>
      </c>
      <c r="R29" s="77">
        <f>Valores!$D$4</f>
        <v>3076.62</v>
      </c>
      <c r="S29" s="75">
        <v>0</v>
      </c>
      <c r="T29" s="78">
        <f>Valores!$C$43</f>
        <v>1907.73</v>
      </c>
      <c r="U29" s="75">
        <f>Valores!$C$23</f>
        <v>2840.79</v>
      </c>
      <c r="V29" s="75">
        <f t="shared" si="3"/>
        <v>2840.79</v>
      </c>
      <c r="W29" s="75">
        <v>0</v>
      </c>
      <c r="X29" s="75">
        <v>0</v>
      </c>
      <c r="Y29" s="79">
        <v>0</v>
      </c>
      <c r="Z29" s="75">
        <f>Y29*Valores!$C$2</f>
        <v>0</v>
      </c>
      <c r="AA29" s="75">
        <v>0</v>
      </c>
      <c r="AB29" s="80">
        <f>Valores!$C$29</f>
        <v>166.15</v>
      </c>
      <c r="AC29" s="75">
        <f t="shared" si="6"/>
        <v>0</v>
      </c>
      <c r="AD29" s="75">
        <f>Valores!$C$30</f>
        <v>166.15</v>
      </c>
      <c r="AE29" s="79">
        <v>0</v>
      </c>
      <c r="AF29" s="75">
        <f>INT(((AE29*Valores!$C$2)*100)+0.5)/100</f>
        <v>0</v>
      </c>
      <c r="AG29" s="75">
        <f>Valores!$C$58</f>
        <v>337.97</v>
      </c>
      <c r="AH29" s="75">
        <f>Valores!$C$60</f>
        <v>96.56</v>
      </c>
      <c r="AI29" s="81">
        <f t="shared" si="7"/>
        <v>44969.706000000006</v>
      </c>
      <c r="AJ29" s="77">
        <f>Valores!$C$35</f>
        <v>666.25</v>
      </c>
      <c r="AK29" s="78">
        <f>Valores!$C$9</f>
        <v>0</v>
      </c>
      <c r="AL29" s="78">
        <f>Valores!$C$81</f>
        <v>1500</v>
      </c>
      <c r="AM29" s="80">
        <f>Valores!$C$50</f>
        <v>283.24</v>
      </c>
      <c r="AN29" s="82">
        <f t="shared" si="8"/>
        <v>2166.25</v>
      </c>
      <c r="AO29" s="83">
        <f>AI29*-Valores!$C$65</f>
        <v>-5846.0617800000009</v>
      </c>
      <c r="AP29" s="83">
        <f>AI29*-Valores!$C$66</f>
        <v>-224.84853000000004</v>
      </c>
      <c r="AQ29" s="77">
        <f>AI29*-Valores!$C$67</f>
        <v>-2023.6367700000001</v>
      </c>
      <c r="AR29" s="77">
        <f>AI29*-Valores!$C$68</f>
        <v>-1214.1820620000001</v>
      </c>
      <c r="AS29" s="77">
        <f>AI29*-Valores!$C$69</f>
        <v>-134.90911800000001</v>
      </c>
      <c r="AT29" s="81">
        <f t="shared" si="4"/>
        <v>39041.408920000002</v>
      </c>
      <c r="AU29" s="81">
        <f t="shared" si="5"/>
        <v>39715.954509999996</v>
      </c>
      <c r="AV29" s="77">
        <f>AI29*Valores!$C$71</f>
        <v>7195.1529600000013</v>
      </c>
      <c r="AW29" s="77">
        <f>AI29*Valores!$C$72</f>
        <v>2023.6367700000001</v>
      </c>
      <c r="AX29" s="77">
        <f>AI29*Valores!$C$73</f>
        <v>449.69706000000008</v>
      </c>
      <c r="AY29" s="77">
        <f>AI29*Valores!$C$75</f>
        <v>1573.9397100000003</v>
      </c>
      <c r="AZ29" s="77">
        <f>AI29*Valores!$C$76</f>
        <v>269.81823600000001</v>
      </c>
      <c r="BA29" s="77">
        <f t="shared" si="9"/>
        <v>2428.3641240000006</v>
      </c>
      <c r="BB29" s="51"/>
      <c r="BC29" s="51">
        <v>45</v>
      </c>
      <c r="BD29" s="27" t="s">
        <v>8</v>
      </c>
    </row>
    <row r="30" spans="1:56" s="27" customFormat="1" ht="11.25" customHeight="1" x14ac:dyDescent="0.2">
      <c r="A30" s="51">
        <v>29</v>
      </c>
      <c r="B30" s="51"/>
      <c r="C30" s="27" t="s">
        <v>202</v>
      </c>
      <c r="E30" s="27">
        <f t="shared" si="0"/>
        <v>32</v>
      </c>
      <c r="F30" s="71" t="s">
        <v>203</v>
      </c>
      <c r="G30" s="72">
        <v>93</v>
      </c>
      <c r="H30" s="73">
        <f>INT((G30*Valores!$C$2*100)+0.5)/100</f>
        <v>639.66999999999996</v>
      </c>
      <c r="I30" s="74">
        <v>3630</v>
      </c>
      <c r="J30" s="75">
        <f>INT((I30*Valores!$C$2*100)+0.5)/100</f>
        <v>24967.87</v>
      </c>
      <c r="K30" s="76">
        <v>1214</v>
      </c>
      <c r="L30" s="75">
        <f>INT((K30*Valores!$C$2*100)+0.5)/100</f>
        <v>8350.1299999999992</v>
      </c>
      <c r="M30" s="72">
        <v>0</v>
      </c>
      <c r="N30" s="75">
        <f>INT((M30*Valores!$C$2*100)+0.5)/100</f>
        <v>0</v>
      </c>
      <c r="O30" s="75">
        <f t="shared" si="1"/>
        <v>5805.9285</v>
      </c>
      <c r="P30" s="75">
        <f t="shared" si="2"/>
        <v>0</v>
      </c>
      <c r="Q30" s="77">
        <f>Valores!$C$17</f>
        <v>4579.4399999999996</v>
      </c>
      <c r="R30" s="77">
        <f>Valores!$D$4</f>
        <v>3076.62</v>
      </c>
      <c r="S30" s="75">
        <v>0</v>
      </c>
      <c r="T30" s="78">
        <f>Valores!$C$43</f>
        <v>1907.73</v>
      </c>
      <c r="U30" s="75">
        <f>Valores!$C$23</f>
        <v>2840.79</v>
      </c>
      <c r="V30" s="75">
        <f t="shared" si="3"/>
        <v>2840.79</v>
      </c>
      <c r="W30" s="75">
        <v>0</v>
      </c>
      <c r="X30" s="75">
        <v>0</v>
      </c>
      <c r="Y30" s="79">
        <v>0</v>
      </c>
      <c r="Z30" s="75">
        <f>Y30*Valores!$C$2</f>
        <v>0</v>
      </c>
      <c r="AA30" s="75">
        <v>0</v>
      </c>
      <c r="AB30" s="80">
        <f>Valores!$C$29</f>
        <v>166.15</v>
      </c>
      <c r="AC30" s="75">
        <f t="shared" si="6"/>
        <v>0</v>
      </c>
      <c r="AD30" s="75">
        <f>Valores!$C$30</f>
        <v>166.15</v>
      </c>
      <c r="AE30" s="79">
        <v>0</v>
      </c>
      <c r="AF30" s="75">
        <f>INT(((AE30*Valores!$C$2)*100)+0.5)/100</f>
        <v>0</v>
      </c>
      <c r="AG30" s="75">
        <f>Valores!$C$58</f>
        <v>337.97</v>
      </c>
      <c r="AH30" s="75">
        <f>Valores!$C$60</f>
        <v>96.56</v>
      </c>
      <c r="AI30" s="81">
        <f t="shared" si="7"/>
        <v>52935.008500000011</v>
      </c>
      <c r="AJ30" s="77">
        <f>Valores!$C$35</f>
        <v>666.25</v>
      </c>
      <c r="AK30" s="78">
        <f>Valores!$C$9</f>
        <v>0</v>
      </c>
      <c r="AL30" s="78">
        <f>Valores!$C$81</f>
        <v>1500</v>
      </c>
      <c r="AM30" s="80">
        <f>Valores!$C$50</f>
        <v>283.24</v>
      </c>
      <c r="AN30" s="82">
        <f t="shared" si="8"/>
        <v>2166.25</v>
      </c>
      <c r="AO30" s="83">
        <f>AI30*-Valores!$C$65</f>
        <v>-6881.5511050000014</v>
      </c>
      <c r="AP30" s="83">
        <f>AI30*-Valores!$C$66</f>
        <v>-264.67504250000007</v>
      </c>
      <c r="AQ30" s="77">
        <f>AI30*-Valores!$C$67</f>
        <v>-2382.0753825000006</v>
      </c>
      <c r="AR30" s="77">
        <f>AI30*-Valores!$C$68</f>
        <v>-1429.2452295000003</v>
      </c>
      <c r="AS30" s="77">
        <f>AI30*-Valores!$C$69</f>
        <v>-158.80502550000003</v>
      </c>
      <c r="AT30" s="81">
        <f t="shared" si="4"/>
        <v>45572.956970000014</v>
      </c>
      <c r="AU30" s="81">
        <f t="shared" si="5"/>
        <v>46366.982097500011</v>
      </c>
      <c r="AV30" s="77">
        <f>AI30*Valores!$C$71</f>
        <v>8469.6013600000024</v>
      </c>
      <c r="AW30" s="77">
        <f>AI30*Valores!$C$72</f>
        <v>2382.0753825000006</v>
      </c>
      <c r="AX30" s="77">
        <f>AI30*Valores!$C$73</f>
        <v>529.35008500000015</v>
      </c>
      <c r="AY30" s="77">
        <f>AI30*Valores!$C$75</f>
        <v>1852.7252975000006</v>
      </c>
      <c r="AZ30" s="77">
        <f>AI30*Valores!$C$76</f>
        <v>317.61005100000006</v>
      </c>
      <c r="BA30" s="77">
        <f t="shared" si="9"/>
        <v>2858.490459000001</v>
      </c>
      <c r="BB30" s="51"/>
      <c r="BC30" s="51">
        <v>45</v>
      </c>
      <c r="BD30" s="27" t="s">
        <v>4</v>
      </c>
    </row>
    <row r="31" spans="1:56" s="27" customFormat="1" ht="11.25" customHeight="1" x14ac:dyDescent="0.2">
      <c r="A31" s="85">
        <v>30</v>
      </c>
      <c r="B31" s="85" t="s">
        <v>163</v>
      </c>
      <c r="C31" s="86" t="s">
        <v>204</v>
      </c>
      <c r="D31" s="86"/>
      <c r="E31" s="86">
        <f t="shared" si="0"/>
        <v>35</v>
      </c>
      <c r="F31" s="87" t="s">
        <v>205</v>
      </c>
      <c r="G31" s="88">
        <v>96</v>
      </c>
      <c r="H31" s="89">
        <f>INT((G31*Valores!$C$2*100)+0.5)/100</f>
        <v>660.31</v>
      </c>
      <c r="I31" s="90">
        <v>3737</v>
      </c>
      <c r="J31" s="91">
        <f>INT((I31*Valores!$C$2*100)+0.5)/100</f>
        <v>25703.83</v>
      </c>
      <c r="K31" s="92">
        <v>1220</v>
      </c>
      <c r="L31" s="91">
        <f>INT((K31*Valores!$C$2*100)+0.5)/100</f>
        <v>8391.4</v>
      </c>
      <c r="M31" s="88">
        <v>0</v>
      </c>
      <c r="N31" s="91">
        <f>INT((M31*Valores!$C$2*100)+0.5)/100</f>
        <v>0</v>
      </c>
      <c r="O31" s="91">
        <f t="shared" si="1"/>
        <v>5925.6090000000004</v>
      </c>
      <c r="P31" s="91">
        <f t="shared" si="2"/>
        <v>0</v>
      </c>
      <c r="Q31" s="93">
        <f>Valores!$C$19</f>
        <v>4643.83</v>
      </c>
      <c r="R31" s="93">
        <f>Valores!$D$4</f>
        <v>3076.62</v>
      </c>
      <c r="S31" s="91">
        <v>0</v>
      </c>
      <c r="T31" s="94">
        <f>Valores!$C$43</f>
        <v>1907.73</v>
      </c>
      <c r="U31" s="91">
        <f>Valores!$C$23</f>
        <v>2840.79</v>
      </c>
      <c r="V31" s="91">
        <f t="shared" si="3"/>
        <v>2840.79</v>
      </c>
      <c r="W31" s="91">
        <v>0</v>
      </c>
      <c r="X31" s="91">
        <v>0</v>
      </c>
      <c r="Y31" s="95">
        <v>0</v>
      </c>
      <c r="Z31" s="91">
        <f>Y31*Valores!$C$2</f>
        <v>0</v>
      </c>
      <c r="AA31" s="91">
        <f>SUM(L31,J31,H31,T31)*Valores!$C$3</f>
        <v>5499.4905000000008</v>
      </c>
      <c r="AB31" s="96">
        <f>Valores!$C$29</f>
        <v>166.15</v>
      </c>
      <c r="AC31" s="91">
        <f t="shared" si="6"/>
        <v>0</v>
      </c>
      <c r="AD31" s="91">
        <f>Valores!$C$30</f>
        <v>166.15</v>
      </c>
      <c r="AE31" s="95">
        <v>0</v>
      </c>
      <c r="AF31" s="91">
        <f>INT(((AE31*Valores!$C$2)*100)+0.5)/100</f>
        <v>0</v>
      </c>
      <c r="AG31" s="91">
        <f>Valores!$C$58</f>
        <v>337.97</v>
      </c>
      <c r="AH31" s="91">
        <f>Valores!$C$60</f>
        <v>96.56</v>
      </c>
      <c r="AI31" s="97">
        <f t="shared" si="7"/>
        <v>59416.439500000015</v>
      </c>
      <c r="AJ31" s="93">
        <f>Valores!$C$35</f>
        <v>666.25</v>
      </c>
      <c r="AK31" s="94">
        <f>Valores!$C$9</f>
        <v>0</v>
      </c>
      <c r="AL31" s="94">
        <f>Valores!$C$81</f>
        <v>1500</v>
      </c>
      <c r="AM31" s="96">
        <f>Valores!$C$50</f>
        <v>283.24</v>
      </c>
      <c r="AN31" s="98">
        <f t="shared" si="8"/>
        <v>2166.25</v>
      </c>
      <c r="AO31" s="99">
        <f>AI31*-Valores!$C$65</f>
        <v>-7724.1371350000018</v>
      </c>
      <c r="AP31" s="99">
        <f>AI31*-Valores!$C$66</f>
        <v>-297.08219750000006</v>
      </c>
      <c r="AQ31" s="93">
        <f>AI31*-Valores!$C$67</f>
        <v>-2673.7397775000004</v>
      </c>
      <c r="AR31" s="93">
        <f>AI31*-Valores!$C$68</f>
        <v>-1604.2438665000004</v>
      </c>
      <c r="AS31" s="93">
        <f>AI31*-Valores!$C$69</f>
        <v>-178.24931850000004</v>
      </c>
      <c r="AT31" s="97">
        <f t="shared" si="4"/>
        <v>50887.730390000012</v>
      </c>
      <c r="AU31" s="97">
        <f t="shared" si="5"/>
        <v>51778.976982500011</v>
      </c>
      <c r="AV31" s="93">
        <f>AI31*Valores!$C$71</f>
        <v>9506.630320000002</v>
      </c>
      <c r="AW31" s="93">
        <f>AI31*Valores!$C$72</f>
        <v>2673.7397775000004</v>
      </c>
      <c r="AX31" s="93">
        <f>AI31*Valores!$C$73</f>
        <v>594.16439500000013</v>
      </c>
      <c r="AY31" s="93">
        <f>AI31*Valores!$C$75</f>
        <v>2079.5753825000006</v>
      </c>
      <c r="AZ31" s="93">
        <f>AI31*Valores!$C$76</f>
        <v>356.49863700000009</v>
      </c>
      <c r="BA31" s="93">
        <f t="shared" si="9"/>
        <v>3208.4877330000013</v>
      </c>
      <c r="BB31" s="85"/>
      <c r="BC31" s="85">
        <v>45</v>
      </c>
      <c r="BD31" s="86" t="s">
        <v>8</v>
      </c>
    </row>
    <row r="32" spans="1:56" s="27" customFormat="1" ht="11.25" customHeight="1" x14ac:dyDescent="0.2">
      <c r="A32" s="51">
        <v>31</v>
      </c>
      <c r="B32" s="51"/>
      <c r="C32" s="27" t="s">
        <v>206</v>
      </c>
      <c r="E32" s="27">
        <f t="shared" si="0"/>
        <v>20</v>
      </c>
      <c r="F32" s="71" t="s">
        <v>207</v>
      </c>
      <c r="G32" s="72">
        <v>92</v>
      </c>
      <c r="H32" s="73">
        <f>INT((G32*Valores!$C$2*100)+0.5)/100</f>
        <v>632.79</v>
      </c>
      <c r="I32" s="74">
        <v>3483</v>
      </c>
      <c r="J32" s="75">
        <f>INT((I32*Valores!$C$2*100)+0.5)/100</f>
        <v>23956.77</v>
      </c>
      <c r="K32" s="76">
        <v>1217</v>
      </c>
      <c r="L32" s="75">
        <f>INT((K32*Valores!$C$2*100)+0.5)/100</f>
        <v>8370.77</v>
      </c>
      <c r="M32" s="72">
        <v>0</v>
      </c>
      <c r="N32" s="75">
        <f>INT((M32*Valores!$C$2*100)+0.5)/100</f>
        <v>0</v>
      </c>
      <c r="O32" s="75">
        <f t="shared" si="1"/>
        <v>5656.3275000000003</v>
      </c>
      <c r="P32" s="75">
        <f t="shared" si="2"/>
        <v>0</v>
      </c>
      <c r="Q32" s="77">
        <f>Valores!$C$18</f>
        <v>8155.5</v>
      </c>
      <c r="R32" s="77">
        <f>Valores!$D$4</f>
        <v>3076.62</v>
      </c>
      <c r="S32" s="75">
        <v>0</v>
      </c>
      <c r="T32" s="78">
        <f>Valores!$C$43</f>
        <v>1907.73</v>
      </c>
      <c r="U32" s="75">
        <f>Valores!$C$23</f>
        <v>2840.79</v>
      </c>
      <c r="V32" s="75">
        <f t="shared" si="3"/>
        <v>2840.79</v>
      </c>
      <c r="W32" s="75">
        <v>0</v>
      </c>
      <c r="X32" s="75">
        <v>0</v>
      </c>
      <c r="Y32" s="79">
        <v>0</v>
      </c>
      <c r="Z32" s="75">
        <f>Y32*Valores!$C$2</f>
        <v>0</v>
      </c>
      <c r="AA32" s="75">
        <v>0</v>
      </c>
      <c r="AB32" s="80">
        <f>Valores!$C$29</f>
        <v>166.15</v>
      </c>
      <c r="AC32" s="75">
        <f t="shared" si="6"/>
        <v>0</v>
      </c>
      <c r="AD32" s="75">
        <f>Valores!$C$30</f>
        <v>166.15</v>
      </c>
      <c r="AE32" s="79">
        <v>0</v>
      </c>
      <c r="AF32" s="75">
        <f>INT(((AE32*Valores!$C$2)*100)+0.5)/100</f>
        <v>0</v>
      </c>
      <c r="AG32" s="75">
        <f>Valores!$C$58</f>
        <v>337.97</v>
      </c>
      <c r="AH32" s="75">
        <f>Valores!$C$60</f>
        <v>96.56</v>
      </c>
      <c r="AI32" s="81">
        <f t="shared" si="7"/>
        <v>55364.12750000001</v>
      </c>
      <c r="AJ32" s="77">
        <f>Valores!$C$35</f>
        <v>666.25</v>
      </c>
      <c r="AK32" s="78">
        <f>Valores!$C$9</f>
        <v>0</v>
      </c>
      <c r="AL32" s="78">
        <f>Valores!$C$83</f>
        <v>3000</v>
      </c>
      <c r="AM32" s="80">
        <f>Valores!$C$50</f>
        <v>283.24</v>
      </c>
      <c r="AN32" s="82">
        <f t="shared" si="8"/>
        <v>3666.25</v>
      </c>
      <c r="AO32" s="83">
        <f>AI32*-Valores!$C$65</f>
        <v>-7197.3365750000012</v>
      </c>
      <c r="AP32" s="83">
        <f>AI32*-Valores!$C$66</f>
        <v>-276.82063750000003</v>
      </c>
      <c r="AQ32" s="77">
        <f>AI32*-Valores!$C$67</f>
        <v>-2491.3857375000002</v>
      </c>
      <c r="AR32" s="77">
        <f>AI32*-Valores!$C$68</f>
        <v>-1494.8314425000003</v>
      </c>
      <c r="AS32" s="77">
        <f>AI32*-Valores!$C$69</f>
        <v>-166.09238250000004</v>
      </c>
      <c r="AT32" s="81">
        <f t="shared" si="4"/>
        <v>49064.834550000007</v>
      </c>
      <c r="AU32" s="81">
        <f t="shared" si="5"/>
        <v>49895.29646250001</v>
      </c>
      <c r="AV32" s="77">
        <f>AI32*Valores!$C$71</f>
        <v>8858.260400000001</v>
      </c>
      <c r="AW32" s="77">
        <f>AI32*Valores!$C$72</f>
        <v>2491.3857375000002</v>
      </c>
      <c r="AX32" s="77">
        <f>AI32*Valores!$C$73</f>
        <v>553.64127500000006</v>
      </c>
      <c r="AY32" s="77">
        <f>AI32*Valores!$C$75</f>
        <v>1937.7444625000005</v>
      </c>
      <c r="AZ32" s="77">
        <f>AI32*Valores!$C$76</f>
        <v>332.18476500000008</v>
      </c>
      <c r="BA32" s="77">
        <f t="shared" si="9"/>
        <v>2989.6628850000006</v>
      </c>
      <c r="BB32" s="51"/>
      <c r="BC32" s="51">
        <v>45</v>
      </c>
      <c r="BD32" s="27" t="s">
        <v>4</v>
      </c>
    </row>
    <row r="33" spans="1:56" s="27" customFormat="1" ht="11.25" customHeight="1" x14ac:dyDescent="0.2">
      <c r="A33" s="51">
        <v>32</v>
      </c>
      <c r="B33" s="51"/>
      <c r="C33" s="27" t="s">
        <v>208</v>
      </c>
      <c r="E33" s="27">
        <f t="shared" si="0"/>
        <v>30</v>
      </c>
      <c r="F33" s="71" t="s">
        <v>209</v>
      </c>
      <c r="G33" s="72">
        <v>85</v>
      </c>
      <c r="H33" s="73">
        <f>INT((G33*Valores!$C$2*100)+0.5)/100</f>
        <v>584.65</v>
      </c>
      <c r="I33" s="74">
        <v>3498</v>
      </c>
      <c r="J33" s="75">
        <f>INT((I33*Valores!$C$2*100)+0.5)/100</f>
        <v>24059.94</v>
      </c>
      <c r="K33" s="76">
        <v>1209</v>
      </c>
      <c r="L33" s="75">
        <f>INT((K33*Valores!$C$2*100)+0.5)/100</f>
        <v>8315.74</v>
      </c>
      <c r="M33" s="72">
        <v>0</v>
      </c>
      <c r="N33" s="75">
        <f>INT((M33*Valores!$C$2*100)+0.5)/100</f>
        <v>0</v>
      </c>
      <c r="O33" s="75">
        <f t="shared" si="1"/>
        <v>5656.3275000000003</v>
      </c>
      <c r="P33" s="75">
        <f t="shared" si="2"/>
        <v>0</v>
      </c>
      <c r="Q33" s="77">
        <f>Valores!$C$18</f>
        <v>8155.5</v>
      </c>
      <c r="R33" s="77">
        <f>Valores!$D$4</f>
        <v>3076.62</v>
      </c>
      <c r="S33" s="75">
        <v>0</v>
      </c>
      <c r="T33" s="78">
        <f>Valores!$C$43</f>
        <v>1907.73</v>
      </c>
      <c r="U33" s="75">
        <f>Valores!$C$23</f>
        <v>2840.79</v>
      </c>
      <c r="V33" s="75">
        <f t="shared" si="3"/>
        <v>2840.79</v>
      </c>
      <c r="W33" s="75">
        <v>0</v>
      </c>
      <c r="X33" s="75">
        <v>0</v>
      </c>
      <c r="Y33" s="79">
        <v>0</v>
      </c>
      <c r="Z33" s="75">
        <f>Y33*Valores!$C$2</f>
        <v>0</v>
      </c>
      <c r="AA33" s="75">
        <v>0</v>
      </c>
      <c r="AB33" s="80">
        <f>Valores!$C$29</f>
        <v>166.15</v>
      </c>
      <c r="AC33" s="75">
        <f t="shared" si="6"/>
        <v>0</v>
      </c>
      <c r="AD33" s="75">
        <f>Valores!$C$30</f>
        <v>166.15</v>
      </c>
      <c r="AE33" s="79">
        <v>0</v>
      </c>
      <c r="AF33" s="75">
        <f>INT(((AE33*Valores!$C$2)*100)+0.5)/100</f>
        <v>0</v>
      </c>
      <c r="AG33" s="75">
        <f>Valores!$C$58</f>
        <v>337.97</v>
      </c>
      <c r="AH33" s="75">
        <f>Valores!$C$60</f>
        <v>96.56</v>
      </c>
      <c r="AI33" s="81">
        <f t="shared" si="7"/>
        <v>55364.12750000001</v>
      </c>
      <c r="AJ33" s="77">
        <f>Valores!$C$35</f>
        <v>666.25</v>
      </c>
      <c r="AK33" s="78">
        <f>Valores!$C$9</f>
        <v>0</v>
      </c>
      <c r="AL33" s="78">
        <f>Valores!$C$83</f>
        <v>3000</v>
      </c>
      <c r="AM33" s="80">
        <f>Valores!$C$50</f>
        <v>283.24</v>
      </c>
      <c r="AN33" s="82">
        <f t="shared" si="8"/>
        <v>3666.25</v>
      </c>
      <c r="AO33" s="83">
        <f>AI33*-Valores!$C$65</f>
        <v>-7197.3365750000012</v>
      </c>
      <c r="AP33" s="83">
        <f>AI33*-Valores!$C$66</f>
        <v>-276.82063750000003</v>
      </c>
      <c r="AQ33" s="77">
        <f>AI33*-Valores!$C$67</f>
        <v>-2491.3857375000002</v>
      </c>
      <c r="AR33" s="77">
        <f>AI33*-Valores!$C$68</f>
        <v>-1494.8314425000003</v>
      </c>
      <c r="AS33" s="77">
        <f>AI33*-Valores!$C$69</f>
        <v>-166.09238250000004</v>
      </c>
      <c r="AT33" s="81">
        <f t="shared" si="4"/>
        <v>49064.834550000007</v>
      </c>
      <c r="AU33" s="81">
        <f t="shared" si="5"/>
        <v>49895.29646250001</v>
      </c>
      <c r="AV33" s="77">
        <f>AI33*Valores!$C$71</f>
        <v>8858.260400000001</v>
      </c>
      <c r="AW33" s="77">
        <f>AI33*Valores!$C$72</f>
        <v>2491.3857375000002</v>
      </c>
      <c r="AX33" s="77">
        <f>AI33*Valores!$C$73</f>
        <v>553.64127500000006</v>
      </c>
      <c r="AY33" s="77">
        <f>AI33*Valores!$C$75</f>
        <v>1937.7444625000005</v>
      </c>
      <c r="AZ33" s="77">
        <f>AI33*Valores!$C$76</f>
        <v>332.18476500000008</v>
      </c>
      <c r="BA33" s="77">
        <f t="shared" si="9"/>
        <v>2989.6628850000006</v>
      </c>
      <c r="BB33" s="51"/>
      <c r="BC33" s="51">
        <v>45</v>
      </c>
      <c r="BD33" s="27" t="s">
        <v>4</v>
      </c>
    </row>
    <row r="34" spans="1:56" s="27" customFormat="1" ht="11.25" customHeight="1" x14ac:dyDescent="0.2">
      <c r="A34" s="51">
        <v>33</v>
      </c>
      <c r="B34" s="51"/>
      <c r="C34" s="27" t="s">
        <v>210</v>
      </c>
      <c r="E34" s="27">
        <f t="shared" si="0"/>
        <v>16</v>
      </c>
      <c r="F34" s="71" t="s">
        <v>211</v>
      </c>
      <c r="G34" s="72">
        <v>92</v>
      </c>
      <c r="H34" s="73">
        <f>INT((G34*Valores!$C$2*100)+0.5)/100</f>
        <v>632.79</v>
      </c>
      <c r="I34" s="74">
        <v>3483</v>
      </c>
      <c r="J34" s="75">
        <f>INT((I34*Valores!$C$2*100)+0.5)/100</f>
        <v>23956.77</v>
      </c>
      <c r="K34" s="76">
        <v>1217</v>
      </c>
      <c r="L34" s="75">
        <f>INT((K34*Valores!$C$2*100)+0.5)/100</f>
        <v>8370.77</v>
      </c>
      <c r="M34" s="72">
        <v>0</v>
      </c>
      <c r="N34" s="75">
        <f>INT((M34*Valores!$C$2*100)+0.5)/100</f>
        <v>0</v>
      </c>
      <c r="O34" s="75">
        <f t="shared" si="1"/>
        <v>5656.3275000000003</v>
      </c>
      <c r="P34" s="75">
        <f t="shared" si="2"/>
        <v>0</v>
      </c>
      <c r="Q34" s="77">
        <f>Valores!$C$18</f>
        <v>8155.5</v>
      </c>
      <c r="R34" s="77">
        <f>Valores!$D$4</f>
        <v>3076.62</v>
      </c>
      <c r="S34" s="75">
        <v>0</v>
      </c>
      <c r="T34" s="78">
        <f>Valores!$C$43</f>
        <v>1907.73</v>
      </c>
      <c r="U34" s="75">
        <f>Valores!$C$23</f>
        <v>2840.79</v>
      </c>
      <c r="V34" s="75">
        <f t="shared" si="3"/>
        <v>2840.79</v>
      </c>
      <c r="W34" s="75">
        <v>0</v>
      </c>
      <c r="X34" s="75">
        <v>0</v>
      </c>
      <c r="Y34" s="79">
        <v>0</v>
      </c>
      <c r="Z34" s="75">
        <f>Y34*Valores!$C$2</f>
        <v>0</v>
      </c>
      <c r="AA34" s="75">
        <v>0</v>
      </c>
      <c r="AB34" s="80">
        <f>Valores!$C$29</f>
        <v>166.15</v>
      </c>
      <c r="AC34" s="75">
        <f t="shared" si="6"/>
        <v>0</v>
      </c>
      <c r="AD34" s="75">
        <f>Valores!$C$30</f>
        <v>166.15</v>
      </c>
      <c r="AE34" s="79">
        <v>0</v>
      </c>
      <c r="AF34" s="75">
        <f>INT(((AE34*Valores!$C$2)*100)+0.5)/100</f>
        <v>0</v>
      </c>
      <c r="AG34" s="75">
        <f>Valores!$C$58</f>
        <v>337.97</v>
      </c>
      <c r="AH34" s="75">
        <f>Valores!$C$60</f>
        <v>96.56</v>
      </c>
      <c r="AI34" s="81">
        <f t="shared" si="7"/>
        <v>55364.12750000001</v>
      </c>
      <c r="AJ34" s="77">
        <f>Valores!$C$35</f>
        <v>666.25</v>
      </c>
      <c r="AK34" s="78">
        <f>Valores!$C$9</f>
        <v>0</v>
      </c>
      <c r="AL34" s="78">
        <f>Valores!$C$83</f>
        <v>3000</v>
      </c>
      <c r="AM34" s="80">
        <f>Valores!$C$50</f>
        <v>283.24</v>
      </c>
      <c r="AN34" s="82">
        <f t="shared" si="8"/>
        <v>3666.25</v>
      </c>
      <c r="AO34" s="83">
        <f>AI34*-Valores!$C$65</f>
        <v>-7197.3365750000012</v>
      </c>
      <c r="AP34" s="83">
        <f>AI34*-Valores!$C$66</f>
        <v>-276.82063750000003</v>
      </c>
      <c r="AQ34" s="77">
        <f>AI34*-Valores!$C$67</f>
        <v>-2491.3857375000002</v>
      </c>
      <c r="AR34" s="77">
        <f>AI34*-Valores!$C$68</f>
        <v>-1494.8314425000003</v>
      </c>
      <c r="AS34" s="77">
        <f>AI34*-Valores!$C$69</f>
        <v>-166.09238250000004</v>
      </c>
      <c r="AT34" s="81">
        <f t="shared" si="4"/>
        <v>49064.834550000007</v>
      </c>
      <c r="AU34" s="81">
        <f t="shared" si="5"/>
        <v>49895.29646250001</v>
      </c>
      <c r="AV34" s="77">
        <f>AI34*Valores!$C$71</f>
        <v>8858.260400000001</v>
      </c>
      <c r="AW34" s="77">
        <f>AI34*Valores!$C$72</f>
        <v>2491.3857375000002</v>
      </c>
      <c r="AX34" s="77">
        <f>AI34*Valores!$C$73</f>
        <v>553.64127500000006</v>
      </c>
      <c r="AY34" s="77">
        <f>AI34*Valores!$C$75</f>
        <v>1937.7444625000005</v>
      </c>
      <c r="AZ34" s="77">
        <f>AI34*Valores!$C$76</f>
        <v>332.18476500000008</v>
      </c>
      <c r="BA34" s="77">
        <f t="shared" si="9"/>
        <v>2989.6628850000006</v>
      </c>
      <c r="BB34" s="51"/>
      <c r="BC34" s="51">
        <v>45</v>
      </c>
      <c r="BD34" s="27" t="s">
        <v>4</v>
      </c>
    </row>
    <row r="35" spans="1:56" s="27" customFormat="1" ht="11.25" customHeight="1" x14ac:dyDescent="0.2">
      <c r="A35" s="51">
        <v>34</v>
      </c>
      <c r="B35" s="51"/>
      <c r="C35" s="27" t="s">
        <v>212</v>
      </c>
      <c r="E35" s="27">
        <f t="shared" si="0"/>
        <v>28</v>
      </c>
      <c r="F35" s="71" t="s">
        <v>213</v>
      </c>
      <c r="G35" s="72">
        <v>85</v>
      </c>
      <c r="H35" s="73">
        <f>INT((G35*Valores!$C$2*100)+0.5)/100</f>
        <v>584.65</v>
      </c>
      <c r="I35" s="74">
        <v>3498</v>
      </c>
      <c r="J35" s="75">
        <f>INT((I35*Valores!$C$2*100)+0.5)/100</f>
        <v>24059.94</v>
      </c>
      <c r="K35" s="76">
        <v>1209</v>
      </c>
      <c r="L35" s="75">
        <f>INT((K35*Valores!$C$2*100)+0.5)/100</f>
        <v>8315.74</v>
      </c>
      <c r="M35" s="72">
        <v>0</v>
      </c>
      <c r="N35" s="75">
        <f>INT((M35*Valores!$C$2*100)+0.5)/100</f>
        <v>0</v>
      </c>
      <c r="O35" s="75">
        <f t="shared" si="1"/>
        <v>5656.3275000000003</v>
      </c>
      <c r="P35" s="75">
        <f t="shared" si="2"/>
        <v>0</v>
      </c>
      <c r="Q35" s="77">
        <f>Valores!$C$18</f>
        <v>8155.5</v>
      </c>
      <c r="R35" s="77">
        <f>Valores!$D$4</f>
        <v>3076.62</v>
      </c>
      <c r="S35" s="75">
        <v>0</v>
      </c>
      <c r="T35" s="78">
        <f>Valores!$C$43</f>
        <v>1907.73</v>
      </c>
      <c r="U35" s="75">
        <f>Valores!$C$23</f>
        <v>2840.79</v>
      </c>
      <c r="V35" s="75">
        <f t="shared" si="3"/>
        <v>2840.79</v>
      </c>
      <c r="W35" s="75">
        <v>0</v>
      </c>
      <c r="X35" s="75">
        <v>0</v>
      </c>
      <c r="Y35" s="79">
        <v>0</v>
      </c>
      <c r="Z35" s="75">
        <f>Y35*Valores!$C$2</f>
        <v>0</v>
      </c>
      <c r="AA35" s="75">
        <v>0</v>
      </c>
      <c r="AB35" s="80">
        <f>Valores!$C$29</f>
        <v>166.15</v>
      </c>
      <c r="AC35" s="75">
        <f t="shared" si="6"/>
        <v>0</v>
      </c>
      <c r="AD35" s="75">
        <f>Valores!$C$30</f>
        <v>166.15</v>
      </c>
      <c r="AE35" s="79">
        <v>0</v>
      </c>
      <c r="AF35" s="75">
        <f>INT(((AE35*Valores!$C$2)*100)+0.5)/100</f>
        <v>0</v>
      </c>
      <c r="AG35" s="75">
        <f>Valores!$C$58</f>
        <v>337.97</v>
      </c>
      <c r="AH35" s="75">
        <f>Valores!$C$60</f>
        <v>96.56</v>
      </c>
      <c r="AI35" s="81">
        <f t="shared" si="7"/>
        <v>55364.12750000001</v>
      </c>
      <c r="AJ35" s="77">
        <f>Valores!$C$35</f>
        <v>666.25</v>
      </c>
      <c r="AK35" s="78">
        <f>Valores!$C$9</f>
        <v>0</v>
      </c>
      <c r="AL35" s="78">
        <f>Valores!$C$83</f>
        <v>3000</v>
      </c>
      <c r="AM35" s="80">
        <f>Valores!$C$50</f>
        <v>283.24</v>
      </c>
      <c r="AN35" s="82">
        <f t="shared" si="8"/>
        <v>3666.25</v>
      </c>
      <c r="AO35" s="83">
        <f>AI35*-Valores!$C$65</f>
        <v>-7197.3365750000012</v>
      </c>
      <c r="AP35" s="83">
        <f>AI35*-Valores!$C$66</f>
        <v>-276.82063750000003</v>
      </c>
      <c r="AQ35" s="77">
        <f>AI35*-Valores!$C$67</f>
        <v>-2491.3857375000002</v>
      </c>
      <c r="AR35" s="77">
        <f>AI35*-Valores!$C$68</f>
        <v>-1494.8314425000003</v>
      </c>
      <c r="AS35" s="77">
        <f>AI35*-Valores!$C$69</f>
        <v>-166.09238250000004</v>
      </c>
      <c r="AT35" s="81">
        <f t="shared" si="4"/>
        <v>49064.834550000007</v>
      </c>
      <c r="AU35" s="81">
        <f t="shared" si="5"/>
        <v>49895.29646250001</v>
      </c>
      <c r="AV35" s="77">
        <f>AI35*Valores!$C$71</f>
        <v>8858.260400000001</v>
      </c>
      <c r="AW35" s="77">
        <f>AI35*Valores!$C$72</f>
        <v>2491.3857375000002</v>
      </c>
      <c r="AX35" s="77">
        <f>AI35*Valores!$C$73</f>
        <v>553.64127500000006</v>
      </c>
      <c r="AY35" s="77">
        <f>AI35*Valores!$C$75</f>
        <v>1937.7444625000005</v>
      </c>
      <c r="AZ35" s="77">
        <f>AI35*Valores!$C$76</f>
        <v>332.18476500000008</v>
      </c>
      <c r="BA35" s="77">
        <f t="shared" si="9"/>
        <v>2989.6628850000006</v>
      </c>
      <c r="BB35" s="51"/>
      <c r="BC35" s="51">
        <v>45</v>
      </c>
      <c r="BD35" s="27" t="s">
        <v>8</v>
      </c>
    </row>
    <row r="36" spans="1:56" s="27" customFormat="1" ht="11.25" customHeight="1" x14ac:dyDescent="0.2">
      <c r="A36" s="85">
        <v>35</v>
      </c>
      <c r="B36" s="85" t="s">
        <v>163</v>
      </c>
      <c r="C36" s="86" t="s">
        <v>214</v>
      </c>
      <c r="D36" s="86"/>
      <c r="E36" s="86">
        <f t="shared" si="0"/>
        <v>29</v>
      </c>
      <c r="F36" s="87" t="s">
        <v>215</v>
      </c>
      <c r="G36" s="88">
        <v>92</v>
      </c>
      <c r="H36" s="89">
        <f>INT((G36*Valores!$C$2*100)+0.5)/100</f>
        <v>632.79</v>
      </c>
      <c r="I36" s="90">
        <v>3483</v>
      </c>
      <c r="J36" s="91">
        <f>INT((I36*Valores!$C$2*100)+0.5)/100</f>
        <v>23956.77</v>
      </c>
      <c r="K36" s="92">
        <v>1217</v>
      </c>
      <c r="L36" s="91">
        <f>INT((K36*Valores!$C$2*100)+0.5)/100</f>
        <v>8370.77</v>
      </c>
      <c r="M36" s="88">
        <v>0</v>
      </c>
      <c r="N36" s="91">
        <f>INT((M36*Valores!$C$2*100)+0.5)/100</f>
        <v>0</v>
      </c>
      <c r="O36" s="91">
        <f t="shared" si="1"/>
        <v>5656.3275000000003</v>
      </c>
      <c r="P36" s="91">
        <f t="shared" si="2"/>
        <v>0</v>
      </c>
      <c r="Q36" s="93">
        <f>Valores!$C$18</f>
        <v>8155.5</v>
      </c>
      <c r="R36" s="93">
        <f>Valores!$D$4</f>
        <v>3076.62</v>
      </c>
      <c r="S36" s="91">
        <v>0</v>
      </c>
      <c r="T36" s="94">
        <f>Valores!$C$43</f>
        <v>1907.73</v>
      </c>
      <c r="U36" s="91">
        <f>Valores!$C$23</f>
        <v>2840.79</v>
      </c>
      <c r="V36" s="91">
        <f t="shared" si="3"/>
        <v>2840.79</v>
      </c>
      <c r="W36" s="91">
        <v>0</v>
      </c>
      <c r="X36" s="91">
        <v>0</v>
      </c>
      <c r="Y36" s="95">
        <v>0</v>
      </c>
      <c r="Z36" s="91">
        <f>Y36*Valores!$C$2</f>
        <v>0</v>
      </c>
      <c r="AA36" s="91">
        <f>SUM(L36,J36,H36,T36)*Valores!$C$3</f>
        <v>5230.2090000000007</v>
      </c>
      <c r="AB36" s="96">
        <f>Valores!$C$29</f>
        <v>166.15</v>
      </c>
      <c r="AC36" s="91">
        <f t="shared" si="6"/>
        <v>0</v>
      </c>
      <c r="AD36" s="91">
        <f>Valores!$C$30</f>
        <v>166.15</v>
      </c>
      <c r="AE36" s="95">
        <v>0</v>
      </c>
      <c r="AF36" s="91">
        <f>INT(((AE36*Valores!$C$2)*100)+0.5)/100</f>
        <v>0</v>
      </c>
      <c r="AG36" s="91">
        <f>Valores!$C$58</f>
        <v>337.97</v>
      </c>
      <c r="AH36" s="91">
        <f>Valores!$C$60</f>
        <v>96.56</v>
      </c>
      <c r="AI36" s="97">
        <f t="shared" si="7"/>
        <v>60594.336500000012</v>
      </c>
      <c r="AJ36" s="93">
        <f>Valores!$C$35</f>
        <v>666.25</v>
      </c>
      <c r="AK36" s="94">
        <f>Valores!$C$9</f>
        <v>0</v>
      </c>
      <c r="AL36" s="94">
        <f>Valores!$C$83</f>
        <v>3000</v>
      </c>
      <c r="AM36" s="96">
        <f>Valores!$C$50</f>
        <v>283.24</v>
      </c>
      <c r="AN36" s="98">
        <f t="shared" si="8"/>
        <v>3666.25</v>
      </c>
      <c r="AO36" s="99">
        <f>AI36*-Valores!$C$65</f>
        <v>-7877.263745000002</v>
      </c>
      <c r="AP36" s="99">
        <f>AI36*-Valores!$C$66</f>
        <v>-302.97168250000004</v>
      </c>
      <c r="AQ36" s="93">
        <f>AI36*-Valores!$C$67</f>
        <v>-2726.7451425000004</v>
      </c>
      <c r="AR36" s="93">
        <f>AI36*-Valores!$C$68</f>
        <v>-1636.0470855000003</v>
      </c>
      <c r="AS36" s="93">
        <f>AI36*-Valores!$C$69</f>
        <v>-181.78300950000005</v>
      </c>
      <c r="AT36" s="97">
        <f t="shared" si="4"/>
        <v>53353.605930000005</v>
      </c>
      <c r="AU36" s="97">
        <f t="shared" si="5"/>
        <v>54262.520977500004</v>
      </c>
      <c r="AV36" s="93">
        <f>AI36*Valores!$C$71</f>
        <v>9695.0938400000014</v>
      </c>
      <c r="AW36" s="93">
        <f>AI36*Valores!$C$72</f>
        <v>2726.7451425000004</v>
      </c>
      <c r="AX36" s="93">
        <f>AI36*Valores!$C$73</f>
        <v>605.94336500000009</v>
      </c>
      <c r="AY36" s="93">
        <f>AI36*Valores!$C$75</f>
        <v>2120.8017775000008</v>
      </c>
      <c r="AZ36" s="93">
        <f>AI36*Valores!$C$76</f>
        <v>363.5660190000001</v>
      </c>
      <c r="BA36" s="93">
        <f t="shared" si="9"/>
        <v>3272.0941710000006</v>
      </c>
      <c r="BB36" s="85"/>
      <c r="BC36" s="85">
        <v>45</v>
      </c>
      <c r="BD36" s="86" t="s">
        <v>8</v>
      </c>
    </row>
    <row r="37" spans="1:56" s="27" customFormat="1" ht="11.25" customHeight="1" x14ac:dyDescent="0.2">
      <c r="A37" s="51">
        <v>36</v>
      </c>
      <c r="B37" s="51"/>
      <c r="C37" s="27" t="s">
        <v>216</v>
      </c>
      <c r="E37" s="27">
        <f t="shared" si="0"/>
        <v>27</v>
      </c>
      <c r="F37" s="71" t="s">
        <v>217</v>
      </c>
      <c r="G37" s="72">
        <v>85</v>
      </c>
      <c r="H37" s="73">
        <f>INT((G37*Valores!$C$2*100)+0.5)/100</f>
        <v>584.65</v>
      </c>
      <c r="I37" s="74">
        <v>3498</v>
      </c>
      <c r="J37" s="75">
        <f>INT((I37*Valores!$C$2*100)+0.5)/100</f>
        <v>24059.94</v>
      </c>
      <c r="K37" s="76">
        <v>202</v>
      </c>
      <c r="L37" s="75">
        <f>INT((K37*Valores!$C$2*100)+0.5)/100</f>
        <v>1389.4</v>
      </c>
      <c r="M37" s="72">
        <v>0</v>
      </c>
      <c r="N37" s="75">
        <f>INT((M37*Valores!$C$2*100)+0.5)/100</f>
        <v>0</v>
      </c>
      <c r="O37" s="75">
        <f t="shared" si="1"/>
        <v>4617.3765000000003</v>
      </c>
      <c r="P37" s="75">
        <f t="shared" si="2"/>
        <v>0</v>
      </c>
      <c r="Q37" s="77">
        <f>Valores!$C$18</f>
        <v>8155.5</v>
      </c>
      <c r="R37" s="77">
        <f>Valores!$D$4</f>
        <v>3076.62</v>
      </c>
      <c r="S37" s="75">
        <v>0</v>
      </c>
      <c r="T37" s="78">
        <f>Valores!$C$43</f>
        <v>1907.73</v>
      </c>
      <c r="U37" s="75">
        <f>Valores!$C$23</f>
        <v>2840.79</v>
      </c>
      <c r="V37" s="75">
        <f t="shared" si="3"/>
        <v>2840.79</v>
      </c>
      <c r="W37" s="75">
        <v>0</v>
      </c>
      <c r="X37" s="75">
        <v>0</v>
      </c>
      <c r="Y37" s="79">
        <v>0</v>
      </c>
      <c r="Z37" s="75">
        <f>Y37*Valores!$C$2</f>
        <v>0</v>
      </c>
      <c r="AA37" s="75">
        <v>0</v>
      </c>
      <c r="AB37" s="80">
        <f>Valores!$C$29</f>
        <v>166.15</v>
      </c>
      <c r="AC37" s="75">
        <f t="shared" si="6"/>
        <v>0</v>
      </c>
      <c r="AD37" s="75">
        <f>Valores!$C$30</f>
        <v>166.15</v>
      </c>
      <c r="AE37" s="79">
        <v>0</v>
      </c>
      <c r="AF37" s="75">
        <f>INT(((AE37*Valores!$C$2)*100)+0.5)/100</f>
        <v>0</v>
      </c>
      <c r="AG37" s="75">
        <f>Valores!$C$58</f>
        <v>337.97</v>
      </c>
      <c r="AH37" s="75">
        <f>Valores!$C$60</f>
        <v>96.56</v>
      </c>
      <c r="AI37" s="81">
        <f t="shared" si="7"/>
        <v>47398.836500000012</v>
      </c>
      <c r="AJ37" s="77">
        <f>Valores!$C$35</f>
        <v>666.25</v>
      </c>
      <c r="AK37" s="78">
        <f>Valores!$C$9</f>
        <v>0</v>
      </c>
      <c r="AL37" s="78">
        <f>Valores!$C$83</f>
        <v>3000</v>
      </c>
      <c r="AM37" s="80">
        <f>Valores!$C$50</f>
        <v>283.24</v>
      </c>
      <c r="AN37" s="82">
        <f t="shared" si="8"/>
        <v>3666.25</v>
      </c>
      <c r="AO37" s="83">
        <f>AI37*-Valores!$C$65</f>
        <v>-6161.8487450000021</v>
      </c>
      <c r="AP37" s="83">
        <f>AI37*-Valores!$C$66</f>
        <v>-236.99418250000008</v>
      </c>
      <c r="AQ37" s="77">
        <f>AI37*-Valores!$C$67</f>
        <v>-2132.9476425000003</v>
      </c>
      <c r="AR37" s="77">
        <f>AI37*-Valores!$C$68</f>
        <v>-1279.7685855000004</v>
      </c>
      <c r="AS37" s="77">
        <f>AI37*-Valores!$C$69</f>
        <v>-142.19650950000005</v>
      </c>
      <c r="AT37" s="81">
        <f t="shared" si="4"/>
        <v>42533.295930000008</v>
      </c>
      <c r="AU37" s="81">
        <f t="shared" si="5"/>
        <v>43244.278477500011</v>
      </c>
      <c r="AV37" s="77">
        <f>AI37*Valores!$C$71</f>
        <v>7583.8138400000025</v>
      </c>
      <c r="AW37" s="77">
        <f>AI37*Valores!$C$72</f>
        <v>2132.9476425000003</v>
      </c>
      <c r="AX37" s="77">
        <f>AI37*Valores!$C$73</f>
        <v>473.98836500000016</v>
      </c>
      <c r="AY37" s="77">
        <f>AI37*Valores!$C$75</f>
        <v>1658.9592775000006</v>
      </c>
      <c r="AZ37" s="77">
        <f>AI37*Valores!$C$76</f>
        <v>284.39301900000009</v>
      </c>
      <c r="BA37" s="77">
        <f t="shared" si="9"/>
        <v>2559.5371710000009</v>
      </c>
      <c r="BB37" s="51"/>
      <c r="BC37" s="51">
        <v>45</v>
      </c>
      <c r="BD37" s="27" t="s">
        <v>8</v>
      </c>
    </row>
    <row r="38" spans="1:56" s="27" customFormat="1" ht="11.25" customHeight="1" x14ac:dyDescent="0.2">
      <c r="A38" s="51">
        <v>37</v>
      </c>
      <c r="B38" s="51"/>
      <c r="C38" s="27" t="s">
        <v>218</v>
      </c>
      <c r="E38" s="27">
        <f t="shared" si="0"/>
        <v>22</v>
      </c>
      <c r="F38" s="71" t="s">
        <v>219</v>
      </c>
      <c r="G38" s="72">
        <v>85</v>
      </c>
      <c r="H38" s="73">
        <f>INT((G38*Valores!$C$2*100)+0.5)/100</f>
        <v>584.65</v>
      </c>
      <c r="I38" s="74">
        <v>3498</v>
      </c>
      <c r="J38" s="75">
        <f>INT((I38*Valores!$C$2*100)+0.5)/100</f>
        <v>24059.94</v>
      </c>
      <c r="K38" s="76">
        <v>1209</v>
      </c>
      <c r="L38" s="75">
        <f>INT((K38*Valores!$C$2*100)+0.5)/100</f>
        <v>8315.74</v>
      </c>
      <c r="M38" s="72">
        <v>0</v>
      </c>
      <c r="N38" s="75">
        <f>INT((M38*Valores!$C$2*100)+0.5)/100</f>
        <v>0</v>
      </c>
      <c r="O38" s="75">
        <f t="shared" si="1"/>
        <v>5656.3275000000003</v>
      </c>
      <c r="P38" s="75">
        <f t="shared" si="2"/>
        <v>0</v>
      </c>
      <c r="Q38" s="77">
        <f>Valores!$C$18</f>
        <v>8155.5</v>
      </c>
      <c r="R38" s="77">
        <f>Valores!$D$4</f>
        <v>3076.62</v>
      </c>
      <c r="S38" s="75">
        <v>0</v>
      </c>
      <c r="T38" s="78">
        <f>Valores!$C$43</f>
        <v>1907.73</v>
      </c>
      <c r="U38" s="75">
        <f>Valores!$C$23</f>
        <v>2840.79</v>
      </c>
      <c r="V38" s="75">
        <f t="shared" si="3"/>
        <v>2840.79</v>
      </c>
      <c r="W38" s="75">
        <v>0</v>
      </c>
      <c r="X38" s="75">
        <v>0</v>
      </c>
      <c r="Y38" s="79">
        <v>0</v>
      </c>
      <c r="Z38" s="75">
        <f>Y38*Valores!$C$2</f>
        <v>0</v>
      </c>
      <c r="AA38" s="75">
        <v>0</v>
      </c>
      <c r="AB38" s="80">
        <f>Valores!$C$29</f>
        <v>166.15</v>
      </c>
      <c r="AC38" s="75">
        <f t="shared" si="6"/>
        <v>0</v>
      </c>
      <c r="AD38" s="75">
        <f>Valores!$C$30</f>
        <v>166.15</v>
      </c>
      <c r="AE38" s="79">
        <v>0</v>
      </c>
      <c r="AF38" s="75">
        <f>INT(((AE38*Valores!$C$2)*100)+0.5)/100</f>
        <v>0</v>
      </c>
      <c r="AG38" s="75">
        <f>Valores!$C$58</f>
        <v>337.97</v>
      </c>
      <c r="AH38" s="75">
        <f>Valores!$C$60</f>
        <v>96.56</v>
      </c>
      <c r="AI38" s="81">
        <f t="shared" si="7"/>
        <v>55364.12750000001</v>
      </c>
      <c r="AJ38" s="77">
        <f>Valores!$C$35</f>
        <v>666.25</v>
      </c>
      <c r="AK38" s="78">
        <f>Valores!$C$9</f>
        <v>0</v>
      </c>
      <c r="AL38" s="78">
        <f>Valores!$C$83</f>
        <v>3000</v>
      </c>
      <c r="AM38" s="80">
        <f>Valores!$C$50</f>
        <v>283.24</v>
      </c>
      <c r="AN38" s="82">
        <f t="shared" si="8"/>
        <v>3666.25</v>
      </c>
      <c r="AO38" s="83">
        <f>AI38*-Valores!$C$65</f>
        <v>-7197.3365750000012</v>
      </c>
      <c r="AP38" s="83">
        <f>AI38*-Valores!$C$66</f>
        <v>-276.82063750000003</v>
      </c>
      <c r="AQ38" s="77">
        <f>AI38*-Valores!$C$67</f>
        <v>-2491.3857375000002</v>
      </c>
      <c r="AR38" s="77">
        <f>AI38*-Valores!$C$68</f>
        <v>-1494.8314425000003</v>
      </c>
      <c r="AS38" s="77">
        <f>AI38*-Valores!$C$69</f>
        <v>-166.09238250000004</v>
      </c>
      <c r="AT38" s="81">
        <f t="shared" si="4"/>
        <v>49064.834550000007</v>
      </c>
      <c r="AU38" s="81">
        <f t="shared" si="5"/>
        <v>49895.29646250001</v>
      </c>
      <c r="AV38" s="77">
        <f>AI38*Valores!$C$71</f>
        <v>8858.260400000001</v>
      </c>
      <c r="AW38" s="77">
        <f>AI38*Valores!$C$72</f>
        <v>2491.3857375000002</v>
      </c>
      <c r="AX38" s="77">
        <f>AI38*Valores!$C$73</f>
        <v>553.64127500000006</v>
      </c>
      <c r="AY38" s="77">
        <f>AI38*Valores!$C$75</f>
        <v>1937.7444625000005</v>
      </c>
      <c r="AZ38" s="77">
        <f>AI38*Valores!$C$76</f>
        <v>332.18476500000008</v>
      </c>
      <c r="BA38" s="77">
        <f t="shared" si="9"/>
        <v>2989.6628850000006</v>
      </c>
      <c r="BB38" s="51"/>
      <c r="BC38" s="51">
        <v>45</v>
      </c>
      <c r="BD38" s="27" t="s">
        <v>4</v>
      </c>
    </row>
    <row r="39" spans="1:56" s="27" customFormat="1" ht="11.25" customHeight="1" x14ac:dyDescent="0.2">
      <c r="A39" s="51">
        <v>38</v>
      </c>
      <c r="B39" s="51"/>
      <c r="C39" s="27" t="s">
        <v>220</v>
      </c>
      <c r="E39" s="27">
        <f t="shared" si="0"/>
        <v>30</v>
      </c>
      <c r="F39" s="71" t="s">
        <v>221</v>
      </c>
      <c r="G39" s="72">
        <v>85</v>
      </c>
      <c r="H39" s="73">
        <f>INT((G39*Valores!$C$2*100)+0.5)/100</f>
        <v>584.65</v>
      </c>
      <c r="I39" s="74">
        <v>3498</v>
      </c>
      <c r="J39" s="75">
        <f>INT((I39*Valores!$C$2*100)+0.5)/100</f>
        <v>24059.94</v>
      </c>
      <c r="K39" s="76">
        <v>1209</v>
      </c>
      <c r="L39" s="75">
        <f>INT((K39*Valores!$C$2*100)+0.5)/100</f>
        <v>8315.74</v>
      </c>
      <c r="M39" s="72">
        <v>0</v>
      </c>
      <c r="N39" s="75">
        <f>INT((M39*Valores!$C$2*100)+0.5)/100</f>
        <v>0</v>
      </c>
      <c r="O39" s="75">
        <f t="shared" si="1"/>
        <v>5656.3275000000003</v>
      </c>
      <c r="P39" s="75">
        <f t="shared" si="2"/>
        <v>0</v>
      </c>
      <c r="Q39" s="77">
        <f>Valores!$C$18</f>
        <v>8155.5</v>
      </c>
      <c r="R39" s="77">
        <f>Valores!$D$4</f>
        <v>3076.62</v>
      </c>
      <c r="S39" s="75">
        <v>0</v>
      </c>
      <c r="T39" s="78">
        <f>Valores!$C$43</f>
        <v>1907.73</v>
      </c>
      <c r="U39" s="75">
        <f>Valores!$C$23</f>
        <v>2840.79</v>
      </c>
      <c r="V39" s="75">
        <f t="shared" si="3"/>
        <v>2840.79</v>
      </c>
      <c r="W39" s="75">
        <v>0</v>
      </c>
      <c r="X39" s="75">
        <v>0</v>
      </c>
      <c r="Y39" s="79">
        <v>0</v>
      </c>
      <c r="Z39" s="75">
        <f>Y39*Valores!$C$2</f>
        <v>0</v>
      </c>
      <c r="AA39" s="75">
        <v>0</v>
      </c>
      <c r="AB39" s="80">
        <f>Valores!$C$29</f>
        <v>166.15</v>
      </c>
      <c r="AC39" s="75">
        <f t="shared" si="6"/>
        <v>0</v>
      </c>
      <c r="AD39" s="75">
        <f>Valores!$C$30</f>
        <v>166.15</v>
      </c>
      <c r="AE39" s="79">
        <v>0</v>
      </c>
      <c r="AF39" s="75">
        <f>INT(((AE39*Valores!$C$2)*100)+0.5)/100</f>
        <v>0</v>
      </c>
      <c r="AG39" s="75">
        <f>Valores!$C$58</f>
        <v>337.97</v>
      </c>
      <c r="AH39" s="75">
        <f>Valores!$C$60</f>
        <v>96.56</v>
      </c>
      <c r="AI39" s="81">
        <f t="shared" si="7"/>
        <v>55364.12750000001</v>
      </c>
      <c r="AJ39" s="77">
        <f>Valores!$C$35</f>
        <v>666.25</v>
      </c>
      <c r="AK39" s="78">
        <f>Valores!$C$9</f>
        <v>0</v>
      </c>
      <c r="AL39" s="78">
        <f>Valores!$C$81</f>
        <v>1500</v>
      </c>
      <c r="AM39" s="80">
        <f>Valores!$C$50</f>
        <v>283.24</v>
      </c>
      <c r="AN39" s="82">
        <f t="shared" si="8"/>
        <v>2166.25</v>
      </c>
      <c r="AO39" s="83">
        <f>AI39*-Valores!$C$65</f>
        <v>-7197.3365750000012</v>
      </c>
      <c r="AP39" s="83">
        <f>AI39*-Valores!$C$66</f>
        <v>-276.82063750000003</v>
      </c>
      <c r="AQ39" s="77">
        <f>AI39*-Valores!$C$67</f>
        <v>-2491.3857375000002</v>
      </c>
      <c r="AR39" s="77">
        <f>AI39*-Valores!$C$68</f>
        <v>-1494.8314425000003</v>
      </c>
      <c r="AS39" s="77">
        <f>AI39*-Valores!$C$69</f>
        <v>-166.09238250000004</v>
      </c>
      <c r="AT39" s="81">
        <f t="shared" si="4"/>
        <v>47564.834550000007</v>
      </c>
      <c r="AU39" s="81">
        <f t="shared" si="5"/>
        <v>48395.29646250001</v>
      </c>
      <c r="AV39" s="77">
        <f>AI39*Valores!$C$71</f>
        <v>8858.260400000001</v>
      </c>
      <c r="AW39" s="77">
        <f>AI39*Valores!$C$72</f>
        <v>2491.3857375000002</v>
      </c>
      <c r="AX39" s="77">
        <f>AI39*Valores!$C$73</f>
        <v>553.64127500000006</v>
      </c>
      <c r="AY39" s="77">
        <f>AI39*Valores!$C$75</f>
        <v>1937.7444625000005</v>
      </c>
      <c r="AZ39" s="77">
        <f>AI39*Valores!$C$76</f>
        <v>332.18476500000008</v>
      </c>
      <c r="BA39" s="77">
        <f t="shared" si="9"/>
        <v>2989.6628850000006</v>
      </c>
      <c r="BB39" s="51"/>
      <c r="BC39" s="51">
        <v>45</v>
      </c>
      <c r="BD39" s="27" t="s">
        <v>8</v>
      </c>
    </row>
    <row r="40" spans="1:56" s="27" customFormat="1" ht="11.25" customHeight="1" x14ac:dyDescent="0.2">
      <c r="A40" s="51">
        <v>39</v>
      </c>
      <c r="B40" s="51"/>
      <c r="C40" s="27" t="s">
        <v>222</v>
      </c>
      <c r="E40" s="27">
        <f t="shared" si="0"/>
        <v>30</v>
      </c>
      <c r="F40" s="71" t="s">
        <v>223</v>
      </c>
      <c r="G40" s="72">
        <v>101</v>
      </c>
      <c r="H40" s="73">
        <f>INT((G40*Valores!$C$2*100)+0.5)/100</f>
        <v>694.7</v>
      </c>
      <c r="I40" s="74">
        <v>2548</v>
      </c>
      <c r="J40" s="75">
        <f>INT((I40*Valores!$C$2*100)+0.5)/100</f>
        <v>17525.650000000001</v>
      </c>
      <c r="K40" s="76">
        <v>216</v>
      </c>
      <c r="L40" s="75">
        <f>INT((K40*Valores!$C$2*100)+0.5)/100</f>
        <v>1485.69</v>
      </c>
      <c r="M40" s="72">
        <v>0</v>
      </c>
      <c r="N40" s="75">
        <f>INT((M40*Valores!$C$2*100)+0.5)/100</f>
        <v>0</v>
      </c>
      <c r="O40" s="75">
        <f t="shared" si="1"/>
        <v>3668.1840000000002</v>
      </c>
      <c r="P40" s="75">
        <f t="shared" si="2"/>
        <v>0</v>
      </c>
      <c r="Q40" s="77">
        <f>Valores!$C$16</f>
        <v>4450.7</v>
      </c>
      <c r="R40" s="77">
        <f>Valores!$D$4</f>
        <v>3076.62</v>
      </c>
      <c r="S40" s="75">
        <v>0</v>
      </c>
      <c r="T40" s="78">
        <f>Valores!$C$43</f>
        <v>1907.73</v>
      </c>
      <c r="U40" s="75">
        <f>Valores!$C$23</f>
        <v>2840.79</v>
      </c>
      <c r="V40" s="75">
        <f t="shared" si="3"/>
        <v>2840.79</v>
      </c>
      <c r="W40" s="75">
        <v>0</v>
      </c>
      <c r="X40" s="75">
        <v>0</v>
      </c>
      <c r="Y40" s="79">
        <v>0</v>
      </c>
      <c r="Z40" s="75">
        <f>Y40*Valores!$C$2</f>
        <v>0</v>
      </c>
      <c r="AA40" s="75">
        <v>0</v>
      </c>
      <c r="AB40" s="80">
        <f>Valores!$C$29</f>
        <v>166.15</v>
      </c>
      <c r="AC40" s="75">
        <f t="shared" si="6"/>
        <v>0</v>
      </c>
      <c r="AD40" s="75">
        <f>Valores!$C$30</f>
        <v>166.15</v>
      </c>
      <c r="AE40" s="79">
        <v>0</v>
      </c>
      <c r="AF40" s="75">
        <f>INT(((AE40*Valores!$C$2)*100)+0.5)/100</f>
        <v>0</v>
      </c>
      <c r="AG40" s="75">
        <f>Valores!$C$58</f>
        <v>337.97</v>
      </c>
      <c r="AH40" s="75">
        <f>Valores!$C$60</f>
        <v>96.56</v>
      </c>
      <c r="AI40" s="81">
        <f t="shared" si="7"/>
        <v>36416.894000000008</v>
      </c>
      <c r="AJ40" s="77">
        <f>Valores!$C$35</f>
        <v>666.25</v>
      </c>
      <c r="AK40" s="78">
        <f>Valores!$C$9</f>
        <v>0</v>
      </c>
      <c r="AL40" s="78">
        <f>Valores!$C$81</f>
        <v>1500</v>
      </c>
      <c r="AM40" s="80">
        <f>Valores!$C$50</f>
        <v>283.24</v>
      </c>
      <c r="AN40" s="82">
        <f t="shared" si="8"/>
        <v>2166.25</v>
      </c>
      <c r="AO40" s="83">
        <f>AI40*-Valores!$C$65</f>
        <v>-4734.1962200000007</v>
      </c>
      <c r="AP40" s="83">
        <f>AI40*-Valores!$C$66</f>
        <v>-182.08447000000004</v>
      </c>
      <c r="AQ40" s="77">
        <f>AI40*-Valores!$C$67</f>
        <v>-1638.7602300000003</v>
      </c>
      <c r="AR40" s="77">
        <f>AI40*-Valores!$C$68</f>
        <v>-983.25613800000019</v>
      </c>
      <c r="AS40" s="77">
        <f>AI40*-Valores!$C$69</f>
        <v>-109.25068200000003</v>
      </c>
      <c r="AT40" s="81">
        <f t="shared" si="4"/>
        <v>32028.103080000004</v>
      </c>
      <c r="AU40" s="81">
        <f t="shared" si="5"/>
        <v>32574.356490000006</v>
      </c>
      <c r="AV40" s="77">
        <f>AI40*Valores!$C$71</f>
        <v>5826.7030400000012</v>
      </c>
      <c r="AW40" s="77">
        <f>AI40*Valores!$C$72</f>
        <v>1638.7602300000003</v>
      </c>
      <c r="AX40" s="77">
        <f>AI40*Valores!$C$73</f>
        <v>364.16894000000008</v>
      </c>
      <c r="AY40" s="77">
        <f>AI40*Valores!$C$75</f>
        <v>1274.5912900000003</v>
      </c>
      <c r="AZ40" s="77">
        <f>AI40*Valores!$C$76</f>
        <v>218.50136400000005</v>
      </c>
      <c r="BA40" s="77">
        <f t="shared" si="9"/>
        <v>1966.5122760000004</v>
      </c>
      <c r="BB40" s="51"/>
      <c r="BC40" s="51">
        <v>45</v>
      </c>
      <c r="BD40" s="27" t="s">
        <v>8</v>
      </c>
    </row>
    <row r="41" spans="1:56" s="27" customFormat="1" ht="11.25" customHeight="1" x14ac:dyDescent="0.2">
      <c r="A41" s="85">
        <v>40</v>
      </c>
      <c r="B41" s="85" t="s">
        <v>163</v>
      </c>
      <c r="C41" s="86" t="s">
        <v>224</v>
      </c>
      <c r="D41" s="86"/>
      <c r="E41" s="86">
        <f t="shared" si="0"/>
        <v>30</v>
      </c>
      <c r="F41" s="87" t="s">
        <v>223</v>
      </c>
      <c r="G41" s="88">
        <v>101</v>
      </c>
      <c r="H41" s="89">
        <f>INT((G41*Valores!$C$2*100)+0.5)/100</f>
        <v>694.7</v>
      </c>
      <c r="I41" s="90">
        <v>2548</v>
      </c>
      <c r="J41" s="91">
        <f>INT((I41*Valores!$C$2*100)+0.5)/100</f>
        <v>17525.650000000001</v>
      </c>
      <c r="K41" s="92">
        <v>216</v>
      </c>
      <c r="L41" s="91">
        <f>INT((K41*Valores!$C$2*100)+0.5)/100</f>
        <v>1485.69</v>
      </c>
      <c r="M41" s="88">
        <v>0</v>
      </c>
      <c r="N41" s="91">
        <f>INT((M41*Valores!$C$2*100)+0.5)/100</f>
        <v>0</v>
      </c>
      <c r="O41" s="91">
        <f t="shared" si="1"/>
        <v>3668.1840000000002</v>
      </c>
      <c r="P41" s="91">
        <f t="shared" si="2"/>
        <v>0</v>
      </c>
      <c r="Q41" s="93">
        <f>Valores!$C$16</f>
        <v>4450.7</v>
      </c>
      <c r="R41" s="93">
        <f>Valores!$D$4</f>
        <v>3076.62</v>
      </c>
      <c r="S41" s="91">
        <v>0</v>
      </c>
      <c r="T41" s="94">
        <f>Valores!$C$43</f>
        <v>1907.73</v>
      </c>
      <c r="U41" s="91">
        <f>Valores!$C$23</f>
        <v>2840.79</v>
      </c>
      <c r="V41" s="91">
        <f t="shared" si="3"/>
        <v>2840.79</v>
      </c>
      <c r="W41" s="91">
        <v>0</v>
      </c>
      <c r="X41" s="91">
        <v>0</v>
      </c>
      <c r="Y41" s="95">
        <v>0</v>
      </c>
      <c r="Z41" s="91">
        <f>Y41*Valores!$C$2</f>
        <v>0</v>
      </c>
      <c r="AA41" s="91">
        <v>0</v>
      </c>
      <c r="AB41" s="96">
        <f>Valores!$C$29</f>
        <v>166.15</v>
      </c>
      <c r="AC41" s="91">
        <f t="shared" si="6"/>
        <v>0</v>
      </c>
      <c r="AD41" s="91">
        <f>Valores!$C$30</f>
        <v>166.15</v>
      </c>
      <c r="AE41" s="95">
        <v>0</v>
      </c>
      <c r="AF41" s="91">
        <f>INT(((AE41*Valores!$C$2)*100)+0.5)/100</f>
        <v>0</v>
      </c>
      <c r="AG41" s="91">
        <f>Valores!$C$58</f>
        <v>337.97</v>
      </c>
      <c r="AH41" s="91">
        <f>Valores!$C$60</f>
        <v>96.56</v>
      </c>
      <c r="AI41" s="97">
        <f t="shared" si="7"/>
        <v>36416.894000000008</v>
      </c>
      <c r="AJ41" s="93">
        <f>Valores!$C$35</f>
        <v>666.25</v>
      </c>
      <c r="AK41" s="94">
        <f>Valores!$C$9</f>
        <v>0</v>
      </c>
      <c r="AL41" s="94">
        <f>Valores!$C$81</f>
        <v>1500</v>
      </c>
      <c r="AM41" s="96">
        <f>Valores!$C$50</f>
        <v>283.24</v>
      </c>
      <c r="AN41" s="98">
        <f t="shared" si="8"/>
        <v>2166.25</v>
      </c>
      <c r="AO41" s="99">
        <f>AI41*-Valores!$C$65</f>
        <v>-4734.1962200000007</v>
      </c>
      <c r="AP41" s="99">
        <f>AI41*-Valores!$C$66</f>
        <v>-182.08447000000004</v>
      </c>
      <c r="AQ41" s="93">
        <f>AI41*-Valores!$C$67</f>
        <v>-1638.7602300000003</v>
      </c>
      <c r="AR41" s="93">
        <f>AI41*-Valores!$C$68</f>
        <v>-983.25613800000019</v>
      </c>
      <c r="AS41" s="93">
        <f>AI41*-Valores!$C$69</f>
        <v>-109.25068200000003</v>
      </c>
      <c r="AT41" s="97">
        <f t="shared" si="4"/>
        <v>32028.103080000004</v>
      </c>
      <c r="AU41" s="97">
        <f t="shared" si="5"/>
        <v>32574.356490000006</v>
      </c>
      <c r="AV41" s="93">
        <f>AI41*Valores!$C$71</f>
        <v>5826.7030400000012</v>
      </c>
      <c r="AW41" s="93">
        <f>AI41*Valores!$C$72</f>
        <v>1638.7602300000003</v>
      </c>
      <c r="AX41" s="93">
        <f>AI41*Valores!$C$73</f>
        <v>364.16894000000008</v>
      </c>
      <c r="AY41" s="93">
        <f>AI41*Valores!$C$75</f>
        <v>1274.5912900000003</v>
      </c>
      <c r="AZ41" s="93">
        <f>AI41*Valores!$C$76</f>
        <v>218.50136400000005</v>
      </c>
      <c r="BA41" s="93">
        <f t="shared" si="9"/>
        <v>1966.5122760000004</v>
      </c>
      <c r="BB41" s="85"/>
      <c r="BC41" s="85">
        <v>45</v>
      </c>
      <c r="BD41" s="86" t="s">
        <v>8</v>
      </c>
    </row>
    <row r="42" spans="1:56" s="27" customFormat="1" ht="11.25" customHeight="1" x14ac:dyDescent="0.2">
      <c r="A42" s="51">
        <v>41</v>
      </c>
      <c r="B42" s="51"/>
      <c r="C42" s="27" t="s">
        <v>225</v>
      </c>
      <c r="E42" s="27">
        <f t="shared" si="0"/>
        <v>27</v>
      </c>
      <c r="F42" s="71" t="s">
        <v>226</v>
      </c>
      <c r="G42" s="72">
        <v>96</v>
      </c>
      <c r="H42" s="73">
        <f>INT((G42*Valores!$C$2*100)+0.5)/100</f>
        <v>660.31</v>
      </c>
      <c r="I42" s="74">
        <v>2475</v>
      </c>
      <c r="J42" s="75">
        <f>INT((I42*Valores!$C$2*100)+0.5)/100</f>
        <v>17023.55</v>
      </c>
      <c r="K42" s="76">
        <v>213</v>
      </c>
      <c r="L42" s="75">
        <f>INT((K42*Valores!$C$2*100)+0.5)/100</f>
        <v>1465.06</v>
      </c>
      <c r="M42" s="72">
        <v>0</v>
      </c>
      <c r="N42" s="75">
        <f>INT((M42*Valores!$C$2*100)+0.5)/100</f>
        <v>0</v>
      </c>
      <c r="O42" s="75">
        <f t="shared" si="1"/>
        <v>3489.2310000000002</v>
      </c>
      <c r="P42" s="75">
        <f t="shared" si="2"/>
        <v>0</v>
      </c>
      <c r="Q42" s="77">
        <f>Valores!$C$16</f>
        <v>4450.7</v>
      </c>
      <c r="R42" s="77">
        <f>Valores!$D$4</f>
        <v>3076.62</v>
      </c>
      <c r="S42" s="75">
        <v>0</v>
      </c>
      <c r="T42" s="78">
        <f>Valores!$C$42</f>
        <v>1271.83</v>
      </c>
      <c r="U42" s="75">
        <f>Valores!$C$23</f>
        <v>2840.79</v>
      </c>
      <c r="V42" s="75">
        <f t="shared" si="3"/>
        <v>2840.79</v>
      </c>
      <c r="W42" s="75">
        <v>0</v>
      </c>
      <c r="X42" s="75">
        <v>0</v>
      </c>
      <c r="Y42" s="79">
        <v>0</v>
      </c>
      <c r="Z42" s="75">
        <f>Y42*Valores!$C$2</f>
        <v>0</v>
      </c>
      <c r="AA42" s="75">
        <v>0</v>
      </c>
      <c r="AB42" s="80">
        <f>Valores!$C$29</f>
        <v>166.15</v>
      </c>
      <c r="AC42" s="75">
        <f t="shared" si="6"/>
        <v>0</v>
      </c>
      <c r="AD42" s="75">
        <f>Valores!$C$30</f>
        <v>166.15</v>
      </c>
      <c r="AE42" s="79">
        <v>0</v>
      </c>
      <c r="AF42" s="75">
        <f>INT(((AE42*Valores!$C$2)*100)+0.5)/100</f>
        <v>0</v>
      </c>
      <c r="AG42" s="75">
        <f>Valores!$C$58</f>
        <v>337.97</v>
      </c>
      <c r="AH42" s="75">
        <f>Valores!$C$60</f>
        <v>96.56</v>
      </c>
      <c r="AI42" s="81">
        <f t="shared" si="7"/>
        <v>35044.921000000002</v>
      </c>
      <c r="AJ42" s="77">
        <f>Valores!$C$35</f>
        <v>666.25</v>
      </c>
      <c r="AK42" s="78">
        <f>Valores!$C$8</f>
        <v>0</v>
      </c>
      <c r="AL42" s="78">
        <f>Valores!$C$81</f>
        <v>1500</v>
      </c>
      <c r="AM42" s="80">
        <f>Valores!$C$51</f>
        <v>141.62</v>
      </c>
      <c r="AN42" s="82">
        <f t="shared" si="8"/>
        <v>2166.25</v>
      </c>
      <c r="AO42" s="83">
        <f>AI42*-Valores!$C$65</f>
        <v>-4555.8397300000006</v>
      </c>
      <c r="AP42" s="83">
        <f>AI42*-Valores!$C$66</f>
        <v>-175.22460500000003</v>
      </c>
      <c r="AQ42" s="77">
        <f>AI42*-Valores!$C$67</f>
        <v>-1577.0214450000001</v>
      </c>
      <c r="AR42" s="77">
        <f>AI42*-Valores!$C$68</f>
        <v>-946.21286700000007</v>
      </c>
      <c r="AS42" s="77">
        <f>AI42*-Valores!$C$69</f>
        <v>-105.13476300000001</v>
      </c>
      <c r="AT42" s="81">
        <f t="shared" si="4"/>
        <v>30903.085220000001</v>
      </c>
      <c r="AU42" s="81">
        <f t="shared" si="5"/>
        <v>31428.759034999999</v>
      </c>
      <c r="AV42" s="77">
        <f>AI42*Valores!$C$71</f>
        <v>5607.1873600000008</v>
      </c>
      <c r="AW42" s="77">
        <f>AI42*Valores!$C$72</f>
        <v>1577.0214450000001</v>
      </c>
      <c r="AX42" s="77">
        <f>AI42*Valores!$C$73</f>
        <v>350.44921000000005</v>
      </c>
      <c r="AY42" s="77">
        <f>AI42*Valores!$C$75</f>
        <v>1226.5722350000001</v>
      </c>
      <c r="AZ42" s="77">
        <f>AI42*Valores!$C$76</f>
        <v>210.26952600000001</v>
      </c>
      <c r="BA42" s="77">
        <f t="shared" si="9"/>
        <v>1892.4257340000001</v>
      </c>
      <c r="BB42" s="51"/>
      <c r="BC42" s="51">
        <v>45</v>
      </c>
      <c r="BD42" s="27" t="s">
        <v>4</v>
      </c>
    </row>
    <row r="43" spans="1:56" s="27" customFormat="1" ht="11.25" customHeight="1" x14ac:dyDescent="0.2">
      <c r="A43" s="51">
        <v>42</v>
      </c>
      <c r="B43" s="51"/>
      <c r="C43" s="27" t="s">
        <v>227</v>
      </c>
      <c r="E43" s="27">
        <f t="shared" si="0"/>
        <v>31</v>
      </c>
      <c r="F43" s="71" t="s">
        <v>228</v>
      </c>
      <c r="G43" s="72">
        <v>72</v>
      </c>
      <c r="H43" s="73">
        <f>INT((G43*Valores!$C$2*100)+0.5)/100</f>
        <v>495.23</v>
      </c>
      <c r="I43" s="74">
        <v>2471</v>
      </c>
      <c r="J43" s="75">
        <f>INT((I43*Valores!$C$2*100)+0.5)/100</f>
        <v>16996.03</v>
      </c>
      <c r="K43" s="76">
        <v>199</v>
      </c>
      <c r="L43" s="75">
        <f>INT((K43*Valores!$C$2*100)+0.5)/100</f>
        <v>1368.76</v>
      </c>
      <c r="M43" s="72">
        <v>0</v>
      </c>
      <c r="N43" s="75">
        <f>INT((M43*Valores!$C$2*100)+0.5)/100</f>
        <v>0</v>
      </c>
      <c r="O43" s="75">
        <f t="shared" si="1"/>
        <v>3445.8959999999997</v>
      </c>
      <c r="P43" s="75">
        <f t="shared" si="2"/>
        <v>0</v>
      </c>
      <c r="Q43" s="77">
        <f>Valores!$C$16</f>
        <v>4450.7</v>
      </c>
      <c r="R43" s="77">
        <f>Valores!$D$4</f>
        <v>3076.62</v>
      </c>
      <c r="S43" s="75">
        <v>0</v>
      </c>
      <c r="T43" s="78">
        <f>Valores!$C$42</f>
        <v>1271.83</v>
      </c>
      <c r="U43" s="75">
        <f>Valores!$C$23</f>
        <v>2840.79</v>
      </c>
      <c r="V43" s="75">
        <f t="shared" si="3"/>
        <v>2840.79</v>
      </c>
      <c r="W43" s="75">
        <v>0</v>
      </c>
      <c r="X43" s="75">
        <v>0</v>
      </c>
      <c r="Y43" s="79">
        <v>0</v>
      </c>
      <c r="Z43" s="75">
        <f>Y43*Valores!$C$2</f>
        <v>0</v>
      </c>
      <c r="AA43" s="75">
        <v>0</v>
      </c>
      <c r="AB43" s="80">
        <f>Valores!$C$29</f>
        <v>166.15</v>
      </c>
      <c r="AC43" s="75">
        <f t="shared" si="6"/>
        <v>0</v>
      </c>
      <c r="AD43" s="75">
        <f>Valores!$C$30</f>
        <v>166.15</v>
      </c>
      <c r="AE43" s="79">
        <v>0</v>
      </c>
      <c r="AF43" s="75">
        <f>INT(((AE43*Valores!$C$2)*100)+0.5)/100</f>
        <v>0</v>
      </c>
      <c r="AG43" s="75">
        <f>Valores!$C$58</f>
        <v>337.97</v>
      </c>
      <c r="AH43" s="75">
        <f>Valores!$C$60</f>
        <v>96.56</v>
      </c>
      <c r="AI43" s="81">
        <f t="shared" si="7"/>
        <v>34712.686000000002</v>
      </c>
      <c r="AJ43" s="77">
        <f>Valores!$C$35</f>
        <v>666.25</v>
      </c>
      <c r="AK43" s="78">
        <f>Valores!$C$8</f>
        <v>0</v>
      </c>
      <c r="AL43" s="78">
        <f>Valores!$C$81</f>
        <v>1500</v>
      </c>
      <c r="AM43" s="80">
        <f>Valores!$C$51</f>
        <v>141.62</v>
      </c>
      <c r="AN43" s="82">
        <f t="shared" si="8"/>
        <v>2166.25</v>
      </c>
      <c r="AO43" s="83">
        <f>AI43*-Valores!$C$65</f>
        <v>-4512.6491800000003</v>
      </c>
      <c r="AP43" s="83">
        <f>AI43*-Valores!$C$66</f>
        <v>-173.56343000000001</v>
      </c>
      <c r="AQ43" s="77">
        <f>AI43*-Valores!$C$67</f>
        <v>-1562.07087</v>
      </c>
      <c r="AR43" s="77">
        <f>AI43*-Valores!$C$68</f>
        <v>-937.24252200000001</v>
      </c>
      <c r="AS43" s="77">
        <f>AI43*-Valores!$C$69</f>
        <v>-104.138058</v>
      </c>
      <c r="AT43" s="81">
        <f t="shared" si="4"/>
        <v>30630.652519999996</v>
      </c>
      <c r="AU43" s="81">
        <f t="shared" si="5"/>
        <v>31151.342809999998</v>
      </c>
      <c r="AV43" s="77">
        <f>AI43*Valores!$C$71</f>
        <v>5554.0297600000004</v>
      </c>
      <c r="AW43" s="77">
        <f>AI43*Valores!$C$72</f>
        <v>1562.07087</v>
      </c>
      <c r="AX43" s="77">
        <f>AI43*Valores!$C$73</f>
        <v>347.12686000000002</v>
      </c>
      <c r="AY43" s="77">
        <f>AI43*Valores!$C$75</f>
        <v>1214.9440100000002</v>
      </c>
      <c r="AZ43" s="77">
        <f>AI43*Valores!$C$76</f>
        <v>208.276116</v>
      </c>
      <c r="BA43" s="77">
        <f t="shared" si="9"/>
        <v>1874.4850440000002</v>
      </c>
      <c r="BB43" s="51"/>
      <c r="BC43" s="51">
        <v>45</v>
      </c>
      <c r="BD43" s="27" t="s">
        <v>4</v>
      </c>
    </row>
    <row r="44" spans="1:56" s="27" customFormat="1" ht="11.25" customHeight="1" x14ac:dyDescent="0.2">
      <c r="A44" s="51">
        <v>43</v>
      </c>
      <c r="B44" s="51"/>
      <c r="C44" s="27" t="s">
        <v>229</v>
      </c>
      <c r="E44" s="27">
        <f t="shared" si="0"/>
        <v>31</v>
      </c>
      <c r="F44" s="71" t="s">
        <v>230</v>
      </c>
      <c r="G44" s="72">
        <f>G38</f>
        <v>85</v>
      </c>
      <c r="H44" s="73">
        <f>INT((G44*Valores!$C$2*100)+0.5)/100</f>
        <v>584.65</v>
      </c>
      <c r="I44" s="74">
        <f>I38</f>
        <v>3498</v>
      </c>
      <c r="J44" s="75">
        <f>INT((I44*Valores!$C$2*100)+0.5)/100</f>
        <v>24059.94</v>
      </c>
      <c r="K44" s="76">
        <f>K38</f>
        <v>1209</v>
      </c>
      <c r="L44" s="75">
        <f>INT((K44*Valores!$C$2*100)+0.5)/100</f>
        <v>8315.74</v>
      </c>
      <c r="M44" s="100">
        <v>0</v>
      </c>
      <c r="N44" s="75">
        <f>INT((M44*Valores!$C$2*100)+0.5)/100</f>
        <v>0</v>
      </c>
      <c r="O44" s="75">
        <f t="shared" si="1"/>
        <v>5656.3275000000003</v>
      </c>
      <c r="P44" s="75">
        <f t="shared" si="2"/>
        <v>0</v>
      </c>
      <c r="Q44" s="77">
        <f>Q38</f>
        <v>8155.5</v>
      </c>
      <c r="R44" s="77">
        <f>R38</f>
        <v>3076.62</v>
      </c>
      <c r="S44" s="101">
        <v>0</v>
      </c>
      <c r="T44" s="101">
        <f>T38</f>
        <v>1907.73</v>
      </c>
      <c r="U44" s="101">
        <f>U38</f>
        <v>2840.79</v>
      </c>
      <c r="V44" s="75">
        <f t="shared" si="3"/>
        <v>2840.79</v>
      </c>
      <c r="W44" s="75">
        <v>0</v>
      </c>
      <c r="X44" s="75">
        <v>0</v>
      </c>
      <c r="Y44" s="79">
        <v>0</v>
      </c>
      <c r="Z44" s="75">
        <f>Y44*Valores!$C$2</f>
        <v>0</v>
      </c>
      <c r="AA44" s="75">
        <v>0</v>
      </c>
      <c r="AB44" s="101">
        <f>Valores!$C$29</f>
        <v>166.15</v>
      </c>
      <c r="AC44" s="75">
        <f t="shared" si="6"/>
        <v>0</v>
      </c>
      <c r="AD44" s="101">
        <f>Valores!$C$30</f>
        <v>166.15</v>
      </c>
      <c r="AE44" s="79">
        <v>0</v>
      </c>
      <c r="AF44" s="77">
        <f>INT(((AE44*Valores!$C$2)*100)+0.5)/100</f>
        <v>0</v>
      </c>
      <c r="AG44" s="77">
        <f>Valores!$C$58</f>
        <v>337.97</v>
      </c>
      <c r="AH44" s="77">
        <f>Valores!$C$60</f>
        <v>96.56</v>
      </c>
      <c r="AI44" s="81">
        <f t="shared" si="7"/>
        <v>55364.12750000001</v>
      </c>
      <c r="AJ44" s="77">
        <f>Valores!$C$35</f>
        <v>666.25</v>
      </c>
      <c r="AK44" s="78">
        <f>AK38</f>
        <v>0</v>
      </c>
      <c r="AL44" s="77">
        <f>AL38</f>
        <v>3000</v>
      </c>
      <c r="AM44" s="80">
        <f>AM38</f>
        <v>283.24</v>
      </c>
      <c r="AN44" s="82">
        <f t="shared" si="8"/>
        <v>3666.25</v>
      </c>
      <c r="AO44" s="83">
        <f>AI44*-Valores!$C$65</f>
        <v>-7197.3365750000012</v>
      </c>
      <c r="AP44" s="83">
        <f>AI44*-Valores!$C$66</f>
        <v>-276.82063750000003</v>
      </c>
      <c r="AQ44" s="77">
        <f>AI44*-Valores!$C$67</f>
        <v>-2491.3857375000002</v>
      </c>
      <c r="AR44" s="77">
        <f>AI44*-Valores!$C$68</f>
        <v>-1494.8314425000003</v>
      </c>
      <c r="AS44" s="77">
        <f>AI44*-Valores!$C$69</f>
        <v>-166.09238250000004</v>
      </c>
      <c r="AT44" s="81">
        <f t="shared" si="4"/>
        <v>49064.834550000007</v>
      </c>
      <c r="AU44" s="81">
        <f t="shared" si="5"/>
        <v>49895.29646250001</v>
      </c>
      <c r="AV44" s="77">
        <f>AI44*Valores!$C$71</f>
        <v>8858.260400000001</v>
      </c>
      <c r="AW44" s="77">
        <f>AI44*Valores!$C$72</f>
        <v>2491.3857375000002</v>
      </c>
      <c r="AX44" s="77">
        <f>AI44*Valores!$C$73</f>
        <v>553.64127500000006</v>
      </c>
      <c r="AY44" s="77">
        <f>AI44*Valores!$C$75</f>
        <v>1937.7444625000005</v>
      </c>
      <c r="AZ44" s="77">
        <f>AI44*Valores!$C$76</f>
        <v>332.18476500000008</v>
      </c>
      <c r="BA44" s="77">
        <f t="shared" si="9"/>
        <v>2989.6628850000006</v>
      </c>
      <c r="BB44" s="51"/>
      <c r="BC44" s="51">
        <v>45</v>
      </c>
      <c r="BD44" s="27" t="s">
        <v>8</v>
      </c>
    </row>
    <row r="45" spans="1:56" s="27" customFormat="1" ht="11.25" customHeight="1" x14ac:dyDescent="0.2">
      <c r="A45" s="51">
        <v>44</v>
      </c>
      <c r="B45" s="51"/>
      <c r="C45" s="27" t="s">
        <v>231</v>
      </c>
      <c r="E45" s="27">
        <f t="shared" si="0"/>
        <v>26</v>
      </c>
      <c r="F45" s="71" t="s">
        <v>232</v>
      </c>
      <c r="G45" s="72">
        <f>G87+G305</f>
        <v>518</v>
      </c>
      <c r="H45" s="73">
        <f>INT((G45*Valores!$C$2*100)+0.5)/100</f>
        <v>3562.91</v>
      </c>
      <c r="I45" s="74">
        <f>I87+I305</f>
        <v>1997</v>
      </c>
      <c r="J45" s="75">
        <f>INT((I45*Valores!$C$2*100)+0.5)/100</f>
        <v>13735.77</v>
      </c>
      <c r="K45" s="102">
        <v>0</v>
      </c>
      <c r="L45" s="75">
        <f>INT((K45*Valores!$C$2*100)+0.5)/100</f>
        <v>0</v>
      </c>
      <c r="M45" s="100">
        <v>0</v>
      </c>
      <c r="N45" s="75">
        <f>INT((M45*Valores!$C$2*100)+0.5)/100</f>
        <v>0</v>
      </c>
      <c r="O45" s="75">
        <f t="shared" si="1"/>
        <v>3251.4525000000003</v>
      </c>
      <c r="P45" s="75">
        <f t="shared" si="2"/>
        <v>0</v>
      </c>
      <c r="Q45" s="77">
        <f t="shared" ref="Q45:V45" si="12">Q87+Q305</f>
        <v>4450.7</v>
      </c>
      <c r="R45" s="77">
        <f t="shared" si="12"/>
        <v>3076.62</v>
      </c>
      <c r="S45" s="101">
        <f t="shared" si="12"/>
        <v>3208.72</v>
      </c>
      <c r="T45" s="101">
        <f t="shared" si="12"/>
        <v>1536.8799999999999</v>
      </c>
      <c r="U45" s="101">
        <f t="shared" si="12"/>
        <v>2840.79</v>
      </c>
      <c r="V45" s="77">
        <f t="shared" si="12"/>
        <v>2840.79</v>
      </c>
      <c r="W45" s="75">
        <v>0</v>
      </c>
      <c r="X45" s="75">
        <v>0</v>
      </c>
      <c r="Y45" s="79">
        <v>0</v>
      </c>
      <c r="Z45" s="75">
        <f>Y45*Valores!$C$2</f>
        <v>0</v>
      </c>
      <c r="AA45" s="75">
        <v>0</v>
      </c>
      <c r="AB45" s="77">
        <f>Valores!$C$29</f>
        <v>166.15</v>
      </c>
      <c r="AC45" s="75">
        <f t="shared" si="6"/>
        <v>0</v>
      </c>
      <c r="AD45" s="77">
        <f>Valores!$C$30</f>
        <v>166.15</v>
      </c>
      <c r="AE45" s="79">
        <v>0</v>
      </c>
      <c r="AF45" s="75">
        <f>INT(((AE45*Valores!$C$2)*100)+0.5)/100</f>
        <v>0</v>
      </c>
      <c r="AG45" s="75">
        <f>Valores!$C$58</f>
        <v>337.97</v>
      </c>
      <c r="AH45" s="75">
        <f>Valores!$C$60</f>
        <v>96.56</v>
      </c>
      <c r="AI45" s="81">
        <f t="shared" si="7"/>
        <v>36430.672500000001</v>
      </c>
      <c r="AJ45" s="77">
        <f>Valores!$C$35</f>
        <v>666.25</v>
      </c>
      <c r="AK45" s="77">
        <f>AK87+AK305</f>
        <v>0</v>
      </c>
      <c r="AL45" s="77">
        <f>AL87+AL305</f>
        <v>1500</v>
      </c>
      <c r="AM45" s="77">
        <f>AM87+AM305</f>
        <v>141.62</v>
      </c>
      <c r="AN45" s="82">
        <f t="shared" si="8"/>
        <v>2166.25</v>
      </c>
      <c r="AO45" s="83">
        <f>AI45*-Valores!$C$65</f>
        <v>-4735.9874250000003</v>
      </c>
      <c r="AP45" s="83">
        <f>AI45*-Valores!$C$66</f>
        <v>-182.15336250000001</v>
      </c>
      <c r="AQ45" s="77">
        <f>AI45*-Valores!$C$67</f>
        <v>-1639.3802625000001</v>
      </c>
      <c r="AR45" s="77">
        <f>AI45*-Valores!$C$68</f>
        <v>-983.62815750000004</v>
      </c>
      <c r="AS45" s="77">
        <f>AI45*-Valores!$C$69</f>
        <v>-109.2920175</v>
      </c>
      <c r="AT45" s="81">
        <f t="shared" si="4"/>
        <v>32039.401449999998</v>
      </c>
      <c r="AU45" s="81">
        <f t="shared" si="5"/>
        <v>32585.861537499997</v>
      </c>
      <c r="AV45" s="77">
        <f>AI45*Valores!$C$71</f>
        <v>5828.9076000000005</v>
      </c>
      <c r="AW45" s="77">
        <f>AI45*Valores!$C$72</f>
        <v>1639.3802625000001</v>
      </c>
      <c r="AX45" s="77">
        <f>AI45*Valores!$C$73</f>
        <v>364.30672500000003</v>
      </c>
      <c r="AY45" s="77">
        <f>AI45*Valores!$C$75</f>
        <v>1275.0735375000002</v>
      </c>
      <c r="AZ45" s="77">
        <f>AI45*Valores!$C$76</f>
        <v>218.584035</v>
      </c>
      <c r="BA45" s="77">
        <f t="shared" si="9"/>
        <v>1967.2563150000001</v>
      </c>
      <c r="BB45" s="51"/>
      <c r="BC45" s="51"/>
      <c r="BD45" s="27" t="s">
        <v>8</v>
      </c>
    </row>
    <row r="46" spans="1:56" s="27" customFormat="1" ht="11.25" customHeight="1" x14ac:dyDescent="0.2">
      <c r="A46" s="85">
        <v>45</v>
      </c>
      <c r="B46" s="85" t="s">
        <v>163</v>
      </c>
      <c r="C46" s="86" t="s">
        <v>233</v>
      </c>
      <c r="D46" s="86"/>
      <c r="E46" s="86">
        <f t="shared" si="0"/>
        <v>33</v>
      </c>
      <c r="F46" s="87" t="s">
        <v>234</v>
      </c>
      <c r="G46" s="88">
        <f>G54+G239</f>
        <v>572</v>
      </c>
      <c r="H46" s="89">
        <f>INT((G46*Valores!$C$2*100)+0.5)/100</f>
        <v>3934.33</v>
      </c>
      <c r="I46" s="103">
        <f>I54+I239</f>
        <v>2686</v>
      </c>
      <c r="J46" s="91">
        <f>INT((I46*Valores!$C$2*100)+0.5)/100</f>
        <v>18474.849999999999</v>
      </c>
      <c r="K46" s="104">
        <v>0</v>
      </c>
      <c r="L46" s="91">
        <f>INT((K46*Valores!$C$2*100)+0.5)/100</f>
        <v>0</v>
      </c>
      <c r="M46" s="105">
        <v>0</v>
      </c>
      <c r="N46" s="91">
        <f>INT((M46*Valores!$C$2*100)+0.5)/100</f>
        <v>0</v>
      </c>
      <c r="O46" s="91">
        <f t="shared" si="1"/>
        <v>4078.701</v>
      </c>
      <c r="P46" s="91">
        <f t="shared" si="2"/>
        <v>0</v>
      </c>
      <c r="Q46" s="91">
        <f>Q54+Q239</f>
        <v>5447.48</v>
      </c>
      <c r="R46" s="93">
        <f>Valores!$D$4</f>
        <v>3076.62</v>
      </c>
      <c r="S46" s="91">
        <f>S54+S239</f>
        <v>3208.72</v>
      </c>
      <c r="T46" s="94">
        <f>T54+T239</f>
        <v>1589.8899999999999</v>
      </c>
      <c r="U46" s="91">
        <f>U54+U239</f>
        <v>3192.27</v>
      </c>
      <c r="V46" s="91">
        <f t="shared" ref="V46:V109" si="13">U46*(1+$J$2)</f>
        <v>3192.27</v>
      </c>
      <c r="W46" s="91">
        <v>0</v>
      </c>
      <c r="X46" s="91">
        <v>0</v>
      </c>
      <c r="Y46" s="95">
        <v>0</v>
      </c>
      <c r="Z46" s="91">
        <f>Y46*Valores!$C$2</f>
        <v>0</v>
      </c>
      <c r="AA46" s="91">
        <v>0</v>
      </c>
      <c r="AB46" s="91">
        <f>AB54+AB239</f>
        <v>206.11</v>
      </c>
      <c r="AC46" s="91">
        <f t="shared" si="6"/>
        <v>0</v>
      </c>
      <c r="AD46" s="91">
        <f>Valores!$C$30</f>
        <v>166.15</v>
      </c>
      <c r="AE46" s="95">
        <v>0</v>
      </c>
      <c r="AF46" s="91">
        <f>INT(((AE46*Valores!$C$2)*100)+0.5)/100</f>
        <v>0</v>
      </c>
      <c r="AG46" s="96">
        <f>AG54+AG239</f>
        <v>473.15000000000003</v>
      </c>
      <c r="AH46" s="96">
        <f>AH54+AH239</f>
        <v>135.19999999999999</v>
      </c>
      <c r="AI46" s="97">
        <f t="shared" si="7"/>
        <v>43983.470999999998</v>
      </c>
      <c r="AJ46" s="96">
        <f>AJ54+AJ239</f>
        <v>932.77</v>
      </c>
      <c r="AK46" s="94">
        <f>AK54+AK239</f>
        <v>0</v>
      </c>
      <c r="AL46" s="91">
        <f>AL54+AL239</f>
        <v>2250</v>
      </c>
      <c r="AM46" s="94">
        <f>AM54+AM239</f>
        <v>198.26</v>
      </c>
      <c r="AN46" s="98">
        <f t="shared" si="8"/>
        <v>3182.77</v>
      </c>
      <c r="AO46" s="99">
        <f>AI46*-Valores!$C$65</f>
        <v>-5717.8512300000002</v>
      </c>
      <c r="AP46" s="99">
        <f>AI46*-Valores!$C$66</f>
        <v>-219.91735499999999</v>
      </c>
      <c r="AQ46" s="93">
        <f>AI46*-Valores!$C$67</f>
        <v>-1979.2561949999999</v>
      </c>
      <c r="AR46" s="93">
        <f>AI46*-Valores!$C$68</f>
        <v>-1187.553717</v>
      </c>
      <c r="AS46" s="93">
        <f>AI46*-Valores!$C$69</f>
        <v>-131.950413</v>
      </c>
      <c r="AT46" s="97">
        <f t="shared" si="4"/>
        <v>39249.216219999995</v>
      </c>
      <c r="AU46" s="97">
        <f t="shared" si="5"/>
        <v>39908.968284999995</v>
      </c>
      <c r="AV46" s="93">
        <f>AI46*Valores!$C$71</f>
        <v>7037.3553599999996</v>
      </c>
      <c r="AW46" s="93">
        <f>AI46*Valores!$C$72</f>
        <v>1979.2561949999999</v>
      </c>
      <c r="AX46" s="93">
        <f>AI46*Valores!$C$73</f>
        <v>439.83470999999997</v>
      </c>
      <c r="AY46" s="93">
        <f>AI46*Valores!$C$75</f>
        <v>1539.4214850000001</v>
      </c>
      <c r="AZ46" s="93">
        <f>AI46*Valores!$C$76</f>
        <v>263.900826</v>
      </c>
      <c r="BA46" s="93">
        <f t="shared" si="9"/>
        <v>2375.107434</v>
      </c>
      <c r="BB46" s="85"/>
      <c r="BC46" s="85"/>
      <c r="BD46" s="86" t="s">
        <v>8</v>
      </c>
    </row>
    <row r="47" spans="1:56" s="27" customFormat="1" ht="11.25" customHeight="1" x14ac:dyDescent="0.2">
      <c r="A47" s="51">
        <v>46</v>
      </c>
      <c r="B47" s="51"/>
      <c r="C47" s="27" t="s">
        <v>235</v>
      </c>
      <c r="E47" s="27">
        <f t="shared" si="0"/>
        <v>33</v>
      </c>
      <c r="F47" s="71" t="s">
        <v>236</v>
      </c>
      <c r="G47" s="72">
        <v>108</v>
      </c>
      <c r="H47" s="73">
        <f>INT((G47*Valores!$C$2*100)+0.5)/100</f>
        <v>742.85</v>
      </c>
      <c r="I47" s="74">
        <v>2907</v>
      </c>
      <c r="J47" s="75">
        <f>INT((I47*Valores!$C$2*100)+0.5)/100</f>
        <v>19994.93</v>
      </c>
      <c r="K47" s="102">
        <v>0</v>
      </c>
      <c r="L47" s="75">
        <f>INT((K47*Valores!$C$2*100)+0.5)/100</f>
        <v>0</v>
      </c>
      <c r="M47" s="72">
        <v>0</v>
      </c>
      <c r="N47" s="75">
        <f>INT((M47*Valores!$C$2*100)+0.5)/100</f>
        <v>0</v>
      </c>
      <c r="O47" s="75">
        <f t="shared" si="1"/>
        <v>3727.56</v>
      </c>
      <c r="P47" s="75">
        <f t="shared" si="2"/>
        <v>0</v>
      </c>
      <c r="Q47" s="77">
        <f>Valores!$C$16</f>
        <v>4450.7</v>
      </c>
      <c r="R47" s="77">
        <f>Valores!$D$4</f>
        <v>3076.62</v>
      </c>
      <c r="S47" s="101">
        <f>Valores!$C$26</f>
        <v>3208.72</v>
      </c>
      <c r="T47" s="106">
        <f>Valores!$C$42</f>
        <v>1271.83</v>
      </c>
      <c r="U47" s="75">
        <f>Valores!$C$23</f>
        <v>2840.79</v>
      </c>
      <c r="V47" s="75">
        <f t="shared" si="13"/>
        <v>2840.79</v>
      </c>
      <c r="W47" s="75">
        <v>0</v>
      </c>
      <c r="X47" s="75">
        <v>0</v>
      </c>
      <c r="Y47" s="79">
        <v>0</v>
      </c>
      <c r="Z47" s="75">
        <f>Y47*Valores!$C$2</f>
        <v>0</v>
      </c>
      <c r="AA47" s="75">
        <v>0</v>
      </c>
      <c r="AB47" s="80">
        <f>Valores!$C$29</f>
        <v>166.15</v>
      </c>
      <c r="AC47" s="75">
        <f t="shared" si="6"/>
        <v>0</v>
      </c>
      <c r="AD47" s="75">
        <f>Valores!$C$30</f>
        <v>166.15</v>
      </c>
      <c r="AE47" s="79">
        <v>0</v>
      </c>
      <c r="AF47" s="75">
        <f>INT(((AE47*Valores!$C$2)*100)+0.5)/100</f>
        <v>0</v>
      </c>
      <c r="AG47" s="75">
        <f>Valores!$C$58</f>
        <v>337.97</v>
      </c>
      <c r="AH47" s="75">
        <f>Valores!$C$60</f>
        <v>96.56</v>
      </c>
      <c r="AI47" s="81">
        <f t="shared" si="7"/>
        <v>40080.83</v>
      </c>
      <c r="AJ47" s="77">
        <f>Valores!$C$35</f>
        <v>666.25</v>
      </c>
      <c r="AK47" s="78">
        <f>Valores!$C$8</f>
        <v>0</v>
      </c>
      <c r="AL47" s="78">
        <f>Valores!$C$82</f>
        <v>1800</v>
      </c>
      <c r="AM47" s="80">
        <f>Valores!$C$51</f>
        <v>141.62</v>
      </c>
      <c r="AN47" s="82">
        <f t="shared" si="8"/>
        <v>2466.25</v>
      </c>
      <c r="AO47" s="83">
        <f>AI47*-Valores!$C$65</f>
        <v>-5210.5079000000005</v>
      </c>
      <c r="AP47" s="83">
        <f>AI47*-Valores!$C$66</f>
        <v>-200.40415000000002</v>
      </c>
      <c r="AQ47" s="77">
        <f>AI47*-Valores!$C$67</f>
        <v>-1803.63735</v>
      </c>
      <c r="AR47" s="77">
        <f>AI47*-Valores!$C$68</f>
        <v>-1082.1824100000001</v>
      </c>
      <c r="AS47" s="77">
        <f>AI47*-Valores!$C$69</f>
        <v>-120.24249</v>
      </c>
      <c r="AT47" s="81">
        <f t="shared" si="4"/>
        <v>35332.530599999998</v>
      </c>
      <c r="AU47" s="81">
        <f t="shared" si="5"/>
        <v>35933.743049999997</v>
      </c>
      <c r="AV47" s="77">
        <f>AI47*Valores!$C$71</f>
        <v>6412.9328000000005</v>
      </c>
      <c r="AW47" s="77">
        <f>AI47*Valores!$C$72</f>
        <v>1803.63735</v>
      </c>
      <c r="AX47" s="77">
        <f>AI47*Valores!$C$73</f>
        <v>400.80830000000003</v>
      </c>
      <c r="AY47" s="77">
        <f>AI47*Valores!$C$75</f>
        <v>1402.8290500000003</v>
      </c>
      <c r="AZ47" s="77">
        <f>AI47*Valores!$C$76</f>
        <v>240.48498000000001</v>
      </c>
      <c r="BA47" s="77">
        <f t="shared" si="9"/>
        <v>2164.3648200000002</v>
      </c>
      <c r="BB47" s="51"/>
      <c r="BC47" s="51">
        <v>30</v>
      </c>
      <c r="BD47" s="27" t="s">
        <v>4</v>
      </c>
    </row>
    <row r="48" spans="1:56" s="27" customFormat="1" ht="11.25" customHeight="1" x14ac:dyDescent="0.2">
      <c r="A48" s="51">
        <v>47</v>
      </c>
      <c r="B48" s="51"/>
      <c r="C48" s="27" t="s">
        <v>237</v>
      </c>
      <c r="E48" s="27">
        <f t="shared" si="0"/>
        <v>33</v>
      </c>
      <c r="F48" s="71" t="s">
        <v>238</v>
      </c>
      <c r="G48" s="72">
        <v>88</v>
      </c>
      <c r="H48" s="73">
        <f>INT((G48*Valores!$C$2*100)+0.5)/100</f>
        <v>605.28</v>
      </c>
      <c r="I48" s="74">
        <v>2622</v>
      </c>
      <c r="J48" s="75">
        <f>INT((I48*Valores!$C$2*100)+0.5)/100</f>
        <v>18034.64</v>
      </c>
      <c r="K48" s="102">
        <v>0</v>
      </c>
      <c r="L48" s="75">
        <f>INT((K48*Valores!$C$2*100)+0.5)/100</f>
        <v>0</v>
      </c>
      <c r="M48" s="100">
        <v>0</v>
      </c>
      <c r="N48" s="75">
        <f>INT((M48*Valores!$C$2*100)+0.5)/100</f>
        <v>0</v>
      </c>
      <c r="O48" s="75">
        <f t="shared" si="1"/>
        <v>3412.8809999999999</v>
      </c>
      <c r="P48" s="75">
        <f t="shared" si="2"/>
        <v>0</v>
      </c>
      <c r="Q48" s="77">
        <f>Valores!$C$16</f>
        <v>4450.7</v>
      </c>
      <c r="R48" s="77">
        <f>Valores!$D$4</f>
        <v>3076.62</v>
      </c>
      <c r="S48" s="101">
        <f>Valores!$C$26</f>
        <v>3208.72</v>
      </c>
      <c r="T48" s="106">
        <f>Valores!$C$42</f>
        <v>1271.83</v>
      </c>
      <c r="U48" s="75">
        <f>Valores!$C$23</f>
        <v>2840.79</v>
      </c>
      <c r="V48" s="75">
        <f t="shared" si="13"/>
        <v>2840.79</v>
      </c>
      <c r="W48" s="75">
        <v>0</v>
      </c>
      <c r="X48" s="75">
        <v>0</v>
      </c>
      <c r="Y48" s="79">
        <v>0</v>
      </c>
      <c r="Z48" s="75">
        <f>Y48*Valores!$C$2</f>
        <v>0</v>
      </c>
      <c r="AA48" s="75">
        <v>0</v>
      </c>
      <c r="AB48" s="80">
        <f>Valores!$C$29</f>
        <v>166.15</v>
      </c>
      <c r="AC48" s="75">
        <f t="shared" si="6"/>
        <v>0</v>
      </c>
      <c r="AD48" s="75">
        <f>Valores!$C$30</f>
        <v>166.15</v>
      </c>
      <c r="AE48" s="79">
        <v>0</v>
      </c>
      <c r="AF48" s="75">
        <f>INT(((AE48*Valores!$C$2)*100)+0.5)/100</f>
        <v>0</v>
      </c>
      <c r="AG48" s="75">
        <f>Valores!$C$58</f>
        <v>337.97</v>
      </c>
      <c r="AH48" s="75">
        <f>Valores!$C$60</f>
        <v>96.56</v>
      </c>
      <c r="AI48" s="81">
        <f t="shared" si="7"/>
        <v>37668.291000000005</v>
      </c>
      <c r="AJ48" s="77">
        <f>Valores!$C$35</f>
        <v>666.25</v>
      </c>
      <c r="AK48" s="78">
        <f>Valores!$C$8</f>
        <v>0</v>
      </c>
      <c r="AL48" s="78">
        <f>Valores!$C$82</f>
        <v>1800</v>
      </c>
      <c r="AM48" s="80">
        <f>Valores!$C$51</f>
        <v>141.62</v>
      </c>
      <c r="AN48" s="82">
        <f t="shared" si="8"/>
        <v>2466.25</v>
      </c>
      <c r="AO48" s="83">
        <f>AI48*-Valores!$C$65</f>
        <v>-4896.8778300000004</v>
      </c>
      <c r="AP48" s="83">
        <f>AI48*-Valores!$C$66</f>
        <v>-188.34145500000002</v>
      </c>
      <c r="AQ48" s="77">
        <f>AI48*-Valores!$C$67</f>
        <v>-1695.0730950000002</v>
      </c>
      <c r="AR48" s="77">
        <f>AI48*-Valores!$C$68</f>
        <v>-1017.0438570000001</v>
      </c>
      <c r="AS48" s="77">
        <f>AI48*-Valores!$C$69</f>
        <v>-113.00487300000002</v>
      </c>
      <c r="AT48" s="81">
        <f t="shared" si="4"/>
        <v>33354.248620000006</v>
      </c>
      <c r="AU48" s="81">
        <f t="shared" si="5"/>
        <v>33919.272985000011</v>
      </c>
      <c r="AV48" s="77">
        <f>AI48*Valores!$C$71</f>
        <v>6026.9265600000008</v>
      </c>
      <c r="AW48" s="77">
        <f>AI48*Valores!$C$72</f>
        <v>1695.0730950000002</v>
      </c>
      <c r="AX48" s="77">
        <f>AI48*Valores!$C$73</f>
        <v>376.68291000000005</v>
      </c>
      <c r="AY48" s="77">
        <f>AI48*Valores!$C$75</f>
        <v>1318.3901850000002</v>
      </c>
      <c r="AZ48" s="77">
        <f>AI48*Valores!$C$76</f>
        <v>226.00974600000004</v>
      </c>
      <c r="BA48" s="77">
        <f t="shared" si="9"/>
        <v>2034.0877140000002</v>
      </c>
      <c r="BB48" s="51"/>
      <c r="BC48" s="51">
        <v>30</v>
      </c>
      <c r="BD48" s="27" t="s">
        <v>4</v>
      </c>
    </row>
    <row r="49" spans="1:56" s="27" customFormat="1" ht="11.25" customHeight="1" x14ac:dyDescent="0.2">
      <c r="A49" s="51">
        <v>48</v>
      </c>
      <c r="B49" s="51"/>
      <c r="C49" s="27" t="s">
        <v>239</v>
      </c>
      <c r="E49" s="27">
        <f t="shared" si="0"/>
        <v>31</v>
      </c>
      <c r="F49" s="71" t="s">
        <v>240</v>
      </c>
      <c r="G49" s="72">
        <v>88</v>
      </c>
      <c r="H49" s="73">
        <f>INT((G49*Valores!$C$2*100)+0.5)/100</f>
        <v>605.28</v>
      </c>
      <c r="I49" s="74">
        <v>2622</v>
      </c>
      <c r="J49" s="75">
        <f>INT((I49*Valores!$C$2*100)+0.5)/100</f>
        <v>18034.64</v>
      </c>
      <c r="K49" s="102">
        <v>0</v>
      </c>
      <c r="L49" s="75">
        <f>INT((K49*Valores!$C$2*100)+0.5)/100</f>
        <v>0</v>
      </c>
      <c r="M49" s="100">
        <v>0</v>
      </c>
      <c r="N49" s="75">
        <f>INT((M49*Valores!$C$2*100)+0.5)/100</f>
        <v>0</v>
      </c>
      <c r="O49" s="75">
        <f t="shared" si="1"/>
        <v>3412.8809999999999</v>
      </c>
      <c r="P49" s="75">
        <f t="shared" si="2"/>
        <v>0</v>
      </c>
      <c r="Q49" s="77">
        <f>Valores!$C$16</f>
        <v>4450.7</v>
      </c>
      <c r="R49" s="77">
        <f>Valores!$D$4</f>
        <v>3076.62</v>
      </c>
      <c r="S49" s="75">
        <f>Valores!$C$26</f>
        <v>3208.72</v>
      </c>
      <c r="T49" s="78">
        <f>Valores!$C$42</f>
        <v>1271.83</v>
      </c>
      <c r="U49" s="75">
        <f>Valores!$C$23</f>
        <v>2840.79</v>
      </c>
      <c r="V49" s="75">
        <f t="shared" si="13"/>
        <v>2840.79</v>
      </c>
      <c r="W49" s="75">
        <v>0</v>
      </c>
      <c r="X49" s="75">
        <v>0</v>
      </c>
      <c r="Y49" s="79">
        <v>0</v>
      </c>
      <c r="Z49" s="75">
        <f>Y49*Valores!$C$2</f>
        <v>0</v>
      </c>
      <c r="AA49" s="75">
        <v>0</v>
      </c>
      <c r="AB49" s="80">
        <f>Valores!$C$29</f>
        <v>166.15</v>
      </c>
      <c r="AC49" s="75">
        <f t="shared" si="6"/>
        <v>0</v>
      </c>
      <c r="AD49" s="75">
        <f>Valores!$C$30</f>
        <v>166.15</v>
      </c>
      <c r="AE49" s="79">
        <v>0</v>
      </c>
      <c r="AF49" s="75">
        <f>INT(((AE49*Valores!$C$2)*100)+0.5)/100</f>
        <v>0</v>
      </c>
      <c r="AG49" s="75">
        <f>Valores!$C$58</f>
        <v>337.97</v>
      </c>
      <c r="AH49" s="75">
        <f>Valores!$C$60</f>
        <v>96.56</v>
      </c>
      <c r="AI49" s="81">
        <f t="shared" si="7"/>
        <v>37668.291000000005</v>
      </c>
      <c r="AJ49" s="77">
        <f>Valores!$C$35</f>
        <v>666.25</v>
      </c>
      <c r="AK49" s="78">
        <f>Valores!$C$8</f>
        <v>0</v>
      </c>
      <c r="AL49" s="78">
        <f>Valores!$C$82</f>
        <v>1800</v>
      </c>
      <c r="AM49" s="80">
        <f>Valores!$C$51</f>
        <v>141.62</v>
      </c>
      <c r="AN49" s="82">
        <f t="shared" si="8"/>
        <v>2466.25</v>
      </c>
      <c r="AO49" s="83">
        <f>AI49*-Valores!$C$65</f>
        <v>-4896.8778300000004</v>
      </c>
      <c r="AP49" s="83">
        <f>AI49*-Valores!$C$66</f>
        <v>-188.34145500000002</v>
      </c>
      <c r="AQ49" s="77">
        <f>AI49*-Valores!$C$67</f>
        <v>-1695.0730950000002</v>
      </c>
      <c r="AR49" s="77">
        <f>AI49*-Valores!$C$68</f>
        <v>-1017.0438570000001</v>
      </c>
      <c r="AS49" s="77">
        <f>AI49*-Valores!$C$69</f>
        <v>-113.00487300000002</v>
      </c>
      <c r="AT49" s="81">
        <f t="shared" si="4"/>
        <v>33354.248620000006</v>
      </c>
      <c r="AU49" s="81">
        <f t="shared" si="5"/>
        <v>33919.272985000011</v>
      </c>
      <c r="AV49" s="77">
        <f>AI49*Valores!$C$71</f>
        <v>6026.9265600000008</v>
      </c>
      <c r="AW49" s="77">
        <f>AI49*Valores!$C$72</f>
        <v>1695.0730950000002</v>
      </c>
      <c r="AX49" s="77">
        <f>AI49*Valores!$C$73</f>
        <v>376.68291000000005</v>
      </c>
      <c r="AY49" s="77">
        <f>AI49*Valores!$C$75</f>
        <v>1318.3901850000002</v>
      </c>
      <c r="AZ49" s="77">
        <f>AI49*Valores!$C$76</f>
        <v>226.00974600000004</v>
      </c>
      <c r="BA49" s="77">
        <f t="shared" si="9"/>
        <v>2034.0877140000002</v>
      </c>
      <c r="BB49" s="51"/>
      <c r="BC49" s="51">
        <v>30</v>
      </c>
      <c r="BD49" s="27" t="s">
        <v>4</v>
      </c>
    </row>
    <row r="50" spans="1:56" s="27" customFormat="1" ht="11.25" customHeight="1" x14ac:dyDescent="0.2">
      <c r="A50" s="51">
        <v>49</v>
      </c>
      <c r="B50" s="51"/>
      <c r="C50" s="27" t="s">
        <v>241</v>
      </c>
      <c r="E50" s="27">
        <f t="shared" si="0"/>
        <v>26</v>
      </c>
      <c r="F50" s="71" t="s">
        <v>242</v>
      </c>
      <c r="G50" s="72">
        <v>80</v>
      </c>
      <c r="H50" s="73">
        <f>INT((G50*Valores!$C$2*100)+0.5)/100</f>
        <v>550.26</v>
      </c>
      <c r="I50" s="74">
        <v>2278</v>
      </c>
      <c r="J50" s="75">
        <f>INT((I50*Valores!$C$2*100)+0.5)/100</f>
        <v>15668.54</v>
      </c>
      <c r="K50" s="102">
        <v>0</v>
      </c>
      <c r="L50" s="75">
        <f>INT((K50*Valores!$C$2*100)+0.5)/100</f>
        <v>0</v>
      </c>
      <c r="M50" s="100">
        <v>0</v>
      </c>
      <c r="N50" s="75">
        <f>INT((M50*Valores!$C$2*100)+0.5)/100</f>
        <v>0</v>
      </c>
      <c r="O50" s="75">
        <f t="shared" si="1"/>
        <v>3049.7129999999997</v>
      </c>
      <c r="P50" s="75">
        <f t="shared" si="2"/>
        <v>0</v>
      </c>
      <c r="Q50" s="77">
        <f>Valores!$C$16</f>
        <v>4450.7</v>
      </c>
      <c r="R50" s="77">
        <f>Valores!$D$4</f>
        <v>3076.62</v>
      </c>
      <c r="S50" s="101">
        <f>Valores!$C$26</f>
        <v>3208.72</v>
      </c>
      <c r="T50" s="106">
        <f>Valores!$C$42</f>
        <v>1271.83</v>
      </c>
      <c r="U50" s="75">
        <f>Valores!$C$23</f>
        <v>2840.79</v>
      </c>
      <c r="V50" s="75">
        <f t="shared" si="13"/>
        <v>2840.79</v>
      </c>
      <c r="W50" s="75">
        <v>0</v>
      </c>
      <c r="X50" s="75">
        <v>0</v>
      </c>
      <c r="Y50" s="79">
        <v>0</v>
      </c>
      <c r="Z50" s="75">
        <f>Y50*Valores!$C$2</f>
        <v>0</v>
      </c>
      <c r="AA50" s="75">
        <v>0</v>
      </c>
      <c r="AB50" s="80">
        <f>Valores!$C$29</f>
        <v>166.15</v>
      </c>
      <c r="AC50" s="75">
        <f t="shared" si="6"/>
        <v>0</v>
      </c>
      <c r="AD50" s="75">
        <f>Valores!$C$30</f>
        <v>166.15</v>
      </c>
      <c r="AE50" s="79">
        <v>0</v>
      </c>
      <c r="AF50" s="75">
        <f>INT(((AE50*Valores!$C$2)*100)+0.5)/100</f>
        <v>0</v>
      </c>
      <c r="AG50" s="75">
        <f>Valores!$C$58</f>
        <v>337.97</v>
      </c>
      <c r="AH50" s="75">
        <f>Valores!$C$60</f>
        <v>96.56</v>
      </c>
      <c r="AI50" s="81">
        <f t="shared" si="7"/>
        <v>34884.003000000004</v>
      </c>
      <c r="AJ50" s="77">
        <f>Valores!$C$35</f>
        <v>666.25</v>
      </c>
      <c r="AK50" s="78">
        <f>Valores!$C$8</f>
        <v>0</v>
      </c>
      <c r="AL50" s="78">
        <f>Valores!$C$82</f>
        <v>1800</v>
      </c>
      <c r="AM50" s="80">
        <f>Valores!$C$51</f>
        <v>141.62</v>
      </c>
      <c r="AN50" s="82">
        <f t="shared" si="8"/>
        <v>2466.25</v>
      </c>
      <c r="AO50" s="83">
        <f>AI50*-Valores!$C$65</f>
        <v>-4534.9203900000011</v>
      </c>
      <c r="AP50" s="83">
        <f>AI50*-Valores!$C$66</f>
        <v>-174.42001500000003</v>
      </c>
      <c r="AQ50" s="77">
        <f>AI50*-Valores!$C$67</f>
        <v>-1569.7801350000002</v>
      </c>
      <c r="AR50" s="77">
        <f>AI50*-Valores!$C$68</f>
        <v>-941.86808100000007</v>
      </c>
      <c r="AS50" s="77">
        <f>AI50*-Valores!$C$69</f>
        <v>-104.65200900000002</v>
      </c>
      <c r="AT50" s="81">
        <f t="shared" si="4"/>
        <v>31071.132460000001</v>
      </c>
      <c r="AU50" s="81">
        <f t="shared" si="5"/>
        <v>31594.392505</v>
      </c>
      <c r="AV50" s="77">
        <f>AI50*Valores!$C$71</f>
        <v>5581.4404800000011</v>
      </c>
      <c r="AW50" s="77">
        <f>AI50*Valores!$C$72</f>
        <v>1569.7801350000002</v>
      </c>
      <c r="AX50" s="77">
        <f>AI50*Valores!$C$73</f>
        <v>348.84003000000007</v>
      </c>
      <c r="AY50" s="77">
        <f>AI50*Valores!$C$75</f>
        <v>1220.9401050000004</v>
      </c>
      <c r="AZ50" s="77">
        <f>AI50*Valores!$C$76</f>
        <v>209.30401800000004</v>
      </c>
      <c r="BA50" s="77">
        <f t="shared" si="9"/>
        <v>1883.7361620000004</v>
      </c>
      <c r="BB50" s="51"/>
      <c r="BC50" s="51">
        <v>30</v>
      </c>
      <c r="BD50" s="27" t="s">
        <v>4</v>
      </c>
    </row>
    <row r="51" spans="1:56" s="27" customFormat="1" ht="11.25" customHeight="1" x14ac:dyDescent="0.2">
      <c r="A51" s="85">
        <v>50</v>
      </c>
      <c r="B51" s="85" t="s">
        <v>163</v>
      </c>
      <c r="C51" s="86" t="s">
        <v>243</v>
      </c>
      <c r="D51" s="86"/>
      <c r="E51" s="86">
        <f t="shared" si="0"/>
        <v>33</v>
      </c>
      <c r="F51" s="87" t="s">
        <v>244</v>
      </c>
      <c r="G51" s="88">
        <v>100</v>
      </c>
      <c r="H51" s="89">
        <f>INT((G51*Valores!$C$2*100)+0.5)/100</f>
        <v>687.82</v>
      </c>
      <c r="I51" s="90">
        <v>3620</v>
      </c>
      <c r="J51" s="91">
        <f>INT((I51*Valores!$C$2*100)+0.5)/100</f>
        <v>24899.08</v>
      </c>
      <c r="K51" s="104">
        <v>0</v>
      </c>
      <c r="L51" s="91">
        <f>INT((K51*Valores!$C$2*100)+0.5)/100</f>
        <v>0</v>
      </c>
      <c r="M51" s="105">
        <v>0</v>
      </c>
      <c r="N51" s="91">
        <f>INT((M51*Valores!$C$2*100)+0.5)/100</f>
        <v>0</v>
      </c>
      <c r="O51" s="91">
        <f t="shared" si="1"/>
        <v>4550.3130000000001</v>
      </c>
      <c r="P51" s="91">
        <f t="shared" si="2"/>
        <v>0</v>
      </c>
      <c r="Q51" s="93">
        <f>Valores!$C$16</f>
        <v>4450.7</v>
      </c>
      <c r="R51" s="93">
        <f>Valores!$D$4</f>
        <v>3076.62</v>
      </c>
      <c r="S51" s="107">
        <f>Valores!$C$26</f>
        <v>3208.72</v>
      </c>
      <c r="T51" s="108">
        <f>Valores!$C$43</f>
        <v>1907.73</v>
      </c>
      <c r="U51" s="91">
        <f>Valores!$C$23</f>
        <v>2840.79</v>
      </c>
      <c r="V51" s="91">
        <f t="shared" si="13"/>
        <v>2840.79</v>
      </c>
      <c r="W51" s="91">
        <v>0</v>
      </c>
      <c r="X51" s="91">
        <v>0</v>
      </c>
      <c r="Y51" s="95">
        <v>0</v>
      </c>
      <c r="Z51" s="91">
        <f>Y51*Valores!$C$2</f>
        <v>0</v>
      </c>
      <c r="AA51" s="91">
        <v>0</v>
      </c>
      <c r="AB51" s="96">
        <f>Valores!$C$29</f>
        <v>166.15</v>
      </c>
      <c r="AC51" s="91">
        <f t="shared" si="6"/>
        <v>0</v>
      </c>
      <c r="AD51" s="91">
        <f>Valores!$C$30</f>
        <v>166.15</v>
      </c>
      <c r="AE51" s="95">
        <v>0</v>
      </c>
      <c r="AF51" s="91">
        <f>INT(((AE51*Valores!$C$2)*100)+0.5)/100</f>
        <v>0</v>
      </c>
      <c r="AG51" s="91">
        <f>Valores!$C$58</f>
        <v>337.97</v>
      </c>
      <c r="AH51" s="91">
        <f>Valores!$C$60</f>
        <v>96.56</v>
      </c>
      <c r="AI51" s="97">
        <f t="shared" si="7"/>
        <v>46388.60300000001</v>
      </c>
      <c r="AJ51" s="93">
        <f>Valores!$C$35</f>
        <v>666.25</v>
      </c>
      <c r="AK51" s="94">
        <f>Valores!$C$9</f>
        <v>0</v>
      </c>
      <c r="AL51" s="94">
        <f>Valores!$C$83</f>
        <v>3000</v>
      </c>
      <c r="AM51" s="96">
        <f>Valores!$C$51</f>
        <v>141.62</v>
      </c>
      <c r="AN51" s="98">
        <f t="shared" si="8"/>
        <v>3666.25</v>
      </c>
      <c r="AO51" s="99">
        <f>AI51*-Valores!$C$65</f>
        <v>-6030.5183900000011</v>
      </c>
      <c r="AP51" s="99">
        <f>AI51*-Valores!$C$66</f>
        <v>-231.94301500000006</v>
      </c>
      <c r="AQ51" s="93">
        <f>AI51*-Valores!$C$67</f>
        <v>-2087.4871350000003</v>
      </c>
      <c r="AR51" s="93">
        <f>AI51*-Valores!$C$68</f>
        <v>-1252.4922810000003</v>
      </c>
      <c r="AS51" s="93">
        <f>AI51*-Valores!$C$69</f>
        <v>-139.16580900000002</v>
      </c>
      <c r="AT51" s="97">
        <f t="shared" si="4"/>
        <v>41704.904460000005</v>
      </c>
      <c r="AU51" s="97">
        <f t="shared" si="5"/>
        <v>42400.733505000011</v>
      </c>
      <c r="AV51" s="93">
        <f>AI51*Valores!$C$71</f>
        <v>7422.1764800000019</v>
      </c>
      <c r="AW51" s="93">
        <f>AI51*Valores!$C$72</f>
        <v>2087.4871350000003</v>
      </c>
      <c r="AX51" s="93">
        <f>AI51*Valores!$C$73</f>
        <v>463.88603000000012</v>
      </c>
      <c r="AY51" s="93">
        <f>AI51*Valores!$C$75</f>
        <v>1623.6011050000004</v>
      </c>
      <c r="AZ51" s="93">
        <f>AI51*Valores!$C$76</f>
        <v>278.33161800000005</v>
      </c>
      <c r="BA51" s="93">
        <f t="shared" si="9"/>
        <v>2504.9845620000006</v>
      </c>
      <c r="BB51" s="85"/>
      <c r="BC51" s="85"/>
      <c r="BD51" s="86" t="s">
        <v>4</v>
      </c>
    </row>
    <row r="52" spans="1:56" s="27" customFormat="1" ht="11.25" customHeight="1" x14ac:dyDescent="0.2">
      <c r="A52" s="51">
        <v>51</v>
      </c>
      <c r="B52" s="51"/>
      <c r="C52" s="27" t="s">
        <v>245</v>
      </c>
      <c r="E52" s="27">
        <f t="shared" si="0"/>
        <v>33</v>
      </c>
      <c r="F52" s="71" t="s">
        <v>246</v>
      </c>
      <c r="G52" s="72">
        <v>100</v>
      </c>
      <c r="H52" s="73">
        <f>INT((G52*Valores!$C$2*100)+0.5)/100</f>
        <v>687.82</v>
      </c>
      <c r="I52" s="74">
        <v>3560</v>
      </c>
      <c r="J52" s="75">
        <f>INT((I52*Valores!$C$2*100)+0.5)/100</f>
        <v>24486.39</v>
      </c>
      <c r="K52" s="102">
        <v>0</v>
      </c>
      <c r="L52" s="75">
        <f>INT((K52*Valores!$C$2*100)+0.5)/100</f>
        <v>0</v>
      </c>
      <c r="M52" s="100">
        <v>0</v>
      </c>
      <c r="N52" s="75">
        <f>INT((M52*Valores!$C$2*100)+0.5)/100</f>
        <v>0</v>
      </c>
      <c r="O52" s="75">
        <f t="shared" si="1"/>
        <v>4488.4094999999998</v>
      </c>
      <c r="P52" s="75">
        <f t="shared" si="2"/>
        <v>0</v>
      </c>
      <c r="Q52" s="77">
        <f>Valores!$C$16</f>
        <v>4450.7</v>
      </c>
      <c r="R52" s="77">
        <f>Valores!$D$4</f>
        <v>3076.62</v>
      </c>
      <c r="S52" s="75">
        <v>0</v>
      </c>
      <c r="T52" s="78">
        <f>Valores!$C$43</f>
        <v>1907.73</v>
      </c>
      <c r="U52" s="75">
        <f>Valores!$C$23</f>
        <v>2840.79</v>
      </c>
      <c r="V52" s="75">
        <f t="shared" si="13"/>
        <v>2840.79</v>
      </c>
      <c r="W52" s="75">
        <v>0</v>
      </c>
      <c r="X52" s="75">
        <v>0</v>
      </c>
      <c r="Y52" s="79">
        <v>0</v>
      </c>
      <c r="Z52" s="75">
        <f>Y52*Valores!$C$2</f>
        <v>0</v>
      </c>
      <c r="AA52" s="75">
        <v>0</v>
      </c>
      <c r="AB52" s="80">
        <f>Valores!$C$29</f>
        <v>166.15</v>
      </c>
      <c r="AC52" s="75">
        <f t="shared" si="6"/>
        <v>0</v>
      </c>
      <c r="AD52" s="75">
        <f>Valores!$C$30</f>
        <v>166.15</v>
      </c>
      <c r="AE52" s="79">
        <v>0</v>
      </c>
      <c r="AF52" s="75">
        <f>INT(((AE52*Valores!$C$2)*100)+0.5)/100</f>
        <v>0</v>
      </c>
      <c r="AG52" s="75">
        <f>Valores!$C$58</f>
        <v>337.97</v>
      </c>
      <c r="AH52" s="75">
        <f>Valores!$C$60</f>
        <v>96.56</v>
      </c>
      <c r="AI52" s="81">
        <f t="shared" si="7"/>
        <v>42705.289500000006</v>
      </c>
      <c r="AJ52" s="77">
        <f>Valores!$C$35</f>
        <v>666.25</v>
      </c>
      <c r="AK52" s="78">
        <f>Valores!$C$9</f>
        <v>0</v>
      </c>
      <c r="AL52" s="78">
        <f>Valores!$C$83</f>
        <v>3000</v>
      </c>
      <c r="AM52" s="80">
        <f>Valores!$C$51</f>
        <v>141.62</v>
      </c>
      <c r="AN52" s="82">
        <f t="shared" si="8"/>
        <v>3666.25</v>
      </c>
      <c r="AO52" s="83">
        <f>AI52*-Valores!$C$65</f>
        <v>-5551.6876350000011</v>
      </c>
      <c r="AP52" s="83">
        <f>AI52*-Valores!$C$66</f>
        <v>-213.52644750000005</v>
      </c>
      <c r="AQ52" s="77">
        <f>AI52*-Valores!$C$67</f>
        <v>-1921.7380275000003</v>
      </c>
      <c r="AR52" s="77">
        <f>AI52*-Valores!$C$68</f>
        <v>-1153.0428165000001</v>
      </c>
      <c r="AS52" s="77">
        <f>AI52*-Valores!$C$69</f>
        <v>-128.11586850000003</v>
      </c>
      <c r="AT52" s="81">
        <f t="shared" si="4"/>
        <v>38684.587390000001</v>
      </c>
      <c r="AU52" s="81">
        <f t="shared" si="5"/>
        <v>39325.166732500009</v>
      </c>
      <c r="AV52" s="77">
        <f>AI52*Valores!$C$71</f>
        <v>6832.8463200000015</v>
      </c>
      <c r="AW52" s="77">
        <f>AI52*Valores!$C$72</f>
        <v>1921.7380275000003</v>
      </c>
      <c r="AX52" s="77">
        <f>AI52*Valores!$C$73</f>
        <v>427.05289500000009</v>
      </c>
      <c r="AY52" s="77">
        <f>AI52*Valores!$C$75</f>
        <v>1494.6851325000005</v>
      </c>
      <c r="AZ52" s="77">
        <f>AI52*Valores!$C$76</f>
        <v>256.23173700000007</v>
      </c>
      <c r="BA52" s="77">
        <f t="shared" si="9"/>
        <v>2306.0856330000006</v>
      </c>
      <c r="BB52" s="51"/>
      <c r="BC52" s="51"/>
      <c r="BD52" s="27" t="s">
        <v>8</v>
      </c>
    </row>
    <row r="53" spans="1:56" s="27" customFormat="1" ht="11.25" customHeight="1" x14ac:dyDescent="0.2">
      <c r="A53" s="51">
        <v>52</v>
      </c>
      <c r="B53" s="51"/>
      <c r="C53" s="27" t="s">
        <v>247</v>
      </c>
      <c r="E53" s="27">
        <f t="shared" si="0"/>
        <v>33</v>
      </c>
      <c r="F53" s="71" t="s">
        <v>248</v>
      </c>
      <c r="G53" s="72">
        <v>100</v>
      </c>
      <c r="H53" s="73">
        <f>INT((G53*Valores!$C$2*100)+0.5)/100</f>
        <v>687.82</v>
      </c>
      <c r="I53" s="74">
        <v>3360</v>
      </c>
      <c r="J53" s="75">
        <f>INT((I53*Valores!$C$2*100)+0.5)/100</f>
        <v>23110.75</v>
      </c>
      <c r="K53" s="102">
        <v>0</v>
      </c>
      <c r="L53" s="75">
        <f>INT((K53*Valores!$C$2*100)+0.5)/100</f>
        <v>0</v>
      </c>
      <c r="M53" s="100">
        <v>0</v>
      </c>
      <c r="N53" s="75">
        <f>INT((M53*Valores!$C$2*100)+0.5)/100</f>
        <v>0</v>
      </c>
      <c r="O53" s="75">
        <f t="shared" si="1"/>
        <v>4282.0635000000002</v>
      </c>
      <c r="P53" s="75">
        <f t="shared" si="2"/>
        <v>0</v>
      </c>
      <c r="Q53" s="77">
        <f>Valores!$C$16</f>
        <v>4450.7</v>
      </c>
      <c r="R53" s="77">
        <f>Valores!$D$4</f>
        <v>3076.62</v>
      </c>
      <c r="S53" s="101">
        <f>Valores!$C$26</f>
        <v>3208.72</v>
      </c>
      <c r="T53" s="106">
        <f>Valores!$C$43</f>
        <v>1907.73</v>
      </c>
      <c r="U53" s="75">
        <f>Valores!$C$23</f>
        <v>2840.79</v>
      </c>
      <c r="V53" s="75">
        <f t="shared" si="13"/>
        <v>2840.79</v>
      </c>
      <c r="W53" s="75">
        <v>0</v>
      </c>
      <c r="X53" s="75">
        <v>0</v>
      </c>
      <c r="Y53" s="79">
        <v>0</v>
      </c>
      <c r="Z53" s="75">
        <f>Y53*Valores!$C$2</f>
        <v>0</v>
      </c>
      <c r="AA53" s="75">
        <v>0</v>
      </c>
      <c r="AB53" s="80">
        <f>Valores!$C$29</f>
        <v>166.15</v>
      </c>
      <c r="AC53" s="75">
        <f t="shared" si="6"/>
        <v>0</v>
      </c>
      <c r="AD53" s="75">
        <f>Valores!$C$30</f>
        <v>166.15</v>
      </c>
      <c r="AE53" s="79">
        <v>0</v>
      </c>
      <c r="AF53" s="75">
        <f>INT(((AE53*Valores!$C$2)*100)+0.5)/100</f>
        <v>0</v>
      </c>
      <c r="AG53" s="75">
        <f>Valores!$C$58</f>
        <v>337.97</v>
      </c>
      <c r="AH53" s="75">
        <f>Valores!$C$60</f>
        <v>96.56</v>
      </c>
      <c r="AI53" s="81">
        <f t="shared" si="7"/>
        <v>44332.02350000001</v>
      </c>
      <c r="AJ53" s="77">
        <f>Valores!$C$35</f>
        <v>666.25</v>
      </c>
      <c r="AK53" s="78">
        <f>Valores!$C$9</f>
        <v>0</v>
      </c>
      <c r="AL53" s="78">
        <f>Valores!$C$83</f>
        <v>3000</v>
      </c>
      <c r="AM53" s="80">
        <f>Valores!$C$51</f>
        <v>141.62</v>
      </c>
      <c r="AN53" s="82">
        <f t="shared" si="8"/>
        <v>3666.25</v>
      </c>
      <c r="AO53" s="83">
        <f>AI53*-Valores!$C$65</f>
        <v>-5763.1630550000018</v>
      </c>
      <c r="AP53" s="83">
        <f>AI53*-Valores!$C$66</f>
        <v>-221.66011750000007</v>
      </c>
      <c r="AQ53" s="77">
        <f>AI53*-Valores!$C$67</f>
        <v>-1994.9410575000004</v>
      </c>
      <c r="AR53" s="77">
        <f>AI53*-Valores!$C$68</f>
        <v>-1196.9646345000003</v>
      </c>
      <c r="AS53" s="77">
        <f>AI53*-Valores!$C$69</f>
        <v>-132.99607050000003</v>
      </c>
      <c r="AT53" s="81">
        <f t="shared" si="4"/>
        <v>40018.509270000002</v>
      </c>
      <c r="AU53" s="81">
        <f t="shared" si="5"/>
        <v>40683.489622500005</v>
      </c>
      <c r="AV53" s="77">
        <f>AI53*Valores!$C$71</f>
        <v>7093.1237600000022</v>
      </c>
      <c r="AW53" s="77">
        <f>AI53*Valores!$C$72</f>
        <v>1994.9410575000004</v>
      </c>
      <c r="AX53" s="77">
        <f>AI53*Valores!$C$73</f>
        <v>443.32023500000014</v>
      </c>
      <c r="AY53" s="77">
        <f>AI53*Valores!$C$75</f>
        <v>1551.6208225000005</v>
      </c>
      <c r="AZ53" s="77">
        <f>AI53*Valores!$C$76</f>
        <v>265.99214100000006</v>
      </c>
      <c r="BA53" s="77">
        <f t="shared" si="9"/>
        <v>2393.9292690000007</v>
      </c>
      <c r="BB53" s="51"/>
      <c r="BC53" s="51"/>
      <c r="BD53" s="27" t="s">
        <v>4</v>
      </c>
    </row>
    <row r="54" spans="1:56" s="27" customFormat="1" ht="11.25" customHeight="1" x14ac:dyDescent="0.2">
      <c r="A54" s="51">
        <v>53</v>
      </c>
      <c r="B54" s="51"/>
      <c r="C54" s="27" t="s">
        <v>249</v>
      </c>
      <c r="E54" s="27">
        <f t="shared" si="0"/>
        <v>25</v>
      </c>
      <c r="F54" s="71" t="s">
        <v>250</v>
      </c>
      <c r="G54" s="72">
        <v>98</v>
      </c>
      <c r="H54" s="73">
        <f>INT((G54*Valores!$C$2*100)+0.5)/100</f>
        <v>674.06</v>
      </c>
      <c r="I54" s="74">
        <v>2686</v>
      </c>
      <c r="J54" s="75">
        <f>INT((I54*Valores!$C$2*100)+0.5)/100</f>
        <v>18474.849999999999</v>
      </c>
      <c r="K54" s="102">
        <v>0</v>
      </c>
      <c r="L54" s="75">
        <f>INT((K54*Valores!$C$2*100)+0.5)/100</f>
        <v>0</v>
      </c>
      <c r="M54" s="100">
        <v>0</v>
      </c>
      <c r="N54" s="75">
        <f>INT((M54*Valores!$C$2*100)+0.5)/100</f>
        <v>0</v>
      </c>
      <c r="O54" s="75">
        <f t="shared" si="1"/>
        <v>3489.2294999999999</v>
      </c>
      <c r="P54" s="75">
        <f t="shared" si="2"/>
        <v>0</v>
      </c>
      <c r="Q54" s="77">
        <f>Valores!$C$16</f>
        <v>4450.7</v>
      </c>
      <c r="R54" s="77">
        <f>Valores!$D$4</f>
        <v>3076.62</v>
      </c>
      <c r="S54" s="75">
        <f>Valores!$C$26</f>
        <v>3208.72</v>
      </c>
      <c r="T54" s="78">
        <f>Valores!$C$42</f>
        <v>1271.83</v>
      </c>
      <c r="U54" s="75">
        <f>Valores!$C$23</f>
        <v>2840.79</v>
      </c>
      <c r="V54" s="75">
        <f t="shared" si="13"/>
        <v>2840.79</v>
      </c>
      <c r="W54" s="75">
        <v>0</v>
      </c>
      <c r="X54" s="75">
        <v>0</v>
      </c>
      <c r="Y54" s="79">
        <v>0</v>
      </c>
      <c r="Z54" s="75">
        <f>Y54*Valores!$C$2</f>
        <v>0</v>
      </c>
      <c r="AA54" s="75">
        <v>0</v>
      </c>
      <c r="AB54" s="80">
        <f>Valores!$C$29</f>
        <v>166.15</v>
      </c>
      <c r="AC54" s="75">
        <f t="shared" si="6"/>
        <v>0</v>
      </c>
      <c r="AD54" s="75">
        <f>Valores!$C$30</f>
        <v>166.15</v>
      </c>
      <c r="AE54" s="79">
        <v>0</v>
      </c>
      <c r="AF54" s="75">
        <f>INT(((AE54*Valores!$C$2)*100)+0.5)/100</f>
        <v>0</v>
      </c>
      <c r="AG54" s="75">
        <f>Valores!$C$58</f>
        <v>337.97</v>
      </c>
      <c r="AH54" s="75">
        <f>Valores!$C$60</f>
        <v>96.56</v>
      </c>
      <c r="AI54" s="81">
        <f t="shared" si="7"/>
        <v>38253.629500000003</v>
      </c>
      <c r="AJ54" s="77">
        <f>Valores!$C$35</f>
        <v>666.25</v>
      </c>
      <c r="AK54" s="78">
        <f>Valores!$C$8</f>
        <v>0</v>
      </c>
      <c r="AL54" s="78">
        <f>Valores!$C$82</f>
        <v>1800</v>
      </c>
      <c r="AM54" s="80">
        <f>Valores!$C$51</f>
        <v>141.62</v>
      </c>
      <c r="AN54" s="82">
        <f t="shared" si="8"/>
        <v>2466.25</v>
      </c>
      <c r="AO54" s="83">
        <f>AI54*-Valores!$C$65</f>
        <v>-4972.9718350000003</v>
      </c>
      <c r="AP54" s="83">
        <f>AI54*-Valores!$C$66</f>
        <v>-191.26814750000003</v>
      </c>
      <c r="AQ54" s="77">
        <f>AI54*-Valores!$C$67</f>
        <v>-1721.4133275000002</v>
      </c>
      <c r="AR54" s="77">
        <f>AI54*-Valores!$C$68</f>
        <v>-1032.8479965000001</v>
      </c>
      <c r="AS54" s="77">
        <f>AI54*-Valores!$C$69</f>
        <v>-114.76088850000001</v>
      </c>
      <c r="AT54" s="81">
        <f t="shared" si="4"/>
        <v>33834.226190000001</v>
      </c>
      <c r="AU54" s="81">
        <f t="shared" si="5"/>
        <v>34408.030632500006</v>
      </c>
      <c r="AV54" s="77">
        <f>AI54*Valores!$C$71</f>
        <v>6120.5807200000008</v>
      </c>
      <c r="AW54" s="77">
        <f>AI54*Valores!$C$72</f>
        <v>1721.4133275000002</v>
      </c>
      <c r="AX54" s="77">
        <f>AI54*Valores!$C$73</f>
        <v>382.53629500000005</v>
      </c>
      <c r="AY54" s="77">
        <f>AI54*Valores!$C$75</f>
        <v>1338.8770325000003</v>
      </c>
      <c r="AZ54" s="77">
        <f>AI54*Valores!$C$76</f>
        <v>229.52177700000001</v>
      </c>
      <c r="BA54" s="77">
        <f t="shared" si="9"/>
        <v>2065.6959930000003</v>
      </c>
      <c r="BB54" s="51"/>
      <c r="BC54" s="51">
        <v>30</v>
      </c>
      <c r="BD54" s="27" t="s">
        <v>4</v>
      </c>
    </row>
    <row r="55" spans="1:56" s="27" customFormat="1" ht="11.25" customHeight="1" x14ac:dyDescent="0.2">
      <c r="A55" s="51">
        <v>54</v>
      </c>
      <c r="B55" s="51"/>
      <c r="C55" s="27" t="s">
        <v>251</v>
      </c>
      <c r="E55" s="27">
        <f t="shared" si="0"/>
        <v>28</v>
      </c>
      <c r="F55" s="71" t="s">
        <v>252</v>
      </c>
      <c r="G55" s="72">
        <v>94</v>
      </c>
      <c r="H55" s="73">
        <f>INT((G55*Valores!$C$2*100)+0.5)/100</f>
        <v>646.54999999999995</v>
      </c>
      <c r="I55" s="74">
        <v>2690</v>
      </c>
      <c r="J55" s="75">
        <f>INT((I55*Valores!$C$2*100)+0.5)/100</f>
        <v>18502.36</v>
      </c>
      <c r="K55" s="102">
        <v>0</v>
      </c>
      <c r="L55" s="75">
        <f>INT((K55*Valores!$C$2*100)+0.5)/100</f>
        <v>0</v>
      </c>
      <c r="M55" s="100">
        <v>0</v>
      </c>
      <c r="N55" s="75">
        <f>INT((M55*Valores!$C$2*100)+0.5)/100</f>
        <v>0</v>
      </c>
      <c r="O55" s="75">
        <f t="shared" si="1"/>
        <v>3489.2294999999999</v>
      </c>
      <c r="P55" s="75">
        <f t="shared" si="2"/>
        <v>0</v>
      </c>
      <c r="Q55" s="77">
        <f>Valores!$C$16</f>
        <v>4450.7</v>
      </c>
      <c r="R55" s="77">
        <f>Valores!$D$4</f>
        <v>3076.62</v>
      </c>
      <c r="S55" s="101">
        <f>Valores!$C$26</f>
        <v>3208.72</v>
      </c>
      <c r="T55" s="106">
        <f>Valores!$C$42</f>
        <v>1271.83</v>
      </c>
      <c r="U55" s="75">
        <f>Valores!$C$23</f>
        <v>2840.79</v>
      </c>
      <c r="V55" s="75">
        <f t="shared" si="13"/>
        <v>2840.79</v>
      </c>
      <c r="W55" s="75">
        <v>0</v>
      </c>
      <c r="X55" s="75">
        <v>0</v>
      </c>
      <c r="Y55" s="79">
        <v>0</v>
      </c>
      <c r="Z55" s="75">
        <f>Y55*Valores!$C$2</f>
        <v>0</v>
      </c>
      <c r="AA55" s="75">
        <v>0</v>
      </c>
      <c r="AB55" s="80">
        <f>Valores!$C$29</f>
        <v>166.15</v>
      </c>
      <c r="AC55" s="75">
        <f t="shared" si="6"/>
        <v>0</v>
      </c>
      <c r="AD55" s="75">
        <f>Valores!$C$30</f>
        <v>166.15</v>
      </c>
      <c r="AE55" s="79">
        <v>94</v>
      </c>
      <c r="AF55" s="75">
        <f>INT(((AE55*Valores!$C$2)*100)+0.5)/100</f>
        <v>646.54999999999995</v>
      </c>
      <c r="AG55" s="75">
        <f>Valores!$C$58</f>
        <v>337.97</v>
      </c>
      <c r="AH55" s="75">
        <f>Valores!$C$60</f>
        <v>96.56</v>
      </c>
      <c r="AI55" s="81">
        <f t="shared" si="7"/>
        <v>38900.179500000006</v>
      </c>
      <c r="AJ55" s="77">
        <f>Valores!$C$35</f>
        <v>666.25</v>
      </c>
      <c r="AK55" s="78">
        <f>Valores!$C$8</f>
        <v>0</v>
      </c>
      <c r="AL55" s="78">
        <f>Valores!$C$82</f>
        <v>1800</v>
      </c>
      <c r="AM55" s="80">
        <f>Valores!$C$51</f>
        <v>141.62</v>
      </c>
      <c r="AN55" s="82">
        <f t="shared" si="8"/>
        <v>2466.25</v>
      </c>
      <c r="AO55" s="83">
        <f>AI55*-Valores!$C$65</f>
        <v>-5057.0233350000008</v>
      </c>
      <c r="AP55" s="83">
        <f>AI55*-Valores!$C$66</f>
        <v>-194.50089750000004</v>
      </c>
      <c r="AQ55" s="77">
        <f>AI55*-Valores!$C$67</f>
        <v>-1750.5080775000001</v>
      </c>
      <c r="AR55" s="77">
        <f>AI55*-Valores!$C$68</f>
        <v>-1050.3048465000002</v>
      </c>
      <c r="AS55" s="77">
        <f>AI55*-Valores!$C$69</f>
        <v>-116.70053850000002</v>
      </c>
      <c r="AT55" s="81">
        <f t="shared" si="4"/>
        <v>34364.397190000003</v>
      </c>
      <c r="AU55" s="81">
        <f t="shared" si="5"/>
        <v>34947.899882500002</v>
      </c>
      <c r="AV55" s="77">
        <f>AI55*Valores!$C$71</f>
        <v>6224.0287200000012</v>
      </c>
      <c r="AW55" s="77">
        <f>AI55*Valores!$C$72</f>
        <v>1750.5080775000001</v>
      </c>
      <c r="AX55" s="77">
        <f>AI55*Valores!$C$73</f>
        <v>389.00179500000007</v>
      </c>
      <c r="AY55" s="77">
        <f>AI55*Valores!$C$75</f>
        <v>1361.5062825000002</v>
      </c>
      <c r="AZ55" s="77">
        <f>AI55*Valores!$C$76</f>
        <v>233.40107700000004</v>
      </c>
      <c r="BA55" s="77">
        <f t="shared" si="9"/>
        <v>2100.6096930000003</v>
      </c>
      <c r="BB55" s="51"/>
      <c r="BC55" s="51">
        <v>25</v>
      </c>
      <c r="BD55" s="27" t="s">
        <v>4</v>
      </c>
    </row>
    <row r="56" spans="1:56" s="27" customFormat="1" ht="11.25" customHeight="1" x14ac:dyDescent="0.2">
      <c r="A56" s="85">
        <v>55</v>
      </c>
      <c r="B56" s="85" t="s">
        <v>163</v>
      </c>
      <c r="C56" s="86" t="s">
        <v>253</v>
      </c>
      <c r="D56" s="86"/>
      <c r="E56" s="86">
        <f t="shared" si="0"/>
        <v>25</v>
      </c>
      <c r="F56" s="87" t="s">
        <v>254</v>
      </c>
      <c r="G56" s="88">
        <v>93</v>
      </c>
      <c r="H56" s="89">
        <f>INT((G56*Valores!$C$2*100)+0.5)/100</f>
        <v>639.66999999999996</v>
      </c>
      <c r="I56" s="90">
        <v>2547</v>
      </c>
      <c r="J56" s="91">
        <f>INT((I56*Valores!$C$2*100)+0.5)/100</f>
        <v>17518.78</v>
      </c>
      <c r="K56" s="104">
        <v>0</v>
      </c>
      <c r="L56" s="91">
        <f>INT((K56*Valores!$C$2*100)+0.5)/100</f>
        <v>0</v>
      </c>
      <c r="M56" s="105">
        <v>0</v>
      </c>
      <c r="N56" s="91">
        <f>INT((M56*Valores!$C$2*100)+0.5)/100</f>
        <v>0</v>
      </c>
      <c r="O56" s="91">
        <f t="shared" si="1"/>
        <v>3340.6605</v>
      </c>
      <c r="P56" s="91">
        <f t="shared" si="2"/>
        <v>0</v>
      </c>
      <c r="Q56" s="93">
        <f>Valores!$C$16</f>
        <v>4450.7</v>
      </c>
      <c r="R56" s="93">
        <f>Valores!$D$4</f>
        <v>3076.62</v>
      </c>
      <c r="S56" s="107">
        <f>Valores!$C$26</f>
        <v>3208.72</v>
      </c>
      <c r="T56" s="108">
        <f>Valores!$C$42</f>
        <v>1271.83</v>
      </c>
      <c r="U56" s="91">
        <f>Valores!$C$23</f>
        <v>2840.79</v>
      </c>
      <c r="V56" s="91">
        <f t="shared" si="13"/>
        <v>2840.79</v>
      </c>
      <c r="W56" s="91">
        <v>0</v>
      </c>
      <c r="X56" s="91">
        <v>0</v>
      </c>
      <c r="Y56" s="95">
        <v>0</v>
      </c>
      <c r="Z56" s="91">
        <f>Y56*Valores!$C$2</f>
        <v>0</v>
      </c>
      <c r="AA56" s="91">
        <v>0</v>
      </c>
      <c r="AB56" s="96">
        <f>Valores!$C$29</f>
        <v>166.15</v>
      </c>
      <c r="AC56" s="91">
        <f t="shared" si="6"/>
        <v>0</v>
      </c>
      <c r="AD56" s="91">
        <f>Valores!$C$30</f>
        <v>166.15</v>
      </c>
      <c r="AE56" s="95">
        <v>0</v>
      </c>
      <c r="AF56" s="91">
        <f>INT(((AE56*Valores!$C$2)*100)+0.5)/100</f>
        <v>0</v>
      </c>
      <c r="AG56" s="91">
        <f>Valores!$C$58</f>
        <v>337.97</v>
      </c>
      <c r="AH56" s="91">
        <f>Valores!$C$60</f>
        <v>96.56</v>
      </c>
      <c r="AI56" s="97">
        <f t="shared" si="7"/>
        <v>37114.6005</v>
      </c>
      <c r="AJ56" s="93">
        <f>Valores!$C$35</f>
        <v>666.25</v>
      </c>
      <c r="AK56" s="94">
        <f>Valores!$C$8</f>
        <v>0</v>
      </c>
      <c r="AL56" s="94">
        <f>Valores!$C$82</f>
        <v>1800</v>
      </c>
      <c r="AM56" s="96">
        <f>Valores!$C$51</f>
        <v>141.62</v>
      </c>
      <c r="AN56" s="98">
        <f t="shared" si="8"/>
        <v>2466.25</v>
      </c>
      <c r="AO56" s="99">
        <f>AI56*-Valores!$C$65</f>
        <v>-4824.8980650000003</v>
      </c>
      <c r="AP56" s="99">
        <f>AI56*-Valores!$C$66</f>
        <v>-185.5730025</v>
      </c>
      <c r="AQ56" s="93">
        <f>AI56*-Valores!$C$67</f>
        <v>-1670.1570225</v>
      </c>
      <c r="AR56" s="93">
        <f>AI56*-Valores!$C$68</f>
        <v>-1002.0942135</v>
      </c>
      <c r="AS56" s="93">
        <f>AI56*-Valores!$C$69</f>
        <v>-111.3438015</v>
      </c>
      <c r="AT56" s="97">
        <f t="shared" si="4"/>
        <v>32900.222409999995</v>
      </c>
      <c r="AU56" s="97">
        <f t="shared" si="5"/>
        <v>33456.941417499998</v>
      </c>
      <c r="AV56" s="93">
        <f>AI56*Valores!$C$71</f>
        <v>5938.33608</v>
      </c>
      <c r="AW56" s="93">
        <f>AI56*Valores!$C$72</f>
        <v>1670.1570225</v>
      </c>
      <c r="AX56" s="93">
        <f>AI56*Valores!$C$73</f>
        <v>371.146005</v>
      </c>
      <c r="AY56" s="93">
        <f>AI56*Valores!$C$75</f>
        <v>1299.0110175000002</v>
      </c>
      <c r="AZ56" s="93">
        <f>AI56*Valores!$C$76</f>
        <v>222.687603</v>
      </c>
      <c r="BA56" s="93">
        <f t="shared" si="9"/>
        <v>2004.188427</v>
      </c>
      <c r="BB56" s="85"/>
      <c r="BC56" s="85">
        <v>30</v>
      </c>
      <c r="BD56" s="86" t="s">
        <v>4</v>
      </c>
    </row>
    <row r="57" spans="1:56" s="27" customFormat="1" ht="11.25" customHeight="1" x14ac:dyDescent="0.2">
      <c r="A57" s="51">
        <v>56</v>
      </c>
      <c r="B57" s="51"/>
      <c r="C57" s="27" t="s">
        <v>255</v>
      </c>
      <c r="E57" s="27">
        <f t="shared" si="0"/>
        <v>28</v>
      </c>
      <c r="F57" s="71" t="s">
        <v>256</v>
      </c>
      <c r="G57" s="72">
        <v>89</v>
      </c>
      <c r="H57" s="73">
        <f>INT((G57*Valores!$C$2*100)+0.5)/100</f>
        <v>612.16</v>
      </c>
      <c r="I57" s="74">
        <v>2551</v>
      </c>
      <c r="J57" s="75">
        <f>INT((I57*Valores!$C$2*100)+0.5)/100</f>
        <v>17546.29</v>
      </c>
      <c r="K57" s="102">
        <v>0</v>
      </c>
      <c r="L57" s="75">
        <f>INT((K57*Valores!$C$2*100)+0.5)/100</f>
        <v>0</v>
      </c>
      <c r="M57" s="100">
        <v>0</v>
      </c>
      <c r="N57" s="75">
        <f>INT((M57*Valores!$C$2*100)+0.5)/100</f>
        <v>0</v>
      </c>
      <c r="O57" s="75">
        <f t="shared" si="1"/>
        <v>3340.6605</v>
      </c>
      <c r="P57" s="75">
        <f t="shared" si="2"/>
        <v>0</v>
      </c>
      <c r="Q57" s="77">
        <f>Valores!$C$16</f>
        <v>4450.7</v>
      </c>
      <c r="R57" s="77">
        <f>Valores!$D$4</f>
        <v>3076.62</v>
      </c>
      <c r="S57" s="101">
        <f>Valores!$C$26</f>
        <v>3208.72</v>
      </c>
      <c r="T57" s="106">
        <f>Valores!$C$42</f>
        <v>1271.83</v>
      </c>
      <c r="U57" s="75">
        <f>Valores!$C$23</f>
        <v>2840.79</v>
      </c>
      <c r="V57" s="75">
        <f t="shared" si="13"/>
        <v>2840.79</v>
      </c>
      <c r="W57" s="75">
        <v>0</v>
      </c>
      <c r="X57" s="75">
        <v>0</v>
      </c>
      <c r="Y57" s="79">
        <v>0</v>
      </c>
      <c r="Z57" s="75">
        <f>Y57*Valores!$C$2</f>
        <v>0</v>
      </c>
      <c r="AA57" s="75">
        <v>0</v>
      </c>
      <c r="AB57" s="80">
        <f>Valores!$C$29</f>
        <v>166.15</v>
      </c>
      <c r="AC57" s="75">
        <f t="shared" si="6"/>
        <v>0</v>
      </c>
      <c r="AD57" s="75">
        <f>Valores!$C$30</f>
        <v>166.15</v>
      </c>
      <c r="AE57" s="79">
        <v>94</v>
      </c>
      <c r="AF57" s="75">
        <f>INT(((AE57*Valores!$C$2)*100)+0.5)/100</f>
        <v>646.54999999999995</v>
      </c>
      <c r="AG57" s="75">
        <f>Valores!$C$58</f>
        <v>337.97</v>
      </c>
      <c r="AH57" s="75">
        <f>Valores!$C$60</f>
        <v>96.56</v>
      </c>
      <c r="AI57" s="81">
        <f t="shared" si="7"/>
        <v>37761.150500000011</v>
      </c>
      <c r="AJ57" s="77">
        <f>Valores!$C$35</f>
        <v>666.25</v>
      </c>
      <c r="AK57" s="78">
        <f>Valores!$C$8</f>
        <v>0</v>
      </c>
      <c r="AL57" s="78">
        <f>Valores!$C$82</f>
        <v>1800</v>
      </c>
      <c r="AM57" s="80">
        <f>Valores!$C$51</f>
        <v>141.62</v>
      </c>
      <c r="AN57" s="82">
        <f t="shared" si="8"/>
        <v>2466.25</v>
      </c>
      <c r="AO57" s="83">
        <f>AI57*-Valores!$C$65</f>
        <v>-4908.9495650000017</v>
      </c>
      <c r="AP57" s="83">
        <f>AI57*-Valores!$C$66</f>
        <v>-188.80575250000007</v>
      </c>
      <c r="AQ57" s="77">
        <f>AI57*-Valores!$C$67</f>
        <v>-1699.2517725000005</v>
      </c>
      <c r="AR57" s="77">
        <f>AI57*-Valores!$C$68</f>
        <v>-1019.5510635000003</v>
      </c>
      <c r="AS57" s="77">
        <f>AI57*-Valores!$C$69</f>
        <v>-113.28345150000004</v>
      </c>
      <c r="AT57" s="81">
        <f t="shared" si="4"/>
        <v>33430.393410000011</v>
      </c>
      <c r="AU57" s="81">
        <f t="shared" si="5"/>
        <v>33996.810667500009</v>
      </c>
      <c r="AV57" s="77">
        <f>AI57*Valores!$C$71</f>
        <v>6041.7840800000022</v>
      </c>
      <c r="AW57" s="77">
        <f>AI57*Valores!$C$72</f>
        <v>1699.2517725000005</v>
      </c>
      <c r="AX57" s="77">
        <f>AI57*Valores!$C$73</f>
        <v>377.61150500000014</v>
      </c>
      <c r="AY57" s="77">
        <f>AI57*Valores!$C$75</f>
        <v>1321.6402675000004</v>
      </c>
      <c r="AZ57" s="77">
        <f>AI57*Valores!$C$76</f>
        <v>226.56690300000008</v>
      </c>
      <c r="BA57" s="77">
        <f t="shared" si="9"/>
        <v>2039.1021270000006</v>
      </c>
      <c r="BB57" s="51"/>
      <c r="BC57" s="51">
        <v>25</v>
      </c>
      <c r="BD57" s="27" t="s">
        <v>4</v>
      </c>
    </row>
    <row r="58" spans="1:56" s="27" customFormat="1" ht="11.25" customHeight="1" x14ac:dyDescent="0.2">
      <c r="A58" s="51">
        <v>57</v>
      </c>
      <c r="B58" s="51"/>
      <c r="C58" s="27" t="s">
        <v>257</v>
      </c>
      <c r="E58" s="27">
        <f t="shared" si="0"/>
        <v>25</v>
      </c>
      <c r="F58" s="71" t="s">
        <v>258</v>
      </c>
      <c r="G58" s="72">
        <v>89</v>
      </c>
      <c r="H58" s="73">
        <f>INT((G58*Valores!$C$2*100)+0.5)/100</f>
        <v>612.16</v>
      </c>
      <c r="I58" s="74">
        <v>2251</v>
      </c>
      <c r="J58" s="75">
        <f>INT((I58*Valores!$C$2*100)+0.5)/100</f>
        <v>15482.83</v>
      </c>
      <c r="K58" s="102">
        <v>0</v>
      </c>
      <c r="L58" s="75">
        <f>INT((K58*Valores!$C$2*100)+0.5)/100</f>
        <v>0</v>
      </c>
      <c r="M58" s="100">
        <v>0</v>
      </c>
      <c r="N58" s="75">
        <f>INT((M58*Valores!$C$2*100)+0.5)/100</f>
        <v>0</v>
      </c>
      <c r="O58" s="75">
        <f t="shared" si="1"/>
        <v>3031.1415000000002</v>
      </c>
      <c r="P58" s="75">
        <f t="shared" si="2"/>
        <v>0</v>
      </c>
      <c r="Q58" s="77">
        <f>Valores!$C$16</f>
        <v>4450.7</v>
      </c>
      <c r="R58" s="77">
        <f>Valores!$D$4</f>
        <v>3076.62</v>
      </c>
      <c r="S58" s="101">
        <f>Valores!$C$26</f>
        <v>3208.72</v>
      </c>
      <c r="T58" s="106">
        <f>Valores!$C$42</f>
        <v>1271.83</v>
      </c>
      <c r="U58" s="75">
        <f>Valores!$C$23</f>
        <v>2840.79</v>
      </c>
      <c r="V58" s="75">
        <f t="shared" si="13"/>
        <v>2840.79</v>
      </c>
      <c r="W58" s="75">
        <v>0</v>
      </c>
      <c r="X58" s="75">
        <v>0</v>
      </c>
      <c r="Y58" s="79">
        <v>0</v>
      </c>
      <c r="Z58" s="75">
        <f>Y58*Valores!$C$2</f>
        <v>0</v>
      </c>
      <c r="AA58" s="75">
        <v>0</v>
      </c>
      <c r="AB58" s="80">
        <f>Valores!$C$29</f>
        <v>166.15</v>
      </c>
      <c r="AC58" s="75">
        <f t="shared" si="6"/>
        <v>0</v>
      </c>
      <c r="AD58" s="75">
        <f>Valores!$C$30</f>
        <v>166.15</v>
      </c>
      <c r="AE58" s="79">
        <v>0</v>
      </c>
      <c r="AF58" s="75">
        <f>INT(((AE58*Valores!$C$2)*100)+0.5)/100</f>
        <v>0</v>
      </c>
      <c r="AG58" s="75">
        <f>Valores!$C$58</f>
        <v>337.97</v>
      </c>
      <c r="AH58" s="75">
        <f>Valores!$C$60</f>
        <v>96.56</v>
      </c>
      <c r="AI58" s="81">
        <f t="shared" si="7"/>
        <v>34741.621500000001</v>
      </c>
      <c r="AJ58" s="77">
        <f>Valores!$C$35</f>
        <v>666.25</v>
      </c>
      <c r="AK58" s="78">
        <f>Valores!$C$8</f>
        <v>0</v>
      </c>
      <c r="AL58" s="78">
        <f>Valores!$C$82</f>
        <v>1800</v>
      </c>
      <c r="AM58" s="80">
        <f>Valores!$C$51</f>
        <v>141.62</v>
      </c>
      <c r="AN58" s="82">
        <f t="shared" si="8"/>
        <v>2466.25</v>
      </c>
      <c r="AO58" s="83">
        <f>AI58*-Valores!$C$65</f>
        <v>-4516.4107950000007</v>
      </c>
      <c r="AP58" s="83">
        <f>AI58*-Valores!$C$66</f>
        <v>-173.70810750000001</v>
      </c>
      <c r="AQ58" s="77">
        <f>AI58*-Valores!$C$67</f>
        <v>-1563.3729675</v>
      </c>
      <c r="AR58" s="77">
        <f>AI58*-Valores!$C$68</f>
        <v>-938.02378050000004</v>
      </c>
      <c r="AS58" s="77">
        <f>AI58*-Valores!$C$69</f>
        <v>-104.22486450000001</v>
      </c>
      <c r="AT58" s="81">
        <f t="shared" si="4"/>
        <v>30954.379629999999</v>
      </c>
      <c r="AU58" s="81">
        <f t="shared" si="5"/>
        <v>31475.503952499999</v>
      </c>
      <c r="AV58" s="77">
        <f>AI58*Valores!$C$71</f>
        <v>5558.6594400000004</v>
      </c>
      <c r="AW58" s="77">
        <f>AI58*Valores!$C$72</f>
        <v>1563.3729675</v>
      </c>
      <c r="AX58" s="77">
        <f>AI58*Valores!$C$73</f>
        <v>347.41621500000002</v>
      </c>
      <c r="AY58" s="77">
        <f>AI58*Valores!$C$75</f>
        <v>1215.9567525000002</v>
      </c>
      <c r="AZ58" s="77">
        <f>AI58*Valores!$C$76</f>
        <v>208.44972900000002</v>
      </c>
      <c r="BA58" s="77">
        <f t="shared" si="9"/>
        <v>1876.0475610000003</v>
      </c>
      <c r="BB58" s="51"/>
      <c r="BC58" s="51">
        <v>30</v>
      </c>
      <c r="BD58" s="27" t="s">
        <v>4</v>
      </c>
    </row>
    <row r="59" spans="1:56" s="27" customFormat="1" ht="11.25" customHeight="1" x14ac:dyDescent="0.2">
      <c r="A59" s="51">
        <v>58</v>
      </c>
      <c r="B59" s="51"/>
      <c r="C59" s="27" t="s">
        <v>259</v>
      </c>
      <c r="E59" s="27">
        <f t="shared" si="0"/>
        <v>28</v>
      </c>
      <c r="F59" s="71" t="s">
        <v>260</v>
      </c>
      <c r="G59" s="72">
        <v>85</v>
      </c>
      <c r="H59" s="73">
        <f>INT((G59*Valores!$C$2*100)+0.5)/100</f>
        <v>584.65</v>
      </c>
      <c r="I59" s="74">
        <v>2255</v>
      </c>
      <c r="J59" s="75">
        <f>INT((I59*Valores!$C$2*100)+0.5)/100</f>
        <v>15510.34</v>
      </c>
      <c r="K59" s="102">
        <v>0</v>
      </c>
      <c r="L59" s="75">
        <f>INT((K59*Valores!$C$2*100)+0.5)/100</f>
        <v>0</v>
      </c>
      <c r="M59" s="100">
        <v>0</v>
      </c>
      <c r="N59" s="75">
        <f>INT((M59*Valores!$C$2*100)+0.5)/100</f>
        <v>0</v>
      </c>
      <c r="O59" s="75">
        <f t="shared" si="1"/>
        <v>3031.1415000000002</v>
      </c>
      <c r="P59" s="75">
        <f t="shared" si="2"/>
        <v>0</v>
      </c>
      <c r="Q59" s="77">
        <f>Valores!$C$16</f>
        <v>4450.7</v>
      </c>
      <c r="R59" s="77">
        <f>Valores!$D$4</f>
        <v>3076.62</v>
      </c>
      <c r="S59" s="75">
        <f>Valores!$C$26</f>
        <v>3208.72</v>
      </c>
      <c r="T59" s="78">
        <f>Valores!$C$42</f>
        <v>1271.83</v>
      </c>
      <c r="U59" s="75">
        <f>Valores!$C$23</f>
        <v>2840.79</v>
      </c>
      <c r="V59" s="75">
        <f t="shared" si="13"/>
        <v>2840.79</v>
      </c>
      <c r="W59" s="75">
        <v>0</v>
      </c>
      <c r="X59" s="75">
        <v>0</v>
      </c>
      <c r="Y59" s="79">
        <v>0</v>
      </c>
      <c r="Z59" s="75">
        <f>Y59*Valores!$C$2</f>
        <v>0</v>
      </c>
      <c r="AA59" s="75">
        <v>0</v>
      </c>
      <c r="AB59" s="80">
        <f>Valores!$C$29</f>
        <v>166.15</v>
      </c>
      <c r="AC59" s="75">
        <f t="shared" si="6"/>
        <v>0</v>
      </c>
      <c r="AD59" s="75">
        <f>Valores!$C$30</f>
        <v>166.15</v>
      </c>
      <c r="AE59" s="79">
        <v>94</v>
      </c>
      <c r="AF59" s="75">
        <f>INT(((AE59*Valores!$C$2)*100)+0.5)/100</f>
        <v>646.54999999999995</v>
      </c>
      <c r="AG59" s="75">
        <f>Valores!$C$58</f>
        <v>337.97</v>
      </c>
      <c r="AH59" s="75">
        <f>Valores!$C$60</f>
        <v>96.56</v>
      </c>
      <c r="AI59" s="81">
        <f t="shared" si="7"/>
        <v>35388.171500000004</v>
      </c>
      <c r="AJ59" s="77">
        <f>Valores!$C$35</f>
        <v>666.25</v>
      </c>
      <c r="AK59" s="78">
        <f>Valores!$C$8</f>
        <v>0</v>
      </c>
      <c r="AL59" s="78">
        <f>Valores!$C$82</f>
        <v>1800</v>
      </c>
      <c r="AM59" s="80">
        <f>Valores!$C$51</f>
        <v>141.62</v>
      </c>
      <c r="AN59" s="82">
        <f t="shared" si="8"/>
        <v>2466.25</v>
      </c>
      <c r="AO59" s="83">
        <f>AI59*-Valores!$C$65</f>
        <v>-4600.4622950000003</v>
      </c>
      <c r="AP59" s="83">
        <f>AI59*-Valores!$C$66</f>
        <v>-176.94085750000002</v>
      </c>
      <c r="AQ59" s="77">
        <f>AI59*-Valores!$C$67</f>
        <v>-1592.4677175000002</v>
      </c>
      <c r="AR59" s="77">
        <f>AI59*-Valores!$C$68</f>
        <v>-955.48063050000007</v>
      </c>
      <c r="AS59" s="77">
        <f>AI59*-Valores!$C$69</f>
        <v>-106.16451450000001</v>
      </c>
      <c r="AT59" s="81">
        <f t="shared" si="4"/>
        <v>31484.550630000002</v>
      </c>
      <c r="AU59" s="81">
        <f t="shared" si="5"/>
        <v>32015.373202500003</v>
      </c>
      <c r="AV59" s="77">
        <f>AI59*Valores!$C$71</f>
        <v>5662.1074400000007</v>
      </c>
      <c r="AW59" s="77">
        <f>AI59*Valores!$C$72</f>
        <v>1592.4677175000002</v>
      </c>
      <c r="AX59" s="77">
        <f>AI59*Valores!$C$73</f>
        <v>353.88171500000004</v>
      </c>
      <c r="AY59" s="77">
        <f>AI59*Valores!$C$75</f>
        <v>1238.5860025000002</v>
      </c>
      <c r="AZ59" s="77">
        <f>AI59*Valores!$C$76</f>
        <v>212.32902900000002</v>
      </c>
      <c r="BA59" s="77">
        <f t="shared" si="9"/>
        <v>1910.9612610000001</v>
      </c>
      <c r="BB59" s="51"/>
      <c r="BC59" s="51">
        <v>25</v>
      </c>
      <c r="BD59" s="27" t="s">
        <v>4</v>
      </c>
    </row>
    <row r="60" spans="1:56" s="27" customFormat="1" ht="11.25" customHeight="1" x14ac:dyDescent="0.2">
      <c r="A60" s="51">
        <v>59</v>
      </c>
      <c r="B60" s="51"/>
      <c r="C60" s="27" t="s">
        <v>261</v>
      </c>
      <c r="E60" s="27">
        <f t="shared" si="0"/>
        <v>33</v>
      </c>
      <c r="F60" s="71" t="s">
        <v>262</v>
      </c>
      <c r="G60" s="72">
        <v>100</v>
      </c>
      <c r="H60" s="73">
        <f>INT((G60*Valores!$C$2*100)+0.5)/100</f>
        <v>687.82</v>
      </c>
      <c r="I60" s="74">
        <v>3180</v>
      </c>
      <c r="J60" s="75">
        <f>INT((I60*Valores!$C$2*100)+0.5)/100</f>
        <v>21872.68</v>
      </c>
      <c r="K60" s="102">
        <v>0</v>
      </c>
      <c r="L60" s="75">
        <f>INT((K60*Valores!$C$2*100)+0.5)/100</f>
        <v>0</v>
      </c>
      <c r="M60" s="100">
        <v>0</v>
      </c>
      <c r="N60" s="75">
        <f>INT((M60*Valores!$C$2*100)+0.5)/100</f>
        <v>0</v>
      </c>
      <c r="O60" s="75">
        <f t="shared" si="1"/>
        <v>4096.3530000000001</v>
      </c>
      <c r="P60" s="75">
        <f t="shared" si="2"/>
        <v>0</v>
      </c>
      <c r="Q60" s="77">
        <f>Valores!$C$16</f>
        <v>4450.7</v>
      </c>
      <c r="R60" s="77">
        <f>Valores!$D$4</f>
        <v>3076.62</v>
      </c>
      <c r="S60" s="101">
        <f>Valores!$C$26</f>
        <v>3208.72</v>
      </c>
      <c r="T60" s="106">
        <f>Valores!$C$43</f>
        <v>1907.73</v>
      </c>
      <c r="U60" s="75">
        <f>Valores!$C$23</f>
        <v>2840.79</v>
      </c>
      <c r="V60" s="75">
        <f t="shared" si="13"/>
        <v>2840.79</v>
      </c>
      <c r="W60" s="75">
        <v>0</v>
      </c>
      <c r="X60" s="75">
        <v>0</v>
      </c>
      <c r="Y60" s="79">
        <v>0</v>
      </c>
      <c r="Z60" s="75">
        <f>Y60*Valores!$C$2</f>
        <v>0</v>
      </c>
      <c r="AA60" s="75">
        <v>0</v>
      </c>
      <c r="AB60" s="80">
        <f>Valores!$C$29</f>
        <v>166.15</v>
      </c>
      <c r="AC60" s="75">
        <f t="shared" si="6"/>
        <v>0</v>
      </c>
      <c r="AD60" s="75">
        <f>Valores!$C$30</f>
        <v>166.15</v>
      </c>
      <c r="AE60" s="79">
        <v>0</v>
      </c>
      <c r="AF60" s="75">
        <f>INT(((AE60*Valores!$C$2)*100)+0.5)/100</f>
        <v>0</v>
      </c>
      <c r="AG60" s="75">
        <f>Valores!$C$58</f>
        <v>337.97</v>
      </c>
      <c r="AH60" s="75">
        <f>Valores!$C$60</f>
        <v>96.56</v>
      </c>
      <c r="AI60" s="81">
        <f t="shared" si="7"/>
        <v>42908.243000000009</v>
      </c>
      <c r="AJ60" s="77">
        <f>Valores!$C$35</f>
        <v>666.25</v>
      </c>
      <c r="AK60" s="78">
        <f>Valores!$C$9</f>
        <v>0</v>
      </c>
      <c r="AL60" s="78">
        <f>Valores!$C$82</f>
        <v>1800</v>
      </c>
      <c r="AM60" s="80">
        <f>Valores!$C$51</f>
        <v>141.62</v>
      </c>
      <c r="AN60" s="82">
        <f t="shared" si="8"/>
        <v>2466.25</v>
      </c>
      <c r="AO60" s="83">
        <f>AI60*-Valores!$C$65</f>
        <v>-5578.0715900000014</v>
      </c>
      <c r="AP60" s="83">
        <f>AI60*-Valores!$C$66</f>
        <v>-214.54121500000005</v>
      </c>
      <c r="AQ60" s="77">
        <f>AI60*-Valores!$C$67</f>
        <v>-1930.8709350000004</v>
      </c>
      <c r="AR60" s="77">
        <f>AI60*-Valores!$C$68</f>
        <v>-1158.5225610000002</v>
      </c>
      <c r="AS60" s="77">
        <f>AI60*-Valores!$C$69</f>
        <v>-128.72472900000002</v>
      </c>
      <c r="AT60" s="81">
        <f t="shared" si="4"/>
        <v>37651.009260000013</v>
      </c>
      <c r="AU60" s="81">
        <f t="shared" si="5"/>
        <v>38294.632905000013</v>
      </c>
      <c r="AV60" s="77">
        <f>AI60*Valores!$C$71</f>
        <v>6865.3188800000016</v>
      </c>
      <c r="AW60" s="77">
        <f>AI60*Valores!$C$72</f>
        <v>1930.8709350000004</v>
      </c>
      <c r="AX60" s="77">
        <f>AI60*Valores!$C$73</f>
        <v>429.0824300000001</v>
      </c>
      <c r="AY60" s="77">
        <f>AI60*Valores!$C$75</f>
        <v>1501.7885050000004</v>
      </c>
      <c r="AZ60" s="77">
        <f>AI60*Valores!$C$76</f>
        <v>257.44945800000005</v>
      </c>
      <c r="BA60" s="77">
        <f t="shared" si="9"/>
        <v>2317.0451220000004</v>
      </c>
      <c r="BB60" s="51"/>
      <c r="BC60" s="51"/>
      <c r="BD60" s="27" t="s">
        <v>4</v>
      </c>
    </row>
    <row r="61" spans="1:56" s="27" customFormat="1" ht="11.25" customHeight="1" x14ac:dyDescent="0.2">
      <c r="A61" s="85">
        <v>60</v>
      </c>
      <c r="B61" s="85" t="s">
        <v>163</v>
      </c>
      <c r="C61" s="86" t="s">
        <v>263</v>
      </c>
      <c r="D61" s="86"/>
      <c r="E61" s="86">
        <f t="shared" si="0"/>
        <v>30</v>
      </c>
      <c r="F61" s="87" t="s">
        <v>264</v>
      </c>
      <c r="G61" s="88">
        <v>83</v>
      </c>
      <c r="H61" s="89">
        <f>INT((G61*Valores!$C$2*100)+0.5)/100</f>
        <v>570.89</v>
      </c>
      <c r="I61" s="90">
        <v>2352</v>
      </c>
      <c r="J61" s="91">
        <f>INT((I61*Valores!$C$2*100)+0.5)/100</f>
        <v>16177.53</v>
      </c>
      <c r="K61" s="104">
        <v>0</v>
      </c>
      <c r="L61" s="91">
        <f>INT((K61*Valores!$C$2*100)+0.5)/100</f>
        <v>0</v>
      </c>
      <c r="M61" s="105">
        <v>0</v>
      </c>
      <c r="N61" s="91">
        <f>INT((M61*Valores!$C$2*100)+0.5)/100</f>
        <v>0</v>
      </c>
      <c r="O61" s="91">
        <f t="shared" si="1"/>
        <v>3129.1559999999999</v>
      </c>
      <c r="P61" s="91">
        <f t="shared" si="2"/>
        <v>0</v>
      </c>
      <c r="Q61" s="93">
        <f>Valores!$C$16</f>
        <v>4450.7</v>
      </c>
      <c r="R61" s="93">
        <f>Valores!$D$4</f>
        <v>3076.62</v>
      </c>
      <c r="S61" s="107">
        <f>Valores!$C$26</f>
        <v>3208.72</v>
      </c>
      <c r="T61" s="108">
        <f>Valores!$C$42</f>
        <v>1271.83</v>
      </c>
      <c r="U61" s="91">
        <f>Valores!$C$23</f>
        <v>2840.79</v>
      </c>
      <c r="V61" s="91">
        <f t="shared" si="13"/>
        <v>2840.79</v>
      </c>
      <c r="W61" s="91">
        <v>0</v>
      </c>
      <c r="X61" s="91">
        <v>0</v>
      </c>
      <c r="Y61" s="95">
        <v>0</v>
      </c>
      <c r="Z61" s="91">
        <f>Y61*Valores!$C$2</f>
        <v>0</v>
      </c>
      <c r="AA61" s="91">
        <v>0</v>
      </c>
      <c r="AB61" s="96">
        <f>Valores!$C$29</f>
        <v>166.15</v>
      </c>
      <c r="AC61" s="91">
        <f t="shared" si="6"/>
        <v>0</v>
      </c>
      <c r="AD61" s="91">
        <f>Valores!$C$30</f>
        <v>166.15</v>
      </c>
      <c r="AE61" s="95">
        <v>0</v>
      </c>
      <c r="AF61" s="91">
        <f>INT(((AE61*Valores!$C$2)*100)+0.5)/100</f>
        <v>0</v>
      </c>
      <c r="AG61" s="91">
        <f>Valores!$C$58</f>
        <v>337.97</v>
      </c>
      <c r="AH61" s="91">
        <f>Valores!$C$60</f>
        <v>96.56</v>
      </c>
      <c r="AI61" s="97">
        <f t="shared" si="7"/>
        <v>35493.066000000006</v>
      </c>
      <c r="AJ61" s="93">
        <f>Valores!$C$35</f>
        <v>666.25</v>
      </c>
      <c r="AK61" s="94">
        <f>Valores!$C$8</f>
        <v>0</v>
      </c>
      <c r="AL61" s="94">
        <f>Valores!$C$82</f>
        <v>1800</v>
      </c>
      <c r="AM61" s="96">
        <f>Valores!$C$51</f>
        <v>141.62</v>
      </c>
      <c r="AN61" s="98">
        <f t="shared" si="8"/>
        <v>2466.25</v>
      </c>
      <c r="AO61" s="99">
        <f>AI61*-Valores!$C$65</f>
        <v>-4614.0985800000008</v>
      </c>
      <c r="AP61" s="99">
        <f>AI61*-Valores!$C$66</f>
        <v>-177.46533000000002</v>
      </c>
      <c r="AQ61" s="93">
        <f>AI61*-Valores!$C$67</f>
        <v>-1597.1879700000002</v>
      </c>
      <c r="AR61" s="93">
        <f>AI61*-Valores!$C$68</f>
        <v>-958.3127820000002</v>
      </c>
      <c r="AS61" s="93">
        <f>AI61*-Valores!$C$69</f>
        <v>-106.47919800000003</v>
      </c>
      <c r="AT61" s="97">
        <f t="shared" si="4"/>
        <v>31570.564120000006</v>
      </c>
      <c r="AU61" s="97">
        <f t="shared" si="5"/>
        <v>32102.960110000004</v>
      </c>
      <c r="AV61" s="93">
        <f>AI61*Valores!$C$71</f>
        <v>5678.8905600000007</v>
      </c>
      <c r="AW61" s="93">
        <f>AI61*Valores!$C$72</f>
        <v>1597.1879700000002</v>
      </c>
      <c r="AX61" s="93">
        <f>AI61*Valores!$C$73</f>
        <v>354.93066000000005</v>
      </c>
      <c r="AY61" s="93">
        <f>AI61*Valores!$C$75</f>
        <v>1242.2573100000004</v>
      </c>
      <c r="AZ61" s="93">
        <f>AI61*Valores!$C$76</f>
        <v>212.95839600000005</v>
      </c>
      <c r="BA61" s="93">
        <f t="shared" si="9"/>
        <v>1916.6255640000006</v>
      </c>
      <c r="BB61" s="85"/>
      <c r="BC61" s="85">
        <v>30</v>
      </c>
      <c r="BD61" s="86" t="s">
        <v>4</v>
      </c>
    </row>
    <row r="62" spans="1:56" s="27" customFormat="1" ht="11.25" customHeight="1" x14ac:dyDescent="0.2">
      <c r="A62" s="51">
        <v>61</v>
      </c>
      <c r="B62" s="51"/>
      <c r="C62" s="27" t="s">
        <v>265</v>
      </c>
      <c r="E62" s="27">
        <f t="shared" si="0"/>
        <v>33</v>
      </c>
      <c r="F62" s="71" t="s">
        <v>266</v>
      </c>
      <c r="G62" s="72">
        <v>81</v>
      </c>
      <c r="H62" s="73">
        <f>INT((G62*Valores!$C$2*100)+0.5)/100</f>
        <v>557.13</v>
      </c>
      <c r="I62" s="74">
        <v>2354</v>
      </c>
      <c r="J62" s="75">
        <f>INT((I62*Valores!$C$2*100)+0.5)/100</f>
        <v>16191.28</v>
      </c>
      <c r="K62" s="102">
        <v>0</v>
      </c>
      <c r="L62" s="75">
        <f>INT((K62*Valores!$C$2*100)+0.5)/100</f>
        <v>0</v>
      </c>
      <c r="M62" s="100">
        <v>0</v>
      </c>
      <c r="N62" s="75">
        <f>INT((M62*Valores!$C$2*100)+0.5)/100</f>
        <v>0</v>
      </c>
      <c r="O62" s="75">
        <f t="shared" si="1"/>
        <v>3129.1544999999996</v>
      </c>
      <c r="P62" s="75">
        <f t="shared" si="2"/>
        <v>0</v>
      </c>
      <c r="Q62" s="77">
        <f>Valores!$C$16</f>
        <v>4450.7</v>
      </c>
      <c r="R62" s="77">
        <f>Valores!$D$4</f>
        <v>3076.62</v>
      </c>
      <c r="S62" s="101">
        <f>Valores!$C$26</f>
        <v>3208.72</v>
      </c>
      <c r="T62" s="106">
        <f>Valores!$C$42</f>
        <v>1271.83</v>
      </c>
      <c r="U62" s="75">
        <f>Valores!$C$23</f>
        <v>2840.79</v>
      </c>
      <c r="V62" s="75">
        <f t="shared" si="13"/>
        <v>2840.79</v>
      </c>
      <c r="W62" s="75">
        <v>0</v>
      </c>
      <c r="X62" s="75">
        <v>0</v>
      </c>
      <c r="Y62" s="79">
        <v>0</v>
      </c>
      <c r="Z62" s="75">
        <f>Y62*Valores!$C$2</f>
        <v>0</v>
      </c>
      <c r="AA62" s="75">
        <v>0</v>
      </c>
      <c r="AB62" s="80">
        <f>Valores!$C$29</f>
        <v>166.15</v>
      </c>
      <c r="AC62" s="75">
        <f t="shared" si="6"/>
        <v>0</v>
      </c>
      <c r="AD62" s="75">
        <f>Valores!$C$30</f>
        <v>166.15</v>
      </c>
      <c r="AE62" s="79">
        <v>94</v>
      </c>
      <c r="AF62" s="75">
        <f>INT(((AE62*Valores!$C$2)*100)+0.5)/100</f>
        <v>646.54999999999995</v>
      </c>
      <c r="AG62" s="75">
        <f>Valores!$C$58</f>
        <v>337.97</v>
      </c>
      <c r="AH62" s="75">
        <f>Valores!$C$60</f>
        <v>96.56</v>
      </c>
      <c r="AI62" s="81">
        <f t="shared" si="7"/>
        <v>36139.604500000009</v>
      </c>
      <c r="AJ62" s="77">
        <f>Valores!$C$35</f>
        <v>666.25</v>
      </c>
      <c r="AK62" s="78">
        <f>Valores!$C$8</f>
        <v>0</v>
      </c>
      <c r="AL62" s="78">
        <f>Valores!$C$82</f>
        <v>1800</v>
      </c>
      <c r="AM62" s="80">
        <f>Valores!$C$51</f>
        <v>141.62</v>
      </c>
      <c r="AN62" s="82">
        <f t="shared" si="8"/>
        <v>2466.25</v>
      </c>
      <c r="AO62" s="83">
        <f>AI62*-Valores!$C$65</f>
        <v>-4698.1485850000008</v>
      </c>
      <c r="AP62" s="83">
        <f>AI62*-Valores!$C$66</f>
        <v>-180.69802250000004</v>
      </c>
      <c r="AQ62" s="77">
        <f>AI62*-Valores!$C$67</f>
        <v>-1626.2822025000003</v>
      </c>
      <c r="AR62" s="77">
        <f>AI62*-Valores!$C$68</f>
        <v>-975.76932150000027</v>
      </c>
      <c r="AS62" s="77">
        <f>AI62*-Valores!$C$69</f>
        <v>-108.41881350000003</v>
      </c>
      <c r="AT62" s="81">
        <f t="shared" si="4"/>
        <v>32100.725690000007</v>
      </c>
      <c r="AU62" s="81">
        <f t="shared" si="5"/>
        <v>32642.819757500001</v>
      </c>
      <c r="AV62" s="77">
        <f>AI62*Valores!$C$71</f>
        <v>5782.3367200000012</v>
      </c>
      <c r="AW62" s="77">
        <f>AI62*Valores!$C$72</f>
        <v>1626.2822025000003</v>
      </c>
      <c r="AX62" s="77">
        <f>AI62*Valores!$C$73</f>
        <v>361.39604500000007</v>
      </c>
      <c r="AY62" s="77">
        <f>AI62*Valores!$C$75</f>
        <v>1264.8861575000003</v>
      </c>
      <c r="AZ62" s="77">
        <f>AI62*Valores!$C$76</f>
        <v>216.83762700000005</v>
      </c>
      <c r="BA62" s="77">
        <f t="shared" si="9"/>
        <v>1951.5386430000005</v>
      </c>
      <c r="BB62" s="51"/>
      <c r="BC62" s="51">
        <v>25</v>
      </c>
      <c r="BD62" s="27" t="s">
        <v>4</v>
      </c>
    </row>
    <row r="63" spans="1:56" s="27" customFormat="1" ht="11.25" customHeight="1" x14ac:dyDescent="0.2">
      <c r="A63" s="51">
        <v>62</v>
      </c>
      <c r="B63" s="51"/>
      <c r="C63" s="27" t="s">
        <v>267</v>
      </c>
      <c r="E63" s="27">
        <f t="shared" si="0"/>
        <v>30</v>
      </c>
      <c r="F63" s="71" t="s">
        <v>268</v>
      </c>
      <c r="G63" s="72">
        <v>81</v>
      </c>
      <c r="H63" s="73">
        <f>INT((G63*Valores!$C$2*100)+0.5)/100</f>
        <v>557.13</v>
      </c>
      <c r="I63" s="74">
        <v>2094</v>
      </c>
      <c r="J63" s="75">
        <f>INT((I63*Valores!$C$2*100)+0.5)/100</f>
        <v>14402.95</v>
      </c>
      <c r="K63" s="102">
        <v>0</v>
      </c>
      <c r="L63" s="75">
        <f>INT((K63*Valores!$C$2*100)+0.5)/100</f>
        <v>0</v>
      </c>
      <c r="M63" s="100">
        <v>0</v>
      </c>
      <c r="N63" s="75">
        <f>INT((M63*Valores!$C$2*100)+0.5)/100</f>
        <v>0</v>
      </c>
      <c r="O63" s="75">
        <f t="shared" si="1"/>
        <v>2860.9049999999993</v>
      </c>
      <c r="P63" s="75">
        <f t="shared" si="2"/>
        <v>0</v>
      </c>
      <c r="Q63" s="77">
        <f>Valores!$C$16</f>
        <v>4450.7</v>
      </c>
      <c r="R63" s="77">
        <f>Valores!$D$4</f>
        <v>3076.62</v>
      </c>
      <c r="S63" s="101">
        <f>Valores!$C$26</f>
        <v>3208.72</v>
      </c>
      <c r="T63" s="106">
        <f>Valores!$C$42</f>
        <v>1271.83</v>
      </c>
      <c r="U63" s="75">
        <f>Valores!$C$23</f>
        <v>2840.79</v>
      </c>
      <c r="V63" s="75">
        <f t="shared" si="13"/>
        <v>2840.79</v>
      </c>
      <c r="W63" s="75">
        <v>0</v>
      </c>
      <c r="X63" s="75">
        <v>0</v>
      </c>
      <c r="Y63" s="79">
        <v>0</v>
      </c>
      <c r="Z63" s="75">
        <f>Y63*Valores!$C$2</f>
        <v>0</v>
      </c>
      <c r="AA63" s="75">
        <v>0</v>
      </c>
      <c r="AB63" s="80">
        <f>Valores!$C$29</f>
        <v>166.15</v>
      </c>
      <c r="AC63" s="75">
        <f t="shared" si="6"/>
        <v>0</v>
      </c>
      <c r="AD63" s="75">
        <f>Valores!$C$30</f>
        <v>166.15</v>
      </c>
      <c r="AE63" s="79">
        <v>0</v>
      </c>
      <c r="AF63" s="75">
        <f>INT(((AE63*Valores!$C$2)*100)+0.5)/100</f>
        <v>0</v>
      </c>
      <c r="AG63" s="75">
        <f>Valores!$C$58</f>
        <v>337.97</v>
      </c>
      <c r="AH63" s="75">
        <f>Valores!$C$60</f>
        <v>96.56</v>
      </c>
      <c r="AI63" s="81">
        <f t="shared" si="7"/>
        <v>33436.475000000006</v>
      </c>
      <c r="AJ63" s="77">
        <f>Valores!$C$35</f>
        <v>666.25</v>
      </c>
      <c r="AK63" s="78">
        <f>Valores!$C$8</f>
        <v>0</v>
      </c>
      <c r="AL63" s="78">
        <f>Valores!$C$82</f>
        <v>1800</v>
      </c>
      <c r="AM63" s="80">
        <f>Valores!$C$51</f>
        <v>141.62</v>
      </c>
      <c r="AN63" s="82">
        <f t="shared" si="8"/>
        <v>2466.25</v>
      </c>
      <c r="AO63" s="83">
        <f>AI63*-Valores!$C$65</f>
        <v>-4346.741750000001</v>
      </c>
      <c r="AP63" s="83">
        <f>AI63*-Valores!$C$66</f>
        <v>-167.18237500000004</v>
      </c>
      <c r="AQ63" s="77">
        <f>AI63*-Valores!$C$67</f>
        <v>-1504.6413750000002</v>
      </c>
      <c r="AR63" s="77">
        <f>AI63*-Valores!$C$68</f>
        <v>-902.78482500000018</v>
      </c>
      <c r="AS63" s="77">
        <f>AI63*-Valores!$C$69</f>
        <v>-100.30942500000002</v>
      </c>
      <c r="AT63" s="81">
        <f t="shared" si="4"/>
        <v>29884.159500000009</v>
      </c>
      <c r="AU63" s="81">
        <f t="shared" si="5"/>
        <v>30385.706625000006</v>
      </c>
      <c r="AV63" s="77">
        <f>AI63*Valores!$C$71</f>
        <v>5349.8360000000011</v>
      </c>
      <c r="AW63" s="77">
        <f>AI63*Valores!$C$72</f>
        <v>1504.6413750000002</v>
      </c>
      <c r="AX63" s="77">
        <f>AI63*Valores!$C$73</f>
        <v>334.36475000000007</v>
      </c>
      <c r="AY63" s="77">
        <f>AI63*Valores!$C$75</f>
        <v>1170.2766250000004</v>
      </c>
      <c r="AZ63" s="77">
        <f>AI63*Valores!$C$76</f>
        <v>200.61885000000004</v>
      </c>
      <c r="BA63" s="77">
        <f t="shared" si="9"/>
        <v>1805.5696500000006</v>
      </c>
      <c r="BB63" s="51"/>
      <c r="BC63" s="51">
        <v>30</v>
      </c>
      <c r="BD63" s="27" t="s">
        <v>4</v>
      </c>
    </row>
    <row r="64" spans="1:56" s="27" customFormat="1" ht="11.25" customHeight="1" x14ac:dyDescent="0.2">
      <c r="A64" s="51">
        <v>63</v>
      </c>
      <c r="B64" s="51"/>
      <c r="C64" s="27" t="s">
        <v>269</v>
      </c>
      <c r="E64" s="27">
        <f t="shared" si="0"/>
        <v>33</v>
      </c>
      <c r="F64" s="71" t="s">
        <v>270</v>
      </c>
      <c r="G64" s="72">
        <v>80</v>
      </c>
      <c r="H64" s="73">
        <f>INT((G64*Valores!$C$2*100)+0.5)/100</f>
        <v>550.26</v>
      </c>
      <c r="I64" s="74">
        <v>2095</v>
      </c>
      <c r="J64" s="75">
        <f>INT((I64*Valores!$C$2*100)+0.5)/100</f>
        <v>14409.83</v>
      </c>
      <c r="K64" s="102">
        <v>0</v>
      </c>
      <c r="L64" s="75">
        <f>INT((K64*Valores!$C$2*100)+0.5)/100</f>
        <v>0</v>
      </c>
      <c r="M64" s="100">
        <v>0</v>
      </c>
      <c r="N64" s="75">
        <f>INT((M64*Valores!$C$2*100)+0.5)/100</f>
        <v>0</v>
      </c>
      <c r="O64" s="75">
        <f t="shared" si="1"/>
        <v>2860.9064999999996</v>
      </c>
      <c r="P64" s="75">
        <f t="shared" si="2"/>
        <v>0</v>
      </c>
      <c r="Q64" s="77">
        <f>Valores!$C$16</f>
        <v>4450.7</v>
      </c>
      <c r="R64" s="77">
        <f>Valores!$D$4</f>
        <v>3076.62</v>
      </c>
      <c r="S64" s="75">
        <f>Valores!$C$26</f>
        <v>3208.72</v>
      </c>
      <c r="T64" s="78">
        <f>Valores!$C$42</f>
        <v>1271.83</v>
      </c>
      <c r="U64" s="75">
        <f>Valores!$C$23</f>
        <v>2840.79</v>
      </c>
      <c r="V64" s="75">
        <f t="shared" si="13"/>
        <v>2840.79</v>
      </c>
      <c r="W64" s="75">
        <v>0</v>
      </c>
      <c r="X64" s="75">
        <v>0</v>
      </c>
      <c r="Y64" s="79">
        <v>0</v>
      </c>
      <c r="Z64" s="75">
        <f>Y64*Valores!$C$2</f>
        <v>0</v>
      </c>
      <c r="AA64" s="75">
        <v>0</v>
      </c>
      <c r="AB64" s="80">
        <f>Valores!$C$29</f>
        <v>166.15</v>
      </c>
      <c r="AC64" s="75">
        <f t="shared" si="6"/>
        <v>0</v>
      </c>
      <c r="AD64" s="75">
        <f>Valores!$C$30</f>
        <v>166.15</v>
      </c>
      <c r="AE64" s="79">
        <v>94</v>
      </c>
      <c r="AF64" s="75">
        <f>INT(((AE64*Valores!$C$2)*100)+0.5)/100</f>
        <v>646.54999999999995</v>
      </c>
      <c r="AG64" s="75">
        <f>Valores!$C$58</f>
        <v>337.97</v>
      </c>
      <c r="AH64" s="75">
        <f>Valores!$C$60</f>
        <v>96.56</v>
      </c>
      <c r="AI64" s="81">
        <f t="shared" si="7"/>
        <v>34083.036500000002</v>
      </c>
      <c r="AJ64" s="77">
        <f>Valores!$C$35</f>
        <v>666.25</v>
      </c>
      <c r="AK64" s="78">
        <f>Valores!$C$8</f>
        <v>0</v>
      </c>
      <c r="AL64" s="78">
        <f>Valores!$C$82</f>
        <v>1800</v>
      </c>
      <c r="AM64" s="80">
        <f>Valores!$C$51</f>
        <v>141.62</v>
      </c>
      <c r="AN64" s="82">
        <f t="shared" si="8"/>
        <v>2466.25</v>
      </c>
      <c r="AO64" s="83">
        <f>AI64*-Valores!$C$65</f>
        <v>-4430.7947450000001</v>
      </c>
      <c r="AP64" s="83">
        <f>AI64*-Valores!$C$66</f>
        <v>-170.41518250000001</v>
      </c>
      <c r="AQ64" s="77">
        <f>AI64*-Valores!$C$67</f>
        <v>-1533.7366425</v>
      </c>
      <c r="AR64" s="77">
        <f>AI64*-Valores!$C$68</f>
        <v>-920.24198550000006</v>
      </c>
      <c r="AS64" s="77">
        <f>AI64*-Valores!$C$69</f>
        <v>-102.2491095</v>
      </c>
      <c r="AT64" s="81">
        <f t="shared" si="4"/>
        <v>30414.339930000002</v>
      </c>
      <c r="AU64" s="81">
        <f t="shared" si="5"/>
        <v>30925.585477500004</v>
      </c>
      <c r="AV64" s="77">
        <f>AI64*Valores!$C$71</f>
        <v>5453.2858400000005</v>
      </c>
      <c r="AW64" s="77">
        <f>AI64*Valores!$C$72</f>
        <v>1533.7366425</v>
      </c>
      <c r="AX64" s="77">
        <f>AI64*Valores!$C$73</f>
        <v>340.83036500000003</v>
      </c>
      <c r="AY64" s="77">
        <f>AI64*Valores!$C$75</f>
        <v>1192.9062775000002</v>
      </c>
      <c r="AZ64" s="77">
        <f>AI64*Valores!$C$76</f>
        <v>204.49821900000001</v>
      </c>
      <c r="BA64" s="77">
        <f t="shared" si="9"/>
        <v>1840.4839710000003</v>
      </c>
      <c r="BB64" s="51"/>
      <c r="BC64" s="51">
        <v>25</v>
      </c>
      <c r="BD64" s="27" t="s">
        <v>4</v>
      </c>
    </row>
    <row r="65" spans="1:56" s="27" customFormat="1" ht="11.25" customHeight="1" x14ac:dyDescent="0.2">
      <c r="A65" s="51">
        <v>64</v>
      </c>
      <c r="B65" s="51"/>
      <c r="C65" s="27" t="s">
        <v>271</v>
      </c>
      <c r="E65" s="27">
        <f t="shared" si="0"/>
        <v>30</v>
      </c>
      <c r="F65" s="71" t="s">
        <v>272</v>
      </c>
      <c r="G65" s="72">
        <v>79</v>
      </c>
      <c r="H65" s="73">
        <f>INT((G65*Valores!$C$2*100)+0.5)/100</f>
        <v>543.38</v>
      </c>
      <c r="I65" s="74">
        <v>1944</v>
      </c>
      <c r="J65" s="75">
        <f>INT((I65*Valores!$C$2*100)+0.5)/100</f>
        <v>13371.22</v>
      </c>
      <c r="K65" s="102">
        <v>0</v>
      </c>
      <c r="L65" s="75">
        <f>INT((K65*Valores!$C$2*100)+0.5)/100</f>
        <v>0</v>
      </c>
      <c r="M65" s="100">
        <v>0</v>
      </c>
      <c r="N65" s="75">
        <f>INT((M65*Valores!$C$2*100)+0.5)/100</f>
        <v>0</v>
      </c>
      <c r="O65" s="75">
        <f t="shared" si="1"/>
        <v>2704.0830000000001</v>
      </c>
      <c r="P65" s="75">
        <f t="shared" si="2"/>
        <v>0</v>
      </c>
      <c r="Q65" s="77">
        <f>Valores!$C$16</f>
        <v>4450.7</v>
      </c>
      <c r="R65" s="77">
        <f>Valores!$D$4</f>
        <v>3076.62</v>
      </c>
      <c r="S65" s="101">
        <f>Valores!$C$26</f>
        <v>3208.72</v>
      </c>
      <c r="T65" s="106">
        <f>Valores!$C$42</f>
        <v>1271.83</v>
      </c>
      <c r="U65" s="75">
        <f>Valores!$C$23</f>
        <v>2840.79</v>
      </c>
      <c r="V65" s="75">
        <f t="shared" si="13"/>
        <v>2840.79</v>
      </c>
      <c r="W65" s="75">
        <v>0</v>
      </c>
      <c r="X65" s="75">
        <v>0</v>
      </c>
      <c r="Y65" s="79">
        <v>0</v>
      </c>
      <c r="Z65" s="75">
        <f>Y65*Valores!$C$2</f>
        <v>0</v>
      </c>
      <c r="AA65" s="75">
        <v>0</v>
      </c>
      <c r="AB65" s="80">
        <f>Valores!$C$29</f>
        <v>166.15</v>
      </c>
      <c r="AC65" s="75">
        <f t="shared" si="6"/>
        <v>0</v>
      </c>
      <c r="AD65" s="75">
        <f>Valores!$C$30</f>
        <v>166.15</v>
      </c>
      <c r="AE65" s="79">
        <v>0</v>
      </c>
      <c r="AF65" s="75">
        <f>INT(((AE65*Valores!$C$2)*100)+0.5)/100</f>
        <v>0</v>
      </c>
      <c r="AG65" s="75">
        <f>Valores!$C$58</f>
        <v>337.97</v>
      </c>
      <c r="AH65" s="75">
        <f>Valores!$C$60</f>
        <v>96.56</v>
      </c>
      <c r="AI65" s="81">
        <f t="shared" si="7"/>
        <v>32234.173000000006</v>
      </c>
      <c r="AJ65" s="77">
        <f>Valores!$C$35</f>
        <v>666.25</v>
      </c>
      <c r="AK65" s="78">
        <f>Valores!$C$8</f>
        <v>0</v>
      </c>
      <c r="AL65" s="78">
        <f>Valores!$C$82</f>
        <v>1800</v>
      </c>
      <c r="AM65" s="80">
        <f>Valores!$C$51</f>
        <v>141.62</v>
      </c>
      <c r="AN65" s="82">
        <f t="shared" si="8"/>
        <v>2466.25</v>
      </c>
      <c r="AO65" s="83">
        <f>AI65*-Valores!$C$65</f>
        <v>-4190.4424900000013</v>
      </c>
      <c r="AP65" s="83">
        <f>AI65*-Valores!$C$66</f>
        <v>-161.17086500000002</v>
      </c>
      <c r="AQ65" s="77">
        <f>AI65*-Valores!$C$67</f>
        <v>-1450.5377850000002</v>
      </c>
      <c r="AR65" s="77">
        <f>AI65*-Valores!$C$68</f>
        <v>-870.32267100000013</v>
      </c>
      <c r="AS65" s="77">
        <f>AI65*-Valores!$C$69</f>
        <v>-96.702519000000024</v>
      </c>
      <c r="AT65" s="81">
        <f t="shared" si="4"/>
        <v>28898.271860000008</v>
      </c>
      <c r="AU65" s="81">
        <f t="shared" si="5"/>
        <v>29381.784455000008</v>
      </c>
      <c r="AV65" s="77">
        <f>AI65*Valores!$C$71</f>
        <v>5157.4676800000007</v>
      </c>
      <c r="AW65" s="77">
        <f>AI65*Valores!$C$72</f>
        <v>1450.5377850000002</v>
      </c>
      <c r="AX65" s="77">
        <f>AI65*Valores!$C$73</f>
        <v>322.34173000000004</v>
      </c>
      <c r="AY65" s="77">
        <f>AI65*Valores!$C$75</f>
        <v>1128.1960550000003</v>
      </c>
      <c r="AZ65" s="77">
        <f>AI65*Valores!$C$76</f>
        <v>193.40503800000005</v>
      </c>
      <c r="BA65" s="77">
        <f t="shared" si="9"/>
        <v>1740.6453420000005</v>
      </c>
      <c r="BB65" s="51"/>
      <c r="BC65" s="51">
        <v>30</v>
      </c>
      <c r="BD65" s="27" t="s">
        <v>4</v>
      </c>
    </row>
    <row r="66" spans="1:56" s="27" customFormat="1" ht="11.25" customHeight="1" x14ac:dyDescent="0.2">
      <c r="A66" s="85">
        <v>65</v>
      </c>
      <c r="B66" s="85" t="s">
        <v>163</v>
      </c>
      <c r="C66" s="86" t="s">
        <v>273</v>
      </c>
      <c r="D66" s="86"/>
      <c r="E66" s="86">
        <f t="shared" si="0"/>
        <v>33</v>
      </c>
      <c r="F66" s="87" t="s">
        <v>274</v>
      </c>
      <c r="G66" s="88">
        <v>79</v>
      </c>
      <c r="H66" s="89">
        <f>INT((G66*Valores!$C$2*100)+0.5)/100</f>
        <v>543.38</v>
      </c>
      <c r="I66" s="90">
        <v>1944</v>
      </c>
      <c r="J66" s="91">
        <f>INT((I66*Valores!$C$2*100)+0.5)/100</f>
        <v>13371.22</v>
      </c>
      <c r="K66" s="104">
        <v>0</v>
      </c>
      <c r="L66" s="91">
        <f>INT((K66*Valores!$C$2*100)+0.5)/100</f>
        <v>0</v>
      </c>
      <c r="M66" s="105">
        <v>0</v>
      </c>
      <c r="N66" s="91">
        <f>INT((M66*Valores!$C$2*100)+0.5)/100</f>
        <v>0</v>
      </c>
      <c r="O66" s="91">
        <f t="shared" si="1"/>
        <v>2704.0830000000001</v>
      </c>
      <c r="P66" s="91">
        <f t="shared" si="2"/>
        <v>0</v>
      </c>
      <c r="Q66" s="93">
        <f>Valores!$C$16</f>
        <v>4450.7</v>
      </c>
      <c r="R66" s="93">
        <f>Valores!$D$4</f>
        <v>3076.62</v>
      </c>
      <c r="S66" s="107">
        <f>Valores!$C$26</f>
        <v>3208.72</v>
      </c>
      <c r="T66" s="108">
        <f>Valores!$C$42</f>
        <v>1271.83</v>
      </c>
      <c r="U66" s="91">
        <f>Valores!$C$23</f>
        <v>2840.79</v>
      </c>
      <c r="V66" s="91">
        <f t="shared" si="13"/>
        <v>2840.79</v>
      </c>
      <c r="W66" s="91">
        <v>0</v>
      </c>
      <c r="X66" s="91">
        <v>0</v>
      </c>
      <c r="Y66" s="95">
        <v>0</v>
      </c>
      <c r="Z66" s="91">
        <f>Y66*Valores!$C$2</f>
        <v>0</v>
      </c>
      <c r="AA66" s="91">
        <v>0</v>
      </c>
      <c r="AB66" s="96">
        <f>Valores!$C$29</f>
        <v>166.15</v>
      </c>
      <c r="AC66" s="91">
        <f t="shared" si="6"/>
        <v>0</v>
      </c>
      <c r="AD66" s="91">
        <f>Valores!$C$30</f>
        <v>166.15</v>
      </c>
      <c r="AE66" s="95">
        <v>94</v>
      </c>
      <c r="AF66" s="91">
        <f>INT(((AE66*Valores!$C$2)*100)+0.5)/100</f>
        <v>646.54999999999995</v>
      </c>
      <c r="AG66" s="91">
        <f>Valores!$C$58</f>
        <v>337.97</v>
      </c>
      <c r="AH66" s="91">
        <f>Valores!$C$60</f>
        <v>96.56</v>
      </c>
      <c r="AI66" s="97">
        <f t="shared" si="7"/>
        <v>32880.722999999998</v>
      </c>
      <c r="AJ66" s="93">
        <f>Valores!$C$35</f>
        <v>666.25</v>
      </c>
      <c r="AK66" s="94">
        <f>Valores!$C$8</f>
        <v>0</v>
      </c>
      <c r="AL66" s="94">
        <f>Valores!$C$82</f>
        <v>1800</v>
      </c>
      <c r="AM66" s="96">
        <f>Valores!$C$51</f>
        <v>141.62</v>
      </c>
      <c r="AN66" s="98">
        <f t="shared" si="8"/>
        <v>2466.25</v>
      </c>
      <c r="AO66" s="99">
        <f>AI66*-Valores!$C$65</f>
        <v>-4274.4939899999999</v>
      </c>
      <c r="AP66" s="99">
        <f>AI66*-Valores!$C$66</f>
        <v>-164.403615</v>
      </c>
      <c r="AQ66" s="93">
        <f>AI66*-Valores!$C$67</f>
        <v>-1479.632535</v>
      </c>
      <c r="AR66" s="93">
        <f>AI66*-Valores!$C$68</f>
        <v>-887.77952099999993</v>
      </c>
      <c r="AS66" s="93">
        <f>AI66*-Valores!$C$69</f>
        <v>-98.642168999999996</v>
      </c>
      <c r="AT66" s="97">
        <f t="shared" si="4"/>
        <v>29428.442859999999</v>
      </c>
      <c r="AU66" s="97">
        <f t="shared" si="5"/>
        <v>29921.653705000001</v>
      </c>
      <c r="AV66" s="93">
        <f>AI66*Valores!$C$71</f>
        <v>5260.9156800000001</v>
      </c>
      <c r="AW66" s="93">
        <f>AI66*Valores!$C$72</f>
        <v>1479.632535</v>
      </c>
      <c r="AX66" s="93">
        <f>AI66*Valores!$C$73</f>
        <v>328.80723</v>
      </c>
      <c r="AY66" s="93">
        <f>AI66*Valores!$C$75</f>
        <v>1150.8253050000001</v>
      </c>
      <c r="AZ66" s="93">
        <f>AI66*Valores!$C$76</f>
        <v>197.28433799999999</v>
      </c>
      <c r="BA66" s="93">
        <f t="shared" si="9"/>
        <v>1775.5590419999999</v>
      </c>
      <c r="BB66" s="85"/>
      <c r="BC66" s="85">
        <v>25</v>
      </c>
      <c r="BD66" s="86" t="s">
        <v>8</v>
      </c>
    </row>
    <row r="67" spans="1:56" s="27" customFormat="1" ht="11.25" customHeight="1" x14ac:dyDescent="0.2">
      <c r="A67" s="51">
        <v>66</v>
      </c>
      <c r="B67" s="51"/>
      <c r="C67" s="27" t="s">
        <v>275</v>
      </c>
      <c r="E67" s="27">
        <f t="shared" si="0"/>
        <v>29</v>
      </c>
      <c r="F67" s="71" t="s">
        <v>276</v>
      </c>
      <c r="G67" s="72">
        <v>100</v>
      </c>
      <c r="H67" s="73">
        <f>INT((G67*Valores!$C$2*100)+0.5)/100</f>
        <v>687.82</v>
      </c>
      <c r="I67" s="74">
        <v>2864</v>
      </c>
      <c r="J67" s="75">
        <f>INT((I67*Valores!$C$2*100)+0.5)/100</f>
        <v>19699.16</v>
      </c>
      <c r="K67" s="102">
        <v>0</v>
      </c>
      <c r="L67" s="75">
        <f>INT((K67*Valores!$C$2*100)+0.5)/100</f>
        <v>0</v>
      </c>
      <c r="M67" s="100">
        <v>0</v>
      </c>
      <c r="N67" s="75">
        <f>INT((M67*Valores!$C$2*100)+0.5)/100</f>
        <v>0</v>
      </c>
      <c r="O67" s="75">
        <f t="shared" si="1"/>
        <v>3674.9399999999996</v>
      </c>
      <c r="P67" s="75">
        <f t="shared" si="2"/>
        <v>0</v>
      </c>
      <c r="Q67" s="77">
        <f>Valores!$C$16</f>
        <v>4450.7</v>
      </c>
      <c r="R67" s="77">
        <f>Valores!$D$4</f>
        <v>3076.62</v>
      </c>
      <c r="S67" s="75">
        <v>0</v>
      </c>
      <c r="T67" s="78">
        <f>Valores!$C$42</f>
        <v>1271.83</v>
      </c>
      <c r="U67" s="75">
        <f>Valores!$C$23</f>
        <v>2840.79</v>
      </c>
      <c r="V67" s="75">
        <f t="shared" si="13"/>
        <v>2840.79</v>
      </c>
      <c r="W67" s="75">
        <v>0</v>
      </c>
      <c r="X67" s="75">
        <v>0</v>
      </c>
      <c r="Y67" s="79">
        <v>0</v>
      </c>
      <c r="Z67" s="75">
        <f>Y67*Valores!$C$2</f>
        <v>0</v>
      </c>
      <c r="AA67" s="75">
        <v>0</v>
      </c>
      <c r="AB67" s="80">
        <f>Valores!$C$29</f>
        <v>166.15</v>
      </c>
      <c r="AC67" s="75">
        <f t="shared" si="6"/>
        <v>0</v>
      </c>
      <c r="AD67" s="75">
        <f>Valores!$C$30</f>
        <v>166.15</v>
      </c>
      <c r="AE67" s="79">
        <v>0</v>
      </c>
      <c r="AF67" s="75">
        <f>INT(((AE67*Valores!$C$2)*100)+0.5)/100</f>
        <v>0</v>
      </c>
      <c r="AG67" s="75">
        <f>Valores!$C$58</f>
        <v>337.97</v>
      </c>
      <c r="AH67" s="75">
        <f>Valores!$C$60</f>
        <v>96.56</v>
      </c>
      <c r="AI67" s="81">
        <f t="shared" si="7"/>
        <v>36468.69</v>
      </c>
      <c r="AJ67" s="77">
        <f>Valores!$C$35</f>
        <v>666.25</v>
      </c>
      <c r="AK67" s="78">
        <f>Valores!$C$8</f>
        <v>0</v>
      </c>
      <c r="AL67" s="78">
        <f>Valores!$C$81</f>
        <v>1500</v>
      </c>
      <c r="AM67" s="80">
        <f>Valores!$C$50</f>
        <v>283.24</v>
      </c>
      <c r="AN67" s="82">
        <f t="shared" si="8"/>
        <v>2166.25</v>
      </c>
      <c r="AO67" s="83">
        <f>AI67*-Valores!$C$65</f>
        <v>-4740.9297000000006</v>
      </c>
      <c r="AP67" s="83">
        <f>AI67*-Valores!$C$66</f>
        <v>-182.34345000000002</v>
      </c>
      <c r="AQ67" s="77">
        <f>AI67*-Valores!$C$67</f>
        <v>-1641.09105</v>
      </c>
      <c r="AR67" s="77">
        <f>AI67*-Valores!$C$68</f>
        <v>-984.65463</v>
      </c>
      <c r="AS67" s="77">
        <f>AI67*-Valores!$C$69</f>
        <v>-109.40607000000001</v>
      </c>
      <c r="AT67" s="81">
        <f t="shared" si="4"/>
        <v>32070.575799999999</v>
      </c>
      <c r="AU67" s="81">
        <f t="shared" si="5"/>
        <v>32617.606150000003</v>
      </c>
      <c r="AV67" s="77">
        <f>AI67*Valores!$C$71</f>
        <v>5834.9904000000006</v>
      </c>
      <c r="AW67" s="77">
        <f>AI67*Valores!$C$72</f>
        <v>1641.09105</v>
      </c>
      <c r="AX67" s="77">
        <f>AI67*Valores!$C$73</f>
        <v>364.68690000000004</v>
      </c>
      <c r="AY67" s="77">
        <f>AI67*Valores!$C$75</f>
        <v>1276.4041500000003</v>
      </c>
      <c r="AZ67" s="77">
        <f>AI67*Valores!$C$76</f>
        <v>218.81214000000003</v>
      </c>
      <c r="BA67" s="77">
        <f t="shared" si="9"/>
        <v>1969.3092600000004</v>
      </c>
      <c r="BB67" s="51"/>
      <c r="BC67" s="51"/>
      <c r="BD67" s="27" t="s">
        <v>4</v>
      </c>
    </row>
    <row r="68" spans="1:56" s="27" customFormat="1" ht="11.25" customHeight="1" x14ac:dyDescent="0.2">
      <c r="A68" s="51">
        <v>67</v>
      </c>
      <c r="B68" s="51"/>
      <c r="C68" s="27" t="s">
        <v>277</v>
      </c>
      <c r="E68" s="27">
        <f t="shared" si="0"/>
        <v>24</v>
      </c>
      <c r="F68" s="71" t="s">
        <v>278</v>
      </c>
      <c r="G68" s="72">
        <v>79</v>
      </c>
      <c r="H68" s="73">
        <f>INT((G68*Valores!$C$2*100)+0.5)/100</f>
        <v>543.38</v>
      </c>
      <c r="I68" s="74">
        <v>2161</v>
      </c>
      <c r="J68" s="75">
        <f>INT((I68*Valores!$C$2*100)+0.5)/100</f>
        <v>14863.79</v>
      </c>
      <c r="K68" s="102">
        <v>0</v>
      </c>
      <c r="L68" s="75">
        <f>INT((K68*Valores!$C$2*100)+0.5)/100</f>
        <v>0</v>
      </c>
      <c r="M68" s="100">
        <v>0</v>
      </c>
      <c r="N68" s="75">
        <f>INT((M68*Valores!$C$2*100)+0.5)/100</f>
        <v>0</v>
      </c>
      <c r="O68" s="75">
        <f t="shared" si="1"/>
        <v>2927.9684999999999</v>
      </c>
      <c r="P68" s="75">
        <f t="shared" si="2"/>
        <v>0</v>
      </c>
      <c r="Q68" s="77">
        <f>Valores!$C$16</f>
        <v>4450.7</v>
      </c>
      <c r="R68" s="77">
        <f>Valores!$D$4</f>
        <v>3076.62</v>
      </c>
      <c r="S68" s="101">
        <f>Valores!$C$26</f>
        <v>3208.72</v>
      </c>
      <c r="T68" s="106">
        <f>Valores!$C$42</f>
        <v>1271.83</v>
      </c>
      <c r="U68" s="75">
        <f>Valores!$C$23</f>
        <v>2840.79</v>
      </c>
      <c r="V68" s="75">
        <f t="shared" si="13"/>
        <v>2840.79</v>
      </c>
      <c r="W68" s="75">
        <v>0</v>
      </c>
      <c r="X68" s="75">
        <v>0</v>
      </c>
      <c r="Y68" s="79">
        <v>0</v>
      </c>
      <c r="Z68" s="75">
        <f>Y68*Valores!$C$2</f>
        <v>0</v>
      </c>
      <c r="AA68" s="75">
        <v>0</v>
      </c>
      <c r="AB68" s="80">
        <f>Valores!$C$29</f>
        <v>166.15</v>
      </c>
      <c r="AC68" s="75">
        <f t="shared" si="6"/>
        <v>0</v>
      </c>
      <c r="AD68" s="75">
        <f>Valores!$C$30</f>
        <v>166.15</v>
      </c>
      <c r="AE68" s="79">
        <v>0</v>
      </c>
      <c r="AF68" s="75">
        <f>INT(((AE68*Valores!$C$2)*100)+0.5)/100</f>
        <v>0</v>
      </c>
      <c r="AG68" s="75">
        <f>Valores!$C$58</f>
        <v>337.97</v>
      </c>
      <c r="AH68" s="75">
        <f>Valores!$C$60</f>
        <v>96.56</v>
      </c>
      <c r="AI68" s="81">
        <f t="shared" si="7"/>
        <v>33950.628500000006</v>
      </c>
      <c r="AJ68" s="77">
        <f>Valores!$C$35</f>
        <v>666.25</v>
      </c>
      <c r="AK68" s="78">
        <f>Valores!$C$8</f>
        <v>0</v>
      </c>
      <c r="AL68" s="78">
        <f>Valores!$C$82</f>
        <v>1800</v>
      </c>
      <c r="AM68" s="80">
        <f>Valores!$C$51</f>
        <v>141.62</v>
      </c>
      <c r="AN68" s="82">
        <f t="shared" si="8"/>
        <v>2466.25</v>
      </c>
      <c r="AO68" s="83">
        <f>AI68*-Valores!$C$65</f>
        <v>-4413.5817050000005</v>
      </c>
      <c r="AP68" s="83">
        <f>AI68*-Valores!$C$66</f>
        <v>-169.75314250000002</v>
      </c>
      <c r="AQ68" s="77">
        <f>AI68*-Valores!$C$67</f>
        <v>-1527.7782825000002</v>
      </c>
      <c r="AR68" s="77">
        <f>AI68*-Valores!$C$68</f>
        <v>-916.66696950000016</v>
      </c>
      <c r="AS68" s="77">
        <f>AI68*-Valores!$C$69</f>
        <v>-101.85188550000002</v>
      </c>
      <c r="AT68" s="81">
        <f t="shared" si="4"/>
        <v>30305.765370000005</v>
      </c>
      <c r="AU68" s="81">
        <f t="shared" si="5"/>
        <v>30815.024797500006</v>
      </c>
      <c r="AV68" s="77">
        <f>AI68*Valores!$C$71</f>
        <v>5432.1005600000008</v>
      </c>
      <c r="AW68" s="77">
        <f>AI68*Valores!$C$72</f>
        <v>1527.7782825000002</v>
      </c>
      <c r="AX68" s="77">
        <f>AI68*Valores!$C$73</f>
        <v>339.50628500000005</v>
      </c>
      <c r="AY68" s="77">
        <f>AI68*Valores!$C$75</f>
        <v>1188.2719975000002</v>
      </c>
      <c r="AZ68" s="77">
        <f>AI68*Valores!$C$76</f>
        <v>203.70377100000005</v>
      </c>
      <c r="BA68" s="77">
        <f t="shared" si="9"/>
        <v>1833.3339390000006</v>
      </c>
      <c r="BB68" s="51"/>
      <c r="BC68" s="51">
        <v>30</v>
      </c>
      <c r="BD68" s="27" t="s">
        <v>4</v>
      </c>
    </row>
    <row r="69" spans="1:56" s="27" customFormat="1" ht="11.25" customHeight="1" x14ac:dyDescent="0.2">
      <c r="A69" s="51">
        <v>68</v>
      </c>
      <c r="B69" s="51"/>
      <c r="C69" s="27" t="s">
        <v>279</v>
      </c>
      <c r="E69" s="27">
        <f t="shared" si="0"/>
        <v>32</v>
      </c>
      <c r="F69" s="71" t="s">
        <v>280</v>
      </c>
      <c r="G69" s="72">
        <v>90</v>
      </c>
      <c r="H69" s="73">
        <f>INT((G69*Valores!$C$2*100)+0.5)/100</f>
        <v>619.04</v>
      </c>
      <c r="I69" s="74">
        <v>3010</v>
      </c>
      <c r="J69" s="75">
        <f>INT((I69*Valores!$C$2*100)+0.5)/100</f>
        <v>20703.38</v>
      </c>
      <c r="K69" s="102">
        <v>0</v>
      </c>
      <c r="L69" s="75">
        <f>INT((K69*Valores!$C$2*100)+0.5)/100</f>
        <v>0</v>
      </c>
      <c r="M69" s="100">
        <v>0</v>
      </c>
      <c r="N69" s="75">
        <f>INT((M69*Valores!$C$2*100)+0.5)/100</f>
        <v>0</v>
      </c>
      <c r="O69" s="75">
        <f t="shared" si="1"/>
        <v>3910.6410000000001</v>
      </c>
      <c r="P69" s="75">
        <f t="shared" si="2"/>
        <v>0</v>
      </c>
      <c r="Q69" s="77">
        <f>Valores!$C$16</f>
        <v>4450.7</v>
      </c>
      <c r="R69" s="77">
        <f>Valores!$D$4</f>
        <v>3076.62</v>
      </c>
      <c r="S69" s="75">
        <f>Valores!$C$26</f>
        <v>3208.72</v>
      </c>
      <c r="T69" s="78">
        <f>Valores!$C$43</f>
        <v>1907.73</v>
      </c>
      <c r="U69" s="75">
        <f>Valores!$C$23</f>
        <v>2840.79</v>
      </c>
      <c r="V69" s="75">
        <f t="shared" si="13"/>
        <v>2840.79</v>
      </c>
      <c r="W69" s="75">
        <v>0</v>
      </c>
      <c r="X69" s="75">
        <v>0</v>
      </c>
      <c r="Y69" s="79">
        <v>0</v>
      </c>
      <c r="Z69" s="75">
        <f>Y69*Valores!$C$2</f>
        <v>0</v>
      </c>
      <c r="AA69" s="75">
        <v>0</v>
      </c>
      <c r="AB69" s="80">
        <f>Valores!$C$29</f>
        <v>166.15</v>
      </c>
      <c r="AC69" s="75">
        <f t="shared" si="6"/>
        <v>0</v>
      </c>
      <c r="AD69" s="75">
        <f>Valores!$C$30</f>
        <v>166.15</v>
      </c>
      <c r="AE69" s="79">
        <v>0</v>
      </c>
      <c r="AF69" s="75">
        <f>INT(((AE69*Valores!$C$2)*100)+0.5)/100</f>
        <v>0</v>
      </c>
      <c r="AG69" s="75">
        <f>Valores!$C$58</f>
        <v>337.97</v>
      </c>
      <c r="AH69" s="75">
        <f>Valores!$C$60</f>
        <v>96.56</v>
      </c>
      <c r="AI69" s="81">
        <f t="shared" si="7"/>
        <v>41484.451000000008</v>
      </c>
      <c r="AJ69" s="77">
        <f>Valores!$C$35</f>
        <v>666.25</v>
      </c>
      <c r="AK69" s="78">
        <f>Valores!$C$9</f>
        <v>0</v>
      </c>
      <c r="AL69" s="78">
        <f>Valores!$C$82</f>
        <v>1800</v>
      </c>
      <c r="AM69" s="80">
        <f>Valores!$C$51</f>
        <v>141.62</v>
      </c>
      <c r="AN69" s="82">
        <f t="shared" si="8"/>
        <v>2466.25</v>
      </c>
      <c r="AO69" s="83">
        <f>AI69*-Valores!$C$65</f>
        <v>-5392.9786300000014</v>
      </c>
      <c r="AP69" s="83">
        <f>AI69*-Valores!$C$66</f>
        <v>-207.42225500000004</v>
      </c>
      <c r="AQ69" s="77">
        <f>AI69*-Valores!$C$67</f>
        <v>-1866.8002950000002</v>
      </c>
      <c r="AR69" s="77">
        <f>AI69*-Valores!$C$68</f>
        <v>-1120.0801770000003</v>
      </c>
      <c r="AS69" s="77">
        <f>AI69*-Valores!$C$69</f>
        <v>-124.45335300000002</v>
      </c>
      <c r="AT69" s="81">
        <f t="shared" si="4"/>
        <v>36483.499820000012</v>
      </c>
      <c r="AU69" s="81">
        <f t="shared" si="5"/>
        <v>37105.766585000012</v>
      </c>
      <c r="AV69" s="77">
        <f>AI69*Valores!$C$71</f>
        <v>6637.5121600000011</v>
      </c>
      <c r="AW69" s="77">
        <f>AI69*Valores!$C$72</f>
        <v>1866.8002950000002</v>
      </c>
      <c r="AX69" s="77">
        <f>AI69*Valores!$C$73</f>
        <v>414.84451000000007</v>
      </c>
      <c r="AY69" s="77">
        <f>AI69*Valores!$C$75</f>
        <v>1451.9557850000003</v>
      </c>
      <c r="AZ69" s="77">
        <f>AI69*Valores!$C$76</f>
        <v>248.90670600000004</v>
      </c>
      <c r="BA69" s="77">
        <f t="shared" si="9"/>
        <v>2240.1603540000006</v>
      </c>
      <c r="BB69" s="51"/>
      <c r="BC69" s="51"/>
      <c r="BD69" s="27" t="s">
        <v>4</v>
      </c>
    </row>
    <row r="70" spans="1:56" s="27" customFormat="1" ht="11.25" customHeight="1" x14ac:dyDescent="0.2">
      <c r="A70" s="51">
        <v>69</v>
      </c>
      <c r="B70" s="51"/>
      <c r="C70" s="27" t="s">
        <v>281</v>
      </c>
      <c r="E70" s="27">
        <f t="shared" si="0"/>
        <v>27</v>
      </c>
      <c r="F70" s="71" t="s">
        <v>282</v>
      </c>
      <c r="G70" s="72">
        <v>78</v>
      </c>
      <c r="H70" s="73">
        <f>INT((G70*Valores!$C$2*100)+0.5)/100</f>
        <v>536.5</v>
      </c>
      <c r="I70" s="74">
        <v>2162</v>
      </c>
      <c r="J70" s="75">
        <f>INT((I70*Valores!$C$2*100)+0.5)/100</f>
        <v>14870.67</v>
      </c>
      <c r="K70" s="102">
        <v>0</v>
      </c>
      <c r="L70" s="75">
        <f>INT((K70*Valores!$C$2*100)+0.5)/100</f>
        <v>0</v>
      </c>
      <c r="M70" s="100">
        <v>0</v>
      </c>
      <c r="N70" s="75">
        <f>INT((M70*Valores!$C$2*100)+0.5)/100</f>
        <v>0</v>
      </c>
      <c r="O70" s="75">
        <f t="shared" si="1"/>
        <v>2927.9684999999999</v>
      </c>
      <c r="P70" s="75">
        <f t="shared" si="2"/>
        <v>0</v>
      </c>
      <c r="Q70" s="77">
        <f>Valores!$C$16</f>
        <v>4450.7</v>
      </c>
      <c r="R70" s="77">
        <f>Valores!$D$4</f>
        <v>3076.62</v>
      </c>
      <c r="S70" s="101">
        <f>Valores!$C$26</f>
        <v>3208.72</v>
      </c>
      <c r="T70" s="106">
        <f>Valores!$C$42</f>
        <v>1271.83</v>
      </c>
      <c r="U70" s="75">
        <f>Valores!$C$23</f>
        <v>2840.79</v>
      </c>
      <c r="V70" s="75">
        <f t="shared" si="13"/>
        <v>2840.79</v>
      </c>
      <c r="W70" s="75">
        <v>0</v>
      </c>
      <c r="X70" s="75">
        <v>0</v>
      </c>
      <c r="Y70" s="79">
        <v>0</v>
      </c>
      <c r="Z70" s="75">
        <f>Y70*Valores!$C$2</f>
        <v>0</v>
      </c>
      <c r="AA70" s="75">
        <v>0</v>
      </c>
      <c r="AB70" s="80">
        <f>Valores!$C$29</f>
        <v>166.15</v>
      </c>
      <c r="AC70" s="75">
        <f t="shared" si="6"/>
        <v>0</v>
      </c>
      <c r="AD70" s="75">
        <f>Valores!$C$30</f>
        <v>166.15</v>
      </c>
      <c r="AE70" s="79">
        <v>0</v>
      </c>
      <c r="AF70" s="75">
        <f>INT(((AE70*Valores!$C$2)*100)+0.5)/100</f>
        <v>0</v>
      </c>
      <c r="AG70" s="75">
        <f>Valores!$C$58</f>
        <v>337.97</v>
      </c>
      <c r="AH70" s="75">
        <f>Valores!$C$60</f>
        <v>96.56</v>
      </c>
      <c r="AI70" s="81">
        <f t="shared" si="7"/>
        <v>33950.628500000006</v>
      </c>
      <c r="AJ70" s="77">
        <f>Valores!$C$35</f>
        <v>666.25</v>
      </c>
      <c r="AK70" s="78">
        <f>Valores!$C$8</f>
        <v>0</v>
      </c>
      <c r="AL70" s="78">
        <f>Valores!$C$82</f>
        <v>1800</v>
      </c>
      <c r="AM70" s="80">
        <f>Valores!$C$51</f>
        <v>141.62</v>
      </c>
      <c r="AN70" s="82">
        <f t="shared" si="8"/>
        <v>2466.25</v>
      </c>
      <c r="AO70" s="83">
        <f>AI70*-Valores!$C$65</f>
        <v>-4413.5817050000005</v>
      </c>
      <c r="AP70" s="83">
        <f>AI70*-Valores!$C$66</f>
        <v>-169.75314250000002</v>
      </c>
      <c r="AQ70" s="77">
        <f>AI70*-Valores!$C$67</f>
        <v>-1527.7782825000002</v>
      </c>
      <c r="AR70" s="77">
        <f>AI70*-Valores!$C$68</f>
        <v>-916.66696950000016</v>
      </c>
      <c r="AS70" s="77">
        <f>AI70*-Valores!$C$69</f>
        <v>-101.85188550000002</v>
      </c>
      <c r="AT70" s="81">
        <f t="shared" si="4"/>
        <v>30305.765370000005</v>
      </c>
      <c r="AU70" s="81">
        <f t="shared" si="5"/>
        <v>30815.024797500006</v>
      </c>
      <c r="AV70" s="77">
        <f>AI70*Valores!$C$71</f>
        <v>5432.1005600000008</v>
      </c>
      <c r="AW70" s="77">
        <f>AI70*Valores!$C$72</f>
        <v>1527.7782825000002</v>
      </c>
      <c r="AX70" s="77">
        <f>AI70*Valores!$C$73</f>
        <v>339.50628500000005</v>
      </c>
      <c r="AY70" s="77">
        <f>AI70*Valores!$C$75</f>
        <v>1188.2719975000002</v>
      </c>
      <c r="AZ70" s="77">
        <f>AI70*Valores!$C$76</f>
        <v>203.70377100000005</v>
      </c>
      <c r="BA70" s="77">
        <f t="shared" si="9"/>
        <v>1833.3339390000006</v>
      </c>
      <c r="BB70" s="51"/>
      <c r="BC70" s="51">
        <v>25</v>
      </c>
      <c r="BD70" s="27" t="s">
        <v>4</v>
      </c>
    </row>
    <row r="71" spans="1:56" s="27" customFormat="1" ht="11.25" customHeight="1" x14ac:dyDescent="0.2">
      <c r="A71" s="85">
        <v>70</v>
      </c>
      <c r="B71" s="85" t="s">
        <v>163</v>
      </c>
      <c r="C71" s="86" t="s">
        <v>283</v>
      </c>
      <c r="D71" s="86"/>
      <c r="E71" s="86">
        <f t="shared" ref="E71:E134" si="14">LEN(F71)</f>
        <v>32</v>
      </c>
      <c r="F71" s="87" t="s">
        <v>284</v>
      </c>
      <c r="G71" s="88">
        <v>90</v>
      </c>
      <c r="H71" s="89">
        <f>INT((G71*Valores!$C$2*100)+0.5)/100</f>
        <v>619.04</v>
      </c>
      <c r="I71" s="90">
        <v>2800</v>
      </c>
      <c r="J71" s="91">
        <f>INT((I71*Valores!$C$2*100)+0.5)/100</f>
        <v>19258.96</v>
      </c>
      <c r="K71" s="104">
        <v>0</v>
      </c>
      <c r="L71" s="91">
        <f>INT((K71*Valores!$C$2*100)+0.5)/100</f>
        <v>0</v>
      </c>
      <c r="M71" s="105">
        <v>0</v>
      </c>
      <c r="N71" s="91">
        <f>INT((M71*Valores!$C$2*100)+0.5)/100</f>
        <v>0</v>
      </c>
      <c r="O71" s="91">
        <f t="shared" ref="O71:O134" si="15">IF($J$2=0,IF(C71&lt;&gt;"13-930",(SUM(H71,J71,L71,N71,Z71,U71,T71)*$O$2),0),0)</f>
        <v>3693.9780000000001</v>
      </c>
      <c r="P71" s="91">
        <f t="shared" ref="P71:P134" si="16">SUM(H71,J71,L71,N71,Z71,T71)*$J$2</f>
        <v>0</v>
      </c>
      <c r="Q71" s="93">
        <f>Valores!$C$16</f>
        <v>4450.7</v>
      </c>
      <c r="R71" s="93">
        <f>Valores!$D$4</f>
        <v>3076.62</v>
      </c>
      <c r="S71" s="91">
        <v>0</v>
      </c>
      <c r="T71" s="94">
        <f>Valores!$C$43</f>
        <v>1907.73</v>
      </c>
      <c r="U71" s="91">
        <f>Valores!$C$23</f>
        <v>2840.79</v>
      </c>
      <c r="V71" s="91">
        <f t="shared" si="13"/>
        <v>2840.79</v>
      </c>
      <c r="W71" s="91">
        <v>0</v>
      </c>
      <c r="X71" s="91">
        <v>0</v>
      </c>
      <c r="Y71" s="95">
        <v>0</v>
      </c>
      <c r="Z71" s="91">
        <f>Y71*Valores!$C$2</f>
        <v>0</v>
      </c>
      <c r="AA71" s="91">
        <v>0</v>
      </c>
      <c r="AB71" s="96">
        <f>Valores!$C$29</f>
        <v>166.15</v>
      </c>
      <c r="AC71" s="91">
        <f t="shared" si="6"/>
        <v>0</v>
      </c>
      <c r="AD71" s="91">
        <f>Valores!$C$30</f>
        <v>166.15</v>
      </c>
      <c r="AE71" s="95">
        <v>0</v>
      </c>
      <c r="AF71" s="91">
        <f>INT(((AE71*Valores!$C$2)*100)+0.5)/100</f>
        <v>0</v>
      </c>
      <c r="AG71" s="91">
        <f>Valores!$C$58</f>
        <v>337.97</v>
      </c>
      <c r="AH71" s="91">
        <f>Valores!$C$60</f>
        <v>96.56</v>
      </c>
      <c r="AI71" s="97">
        <f t="shared" si="7"/>
        <v>36614.648000000001</v>
      </c>
      <c r="AJ71" s="93">
        <f>Valores!$C$35</f>
        <v>666.25</v>
      </c>
      <c r="AK71" s="94">
        <f>Valores!$C$9</f>
        <v>0</v>
      </c>
      <c r="AL71" s="94">
        <f>Valores!$C$83</f>
        <v>3000</v>
      </c>
      <c r="AM71" s="96">
        <f>Valores!$C$51</f>
        <v>141.62</v>
      </c>
      <c r="AN71" s="98">
        <f t="shared" si="8"/>
        <v>3666.25</v>
      </c>
      <c r="AO71" s="99">
        <f>AI71*-Valores!$C$65</f>
        <v>-4759.9042399999998</v>
      </c>
      <c r="AP71" s="99">
        <f>AI71*-Valores!$C$66</f>
        <v>-183.07324</v>
      </c>
      <c r="AQ71" s="93">
        <f>AI71*-Valores!$C$67</f>
        <v>-1647.6591599999999</v>
      </c>
      <c r="AR71" s="93">
        <f>AI71*-Valores!$C$68</f>
        <v>-988.59549600000003</v>
      </c>
      <c r="AS71" s="93">
        <f>AI71*-Valores!$C$69</f>
        <v>-109.84394400000001</v>
      </c>
      <c r="AT71" s="97">
        <f t="shared" ref="AT71:AT134" si="17">AI71+AN71+AP71+AQ71+AO71</f>
        <v>33690.261360000004</v>
      </c>
      <c r="AU71" s="97">
        <f t="shared" ref="AU71:AU134" si="18">AI71+AN71+AP71+AR71+AO71+AS71</f>
        <v>34239.481080000005</v>
      </c>
      <c r="AV71" s="93">
        <f>AI71*Valores!$C$71</f>
        <v>5858.3436799999999</v>
      </c>
      <c r="AW71" s="93">
        <f>AI71*Valores!$C$72</f>
        <v>1647.6591599999999</v>
      </c>
      <c r="AX71" s="93">
        <f>AI71*Valores!$C$73</f>
        <v>366.14648</v>
      </c>
      <c r="AY71" s="93">
        <f>AI71*Valores!$C$75</f>
        <v>1281.51268</v>
      </c>
      <c r="AZ71" s="93">
        <f>AI71*Valores!$C$76</f>
        <v>219.68788800000002</v>
      </c>
      <c r="BA71" s="93">
        <f t="shared" si="9"/>
        <v>1977.1909920000003</v>
      </c>
      <c r="BB71" s="85"/>
      <c r="BC71" s="85"/>
      <c r="BD71" s="86" t="s">
        <v>8</v>
      </c>
    </row>
    <row r="72" spans="1:56" s="27" customFormat="1" ht="11.25" customHeight="1" x14ac:dyDescent="0.2">
      <c r="A72" s="51">
        <v>71</v>
      </c>
      <c r="B72" s="51"/>
      <c r="C72" s="27" t="s">
        <v>285</v>
      </c>
      <c r="E72" s="27">
        <f t="shared" si="14"/>
        <v>27</v>
      </c>
      <c r="F72" s="71" t="s">
        <v>286</v>
      </c>
      <c r="G72" s="72">
        <v>79</v>
      </c>
      <c r="H72" s="73">
        <f>INT((G72*Valores!$C$2*100)+0.5)/100</f>
        <v>543.38</v>
      </c>
      <c r="I72" s="74">
        <v>2161</v>
      </c>
      <c r="J72" s="75">
        <f>INT((I72*Valores!$C$2*100)+0.5)/100</f>
        <v>14863.79</v>
      </c>
      <c r="K72" s="102">
        <v>0</v>
      </c>
      <c r="L72" s="75">
        <f>INT((K72*Valores!$C$2*100)+0.5)/100</f>
        <v>0</v>
      </c>
      <c r="M72" s="100">
        <v>0</v>
      </c>
      <c r="N72" s="75">
        <f>INT((M72*Valores!$C$2*100)+0.5)/100</f>
        <v>0</v>
      </c>
      <c r="O72" s="75">
        <f t="shared" si="15"/>
        <v>2927.9684999999999</v>
      </c>
      <c r="P72" s="75">
        <f t="shared" si="16"/>
        <v>0</v>
      </c>
      <c r="Q72" s="77">
        <f>Valores!$C$16</f>
        <v>4450.7</v>
      </c>
      <c r="R72" s="77">
        <f>Valores!$D$4</f>
        <v>3076.62</v>
      </c>
      <c r="S72" s="101">
        <f>Valores!$C$26</f>
        <v>3208.72</v>
      </c>
      <c r="T72" s="106">
        <f>Valores!$C$42</f>
        <v>1271.83</v>
      </c>
      <c r="U72" s="75">
        <f>Valores!$C$23</f>
        <v>2840.79</v>
      </c>
      <c r="V72" s="75">
        <f t="shared" si="13"/>
        <v>2840.79</v>
      </c>
      <c r="W72" s="75">
        <v>0</v>
      </c>
      <c r="X72" s="75">
        <v>0</v>
      </c>
      <c r="Y72" s="79">
        <v>0</v>
      </c>
      <c r="Z72" s="75">
        <f>Y72*Valores!$C$2</f>
        <v>0</v>
      </c>
      <c r="AA72" s="75">
        <v>0</v>
      </c>
      <c r="AB72" s="80">
        <f>Valores!$C$29</f>
        <v>166.15</v>
      </c>
      <c r="AC72" s="75">
        <f t="shared" ref="AC72:AC135" si="19">SUM(H72,J72,L72,Z72,T72)*$H$3/100</f>
        <v>0</v>
      </c>
      <c r="AD72" s="75">
        <f>Valores!$C$30</f>
        <v>166.15</v>
      </c>
      <c r="AE72" s="79">
        <v>0</v>
      </c>
      <c r="AF72" s="75">
        <f>INT(((AE72*Valores!$C$2)*100)+0.5)/100</f>
        <v>0</v>
      </c>
      <c r="AG72" s="75">
        <f>Valores!$C$58</f>
        <v>337.97</v>
      </c>
      <c r="AH72" s="75">
        <f>Valores!$C$60</f>
        <v>96.56</v>
      </c>
      <c r="AI72" s="81">
        <f t="shared" ref="AI72:AI135" si="20">SUM(H72,J72,L72,N72,O72,P72,Q72,R72,S72,V72,W72,X72,Z72,AA72,AB72,AC72,AD72,AF72,T72,AG72,AH72)</f>
        <v>33950.628500000006</v>
      </c>
      <c r="AJ72" s="77">
        <f>Valores!$C$35</f>
        <v>666.25</v>
      </c>
      <c r="AK72" s="78">
        <f>Valores!$C$8</f>
        <v>0</v>
      </c>
      <c r="AL72" s="78">
        <f>Valores!$C$83</f>
        <v>3000</v>
      </c>
      <c r="AM72" s="80">
        <f>Valores!$C$51</f>
        <v>141.62</v>
      </c>
      <c r="AN72" s="82">
        <f t="shared" ref="AN72:AN135" si="21">IF($H$4="SI",SUM(AJ72:AL72,AM72),SUM(AJ72:AL72))</f>
        <v>3666.25</v>
      </c>
      <c r="AO72" s="83">
        <f>AI72*-Valores!$C$65</f>
        <v>-4413.5817050000005</v>
      </c>
      <c r="AP72" s="83">
        <f>AI72*-Valores!$C$66</f>
        <v>-169.75314250000002</v>
      </c>
      <c r="AQ72" s="77">
        <f>AI72*-Valores!$C$67</f>
        <v>-1527.7782825000002</v>
      </c>
      <c r="AR72" s="77">
        <f>AI72*-Valores!$C$68</f>
        <v>-916.66696950000016</v>
      </c>
      <c r="AS72" s="77">
        <f>AI72*-Valores!$C$69</f>
        <v>-101.85188550000002</v>
      </c>
      <c r="AT72" s="81">
        <f t="shared" si="17"/>
        <v>31505.765370000005</v>
      </c>
      <c r="AU72" s="81">
        <f t="shared" si="18"/>
        <v>32015.024797500006</v>
      </c>
      <c r="AV72" s="77">
        <f>AI72*Valores!$C$71</f>
        <v>5432.1005600000008</v>
      </c>
      <c r="AW72" s="77">
        <f>AI72*Valores!$C$72</f>
        <v>1527.7782825000002</v>
      </c>
      <c r="AX72" s="77">
        <f>AI72*Valores!$C$73</f>
        <v>339.50628500000005</v>
      </c>
      <c r="AY72" s="77">
        <f>AI72*Valores!$C$75</f>
        <v>1188.2719975000002</v>
      </c>
      <c r="AZ72" s="77">
        <f>AI72*Valores!$C$76</f>
        <v>203.70377100000005</v>
      </c>
      <c r="BA72" s="77">
        <f t="shared" si="9"/>
        <v>1833.3339390000006</v>
      </c>
      <c r="BB72" s="51"/>
      <c r="BC72" s="51">
        <v>30</v>
      </c>
      <c r="BD72" s="27" t="s">
        <v>4</v>
      </c>
    </row>
    <row r="73" spans="1:56" s="27" customFormat="1" ht="11.25" customHeight="1" x14ac:dyDescent="0.2">
      <c r="A73" s="51">
        <v>72</v>
      </c>
      <c r="B73" s="51"/>
      <c r="C73" s="27" t="s">
        <v>287</v>
      </c>
      <c r="E73" s="27">
        <f t="shared" si="14"/>
        <v>32</v>
      </c>
      <c r="F73" s="71" t="s">
        <v>288</v>
      </c>
      <c r="G73" s="72">
        <v>90</v>
      </c>
      <c r="H73" s="73">
        <f>INT((G73*Valores!$C$2*100)+0.5)/100</f>
        <v>619.04</v>
      </c>
      <c r="I73" s="74">
        <v>2720</v>
      </c>
      <c r="J73" s="75">
        <f>INT((I73*Valores!$C$2*100)+0.5)/100</f>
        <v>18708.7</v>
      </c>
      <c r="K73" s="102">
        <v>0</v>
      </c>
      <c r="L73" s="75">
        <f>INT((K73*Valores!$C$2*100)+0.5)/100</f>
        <v>0</v>
      </c>
      <c r="M73" s="100">
        <v>0</v>
      </c>
      <c r="N73" s="75">
        <f>INT((M73*Valores!$C$2*100)+0.5)/100</f>
        <v>0</v>
      </c>
      <c r="O73" s="75">
        <f t="shared" si="15"/>
        <v>3611.4390000000003</v>
      </c>
      <c r="P73" s="75">
        <f t="shared" si="16"/>
        <v>0</v>
      </c>
      <c r="Q73" s="77">
        <f>Valores!$C$16</f>
        <v>4450.7</v>
      </c>
      <c r="R73" s="77">
        <f>Valores!$D$4</f>
        <v>3076.62</v>
      </c>
      <c r="S73" s="75">
        <v>0</v>
      </c>
      <c r="T73" s="78">
        <f>Valores!$C$43</f>
        <v>1907.73</v>
      </c>
      <c r="U73" s="75">
        <f>Valores!$C$23</f>
        <v>2840.79</v>
      </c>
      <c r="V73" s="75">
        <f t="shared" si="13"/>
        <v>2840.79</v>
      </c>
      <c r="W73" s="75">
        <v>0</v>
      </c>
      <c r="X73" s="75">
        <v>0</v>
      </c>
      <c r="Y73" s="79">
        <v>0</v>
      </c>
      <c r="Z73" s="75">
        <f>Y73*Valores!$C$2</f>
        <v>0</v>
      </c>
      <c r="AA73" s="75">
        <v>0</v>
      </c>
      <c r="AB73" s="80">
        <f>Valores!$C$29</f>
        <v>166.15</v>
      </c>
      <c r="AC73" s="75">
        <f t="shared" si="19"/>
        <v>0</v>
      </c>
      <c r="AD73" s="75">
        <f>Valores!$C$30</f>
        <v>166.15</v>
      </c>
      <c r="AE73" s="79">
        <v>0</v>
      </c>
      <c r="AF73" s="75">
        <f>INT(((AE73*Valores!$C$2)*100)+0.5)/100</f>
        <v>0</v>
      </c>
      <c r="AG73" s="75">
        <f>Valores!$C$58</f>
        <v>337.97</v>
      </c>
      <c r="AH73" s="75">
        <f>Valores!$C$60</f>
        <v>96.56</v>
      </c>
      <c r="AI73" s="81">
        <f t="shared" si="20"/>
        <v>35981.849000000009</v>
      </c>
      <c r="AJ73" s="77">
        <f>Valores!$C$35</f>
        <v>666.25</v>
      </c>
      <c r="AK73" s="78">
        <f>Valores!$C$9</f>
        <v>0</v>
      </c>
      <c r="AL73" s="78">
        <f>Valores!$C$83</f>
        <v>3000</v>
      </c>
      <c r="AM73" s="80">
        <f>Valores!$C$51</f>
        <v>141.62</v>
      </c>
      <c r="AN73" s="82">
        <f t="shared" si="21"/>
        <v>3666.25</v>
      </c>
      <c r="AO73" s="83">
        <f>AI73*-Valores!$C$65</f>
        <v>-4677.640370000001</v>
      </c>
      <c r="AP73" s="83">
        <f>AI73*-Valores!$C$66</f>
        <v>-179.90924500000006</v>
      </c>
      <c r="AQ73" s="77">
        <f>AI73*-Valores!$C$67</f>
        <v>-1619.1832050000003</v>
      </c>
      <c r="AR73" s="77">
        <f>AI73*-Valores!$C$68</f>
        <v>-971.50992300000019</v>
      </c>
      <c r="AS73" s="77">
        <f>AI73*-Valores!$C$69</f>
        <v>-107.94554700000003</v>
      </c>
      <c r="AT73" s="81">
        <f t="shared" si="17"/>
        <v>33171.366180000005</v>
      </c>
      <c r="AU73" s="81">
        <f t="shared" si="18"/>
        <v>33711.093915000005</v>
      </c>
      <c r="AV73" s="77">
        <f>AI73*Valores!$C$71</f>
        <v>5757.0958400000018</v>
      </c>
      <c r="AW73" s="77">
        <f>AI73*Valores!$C$72</f>
        <v>1619.1832050000003</v>
      </c>
      <c r="AX73" s="77">
        <f>AI73*Valores!$C$73</f>
        <v>359.81849000000011</v>
      </c>
      <c r="AY73" s="77">
        <f>AI73*Valores!$C$75</f>
        <v>1259.3647150000004</v>
      </c>
      <c r="AZ73" s="77">
        <f>AI73*Valores!$C$76</f>
        <v>215.89109400000007</v>
      </c>
      <c r="BA73" s="77">
        <f t="shared" ref="BA73:BA136" si="22">AI73*5.4/100</f>
        <v>1943.0198460000006</v>
      </c>
      <c r="BB73" s="51"/>
      <c r="BC73" s="51"/>
      <c r="BD73" s="27" t="s">
        <v>8</v>
      </c>
    </row>
    <row r="74" spans="1:56" s="27" customFormat="1" ht="11.25" customHeight="1" x14ac:dyDescent="0.2">
      <c r="A74" s="51">
        <v>73</v>
      </c>
      <c r="B74" s="51"/>
      <c r="C74" s="27" t="s">
        <v>289</v>
      </c>
      <c r="E74" s="27">
        <f t="shared" si="14"/>
        <v>16</v>
      </c>
      <c r="F74" s="71" t="s">
        <v>290</v>
      </c>
      <c r="G74" s="72">
        <v>78</v>
      </c>
      <c r="H74" s="73">
        <f>INT((G74*Valores!$C$2*100)+0.5)/100</f>
        <v>536.5</v>
      </c>
      <c r="I74" s="74">
        <v>1284</v>
      </c>
      <c r="J74" s="75">
        <f>INT((I74*Valores!$C$2*100)+0.5)/100</f>
        <v>8831.61</v>
      </c>
      <c r="K74" s="102">
        <v>0</v>
      </c>
      <c r="L74" s="75">
        <f>INT((K74*Valores!$C$2*100)+0.5)/100</f>
        <v>0</v>
      </c>
      <c r="M74" s="100">
        <v>0</v>
      </c>
      <c r="N74" s="75">
        <f>INT((M74*Valores!$C$2*100)+0.5)/100</f>
        <v>0</v>
      </c>
      <c r="O74" s="75">
        <f t="shared" si="15"/>
        <v>2016.3105</v>
      </c>
      <c r="P74" s="75">
        <f t="shared" si="16"/>
        <v>0</v>
      </c>
      <c r="Q74" s="77">
        <f>Valores!$C$15</f>
        <v>4424.9399999999996</v>
      </c>
      <c r="R74" s="77">
        <f>Valores!$D$4</f>
        <v>3076.62</v>
      </c>
      <c r="S74" s="75">
        <f>Valores!$C$26</f>
        <v>3208.72</v>
      </c>
      <c r="T74" s="78">
        <f>Valores!$C$42</f>
        <v>1271.83</v>
      </c>
      <c r="U74" s="101">
        <f>Valores!$C$24</f>
        <v>2802.13</v>
      </c>
      <c r="V74" s="75">
        <f t="shared" si="13"/>
        <v>2802.13</v>
      </c>
      <c r="W74" s="75">
        <v>0</v>
      </c>
      <c r="X74" s="75">
        <v>0</v>
      </c>
      <c r="Y74" s="79">
        <v>0</v>
      </c>
      <c r="Z74" s="75">
        <f>Y74*Valores!$C$2</f>
        <v>0</v>
      </c>
      <c r="AA74" s="75">
        <v>0</v>
      </c>
      <c r="AB74" s="80">
        <f>Valores!$C$29</f>
        <v>166.15</v>
      </c>
      <c r="AC74" s="75">
        <f t="shared" si="19"/>
        <v>0</v>
      </c>
      <c r="AD74" s="75">
        <f>Valores!$C$30</f>
        <v>166.15</v>
      </c>
      <c r="AE74" s="79">
        <v>0</v>
      </c>
      <c r="AF74" s="75">
        <f>INT(((AE74*Valores!$C$2)*100)+0.5)/100</f>
        <v>0</v>
      </c>
      <c r="AG74" s="75">
        <f>Valores!$C$58</f>
        <v>337.97</v>
      </c>
      <c r="AH74" s="75">
        <f>Valores!$C$60</f>
        <v>96.56</v>
      </c>
      <c r="AI74" s="81">
        <f t="shared" si="20"/>
        <v>26935.490500000004</v>
      </c>
      <c r="AJ74" s="77">
        <f>Valores!$C$35</f>
        <v>666.25</v>
      </c>
      <c r="AK74" s="78">
        <f>Valores!$C$8</f>
        <v>0</v>
      </c>
      <c r="AL74" s="78">
        <f>Valores!$C$81</f>
        <v>1500</v>
      </c>
      <c r="AM74" s="80">
        <f>Valores!$C$51</f>
        <v>141.62</v>
      </c>
      <c r="AN74" s="82">
        <f t="shared" si="21"/>
        <v>2166.25</v>
      </c>
      <c r="AO74" s="83">
        <f>AI74*-Valores!$C$65</f>
        <v>-3501.6137650000005</v>
      </c>
      <c r="AP74" s="83">
        <f>AI74*-Valores!$C$66</f>
        <v>-134.67745250000002</v>
      </c>
      <c r="AQ74" s="77">
        <f>AI74*-Valores!$C$67</f>
        <v>-1212.0970725000002</v>
      </c>
      <c r="AR74" s="77">
        <f>AI74*-Valores!$C$68</f>
        <v>-727.25824350000005</v>
      </c>
      <c r="AS74" s="77">
        <f>AI74*-Valores!$C$69</f>
        <v>-80.806471500000015</v>
      </c>
      <c r="AT74" s="81">
        <f t="shared" si="17"/>
        <v>24253.352210000001</v>
      </c>
      <c r="AU74" s="81">
        <f t="shared" si="18"/>
        <v>24657.384567500001</v>
      </c>
      <c r="AV74" s="77">
        <f>AI74*Valores!$C$71</f>
        <v>4309.6784800000005</v>
      </c>
      <c r="AW74" s="77">
        <f>AI74*Valores!$C$72</f>
        <v>1212.0970725000002</v>
      </c>
      <c r="AX74" s="77">
        <f>AI74*Valores!$C$73</f>
        <v>269.35490500000003</v>
      </c>
      <c r="AY74" s="77">
        <f>AI74*Valores!$C$75</f>
        <v>942.74216750000016</v>
      </c>
      <c r="AZ74" s="77">
        <f>AI74*Valores!$C$76</f>
        <v>161.61294300000003</v>
      </c>
      <c r="BA74" s="77">
        <f t="shared" si="22"/>
        <v>1454.5164870000001</v>
      </c>
      <c r="BB74" s="51"/>
      <c r="BC74" s="51">
        <v>30</v>
      </c>
      <c r="BD74" s="27" t="s">
        <v>4</v>
      </c>
    </row>
    <row r="75" spans="1:56" s="27" customFormat="1" ht="11.25" customHeight="1" x14ac:dyDescent="0.2">
      <c r="A75" s="51">
        <v>74</v>
      </c>
      <c r="B75" s="51"/>
      <c r="C75" s="27" t="s">
        <v>291</v>
      </c>
      <c r="E75" s="27">
        <f t="shared" si="14"/>
        <v>33</v>
      </c>
      <c r="F75" s="71" t="s">
        <v>292</v>
      </c>
      <c r="G75" s="72">
        <v>78</v>
      </c>
      <c r="H75" s="73">
        <f>INT((G75*Valores!$C$2*100)+0.5)/100</f>
        <v>536.5</v>
      </c>
      <c r="I75" s="74">
        <v>1284</v>
      </c>
      <c r="J75" s="75">
        <f>INT((I75*Valores!$C$2*100)+0.5)/100</f>
        <v>8831.61</v>
      </c>
      <c r="K75" s="102">
        <v>0</v>
      </c>
      <c r="L75" s="75">
        <f>INT((K75*Valores!$C$2*100)+0.5)/100</f>
        <v>0</v>
      </c>
      <c r="M75" s="100">
        <v>0</v>
      </c>
      <c r="N75" s="75">
        <f>INT((M75*Valores!$C$2*100)+0.5)/100</f>
        <v>0</v>
      </c>
      <c r="O75" s="75">
        <f t="shared" si="15"/>
        <v>2016.3105</v>
      </c>
      <c r="P75" s="75">
        <f t="shared" si="16"/>
        <v>0</v>
      </c>
      <c r="Q75" s="77">
        <f>Valores!$C$15</f>
        <v>4424.9399999999996</v>
      </c>
      <c r="R75" s="77">
        <f>Valores!$D$4</f>
        <v>3076.62</v>
      </c>
      <c r="S75" s="101">
        <f>Valores!$C$26</f>
        <v>3208.72</v>
      </c>
      <c r="T75" s="106">
        <f>Valores!$C$42</f>
        <v>1271.83</v>
      </c>
      <c r="U75" s="101">
        <f>Valores!$C$24</f>
        <v>2802.13</v>
      </c>
      <c r="V75" s="75">
        <f t="shared" si="13"/>
        <v>2802.13</v>
      </c>
      <c r="W75" s="75">
        <v>0</v>
      </c>
      <c r="X75" s="75">
        <v>0</v>
      </c>
      <c r="Y75" s="79">
        <v>0</v>
      </c>
      <c r="Z75" s="75">
        <f>Y75*Valores!$C$2</f>
        <v>0</v>
      </c>
      <c r="AA75" s="75">
        <v>0</v>
      </c>
      <c r="AB75" s="80">
        <f>Valores!$C$29</f>
        <v>166.15</v>
      </c>
      <c r="AC75" s="75">
        <f t="shared" si="19"/>
        <v>0</v>
      </c>
      <c r="AD75" s="75">
        <f>Valores!$C$30</f>
        <v>166.15</v>
      </c>
      <c r="AE75" s="79">
        <v>0</v>
      </c>
      <c r="AF75" s="75">
        <f>INT(((AE75*Valores!$C$2)*100)+0.5)/100</f>
        <v>0</v>
      </c>
      <c r="AG75" s="75">
        <f>Valores!$C$58</f>
        <v>337.97</v>
      </c>
      <c r="AH75" s="75">
        <f>Valores!$C$60</f>
        <v>96.56</v>
      </c>
      <c r="AI75" s="81">
        <f t="shared" si="20"/>
        <v>26935.490500000004</v>
      </c>
      <c r="AJ75" s="77">
        <f>Valores!$C$35</f>
        <v>666.25</v>
      </c>
      <c r="AK75" s="78">
        <f>Valores!$C$8</f>
        <v>0</v>
      </c>
      <c r="AL75" s="78">
        <f>Valores!$C$81</f>
        <v>1500</v>
      </c>
      <c r="AM75" s="80">
        <v>0</v>
      </c>
      <c r="AN75" s="82">
        <f t="shared" si="21"/>
        <v>2166.25</v>
      </c>
      <c r="AO75" s="83">
        <f>AI75*-Valores!$C$65</f>
        <v>-3501.6137650000005</v>
      </c>
      <c r="AP75" s="83">
        <f>AI75*-Valores!$C$66</f>
        <v>-134.67745250000002</v>
      </c>
      <c r="AQ75" s="77">
        <f>AI75*-Valores!$C$67</f>
        <v>-1212.0970725000002</v>
      </c>
      <c r="AR75" s="77">
        <f>AI75*-Valores!$C$68</f>
        <v>-727.25824350000005</v>
      </c>
      <c r="AS75" s="77">
        <f>AI75*-Valores!$C$69</f>
        <v>-80.806471500000015</v>
      </c>
      <c r="AT75" s="81">
        <f t="shared" si="17"/>
        <v>24253.352210000001</v>
      </c>
      <c r="AU75" s="81">
        <f t="shared" si="18"/>
        <v>24657.384567500001</v>
      </c>
      <c r="AV75" s="77">
        <f>AI75*Valores!$C$71</f>
        <v>4309.6784800000005</v>
      </c>
      <c r="AW75" s="77">
        <f>AI75*Valores!$C$72</f>
        <v>1212.0970725000002</v>
      </c>
      <c r="AX75" s="77">
        <f>AI75*Valores!$C$73</f>
        <v>269.35490500000003</v>
      </c>
      <c r="AY75" s="77">
        <f>AI75*Valores!$C$75</f>
        <v>942.74216750000016</v>
      </c>
      <c r="AZ75" s="77">
        <f>AI75*Valores!$C$76</f>
        <v>161.61294300000003</v>
      </c>
      <c r="BA75" s="77">
        <f t="shared" si="22"/>
        <v>1454.5164870000001</v>
      </c>
      <c r="BB75" s="51"/>
      <c r="BC75" s="51"/>
      <c r="BD75" s="27" t="s">
        <v>8</v>
      </c>
    </row>
    <row r="76" spans="1:56" s="27" customFormat="1" ht="11.25" customHeight="1" x14ac:dyDescent="0.2">
      <c r="A76" s="85">
        <v>75</v>
      </c>
      <c r="B76" s="85" t="s">
        <v>163</v>
      </c>
      <c r="C76" s="86" t="s">
        <v>293</v>
      </c>
      <c r="D76" s="86"/>
      <c r="E76" s="86">
        <f t="shared" si="14"/>
        <v>33</v>
      </c>
      <c r="F76" s="87" t="s">
        <v>294</v>
      </c>
      <c r="G76" s="88">
        <v>78</v>
      </c>
      <c r="H76" s="89">
        <f>INT((G76*Valores!$C$2*100)+0.5)/100</f>
        <v>536.5</v>
      </c>
      <c r="I76" s="90">
        <v>1284</v>
      </c>
      <c r="J76" s="91">
        <f>INT((I76*Valores!$C$2*100)+0.5)/100</f>
        <v>8831.61</v>
      </c>
      <c r="K76" s="104">
        <v>0</v>
      </c>
      <c r="L76" s="91">
        <f>INT((K76*Valores!$C$2*100)+0.5)/100</f>
        <v>0</v>
      </c>
      <c r="M76" s="105">
        <v>0</v>
      </c>
      <c r="N76" s="91">
        <f>INT((M76*Valores!$C$2*100)+0.5)/100</f>
        <v>0</v>
      </c>
      <c r="O76" s="91">
        <f t="shared" si="15"/>
        <v>1595.991</v>
      </c>
      <c r="P76" s="91">
        <f t="shared" si="16"/>
        <v>0</v>
      </c>
      <c r="Q76" s="93">
        <f>Valores!$C$20</f>
        <v>4231.82</v>
      </c>
      <c r="R76" s="93">
        <f>Valores!$D$4</f>
        <v>3076.62</v>
      </c>
      <c r="S76" s="107">
        <f>Valores!$C$26</f>
        <v>3208.72</v>
      </c>
      <c r="T76" s="108">
        <f>Valores!$C$42</f>
        <v>1271.83</v>
      </c>
      <c r="U76" s="107">
        <v>0</v>
      </c>
      <c r="V76" s="91">
        <f t="shared" si="13"/>
        <v>0</v>
      </c>
      <c r="W76" s="91">
        <v>0</v>
      </c>
      <c r="X76" s="91">
        <v>0</v>
      </c>
      <c r="Y76" s="95">
        <v>0</v>
      </c>
      <c r="Z76" s="91">
        <f>Y76*Valores!$C$2</f>
        <v>0</v>
      </c>
      <c r="AA76" s="91">
        <v>0</v>
      </c>
      <c r="AB76" s="96">
        <f>Valores!$C$29</f>
        <v>166.15</v>
      </c>
      <c r="AC76" s="91">
        <f t="shared" si="19"/>
        <v>0</v>
      </c>
      <c r="AD76" s="91">
        <f>Valores!$C$30</f>
        <v>166.15</v>
      </c>
      <c r="AE76" s="95">
        <v>0</v>
      </c>
      <c r="AF76" s="91">
        <f>INT(((AE76*Valores!$C$2)*100)+0.5)/100</f>
        <v>0</v>
      </c>
      <c r="AG76" s="91">
        <f>Valores!$C$58</f>
        <v>337.97</v>
      </c>
      <c r="AH76" s="91">
        <f>Valores!$C$60</f>
        <v>96.56</v>
      </c>
      <c r="AI76" s="97">
        <f t="shared" si="20"/>
        <v>23519.921000000006</v>
      </c>
      <c r="AJ76" s="93">
        <f>Valores!$C$35</f>
        <v>666.25</v>
      </c>
      <c r="AK76" s="94">
        <f>Valores!$C$8</f>
        <v>0</v>
      </c>
      <c r="AL76" s="94">
        <f>Valores!$C$81</f>
        <v>1500</v>
      </c>
      <c r="AM76" s="96">
        <v>0</v>
      </c>
      <c r="AN76" s="98">
        <f t="shared" si="21"/>
        <v>2166.25</v>
      </c>
      <c r="AO76" s="99">
        <f>AI76*-Valores!$C$65</f>
        <v>-3057.5897300000011</v>
      </c>
      <c r="AP76" s="99">
        <f>AI76*-Valores!$C$66</f>
        <v>-117.59960500000003</v>
      </c>
      <c r="AQ76" s="93">
        <f>AI76*-Valores!$C$67</f>
        <v>-1058.3964450000003</v>
      </c>
      <c r="AR76" s="93">
        <f>AI76*-Valores!$C$68</f>
        <v>-635.03786700000012</v>
      </c>
      <c r="AS76" s="93">
        <f>AI76*-Valores!$C$69</f>
        <v>-70.559763000000018</v>
      </c>
      <c r="AT76" s="97">
        <f t="shared" si="17"/>
        <v>21452.585220000008</v>
      </c>
      <c r="AU76" s="97">
        <f t="shared" si="18"/>
        <v>21805.384035000006</v>
      </c>
      <c r="AV76" s="93">
        <f>AI76*Valores!$C$71</f>
        <v>3763.1873600000008</v>
      </c>
      <c r="AW76" s="93">
        <f>AI76*Valores!$C$72</f>
        <v>1058.3964450000003</v>
      </c>
      <c r="AX76" s="93">
        <f>AI76*Valores!$C$73</f>
        <v>235.19921000000005</v>
      </c>
      <c r="AY76" s="93">
        <f>AI76*Valores!$C$75</f>
        <v>823.19723500000032</v>
      </c>
      <c r="AZ76" s="93">
        <f>AI76*Valores!$C$76</f>
        <v>141.11952600000004</v>
      </c>
      <c r="BA76" s="93">
        <f t="shared" si="22"/>
        <v>1270.0757340000005</v>
      </c>
      <c r="BB76" s="85"/>
      <c r="BC76" s="85"/>
      <c r="BD76" s="86" t="s">
        <v>8</v>
      </c>
    </row>
    <row r="77" spans="1:56" s="27" customFormat="1" ht="11.25" customHeight="1" x14ac:dyDescent="0.2">
      <c r="A77" s="51">
        <v>76</v>
      </c>
      <c r="B77" s="51"/>
      <c r="C77" s="27" t="s">
        <v>295</v>
      </c>
      <c r="E77" s="27">
        <f t="shared" si="14"/>
        <v>29</v>
      </c>
      <c r="F77" s="71" t="s">
        <v>296</v>
      </c>
      <c r="G77" s="72">
        <v>82</v>
      </c>
      <c r="H77" s="73">
        <f>INT((G77*Valores!$C$2*100)+0.5)/100</f>
        <v>564.01</v>
      </c>
      <c r="I77" s="74">
        <v>2038</v>
      </c>
      <c r="J77" s="75">
        <f>INT((I77*Valores!$C$2*100)+0.5)/100</f>
        <v>14017.77</v>
      </c>
      <c r="K77" s="102">
        <v>0</v>
      </c>
      <c r="L77" s="75">
        <f>INT((K77*Valores!$C$2*100)+0.5)/100</f>
        <v>0</v>
      </c>
      <c r="M77" s="100">
        <v>0</v>
      </c>
      <c r="N77" s="75">
        <f>INT((M77*Valores!$C$2*100)+0.5)/100</f>
        <v>0</v>
      </c>
      <c r="O77" s="75">
        <f t="shared" si="15"/>
        <v>2804.1600000000003</v>
      </c>
      <c r="P77" s="75">
        <f t="shared" si="16"/>
        <v>0</v>
      </c>
      <c r="Q77" s="109">
        <f>Valores!$C$16</f>
        <v>4450.7</v>
      </c>
      <c r="R77" s="109">
        <f>Valores!$D$4</f>
        <v>3076.62</v>
      </c>
      <c r="S77" s="106">
        <f>Valores!$C$26</f>
        <v>3208.72</v>
      </c>
      <c r="T77" s="106">
        <f>Valores!$C$42</f>
        <v>1271.83</v>
      </c>
      <c r="U77" s="78">
        <f>Valores!$C$23</f>
        <v>2840.79</v>
      </c>
      <c r="V77" s="75">
        <f t="shared" si="13"/>
        <v>2840.79</v>
      </c>
      <c r="W77" s="75">
        <v>0</v>
      </c>
      <c r="X77" s="75">
        <v>0</v>
      </c>
      <c r="Y77" s="79">
        <v>0</v>
      </c>
      <c r="Z77" s="75">
        <f>Y77*Valores!$C$2</f>
        <v>0</v>
      </c>
      <c r="AA77" s="75">
        <v>0</v>
      </c>
      <c r="AB77" s="80">
        <f>Valores!$C$29</f>
        <v>166.15</v>
      </c>
      <c r="AC77" s="75">
        <f t="shared" si="19"/>
        <v>0</v>
      </c>
      <c r="AD77" s="75">
        <f>Valores!$C$30</f>
        <v>166.15</v>
      </c>
      <c r="AE77" s="79">
        <v>0</v>
      </c>
      <c r="AF77" s="75">
        <f>INT(((AE77*Valores!$C$2)*100)+0.5)/100</f>
        <v>0</v>
      </c>
      <c r="AG77" s="75">
        <f>Valores!$C$58</f>
        <v>337.97</v>
      </c>
      <c r="AH77" s="75">
        <f>Valores!$C$60</f>
        <v>96.56</v>
      </c>
      <c r="AI77" s="81">
        <f t="shared" si="20"/>
        <v>33001.430000000008</v>
      </c>
      <c r="AJ77" s="77">
        <f>Valores!$C$35</f>
        <v>666.25</v>
      </c>
      <c r="AK77" s="78">
        <f>Valores!$C$8</f>
        <v>0</v>
      </c>
      <c r="AL77" s="78">
        <f>Valores!$C$81</f>
        <v>1500</v>
      </c>
      <c r="AM77" s="80">
        <f>Valores!$C$51</f>
        <v>141.62</v>
      </c>
      <c r="AN77" s="82">
        <f t="shared" si="21"/>
        <v>2166.25</v>
      </c>
      <c r="AO77" s="83">
        <f>AI77*-Valores!$C$65</f>
        <v>-4290.1859000000013</v>
      </c>
      <c r="AP77" s="83">
        <f>AI77*-Valores!$C$66</f>
        <v>-165.00715000000005</v>
      </c>
      <c r="AQ77" s="77">
        <f>AI77*-Valores!$C$67</f>
        <v>-1485.0643500000003</v>
      </c>
      <c r="AR77" s="77">
        <f>AI77*-Valores!$C$68</f>
        <v>-891.03861000000018</v>
      </c>
      <c r="AS77" s="77">
        <f>AI77*-Valores!$C$69</f>
        <v>-99.004290000000026</v>
      </c>
      <c r="AT77" s="81">
        <f t="shared" si="17"/>
        <v>29227.422600000009</v>
      </c>
      <c r="AU77" s="81">
        <f t="shared" si="18"/>
        <v>29722.444050000006</v>
      </c>
      <c r="AV77" s="77">
        <f>AI77*Valores!$C$71</f>
        <v>5280.2288000000017</v>
      </c>
      <c r="AW77" s="77">
        <f>AI77*Valores!$C$72</f>
        <v>1485.0643500000003</v>
      </c>
      <c r="AX77" s="77">
        <f>AI77*Valores!$C$73</f>
        <v>330.01430000000011</v>
      </c>
      <c r="AY77" s="77">
        <f>AI77*Valores!$C$75</f>
        <v>1155.0500500000003</v>
      </c>
      <c r="AZ77" s="77">
        <f>AI77*Valores!$C$76</f>
        <v>198.00858000000005</v>
      </c>
      <c r="BA77" s="77">
        <f t="shared" si="22"/>
        <v>1782.0772200000006</v>
      </c>
      <c r="BB77" s="51"/>
      <c r="BC77" s="51">
        <v>25</v>
      </c>
      <c r="BD77" s="27" t="s">
        <v>4</v>
      </c>
    </row>
    <row r="78" spans="1:56" s="27" customFormat="1" ht="11.25" customHeight="1" x14ac:dyDescent="0.2">
      <c r="A78" s="51">
        <v>77</v>
      </c>
      <c r="B78" s="51"/>
      <c r="C78" s="27" t="s">
        <v>297</v>
      </c>
      <c r="E78" s="27">
        <f t="shared" si="14"/>
        <v>24</v>
      </c>
      <c r="F78" s="71" t="s">
        <v>298</v>
      </c>
      <c r="G78" s="72">
        <v>78</v>
      </c>
      <c r="H78" s="73">
        <f>INT((G78*Valores!$C$2*100)+0.5)/100</f>
        <v>536.5</v>
      </c>
      <c r="I78" s="74">
        <v>2072</v>
      </c>
      <c r="J78" s="75">
        <f>INT((I78*Valores!$C$2*100)+0.5)/100</f>
        <v>14251.63</v>
      </c>
      <c r="K78" s="102">
        <v>0</v>
      </c>
      <c r="L78" s="75">
        <f>INT((K78*Valores!$C$2*100)+0.5)/100</f>
        <v>0</v>
      </c>
      <c r="M78" s="100">
        <v>0</v>
      </c>
      <c r="N78" s="75">
        <f>INT((M78*Valores!$C$2*100)+0.5)/100</f>
        <v>0</v>
      </c>
      <c r="O78" s="75">
        <f t="shared" si="15"/>
        <v>2835.1124999999997</v>
      </c>
      <c r="P78" s="75">
        <f t="shared" si="16"/>
        <v>0</v>
      </c>
      <c r="Q78" s="109">
        <f>Valores!$C$16</f>
        <v>4450.7</v>
      </c>
      <c r="R78" s="109">
        <f>Valores!$D$4</f>
        <v>3076.62</v>
      </c>
      <c r="S78" s="106">
        <f>Valores!$C$26</f>
        <v>3208.72</v>
      </c>
      <c r="T78" s="106">
        <f>Valores!$C$42</f>
        <v>1271.83</v>
      </c>
      <c r="U78" s="78">
        <f>Valores!$C$23</f>
        <v>2840.79</v>
      </c>
      <c r="V78" s="75">
        <f t="shared" si="13"/>
        <v>2840.79</v>
      </c>
      <c r="W78" s="75">
        <v>0</v>
      </c>
      <c r="X78" s="75">
        <v>0</v>
      </c>
      <c r="Y78" s="79">
        <v>0</v>
      </c>
      <c r="Z78" s="75">
        <f>Y78*Valores!$C$2</f>
        <v>0</v>
      </c>
      <c r="AA78" s="75">
        <v>0</v>
      </c>
      <c r="AB78" s="80">
        <f>Valores!$C$29</f>
        <v>166.15</v>
      </c>
      <c r="AC78" s="75">
        <f t="shared" si="19"/>
        <v>0</v>
      </c>
      <c r="AD78" s="75">
        <f>Valores!$C$30</f>
        <v>166.15</v>
      </c>
      <c r="AE78" s="79">
        <v>0</v>
      </c>
      <c r="AF78" s="75">
        <f>INT(((AE78*Valores!$C$2)*100)+0.5)/100</f>
        <v>0</v>
      </c>
      <c r="AG78" s="75">
        <f>Valores!$C$58</f>
        <v>337.97</v>
      </c>
      <c r="AH78" s="75">
        <f>Valores!$C$60</f>
        <v>96.56</v>
      </c>
      <c r="AI78" s="81">
        <f t="shared" si="20"/>
        <v>33238.732500000006</v>
      </c>
      <c r="AJ78" s="77">
        <f>Valores!$C$35</f>
        <v>666.25</v>
      </c>
      <c r="AK78" s="78">
        <f>Valores!$C$8</f>
        <v>0</v>
      </c>
      <c r="AL78" s="78">
        <f>Valores!$C$83</f>
        <v>3000</v>
      </c>
      <c r="AM78" s="80">
        <f>Valores!$C$51</f>
        <v>141.62</v>
      </c>
      <c r="AN78" s="82">
        <f t="shared" si="21"/>
        <v>3666.25</v>
      </c>
      <c r="AO78" s="83">
        <f>AI78*-Valores!$C$65</f>
        <v>-4321.0352250000005</v>
      </c>
      <c r="AP78" s="83">
        <f>AI78*-Valores!$C$66</f>
        <v>-166.19366250000004</v>
      </c>
      <c r="AQ78" s="77">
        <f>AI78*-Valores!$C$67</f>
        <v>-1495.7429625000002</v>
      </c>
      <c r="AR78" s="77">
        <f>AI78*-Valores!$C$68</f>
        <v>-897.44577750000019</v>
      </c>
      <c r="AS78" s="77">
        <f>AI78*-Valores!$C$69</f>
        <v>-99.716197500000021</v>
      </c>
      <c r="AT78" s="81">
        <f t="shared" si="17"/>
        <v>30922.010650000004</v>
      </c>
      <c r="AU78" s="81">
        <f t="shared" si="18"/>
        <v>31420.591637500005</v>
      </c>
      <c r="AV78" s="77">
        <f>AI78*Valores!$C$71</f>
        <v>5318.1972000000014</v>
      </c>
      <c r="AW78" s="77">
        <f>AI78*Valores!$C$72</f>
        <v>1495.7429625000002</v>
      </c>
      <c r="AX78" s="77">
        <f>AI78*Valores!$C$73</f>
        <v>332.38732500000009</v>
      </c>
      <c r="AY78" s="77">
        <f>AI78*Valores!$C$75</f>
        <v>1163.3556375000003</v>
      </c>
      <c r="AZ78" s="77">
        <f>AI78*Valores!$C$76</f>
        <v>199.43239500000004</v>
      </c>
      <c r="BA78" s="77">
        <f t="shared" si="22"/>
        <v>1794.8915550000006</v>
      </c>
      <c r="BB78" s="51"/>
      <c r="BC78" s="51">
        <v>30</v>
      </c>
      <c r="BD78" s="27" t="s">
        <v>4</v>
      </c>
    </row>
    <row r="79" spans="1:56" s="27" customFormat="1" ht="11.25" customHeight="1" x14ac:dyDescent="0.2">
      <c r="A79" s="51">
        <v>78</v>
      </c>
      <c r="B79" s="51"/>
      <c r="C79" s="27" t="s">
        <v>299</v>
      </c>
      <c r="E79" s="27">
        <f t="shared" si="14"/>
        <v>24</v>
      </c>
      <c r="F79" s="71" t="s">
        <v>300</v>
      </c>
      <c r="G79" s="72">
        <v>78</v>
      </c>
      <c r="H79" s="73">
        <f>INT((G79*Valores!$C$2*100)+0.5)/100</f>
        <v>536.5</v>
      </c>
      <c r="I79" s="74">
        <v>1770</v>
      </c>
      <c r="J79" s="75">
        <f>INT((I79*Valores!$C$2*100)+0.5)/100</f>
        <v>12174.41</v>
      </c>
      <c r="K79" s="102">
        <v>0</v>
      </c>
      <c r="L79" s="75">
        <f>INT((K79*Valores!$C$2*100)+0.5)/100</f>
        <v>0</v>
      </c>
      <c r="M79" s="100">
        <v>0</v>
      </c>
      <c r="N79" s="75">
        <f>INT((M79*Valores!$C$2*100)+0.5)/100</f>
        <v>0</v>
      </c>
      <c r="O79" s="75">
        <f t="shared" si="15"/>
        <v>2523.5294999999996</v>
      </c>
      <c r="P79" s="75">
        <f t="shared" si="16"/>
        <v>0</v>
      </c>
      <c r="Q79" s="109">
        <f>Valores!$C$16</f>
        <v>4450.7</v>
      </c>
      <c r="R79" s="109">
        <f>Valores!$D$4</f>
        <v>3076.62</v>
      </c>
      <c r="S79" s="78">
        <f>Valores!$C$26</f>
        <v>3208.72</v>
      </c>
      <c r="T79" s="78">
        <f>Valores!$C$42</f>
        <v>1271.83</v>
      </c>
      <c r="U79" s="78">
        <f>Valores!$C$23</f>
        <v>2840.79</v>
      </c>
      <c r="V79" s="75">
        <f t="shared" si="13"/>
        <v>2840.79</v>
      </c>
      <c r="W79" s="75">
        <v>0</v>
      </c>
      <c r="X79" s="75">
        <v>0</v>
      </c>
      <c r="Y79" s="79">
        <v>0</v>
      </c>
      <c r="Z79" s="75">
        <f>Y79*Valores!$C$2</f>
        <v>0</v>
      </c>
      <c r="AA79" s="75">
        <v>0</v>
      </c>
      <c r="AB79" s="80">
        <f>Valores!$C$29</f>
        <v>166.15</v>
      </c>
      <c r="AC79" s="75">
        <f t="shared" si="19"/>
        <v>0</v>
      </c>
      <c r="AD79" s="75">
        <f>Valores!$C$30</f>
        <v>166.15</v>
      </c>
      <c r="AE79" s="79">
        <v>0</v>
      </c>
      <c r="AF79" s="75">
        <f>INT(((AE79*Valores!$C$2)*100)+0.5)/100</f>
        <v>0</v>
      </c>
      <c r="AG79" s="75">
        <f>Valores!$C$58</f>
        <v>337.97</v>
      </c>
      <c r="AH79" s="75">
        <f>Valores!$C$60</f>
        <v>96.56</v>
      </c>
      <c r="AI79" s="81">
        <f t="shared" si="20"/>
        <v>30849.929500000009</v>
      </c>
      <c r="AJ79" s="77">
        <f>Valores!$C$35</f>
        <v>666.25</v>
      </c>
      <c r="AK79" s="78">
        <f>Valores!$C$8</f>
        <v>0</v>
      </c>
      <c r="AL79" s="78">
        <f>Valores!$C$83</f>
        <v>3000</v>
      </c>
      <c r="AM79" s="80">
        <f>Valores!$C$51</f>
        <v>141.62</v>
      </c>
      <c r="AN79" s="82">
        <f t="shared" si="21"/>
        <v>3666.25</v>
      </c>
      <c r="AO79" s="83">
        <f>AI79*-Valores!$C$65</f>
        <v>-4010.4908350000014</v>
      </c>
      <c r="AP79" s="83">
        <f>AI79*-Valores!$C$66</f>
        <v>-154.24964750000004</v>
      </c>
      <c r="AQ79" s="77">
        <f>AI79*-Valores!$C$67</f>
        <v>-1388.2468275000003</v>
      </c>
      <c r="AR79" s="77">
        <f>AI79*-Valores!$C$68</f>
        <v>-832.94809650000025</v>
      </c>
      <c r="AS79" s="77">
        <f>AI79*-Valores!$C$69</f>
        <v>-92.549788500000034</v>
      </c>
      <c r="AT79" s="81">
        <f t="shared" si="17"/>
        <v>28963.192190000012</v>
      </c>
      <c r="AU79" s="81">
        <f t="shared" si="18"/>
        <v>29425.941132500007</v>
      </c>
      <c r="AV79" s="77">
        <f>AI79*Valores!$C$71</f>
        <v>4935.9887200000012</v>
      </c>
      <c r="AW79" s="77">
        <f>AI79*Valores!$C$72</f>
        <v>1388.2468275000003</v>
      </c>
      <c r="AX79" s="77">
        <f>AI79*Valores!$C$73</f>
        <v>308.49929500000007</v>
      </c>
      <c r="AY79" s="77">
        <f>AI79*Valores!$C$75</f>
        <v>1079.7475325000005</v>
      </c>
      <c r="AZ79" s="77">
        <f>AI79*Valores!$C$76</f>
        <v>185.09957700000007</v>
      </c>
      <c r="BA79" s="77">
        <f t="shared" si="22"/>
        <v>1665.8961930000005</v>
      </c>
      <c r="BB79" s="51"/>
      <c r="BC79" s="51"/>
      <c r="BD79" s="27" t="s">
        <v>4</v>
      </c>
    </row>
    <row r="80" spans="1:56" s="27" customFormat="1" ht="11.25" customHeight="1" x14ac:dyDescent="0.2">
      <c r="A80" s="51">
        <v>79</v>
      </c>
      <c r="B80" s="51"/>
      <c r="C80" s="27" t="s">
        <v>301</v>
      </c>
      <c r="E80" s="27">
        <f t="shared" si="14"/>
        <v>27</v>
      </c>
      <c r="F80" s="71" t="s">
        <v>302</v>
      </c>
      <c r="G80" s="72">
        <v>77</v>
      </c>
      <c r="H80" s="73">
        <f>INT((G80*Valores!$C$2*100)+0.5)/100</f>
        <v>529.62</v>
      </c>
      <c r="I80" s="74">
        <v>2073</v>
      </c>
      <c r="J80" s="75">
        <f>INT((I80*Valores!$C$2*100)+0.5)/100</f>
        <v>14258.51</v>
      </c>
      <c r="K80" s="102">
        <v>0</v>
      </c>
      <c r="L80" s="75">
        <f>INT((K80*Valores!$C$2*100)+0.5)/100</f>
        <v>0</v>
      </c>
      <c r="M80" s="100">
        <v>0</v>
      </c>
      <c r="N80" s="75">
        <f>INT((M80*Valores!$C$2*100)+0.5)/100</f>
        <v>0</v>
      </c>
      <c r="O80" s="75">
        <f t="shared" si="15"/>
        <v>2835.1124999999997</v>
      </c>
      <c r="P80" s="75">
        <f t="shared" si="16"/>
        <v>0</v>
      </c>
      <c r="Q80" s="109">
        <f>Valores!$C$16</f>
        <v>4450.7</v>
      </c>
      <c r="R80" s="109">
        <f>Valores!$D$4</f>
        <v>3076.62</v>
      </c>
      <c r="S80" s="106">
        <f>Valores!$C$26</f>
        <v>3208.72</v>
      </c>
      <c r="T80" s="106">
        <f>Valores!$C$42</f>
        <v>1271.83</v>
      </c>
      <c r="U80" s="78">
        <f>Valores!$C$23</f>
        <v>2840.79</v>
      </c>
      <c r="V80" s="75">
        <f t="shared" si="13"/>
        <v>2840.79</v>
      </c>
      <c r="W80" s="75">
        <v>0</v>
      </c>
      <c r="X80" s="75">
        <v>0</v>
      </c>
      <c r="Y80" s="79">
        <v>0</v>
      </c>
      <c r="Z80" s="75">
        <f>Y80*Valores!$C$2</f>
        <v>0</v>
      </c>
      <c r="AA80" s="75">
        <v>0</v>
      </c>
      <c r="AB80" s="80">
        <f>Valores!$C$29</f>
        <v>166.15</v>
      </c>
      <c r="AC80" s="75">
        <f t="shared" si="19"/>
        <v>0</v>
      </c>
      <c r="AD80" s="75">
        <f>Valores!$C$30</f>
        <v>166.15</v>
      </c>
      <c r="AE80" s="79">
        <v>0</v>
      </c>
      <c r="AF80" s="75">
        <f>INT(((AE80*Valores!$C$2)*100)+0.5)/100</f>
        <v>0</v>
      </c>
      <c r="AG80" s="75">
        <f>Valores!$C$58</f>
        <v>337.97</v>
      </c>
      <c r="AH80" s="75">
        <f>Valores!$C$60</f>
        <v>96.56</v>
      </c>
      <c r="AI80" s="81">
        <f t="shared" si="20"/>
        <v>33238.732500000006</v>
      </c>
      <c r="AJ80" s="77">
        <f>Valores!$C$35</f>
        <v>666.25</v>
      </c>
      <c r="AK80" s="78">
        <f>Valores!$C$8</f>
        <v>0</v>
      </c>
      <c r="AL80" s="78">
        <f>Valores!$C$81</f>
        <v>1500</v>
      </c>
      <c r="AM80" s="80">
        <f>Valores!$C$51</f>
        <v>141.62</v>
      </c>
      <c r="AN80" s="82">
        <f t="shared" si="21"/>
        <v>2166.25</v>
      </c>
      <c r="AO80" s="83">
        <f>AI80*-Valores!$C$65</f>
        <v>-4321.0352250000005</v>
      </c>
      <c r="AP80" s="83">
        <f>AI80*-Valores!$C$66</f>
        <v>-166.19366250000004</v>
      </c>
      <c r="AQ80" s="77">
        <f>AI80*-Valores!$C$67</f>
        <v>-1495.7429625000002</v>
      </c>
      <c r="AR80" s="77">
        <f>AI80*-Valores!$C$68</f>
        <v>-897.44577750000019</v>
      </c>
      <c r="AS80" s="77">
        <f>AI80*-Valores!$C$69</f>
        <v>-99.716197500000021</v>
      </c>
      <c r="AT80" s="81">
        <f t="shared" si="17"/>
        <v>29422.010650000004</v>
      </c>
      <c r="AU80" s="81">
        <f t="shared" si="18"/>
        <v>29920.591637500005</v>
      </c>
      <c r="AV80" s="77">
        <f>AI80*Valores!$C$71</f>
        <v>5318.1972000000014</v>
      </c>
      <c r="AW80" s="77">
        <f>AI80*Valores!$C$72</f>
        <v>1495.7429625000002</v>
      </c>
      <c r="AX80" s="77">
        <f>AI80*Valores!$C$73</f>
        <v>332.38732500000009</v>
      </c>
      <c r="AY80" s="77">
        <f>AI80*Valores!$C$75</f>
        <v>1163.3556375000003</v>
      </c>
      <c r="AZ80" s="77">
        <f>AI80*Valores!$C$76</f>
        <v>199.43239500000004</v>
      </c>
      <c r="BA80" s="77">
        <f t="shared" si="22"/>
        <v>1794.8915550000006</v>
      </c>
      <c r="BB80" s="51"/>
      <c r="BC80" s="51">
        <v>25</v>
      </c>
      <c r="BD80" s="27" t="s">
        <v>8</v>
      </c>
    </row>
    <row r="81" spans="1:56" s="27" customFormat="1" ht="11.25" customHeight="1" x14ac:dyDescent="0.2">
      <c r="A81" s="85">
        <v>80</v>
      </c>
      <c r="B81" s="85" t="s">
        <v>163</v>
      </c>
      <c r="C81" s="86" t="s">
        <v>303</v>
      </c>
      <c r="D81" s="86"/>
      <c r="E81" s="86">
        <f t="shared" si="14"/>
        <v>27</v>
      </c>
      <c r="F81" s="87" t="s">
        <v>304</v>
      </c>
      <c r="G81" s="88">
        <v>76</v>
      </c>
      <c r="H81" s="89">
        <f>INT((G81*Valores!$C$2*100)+0.5)/100</f>
        <v>522.74</v>
      </c>
      <c r="I81" s="90">
        <v>1872</v>
      </c>
      <c r="J81" s="91">
        <f>INT((I81*Valores!$C$2*100)+0.5)/100</f>
        <v>12875.99</v>
      </c>
      <c r="K81" s="104">
        <v>0</v>
      </c>
      <c r="L81" s="91">
        <f>INT((K81*Valores!$C$2*100)+0.5)/100</f>
        <v>0</v>
      </c>
      <c r="M81" s="105">
        <v>0</v>
      </c>
      <c r="N81" s="91">
        <f>INT((M81*Valores!$C$2*100)+0.5)/100</f>
        <v>0</v>
      </c>
      <c r="O81" s="91">
        <f t="shared" si="15"/>
        <v>2626.7024999999999</v>
      </c>
      <c r="P81" s="91">
        <f t="shared" si="16"/>
        <v>0</v>
      </c>
      <c r="Q81" s="110">
        <f>Valores!$C$16</f>
        <v>4450.7</v>
      </c>
      <c r="R81" s="110">
        <f>Valores!$D$4</f>
        <v>3076.62</v>
      </c>
      <c r="S81" s="94">
        <v>0</v>
      </c>
      <c r="T81" s="94">
        <f>Valores!$C$42</f>
        <v>1271.83</v>
      </c>
      <c r="U81" s="94">
        <f>Valores!$C$23</f>
        <v>2840.79</v>
      </c>
      <c r="V81" s="91">
        <f t="shared" si="13"/>
        <v>2840.79</v>
      </c>
      <c r="W81" s="91">
        <v>0</v>
      </c>
      <c r="X81" s="91">
        <v>0</v>
      </c>
      <c r="Y81" s="95">
        <v>0</v>
      </c>
      <c r="Z81" s="91">
        <f>Y81*Valores!$C$2</f>
        <v>0</v>
      </c>
      <c r="AA81" s="91">
        <v>0</v>
      </c>
      <c r="AB81" s="96">
        <f>Valores!$C$29</f>
        <v>166.15</v>
      </c>
      <c r="AC81" s="91">
        <f t="shared" si="19"/>
        <v>0</v>
      </c>
      <c r="AD81" s="91">
        <f>Valores!$C$30</f>
        <v>166.15</v>
      </c>
      <c r="AE81" s="95">
        <v>0</v>
      </c>
      <c r="AF81" s="91">
        <f>INT(((AE81*Valores!$C$2)*100)+0.5)/100</f>
        <v>0</v>
      </c>
      <c r="AG81" s="91">
        <f>Valores!$C$58</f>
        <v>337.97</v>
      </c>
      <c r="AH81" s="91">
        <f>Valores!$C$60</f>
        <v>96.56</v>
      </c>
      <c r="AI81" s="97">
        <f t="shared" si="20"/>
        <v>28432.202500000003</v>
      </c>
      <c r="AJ81" s="93">
        <f>Valores!$C$35</f>
        <v>666.25</v>
      </c>
      <c r="AK81" s="94">
        <f>Valores!$C$8</f>
        <v>0</v>
      </c>
      <c r="AL81" s="94">
        <f>Valores!$C$81</f>
        <v>1500</v>
      </c>
      <c r="AM81" s="96">
        <f>Valores!$C$51</f>
        <v>141.62</v>
      </c>
      <c r="AN81" s="98">
        <f t="shared" si="21"/>
        <v>2166.25</v>
      </c>
      <c r="AO81" s="99">
        <f>AI81*-Valores!$C$65</f>
        <v>-3696.1863250000006</v>
      </c>
      <c r="AP81" s="99">
        <f>AI81*-Valores!$C$66</f>
        <v>-142.16101250000003</v>
      </c>
      <c r="AQ81" s="93">
        <f>AI81*-Valores!$C$67</f>
        <v>-1279.4491125000002</v>
      </c>
      <c r="AR81" s="93">
        <f>AI81*-Valores!$C$68</f>
        <v>-767.66946750000011</v>
      </c>
      <c r="AS81" s="93">
        <f>AI81*-Valores!$C$69</f>
        <v>-85.296607500000007</v>
      </c>
      <c r="AT81" s="97">
        <f t="shared" si="17"/>
        <v>25480.656050000005</v>
      </c>
      <c r="AU81" s="97">
        <f t="shared" si="18"/>
        <v>25907.1390875</v>
      </c>
      <c r="AV81" s="93">
        <f>AI81*Valores!$C$71</f>
        <v>4549.1524000000009</v>
      </c>
      <c r="AW81" s="93">
        <f>AI81*Valores!$C$72</f>
        <v>1279.4491125000002</v>
      </c>
      <c r="AX81" s="93">
        <f>AI81*Valores!$C$73</f>
        <v>284.32202500000005</v>
      </c>
      <c r="AY81" s="93">
        <f>AI81*Valores!$C$75</f>
        <v>995.12708750000024</v>
      </c>
      <c r="AZ81" s="93">
        <f>AI81*Valores!$C$76</f>
        <v>170.59321500000001</v>
      </c>
      <c r="BA81" s="93">
        <f t="shared" si="22"/>
        <v>1535.3389350000004</v>
      </c>
      <c r="BB81" s="85"/>
      <c r="BC81" s="85">
        <v>30</v>
      </c>
      <c r="BD81" s="86" t="s">
        <v>8</v>
      </c>
    </row>
    <row r="82" spans="1:56" s="27" customFormat="1" ht="11.25" customHeight="1" x14ac:dyDescent="0.2">
      <c r="A82" s="51">
        <v>81</v>
      </c>
      <c r="B82" s="51"/>
      <c r="C82" s="27" t="s">
        <v>305</v>
      </c>
      <c r="E82" s="27">
        <f t="shared" si="14"/>
        <v>30</v>
      </c>
      <c r="F82" s="71" t="s">
        <v>306</v>
      </c>
      <c r="G82" s="72">
        <v>75</v>
      </c>
      <c r="H82" s="73">
        <f>INT((G82*Valores!$C$2*100)+0.5)/100</f>
        <v>515.87</v>
      </c>
      <c r="I82" s="74">
        <v>1873</v>
      </c>
      <c r="J82" s="75">
        <f>INT((I82*Valores!$C$2*100)+0.5)/100</f>
        <v>12882.87</v>
      </c>
      <c r="K82" s="102">
        <v>0</v>
      </c>
      <c r="L82" s="75">
        <f>INT((K82*Valores!$C$2*100)+0.5)/100</f>
        <v>0</v>
      </c>
      <c r="M82" s="100">
        <v>0</v>
      </c>
      <c r="N82" s="75">
        <f>INT((M82*Valores!$C$2*100)+0.5)/100</f>
        <v>0</v>
      </c>
      <c r="O82" s="75">
        <f t="shared" si="15"/>
        <v>2626.7040000000002</v>
      </c>
      <c r="P82" s="75">
        <f t="shared" si="16"/>
        <v>0</v>
      </c>
      <c r="Q82" s="109">
        <f>Valores!$C$16</f>
        <v>4450.7</v>
      </c>
      <c r="R82" s="109">
        <f>Valores!$D$4</f>
        <v>3076.62</v>
      </c>
      <c r="S82" s="106">
        <f>Valores!$C$26</f>
        <v>3208.72</v>
      </c>
      <c r="T82" s="106">
        <f>Valores!$C$42</f>
        <v>1271.83</v>
      </c>
      <c r="U82" s="78">
        <f>Valores!$C$23</f>
        <v>2840.79</v>
      </c>
      <c r="V82" s="75">
        <f t="shared" si="13"/>
        <v>2840.79</v>
      </c>
      <c r="W82" s="75">
        <v>0</v>
      </c>
      <c r="X82" s="75">
        <v>0</v>
      </c>
      <c r="Y82" s="79">
        <v>0</v>
      </c>
      <c r="Z82" s="75">
        <f>Y82*Valores!$C$2</f>
        <v>0</v>
      </c>
      <c r="AA82" s="75">
        <v>0</v>
      </c>
      <c r="AB82" s="80">
        <f>Valores!$C$29</f>
        <v>166.15</v>
      </c>
      <c r="AC82" s="75">
        <f t="shared" si="19"/>
        <v>0</v>
      </c>
      <c r="AD82" s="75">
        <f>Valores!$C$30</f>
        <v>166.15</v>
      </c>
      <c r="AE82" s="79">
        <v>0</v>
      </c>
      <c r="AF82" s="75">
        <f>INT(((AE82*Valores!$C$2)*100)+0.5)/100</f>
        <v>0</v>
      </c>
      <c r="AG82" s="75">
        <f>Valores!$C$58</f>
        <v>337.97</v>
      </c>
      <c r="AH82" s="75">
        <f>Valores!$C$60</f>
        <v>96.56</v>
      </c>
      <c r="AI82" s="81">
        <f t="shared" si="20"/>
        <v>31640.934000000005</v>
      </c>
      <c r="AJ82" s="77">
        <f>Valores!$C$35</f>
        <v>666.25</v>
      </c>
      <c r="AK82" s="78">
        <f>Valores!$C$8</f>
        <v>0</v>
      </c>
      <c r="AL82" s="78">
        <f>Valores!$C$82</f>
        <v>1800</v>
      </c>
      <c r="AM82" s="80">
        <f>Valores!$C$51</f>
        <v>141.62</v>
      </c>
      <c r="AN82" s="82">
        <f t="shared" si="21"/>
        <v>2466.25</v>
      </c>
      <c r="AO82" s="83">
        <f>AI82*-Valores!$C$65</f>
        <v>-4113.3214200000011</v>
      </c>
      <c r="AP82" s="83">
        <f>AI82*-Valores!$C$66</f>
        <v>-158.20467000000002</v>
      </c>
      <c r="AQ82" s="77">
        <f>AI82*-Valores!$C$67</f>
        <v>-1423.8420300000002</v>
      </c>
      <c r="AR82" s="77">
        <f>AI82*-Valores!$C$68</f>
        <v>-854.30521800000008</v>
      </c>
      <c r="AS82" s="77">
        <f>AI82*-Valores!$C$69</f>
        <v>-94.922802000000019</v>
      </c>
      <c r="AT82" s="81">
        <f t="shared" si="17"/>
        <v>28411.815880000009</v>
      </c>
      <c r="AU82" s="81">
        <f t="shared" si="18"/>
        <v>28886.429890000007</v>
      </c>
      <c r="AV82" s="77">
        <f>AI82*Valores!$C$71</f>
        <v>5062.5494400000007</v>
      </c>
      <c r="AW82" s="77">
        <f>AI82*Valores!$C$72</f>
        <v>1423.8420300000002</v>
      </c>
      <c r="AX82" s="77">
        <f>AI82*Valores!$C$73</f>
        <v>316.40934000000004</v>
      </c>
      <c r="AY82" s="77">
        <f>AI82*Valores!$C$75</f>
        <v>1107.4326900000003</v>
      </c>
      <c r="AZ82" s="77">
        <f>AI82*Valores!$C$76</f>
        <v>189.84560400000004</v>
      </c>
      <c r="BA82" s="77">
        <f t="shared" si="22"/>
        <v>1708.6104360000004</v>
      </c>
      <c r="BB82" s="51"/>
      <c r="BC82" s="51">
        <v>25</v>
      </c>
      <c r="BD82" s="27" t="s">
        <v>4</v>
      </c>
    </row>
    <row r="83" spans="1:56" s="27" customFormat="1" ht="11.25" customHeight="1" x14ac:dyDescent="0.2">
      <c r="A83" s="51">
        <v>82</v>
      </c>
      <c r="B83" s="51"/>
      <c r="C83" s="27" t="s">
        <v>307</v>
      </c>
      <c r="E83" s="27">
        <f t="shared" si="14"/>
        <v>27</v>
      </c>
      <c r="F83" s="71" t="s">
        <v>308</v>
      </c>
      <c r="G83" s="72">
        <v>76</v>
      </c>
      <c r="H83" s="73">
        <f>INT((G83*Valores!$C$2*100)+0.5)/100</f>
        <v>522.74</v>
      </c>
      <c r="I83" s="74">
        <v>1752</v>
      </c>
      <c r="J83" s="75">
        <f>INT((I83*Valores!$C$2*100)+0.5)/100</f>
        <v>12050.61</v>
      </c>
      <c r="K83" s="102">
        <v>0</v>
      </c>
      <c r="L83" s="75">
        <f>INT((K83*Valores!$C$2*100)+0.5)/100</f>
        <v>0</v>
      </c>
      <c r="M83" s="100">
        <v>0</v>
      </c>
      <c r="N83" s="75">
        <f>INT((M83*Valores!$C$2*100)+0.5)/100</f>
        <v>0</v>
      </c>
      <c r="O83" s="75">
        <f t="shared" si="15"/>
        <v>2502.8955000000001</v>
      </c>
      <c r="P83" s="75">
        <f t="shared" si="16"/>
        <v>0</v>
      </c>
      <c r="Q83" s="109">
        <f>Valores!$C$15</f>
        <v>4424.9399999999996</v>
      </c>
      <c r="R83" s="109">
        <f>Valores!$D$4</f>
        <v>3076.62</v>
      </c>
      <c r="S83" s="106">
        <f>Valores!$C$26</f>
        <v>3208.72</v>
      </c>
      <c r="T83" s="106">
        <f>Valores!$C$42</f>
        <v>1271.83</v>
      </c>
      <c r="U83" s="78">
        <f>Valores!$C$23</f>
        <v>2840.79</v>
      </c>
      <c r="V83" s="75">
        <f t="shared" si="13"/>
        <v>2840.79</v>
      </c>
      <c r="W83" s="75">
        <v>0</v>
      </c>
      <c r="X83" s="75">
        <v>0</v>
      </c>
      <c r="Y83" s="79">
        <v>0</v>
      </c>
      <c r="Z83" s="75">
        <f>Y83*Valores!$C$2</f>
        <v>0</v>
      </c>
      <c r="AA83" s="75">
        <v>0</v>
      </c>
      <c r="AB83" s="80">
        <f>Valores!$C$29</f>
        <v>166.15</v>
      </c>
      <c r="AC83" s="75">
        <f t="shared" si="19"/>
        <v>0</v>
      </c>
      <c r="AD83" s="75">
        <f>Valores!$C$30</f>
        <v>166.15</v>
      </c>
      <c r="AE83" s="79">
        <v>0</v>
      </c>
      <c r="AF83" s="75">
        <f>INT(((AE83*Valores!$C$2)*100)+0.5)/100</f>
        <v>0</v>
      </c>
      <c r="AG83" s="75">
        <f>Valores!$C$58</f>
        <v>337.97</v>
      </c>
      <c r="AH83" s="75">
        <f>Valores!$C$60</f>
        <v>96.56</v>
      </c>
      <c r="AI83" s="81">
        <f t="shared" si="20"/>
        <v>30665.975500000004</v>
      </c>
      <c r="AJ83" s="77">
        <f>Valores!$C$35</f>
        <v>666.25</v>
      </c>
      <c r="AK83" s="78">
        <f>Valores!$C$8</f>
        <v>0</v>
      </c>
      <c r="AL83" s="78">
        <f>Valores!$C$81</f>
        <v>1500</v>
      </c>
      <c r="AM83" s="80">
        <f>Valores!$C$51</f>
        <v>141.62</v>
      </c>
      <c r="AN83" s="82">
        <f t="shared" si="21"/>
        <v>2166.25</v>
      </c>
      <c r="AO83" s="83">
        <f>AI83*-Valores!$C$65</f>
        <v>-3986.5768150000008</v>
      </c>
      <c r="AP83" s="83">
        <f>AI83*-Valores!$C$66</f>
        <v>-153.32987750000004</v>
      </c>
      <c r="AQ83" s="77">
        <f>AI83*-Valores!$C$67</f>
        <v>-1379.9688975000001</v>
      </c>
      <c r="AR83" s="77">
        <f>AI83*-Valores!$C$68</f>
        <v>-827.98133850000011</v>
      </c>
      <c r="AS83" s="77">
        <f>AI83*-Valores!$C$69</f>
        <v>-91.99792650000002</v>
      </c>
      <c r="AT83" s="81">
        <f t="shared" si="17"/>
        <v>27312.349910000001</v>
      </c>
      <c r="AU83" s="81">
        <f t="shared" si="18"/>
        <v>27772.339542499998</v>
      </c>
      <c r="AV83" s="77">
        <f>AI83*Valores!$C$71</f>
        <v>4906.5560800000012</v>
      </c>
      <c r="AW83" s="77">
        <f>AI83*Valores!$C$72</f>
        <v>1379.9688975000001</v>
      </c>
      <c r="AX83" s="77">
        <f>AI83*Valores!$C$73</f>
        <v>306.65975500000008</v>
      </c>
      <c r="AY83" s="77">
        <f>AI83*Valores!$C$75</f>
        <v>1073.3091425000002</v>
      </c>
      <c r="AZ83" s="77">
        <f>AI83*Valores!$C$76</f>
        <v>183.99585300000004</v>
      </c>
      <c r="BA83" s="77">
        <f t="shared" si="22"/>
        <v>1655.9626770000002</v>
      </c>
      <c r="BB83" s="51"/>
      <c r="BC83" s="51">
        <v>25</v>
      </c>
      <c r="BD83" s="27" t="s">
        <v>8</v>
      </c>
    </row>
    <row r="84" spans="1:56" s="27" customFormat="1" ht="11.25" customHeight="1" x14ac:dyDescent="0.2">
      <c r="A84" s="51">
        <v>83</v>
      </c>
      <c r="B84" s="51"/>
      <c r="C84" s="27" t="s">
        <v>309</v>
      </c>
      <c r="E84" s="27">
        <f t="shared" si="14"/>
        <v>31</v>
      </c>
      <c r="F84" s="71" t="s">
        <v>310</v>
      </c>
      <c r="G84" s="72">
        <v>78</v>
      </c>
      <c r="H84" s="73">
        <f>INT((G84*Valores!$C$2*100)+0.5)/100</f>
        <v>536.5</v>
      </c>
      <c r="I84" s="74">
        <v>1770</v>
      </c>
      <c r="J84" s="75">
        <f>INT((I84*Valores!$C$2*100)+0.5)/100</f>
        <v>12174.41</v>
      </c>
      <c r="K84" s="102">
        <v>0</v>
      </c>
      <c r="L84" s="75">
        <f>INT((K84*Valores!$C$2*100)+0.5)/100</f>
        <v>0</v>
      </c>
      <c r="M84" s="100">
        <v>0</v>
      </c>
      <c r="N84" s="75">
        <f>INT((M84*Valores!$C$2*100)+0.5)/100</f>
        <v>0</v>
      </c>
      <c r="O84" s="75">
        <f t="shared" si="15"/>
        <v>2499.681</v>
      </c>
      <c r="P84" s="75">
        <f t="shared" si="16"/>
        <v>0</v>
      </c>
      <c r="Q84" s="109">
        <f>Valores!$C$16</f>
        <v>4450.7</v>
      </c>
      <c r="R84" s="109">
        <f>Valores!$D$4</f>
        <v>3076.62</v>
      </c>
      <c r="S84" s="111">
        <f>Valores!$C$26</f>
        <v>3208.72</v>
      </c>
      <c r="T84" s="78">
        <f>Valores!$C$41</f>
        <v>1112.8399999999999</v>
      </c>
      <c r="U84" s="106">
        <f>Valores!$C$23</f>
        <v>2840.79</v>
      </c>
      <c r="V84" s="75">
        <f t="shared" si="13"/>
        <v>2840.79</v>
      </c>
      <c r="W84" s="75">
        <v>0</v>
      </c>
      <c r="X84" s="75">
        <v>0</v>
      </c>
      <c r="Y84" s="79">
        <v>0</v>
      </c>
      <c r="Z84" s="75">
        <f>Y84*Valores!$C$2</f>
        <v>0</v>
      </c>
      <c r="AA84" s="75">
        <v>0</v>
      </c>
      <c r="AB84" s="80">
        <f>Valores!$C$29</f>
        <v>166.15</v>
      </c>
      <c r="AC84" s="75">
        <f t="shared" si="19"/>
        <v>0</v>
      </c>
      <c r="AD84" s="75">
        <f>Valores!$C$30</f>
        <v>166.15</v>
      </c>
      <c r="AE84" s="79">
        <v>0</v>
      </c>
      <c r="AF84" s="75">
        <f>INT(((AE84*Valores!$C$2)*100)+0.5)/100</f>
        <v>0</v>
      </c>
      <c r="AG84" s="75">
        <f>Valores!$C$58</f>
        <v>337.97</v>
      </c>
      <c r="AH84" s="75">
        <f>Valores!$C$60</f>
        <v>96.56</v>
      </c>
      <c r="AI84" s="81">
        <f t="shared" si="20"/>
        <v>30667.091000000008</v>
      </c>
      <c r="AJ84" s="77">
        <f>Valores!$C$35</f>
        <v>666.25</v>
      </c>
      <c r="AK84" s="78">
        <f>Valores!$C$7</f>
        <v>0</v>
      </c>
      <c r="AL84" s="78">
        <f>Valores!$C$81</f>
        <v>1500</v>
      </c>
      <c r="AM84" s="80">
        <f>Valores!$C$51</f>
        <v>141.62</v>
      </c>
      <c r="AN84" s="82">
        <f t="shared" si="21"/>
        <v>2166.25</v>
      </c>
      <c r="AO84" s="83">
        <f>AI84*-Valores!$C$65</f>
        <v>-3986.7218300000013</v>
      </c>
      <c r="AP84" s="83">
        <f>AI84*-Valores!$C$66</f>
        <v>-153.33545500000005</v>
      </c>
      <c r="AQ84" s="77">
        <f>AI84*-Valores!$C$67</f>
        <v>-1380.0190950000003</v>
      </c>
      <c r="AR84" s="77">
        <f>AI84*-Valores!$C$68</f>
        <v>-828.01145700000018</v>
      </c>
      <c r="AS84" s="77">
        <f>AI84*-Valores!$C$69</f>
        <v>-92.001273000000026</v>
      </c>
      <c r="AT84" s="81">
        <f t="shared" si="17"/>
        <v>27313.264620000005</v>
      </c>
      <c r="AU84" s="81">
        <f t="shared" si="18"/>
        <v>27773.270985000003</v>
      </c>
      <c r="AV84" s="77">
        <f>AI84*Valores!$C$71</f>
        <v>4906.7345600000017</v>
      </c>
      <c r="AW84" s="77">
        <f>AI84*Valores!$C$72</f>
        <v>1380.0190950000003</v>
      </c>
      <c r="AX84" s="77">
        <f>AI84*Valores!$C$73</f>
        <v>306.67091000000011</v>
      </c>
      <c r="AY84" s="77">
        <f>AI84*Valores!$C$75</f>
        <v>1073.3481850000003</v>
      </c>
      <c r="AZ84" s="77">
        <f>AI84*Valores!$C$76</f>
        <v>184.00254600000005</v>
      </c>
      <c r="BA84" s="77">
        <f t="shared" si="22"/>
        <v>1656.0229140000004</v>
      </c>
      <c r="BB84" s="51"/>
      <c r="BC84" s="51">
        <v>27</v>
      </c>
      <c r="BD84" s="27" t="s">
        <v>4</v>
      </c>
    </row>
    <row r="85" spans="1:56" s="27" customFormat="1" ht="11.25" customHeight="1" x14ac:dyDescent="0.2">
      <c r="A85" s="51">
        <v>84</v>
      </c>
      <c r="B85" s="51"/>
      <c r="C85" s="27" t="s">
        <v>311</v>
      </c>
      <c r="E85" s="27">
        <f t="shared" si="14"/>
        <v>28</v>
      </c>
      <c r="F85" s="71" t="s">
        <v>312</v>
      </c>
      <c r="G85" s="72">
        <v>76</v>
      </c>
      <c r="H85" s="73">
        <f>INT((G85*Valores!$C$2*100)+0.5)/100</f>
        <v>522.74</v>
      </c>
      <c r="I85" s="74">
        <v>1872</v>
      </c>
      <c r="J85" s="75">
        <f>INT((I85*Valores!$C$2*100)+0.5)/100</f>
        <v>12875.99</v>
      </c>
      <c r="K85" s="102">
        <v>0</v>
      </c>
      <c r="L85" s="75">
        <f>INT((K85*Valores!$C$2*100)+0.5)/100</f>
        <v>0</v>
      </c>
      <c r="M85" s="100">
        <v>0</v>
      </c>
      <c r="N85" s="75">
        <f>INT((M85*Valores!$C$2*100)+0.5)/100</f>
        <v>0</v>
      </c>
      <c r="O85" s="75">
        <f t="shared" si="15"/>
        <v>2602.8539999999998</v>
      </c>
      <c r="P85" s="75">
        <f t="shared" si="16"/>
        <v>0</v>
      </c>
      <c r="Q85" s="109">
        <f>Valores!$C$16</f>
        <v>4450.7</v>
      </c>
      <c r="R85" s="109">
        <f>Valores!$D$4</f>
        <v>3076.62</v>
      </c>
      <c r="S85" s="78">
        <v>0</v>
      </c>
      <c r="T85" s="78">
        <f>Valores!$C$41</f>
        <v>1112.8399999999999</v>
      </c>
      <c r="U85" s="106">
        <f>Valores!$C$23</f>
        <v>2840.79</v>
      </c>
      <c r="V85" s="75">
        <f t="shared" si="13"/>
        <v>2840.79</v>
      </c>
      <c r="W85" s="75">
        <v>0</v>
      </c>
      <c r="X85" s="75">
        <v>0</v>
      </c>
      <c r="Y85" s="79">
        <v>0</v>
      </c>
      <c r="Z85" s="75">
        <f>Y85*Valores!$C$2</f>
        <v>0</v>
      </c>
      <c r="AA85" s="75">
        <v>0</v>
      </c>
      <c r="AB85" s="80">
        <f>Valores!$C$29</f>
        <v>166.15</v>
      </c>
      <c r="AC85" s="75">
        <f t="shared" si="19"/>
        <v>0</v>
      </c>
      <c r="AD85" s="75">
        <f>Valores!$C$30</f>
        <v>166.15</v>
      </c>
      <c r="AE85" s="79">
        <v>0</v>
      </c>
      <c r="AF85" s="75">
        <f>INT(((AE85*Valores!$C$2)*100)+0.5)/100</f>
        <v>0</v>
      </c>
      <c r="AG85" s="75">
        <f>Valores!$C$58</f>
        <v>337.97</v>
      </c>
      <c r="AH85" s="75">
        <f>Valores!$C$60</f>
        <v>96.56</v>
      </c>
      <c r="AI85" s="81">
        <f t="shared" si="20"/>
        <v>28249.364000000005</v>
      </c>
      <c r="AJ85" s="77">
        <f>Valores!$C$35</f>
        <v>666.25</v>
      </c>
      <c r="AK85" s="78">
        <f>Valores!$C$7</f>
        <v>0</v>
      </c>
      <c r="AL85" s="78">
        <f>Valores!$C$81</f>
        <v>1500</v>
      </c>
      <c r="AM85" s="80">
        <f>Valores!$C$51</f>
        <v>141.62</v>
      </c>
      <c r="AN85" s="82">
        <f t="shared" si="21"/>
        <v>2166.25</v>
      </c>
      <c r="AO85" s="83">
        <f>AI85*-Valores!$C$65</f>
        <v>-3672.4173200000009</v>
      </c>
      <c r="AP85" s="83">
        <f>AI85*-Valores!$C$66</f>
        <v>-141.24682000000004</v>
      </c>
      <c r="AQ85" s="77">
        <f>AI85*-Valores!$C$67</f>
        <v>-1271.2213800000002</v>
      </c>
      <c r="AR85" s="77">
        <f>AI85*-Valores!$C$68</f>
        <v>-762.73282800000015</v>
      </c>
      <c r="AS85" s="77">
        <f>AI85*-Valores!$C$69</f>
        <v>-84.748092000000014</v>
      </c>
      <c r="AT85" s="81">
        <f t="shared" si="17"/>
        <v>25330.728480000005</v>
      </c>
      <c r="AU85" s="81">
        <f t="shared" si="18"/>
        <v>25754.468940000002</v>
      </c>
      <c r="AV85" s="77">
        <f>AI85*Valores!$C$71</f>
        <v>4519.8982400000014</v>
      </c>
      <c r="AW85" s="77">
        <f>AI85*Valores!$C$72</f>
        <v>1271.2213800000002</v>
      </c>
      <c r="AX85" s="77">
        <f>AI85*Valores!$C$73</f>
        <v>282.49364000000008</v>
      </c>
      <c r="AY85" s="77">
        <f>AI85*Valores!$C$75</f>
        <v>988.72774000000027</v>
      </c>
      <c r="AZ85" s="77">
        <f>AI85*Valores!$C$76</f>
        <v>169.49618400000003</v>
      </c>
      <c r="BA85" s="77">
        <f t="shared" si="22"/>
        <v>1525.4656560000003</v>
      </c>
      <c r="BB85" s="51"/>
      <c r="BC85" s="51">
        <v>27</v>
      </c>
      <c r="BD85" s="27" t="s">
        <v>4</v>
      </c>
    </row>
    <row r="86" spans="1:56" s="27" customFormat="1" ht="11.25" customHeight="1" x14ac:dyDescent="0.2">
      <c r="A86" s="85">
        <v>85</v>
      </c>
      <c r="B86" s="85" t="s">
        <v>163</v>
      </c>
      <c r="C86" s="86" t="s">
        <v>313</v>
      </c>
      <c r="D86" s="86"/>
      <c r="E86" s="86">
        <f t="shared" si="14"/>
        <v>21</v>
      </c>
      <c r="F86" s="87" t="s">
        <v>314</v>
      </c>
      <c r="G86" s="88">
        <v>169</v>
      </c>
      <c r="H86" s="89">
        <f>INT((G86*Valores!$C$2*100)+0.5)/100</f>
        <v>1162.42</v>
      </c>
      <c r="I86" s="90">
        <f>1997</f>
        <v>1997</v>
      </c>
      <c r="J86" s="91">
        <f>INT((I86*Valores!$C$2*100)+0.5)/100</f>
        <v>13735.77</v>
      </c>
      <c r="K86" s="104">
        <v>0</v>
      </c>
      <c r="L86" s="91">
        <f>INT((K86*Valores!$C$2*100)+0.5)/100</f>
        <v>0</v>
      </c>
      <c r="M86" s="105">
        <v>0</v>
      </c>
      <c r="N86" s="91">
        <f>INT((M86*Valores!$C$2*100)+0.5)/100</f>
        <v>0</v>
      </c>
      <c r="O86" s="91">
        <f t="shared" si="15"/>
        <v>2851.6214999999997</v>
      </c>
      <c r="P86" s="91">
        <f t="shared" si="16"/>
        <v>0</v>
      </c>
      <c r="Q86" s="93">
        <f>Valores!$C$16</f>
        <v>4450.7</v>
      </c>
      <c r="R86" s="93">
        <f>Valores!$D$4</f>
        <v>3076.62</v>
      </c>
      <c r="S86" s="107">
        <f>Valores!$C$26</f>
        <v>3208.72</v>
      </c>
      <c r="T86" s="108">
        <f>Valores!$C$42</f>
        <v>1271.83</v>
      </c>
      <c r="U86" s="91">
        <f>Valores!$C$23</f>
        <v>2840.79</v>
      </c>
      <c r="V86" s="91">
        <f t="shared" si="13"/>
        <v>2840.79</v>
      </c>
      <c r="W86" s="91">
        <v>0</v>
      </c>
      <c r="X86" s="91">
        <v>0</v>
      </c>
      <c r="Y86" s="95">
        <v>0</v>
      </c>
      <c r="Z86" s="91">
        <f>Y86*Valores!$C$2</f>
        <v>0</v>
      </c>
      <c r="AA86" s="91">
        <v>0</v>
      </c>
      <c r="AB86" s="96">
        <f>Valores!$C$29</f>
        <v>166.15</v>
      </c>
      <c r="AC86" s="91">
        <f t="shared" si="19"/>
        <v>0</v>
      </c>
      <c r="AD86" s="91">
        <f>Valores!$C$30</f>
        <v>166.15</v>
      </c>
      <c r="AE86" s="95">
        <v>0</v>
      </c>
      <c r="AF86" s="91">
        <f>INT(((AE86*Valores!$C$2)*100)+0.5)/100</f>
        <v>0</v>
      </c>
      <c r="AG86" s="91">
        <f>Valores!$C$58</f>
        <v>337.97</v>
      </c>
      <c r="AH86" s="91">
        <f>Valores!$C$60</f>
        <v>96.56</v>
      </c>
      <c r="AI86" s="97">
        <f t="shared" si="20"/>
        <v>33365.301500000001</v>
      </c>
      <c r="AJ86" s="93">
        <f>Valores!$C$35</f>
        <v>666.25</v>
      </c>
      <c r="AK86" s="94">
        <f>Valores!$C$8</f>
        <v>0</v>
      </c>
      <c r="AL86" s="94">
        <f>Valores!$C$81</f>
        <v>1500</v>
      </c>
      <c r="AM86" s="96">
        <f>Valores!$C$51</f>
        <v>141.62</v>
      </c>
      <c r="AN86" s="98">
        <f t="shared" si="21"/>
        <v>2166.25</v>
      </c>
      <c r="AO86" s="99">
        <f>AI86*-Valores!$C$65</f>
        <v>-4337.4891950000001</v>
      </c>
      <c r="AP86" s="99">
        <f>AI86*-Valores!$C$66</f>
        <v>-166.82650750000002</v>
      </c>
      <c r="AQ86" s="93">
        <f>AI86*-Valores!$C$67</f>
        <v>-1501.4385675000001</v>
      </c>
      <c r="AR86" s="93">
        <f>AI86*-Valores!$C$68</f>
        <v>-900.86314049999999</v>
      </c>
      <c r="AS86" s="93">
        <f>AI86*-Valores!$C$69</f>
        <v>-100.0959045</v>
      </c>
      <c r="AT86" s="97">
        <f t="shared" si="17"/>
        <v>29525.797229999996</v>
      </c>
      <c r="AU86" s="97">
        <f t="shared" si="18"/>
        <v>30026.276752499998</v>
      </c>
      <c r="AV86" s="93">
        <f>AI86*Valores!$C$71</f>
        <v>5338.4482400000006</v>
      </c>
      <c r="AW86" s="93">
        <f>AI86*Valores!$C$72</f>
        <v>1501.4385675000001</v>
      </c>
      <c r="AX86" s="93">
        <f>AI86*Valores!$C$73</f>
        <v>333.65301500000004</v>
      </c>
      <c r="AY86" s="93">
        <f>AI86*Valores!$C$75</f>
        <v>1167.7855525000002</v>
      </c>
      <c r="AZ86" s="93">
        <f>AI86*Valores!$C$76</f>
        <v>200.19180900000001</v>
      </c>
      <c r="BA86" s="93">
        <f t="shared" si="22"/>
        <v>1801.7262810000002</v>
      </c>
      <c r="BB86" s="85"/>
      <c r="BC86" s="85">
        <v>25</v>
      </c>
      <c r="BD86" s="86" t="s">
        <v>8</v>
      </c>
    </row>
    <row r="87" spans="1:56" s="27" customFormat="1" ht="11.25" customHeight="1" x14ac:dyDescent="0.2">
      <c r="A87" s="51">
        <v>86</v>
      </c>
      <c r="B87" s="51"/>
      <c r="C87" s="27" t="s">
        <v>315</v>
      </c>
      <c r="E87" s="27">
        <f t="shared" si="14"/>
        <v>28</v>
      </c>
      <c r="F87" s="71" t="s">
        <v>316</v>
      </c>
      <c r="G87" s="72">
        <v>218</v>
      </c>
      <c r="H87" s="73">
        <f>INT((G87*Valores!$C$2*100)+0.5)/100</f>
        <v>1499.45</v>
      </c>
      <c r="I87" s="74">
        <f>1997</f>
        <v>1997</v>
      </c>
      <c r="J87" s="75">
        <f>INT((I87*Valores!$C$2*100)+0.5)/100</f>
        <v>13735.77</v>
      </c>
      <c r="K87" s="102">
        <v>0</v>
      </c>
      <c r="L87" s="75">
        <f>INT((K87*Valores!$C$2*100)+0.5)/100</f>
        <v>0</v>
      </c>
      <c r="M87" s="100">
        <v>0</v>
      </c>
      <c r="N87" s="75">
        <f>INT((M87*Valores!$C$2*100)+0.5)/100</f>
        <v>0</v>
      </c>
      <c r="O87" s="75">
        <f t="shared" si="15"/>
        <v>2902.1760000000004</v>
      </c>
      <c r="P87" s="75">
        <f t="shared" si="16"/>
        <v>0</v>
      </c>
      <c r="Q87" s="77">
        <f>Valores!$C$16</f>
        <v>4450.7</v>
      </c>
      <c r="R87" s="77">
        <f>Valores!$D$4</f>
        <v>3076.62</v>
      </c>
      <c r="S87" s="101">
        <f>Valores!$C$26</f>
        <v>3208.72</v>
      </c>
      <c r="T87" s="106">
        <f>Valores!$C$42</f>
        <v>1271.83</v>
      </c>
      <c r="U87" s="75">
        <f>Valores!$C$23</f>
        <v>2840.79</v>
      </c>
      <c r="V87" s="75">
        <f t="shared" si="13"/>
        <v>2840.79</v>
      </c>
      <c r="W87" s="75">
        <v>0</v>
      </c>
      <c r="X87" s="75">
        <v>0</v>
      </c>
      <c r="Y87" s="79">
        <v>0</v>
      </c>
      <c r="Z87" s="75">
        <f>Y87*Valores!$C$2</f>
        <v>0</v>
      </c>
      <c r="AA87" s="75">
        <v>0</v>
      </c>
      <c r="AB87" s="80">
        <f>Valores!$C$29</f>
        <v>166.15</v>
      </c>
      <c r="AC87" s="75">
        <f t="shared" si="19"/>
        <v>0</v>
      </c>
      <c r="AD87" s="75">
        <f>Valores!$C$30</f>
        <v>166.15</v>
      </c>
      <c r="AE87" s="79">
        <v>0</v>
      </c>
      <c r="AF87" s="75">
        <f>INT(((AE87*Valores!$C$2)*100)+0.5)/100</f>
        <v>0</v>
      </c>
      <c r="AG87" s="75">
        <f>Valores!$C$58</f>
        <v>337.97</v>
      </c>
      <c r="AH87" s="75">
        <f>Valores!$C$60</f>
        <v>96.56</v>
      </c>
      <c r="AI87" s="81">
        <f t="shared" si="20"/>
        <v>33752.886000000006</v>
      </c>
      <c r="AJ87" s="77">
        <f>Valores!$C$35</f>
        <v>666.25</v>
      </c>
      <c r="AK87" s="78">
        <f>Valores!$C$8</f>
        <v>0</v>
      </c>
      <c r="AL87" s="78">
        <f>Valores!$C$81</f>
        <v>1500</v>
      </c>
      <c r="AM87" s="80">
        <f>Valores!$C$51</f>
        <v>141.62</v>
      </c>
      <c r="AN87" s="82">
        <f t="shared" si="21"/>
        <v>2166.25</v>
      </c>
      <c r="AO87" s="83">
        <f>AI87*-Valores!$C$65</f>
        <v>-4387.8751800000009</v>
      </c>
      <c r="AP87" s="83">
        <f>AI87*-Valores!$C$66</f>
        <v>-168.76443000000003</v>
      </c>
      <c r="AQ87" s="77">
        <f>AI87*-Valores!$C$67</f>
        <v>-1518.8798700000002</v>
      </c>
      <c r="AR87" s="77">
        <f>AI87*-Valores!$C$68</f>
        <v>-911.32792200000017</v>
      </c>
      <c r="AS87" s="77">
        <f>AI87*-Valores!$C$69</f>
        <v>-101.25865800000003</v>
      </c>
      <c r="AT87" s="81">
        <f t="shared" si="17"/>
        <v>29843.616520000003</v>
      </c>
      <c r="AU87" s="81">
        <f t="shared" si="18"/>
        <v>30349.909810000005</v>
      </c>
      <c r="AV87" s="77">
        <f>AI87*Valores!$C$71</f>
        <v>5400.461760000001</v>
      </c>
      <c r="AW87" s="77">
        <f>AI87*Valores!$C$72</f>
        <v>1518.8798700000002</v>
      </c>
      <c r="AX87" s="77">
        <f>AI87*Valores!$C$73</f>
        <v>337.52886000000007</v>
      </c>
      <c r="AY87" s="77">
        <f>AI87*Valores!$C$75</f>
        <v>1181.3510100000003</v>
      </c>
      <c r="AZ87" s="77">
        <f>AI87*Valores!$C$76</f>
        <v>202.51731600000005</v>
      </c>
      <c r="BA87" s="77">
        <f t="shared" si="22"/>
        <v>1822.6558440000006</v>
      </c>
      <c r="BB87" s="51"/>
      <c r="BC87" s="51">
        <v>25</v>
      </c>
      <c r="BD87" s="27" t="s">
        <v>4</v>
      </c>
    </row>
    <row r="88" spans="1:56" s="27" customFormat="1" ht="11.25" customHeight="1" x14ac:dyDescent="0.2">
      <c r="A88" s="51">
        <v>87</v>
      </c>
      <c r="B88" s="51"/>
      <c r="C88" s="27" t="s">
        <v>315</v>
      </c>
      <c r="E88" s="27">
        <f t="shared" si="14"/>
        <v>41</v>
      </c>
      <c r="F88" s="71" t="s">
        <v>317</v>
      </c>
      <c r="G88" s="72">
        <v>218</v>
      </c>
      <c r="H88" s="73">
        <f>INT((G88*Valores!$C$2*100)+0.5)/100</f>
        <v>1499.45</v>
      </c>
      <c r="I88" s="74">
        <f>1997</f>
        <v>1997</v>
      </c>
      <c r="J88" s="75">
        <f>INT((I88*Valores!$C$2*100)+0.5)/100</f>
        <v>13735.77</v>
      </c>
      <c r="K88" s="102">
        <v>0</v>
      </c>
      <c r="L88" s="75">
        <f>INT((K88*Valores!$C$2*100)+0.5)/100</f>
        <v>0</v>
      </c>
      <c r="M88" s="100">
        <v>0</v>
      </c>
      <c r="N88" s="75">
        <f>INT((M88*Valores!$C$2*100)+0.5)/100</f>
        <v>0</v>
      </c>
      <c r="O88" s="75">
        <f t="shared" si="15"/>
        <v>2902.1760000000004</v>
      </c>
      <c r="P88" s="75">
        <f t="shared" si="16"/>
        <v>0</v>
      </c>
      <c r="Q88" s="77">
        <f>Valores!$C$16</f>
        <v>4450.7</v>
      </c>
      <c r="R88" s="77">
        <f>Valores!$D$4</f>
        <v>3076.62</v>
      </c>
      <c r="S88" s="101">
        <f>Valores!$C$26</f>
        <v>3208.72</v>
      </c>
      <c r="T88" s="106">
        <f>Valores!$C$42</f>
        <v>1271.83</v>
      </c>
      <c r="U88" s="75">
        <f>Valores!$C$23</f>
        <v>2840.79</v>
      </c>
      <c r="V88" s="75">
        <f t="shared" si="13"/>
        <v>2840.79</v>
      </c>
      <c r="W88" s="75">
        <v>0</v>
      </c>
      <c r="X88" s="75">
        <v>0</v>
      </c>
      <c r="Y88" s="79">
        <v>0</v>
      </c>
      <c r="Z88" s="75">
        <f>Y88*Valores!$C$2</f>
        <v>0</v>
      </c>
      <c r="AA88" s="75">
        <v>0</v>
      </c>
      <c r="AB88" s="80">
        <f>Valores!$C$29</f>
        <v>166.15</v>
      </c>
      <c r="AC88" s="75">
        <f t="shared" si="19"/>
        <v>0</v>
      </c>
      <c r="AD88" s="75">
        <f>Valores!$C$30</f>
        <v>166.15</v>
      </c>
      <c r="AE88" s="79">
        <v>19</v>
      </c>
      <c r="AF88" s="75">
        <f>INT(((AE88*Valores!$C$2)*100)+0.5)/100</f>
        <v>130.69</v>
      </c>
      <c r="AG88" s="75">
        <f>Valores!$C$58</f>
        <v>337.97</v>
      </c>
      <c r="AH88" s="75">
        <f>Valores!$C$60</f>
        <v>96.56</v>
      </c>
      <c r="AI88" s="81">
        <f t="shared" si="20"/>
        <v>33883.576000000001</v>
      </c>
      <c r="AJ88" s="77">
        <f>Valores!$C$35</f>
        <v>666.25</v>
      </c>
      <c r="AK88" s="78">
        <f>Valores!$C$8</f>
        <v>0</v>
      </c>
      <c r="AL88" s="78">
        <f>Valores!$C$81</f>
        <v>1500</v>
      </c>
      <c r="AM88" s="80">
        <f>Valores!$C$51</f>
        <v>141.62</v>
      </c>
      <c r="AN88" s="82">
        <f t="shared" si="21"/>
        <v>2166.25</v>
      </c>
      <c r="AO88" s="83">
        <f>AI88*-Valores!$C$65</f>
        <v>-4404.8648800000001</v>
      </c>
      <c r="AP88" s="83">
        <f>AI88*-Valores!$C$66</f>
        <v>-169.41788</v>
      </c>
      <c r="AQ88" s="77">
        <f>AI88*-Valores!$C$67</f>
        <v>-1524.7609199999999</v>
      </c>
      <c r="AR88" s="77">
        <f>AI88*-Valores!$C$68</f>
        <v>-914.85655199999997</v>
      </c>
      <c r="AS88" s="77">
        <f>AI88*-Valores!$C$69</f>
        <v>-101.650728</v>
      </c>
      <c r="AT88" s="81">
        <f t="shared" si="17"/>
        <v>29950.782319999998</v>
      </c>
      <c r="AU88" s="81">
        <f t="shared" si="18"/>
        <v>30459.035960000001</v>
      </c>
      <c r="AV88" s="77">
        <f>AI88*Valores!$C$71</f>
        <v>5421.3721599999999</v>
      </c>
      <c r="AW88" s="77">
        <f>AI88*Valores!$C$72</f>
        <v>1524.7609199999999</v>
      </c>
      <c r="AX88" s="77">
        <f>AI88*Valores!$C$73</f>
        <v>338.83575999999999</v>
      </c>
      <c r="AY88" s="77">
        <f>AI88*Valores!$C$75</f>
        <v>1185.9251600000002</v>
      </c>
      <c r="AZ88" s="77">
        <f>AI88*Valores!$C$76</f>
        <v>203.301456</v>
      </c>
      <c r="BA88" s="77">
        <f t="shared" si="22"/>
        <v>1829.7131040000002</v>
      </c>
      <c r="BB88" s="51"/>
      <c r="BC88" s="51">
        <v>25</v>
      </c>
      <c r="BD88" s="27" t="s">
        <v>4</v>
      </c>
    </row>
    <row r="89" spans="1:56" s="27" customFormat="1" ht="11.25" customHeight="1" x14ac:dyDescent="0.2">
      <c r="A89" s="51">
        <v>88</v>
      </c>
      <c r="B89" s="51"/>
      <c r="C89" s="27" t="s">
        <v>318</v>
      </c>
      <c r="E89" s="27">
        <f t="shared" si="14"/>
        <v>33</v>
      </c>
      <c r="F89" s="71" t="s">
        <v>319</v>
      </c>
      <c r="G89" s="72">
        <f>75+143</f>
        <v>218</v>
      </c>
      <c r="H89" s="73">
        <f>INT((G89*Valores!$C$2*100)+0.5)/100</f>
        <v>1499.45</v>
      </c>
      <c r="I89" s="74">
        <v>1997</v>
      </c>
      <c r="J89" s="75">
        <f>INT((I89*Valores!$C$2*100)+0.5)/100</f>
        <v>13735.77</v>
      </c>
      <c r="K89" s="102">
        <v>0</v>
      </c>
      <c r="L89" s="75">
        <f>INT((K89*Valores!$C$2*100)+0.5)/100</f>
        <v>0</v>
      </c>
      <c r="M89" s="100">
        <v>0</v>
      </c>
      <c r="N89" s="75">
        <f>INT((M89*Valores!$C$2*100)+0.5)/100</f>
        <v>0</v>
      </c>
      <c r="O89" s="75">
        <f t="shared" si="15"/>
        <v>2806.7887500000002</v>
      </c>
      <c r="P89" s="75">
        <f t="shared" si="16"/>
        <v>0</v>
      </c>
      <c r="Q89" s="77">
        <f>Valores!$C$16</f>
        <v>4450.7</v>
      </c>
      <c r="R89" s="77">
        <f>Valores!$D$4</f>
        <v>3076.62</v>
      </c>
      <c r="S89" s="75">
        <f>Valores!$C$26</f>
        <v>3208.72</v>
      </c>
      <c r="T89" s="78">
        <f>Valores!$C$42/2</f>
        <v>635.91499999999996</v>
      </c>
      <c r="U89" s="75">
        <f>Valores!$C$23</f>
        <v>2840.79</v>
      </c>
      <c r="V89" s="75">
        <f t="shared" si="13"/>
        <v>2840.79</v>
      </c>
      <c r="W89" s="75">
        <v>0</v>
      </c>
      <c r="X89" s="75">
        <v>0</v>
      </c>
      <c r="Y89" s="79">
        <v>0</v>
      </c>
      <c r="Z89" s="75">
        <f>Y89*Valores!$C$2</f>
        <v>0</v>
      </c>
      <c r="AA89" s="75">
        <v>0</v>
      </c>
      <c r="AB89" s="80">
        <f>Valores!$C$29</f>
        <v>166.15</v>
      </c>
      <c r="AC89" s="75">
        <f t="shared" si="19"/>
        <v>0</v>
      </c>
      <c r="AD89" s="75">
        <f>Valores!$C$30</f>
        <v>166.15</v>
      </c>
      <c r="AE89" s="79">
        <v>0</v>
      </c>
      <c r="AF89" s="75">
        <f>INT(((AE89*Valores!$C$2)*100)+0.5)/100</f>
        <v>0</v>
      </c>
      <c r="AG89" s="75">
        <f>Valores!$C$58</f>
        <v>337.97</v>
      </c>
      <c r="AH89" s="75">
        <f>Valores!$C$60</f>
        <v>96.56</v>
      </c>
      <c r="AI89" s="81">
        <f t="shared" si="20"/>
        <v>33021.583750000005</v>
      </c>
      <c r="AJ89" s="77">
        <f>Valores!$C$35</f>
        <v>666.25</v>
      </c>
      <c r="AK89" s="78">
        <f>Valores!$C$8/2</f>
        <v>0</v>
      </c>
      <c r="AL89" s="78">
        <f>Valores!$C$81</f>
        <v>1500</v>
      </c>
      <c r="AM89" s="80">
        <f>Valores!$C$51</f>
        <v>141.62</v>
      </c>
      <c r="AN89" s="82">
        <f t="shared" si="21"/>
        <v>2166.25</v>
      </c>
      <c r="AO89" s="83">
        <f>AI89*-Valores!$C$65</f>
        <v>-4292.8058875000006</v>
      </c>
      <c r="AP89" s="83">
        <f>AI89*-Valores!$C$66</f>
        <v>-165.10791875000004</v>
      </c>
      <c r="AQ89" s="77">
        <f>AI89*-Valores!$C$67</f>
        <v>-1485.9712687500003</v>
      </c>
      <c r="AR89" s="77">
        <f>AI89*-Valores!$C$68</f>
        <v>-891.58276125000009</v>
      </c>
      <c r="AS89" s="77">
        <f>AI89*-Valores!$C$69</f>
        <v>-99.064751250000015</v>
      </c>
      <c r="AT89" s="81">
        <f t="shared" si="17"/>
        <v>29243.948675000007</v>
      </c>
      <c r="AU89" s="81">
        <f t="shared" si="18"/>
        <v>29739.272431250007</v>
      </c>
      <c r="AV89" s="77">
        <f>AI89*Valores!$C$71</f>
        <v>5283.4534000000012</v>
      </c>
      <c r="AW89" s="77">
        <f>AI89*Valores!$C$72</f>
        <v>1485.9712687500003</v>
      </c>
      <c r="AX89" s="77">
        <f>AI89*Valores!$C$73</f>
        <v>330.21583750000008</v>
      </c>
      <c r="AY89" s="77">
        <f>AI89*Valores!$C$75</f>
        <v>1155.7554312500004</v>
      </c>
      <c r="AZ89" s="77">
        <f>AI89*Valores!$C$76</f>
        <v>198.12950250000003</v>
      </c>
      <c r="BA89" s="77">
        <f t="shared" si="22"/>
        <v>1783.1655225000004</v>
      </c>
      <c r="BB89" s="51"/>
      <c r="BC89" s="51">
        <v>25</v>
      </c>
      <c r="BD89" s="27" t="s">
        <v>8</v>
      </c>
    </row>
    <row r="90" spans="1:56" s="27" customFormat="1" ht="11.25" customHeight="1" x14ac:dyDescent="0.2">
      <c r="A90" s="51">
        <v>89</v>
      </c>
      <c r="B90" s="51"/>
      <c r="C90" s="27" t="s">
        <v>320</v>
      </c>
      <c r="E90" s="27">
        <f t="shared" si="14"/>
        <v>28</v>
      </c>
      <c r="F90" s="71" t="s">
        <v>321</v>
      </c>
      <c r="G90" s="72">
        <v>187</v>
      </c>
      <c r="H90" s="73">
        <f>INT((G90*Valores!$C$2*100)+0.5)/100</f>
        <v>1286.22</v>
      </c>
      <c r="I90" s="74">
        <v>1704</v>
      </c>
      <c r="J90" s="75">
        <f>INT((I90*Valores!$C$2*100)+0.5)/100</f>
        <v>11720.45</v>
      </c>
      <c r="K90" s="102">
        <v>0</v>
      </c>
      <c r="L90" s="75">
        <f>INT((K90*Valores!$C$2*100)+0.5)/100</f>
        <v>0</v>
      </c>
      <c r="M90" s="100">
        <v>0</v>
      </c>
      <c r="N90" s="75">
        <f>INT((M90*Valores!$C$2*100)+0.5)/100</f>
        <v>0</v>
      </c>
      <c r="O90" s="75">
        <f t="shared" si="15"/>
        <v>2567.8935000000001</v>
      </c>
      <c r="P90" s="75">
        <f t="shared" si="16"/>
        <v>0</v>
      </c>
      <c r="Q90" s="77">
        <f>Valores!$C$16</f>
        <v>4450.7</v>
      </c>
      <c r="R90" s="77">
        <f>Valores!$D$4</f>
        <v>3076.62</v>
      </c>
      <c r="S90" s="75">
        <f>Valores!$C$26</f>
        <v>3208.72</v>
      </c>
      <c r="T90" s="78">
        <f>Valores!$C$42</f>
        <v>1271.83</v>
      </c>
      <c r="U90" s="75">
        <f>Valores!$C$23</f>
        <v>2840.79</v>
      </c>
      <c r="V90" s="75">
        <f t="shared" si="13"/>
        <v>2840.79</v>
      </c>
      <c r="W90" s="75">
        <v>0</v>
      </c>
      <c r="X90" s="75">
        <v>0</v>
      </c>
      <c r="Y90" s="79">
        <v>0</v>
      </c>
      <c r="Z90" s="75">
        <f>Y90*Valores!$C$2</f>
        <v>0</v>
      </c>
      <c r="AA90" s="75">
        <v>0</v>
      </c>
      <c r="AB90" s="80">
        <f>Valores!$C$29</f>
        <v>166.15</v>
      </c>
      <c r="AC90" s="75">
        <f t="shared" si="19"/>
        <v>0</v>
      </c>
      <c r="AD90" s="75">
        <f>Valores!$C$30</f>
        <v>166.15</v>
      </c>
      <c r="AE90" s="79">
        <v>0</v>
      </c>
      <c r="AF90" s="75">
        <f>INT(((AE90*Valores!$C$2)*100)+0.5)/100</f>
        <v>0</v>
      </c>
      <c r="AG90" s="75">
        <f>Valores!$C$58</f>
        <v>337.97</v>
      </c>
      <c r="AH90" s="75">
        <f>Valores!$C$60</f>
        <v>96.56</v>
      </c>
      <c r="AI90" s="81">
        <f t="shared" si="20"/>
        <v>31190.053500000005</v>
      </c>
      <c r="AJ90" s="77">
        <f>Valores!$C$35</f>
        <v>666.25</v>
      </c>
      <c r="AK90" s="78">
        <f>Valores!$C$8</f>
        <v>0</v>
      </c>
      <c r="AL90" s="78">
        <f>Valores!$C$81</f>
        <v>1500</v>
      </c>
      <c r="AM90" s="80">
        <f>Valores!$C$51</f>
        <v>141.62</v>
      </c>
      <c r="AN90" s="82">
        <f t="shared" si="21"/>
        <v>2166.25</v>
      </c>
      <c r="AO90" s="83">
        <f>AI90*-Valores!$C$65</f>
        <v>-4054.706955000001</v>
      </c>
      <c r="AP90" s="83">
        <f>AI90*-Valores!$C$66</f>
        <v>-155.95026750000002</v>
      </c>
      <c r="AQ90" s="77">
        <f>AI90*-Valores!$C$67</f>
        <v>-1403.5524075000003</v>
      </c>
      <c r="AR90" s="77">
        <f>AI90*-Valores!$C$68</f>
        <v>-842.13144450000016</v>
      </c>
      <c r="AS90" s="77">
        <f>AI90*-Valores!$C$69</f>
        <v>-93.570160500000014</v>
      </c>
      <c r="AT90" s="81">
        <f t="shared" si="17"/>
        <v>27742.093870000012</v>
      </c>
      <c r="AU90" s="81">
        <f t="shared" si="18"/>
        <v>28209.944672500013</v>
      </c>
      <c r="AV90" s="77">
        <f>AI90*Valores!$C$71</f>
        <v>4990.4085600000008</v>
      </c>
      <c r="AW90" s="77">
        <f>AI90*Valores!$C$72</f>
        <v>1403.5524075000003</v>
      </c>
      <c r="AX90" s="77">
        <f>AI90*Valores!$C$73</f>
        <v>311.90053500000005</v>
      </c>
      <c r="AY90" s="77">
        <f>AI90*Valores!$C$75</f>
        <v>1091.6518725000003</v>
      </c>
      <c r="AZ90" s="77">
        <f>AI90*Valores!$C$76</f>
        <v>187.14032100000003</v>
      </c>
      <c r="BA90" s="77">
        <f t="shared" si="22"/>
        <v>1684.2628890000005</v>
      </c>
      <c r="BB90" s="51"/>
      <c r="BC90" s="51">
        <v>25</v>
      </c>
      <c r="BD90" s="27" t="s">
        <v>4</v>
      </c>
    </row>
    <row r="91" spans="1:56" s="27" customFormat="1" ht="11.25" customHeight="1" x14ac:dyDescent="0.2">
      <c r="A91" s="85">
        <v>90</v>
      </c>
      <c r="B91" s="85" t="s">
        <v>163</v>
      </c>
      <c r="C91" s="86" t="s">
        <v>320</v>
      </c>
      <c r="D91" s="86"/>
      <c r="E91" s="86">
        <f t="shared" si="14"/>
        <v>41</v>
      </c>
      <c r="F91" s="87" t="s">
        <v>322</v>
      </c>
      <c r="G91" s="88">
        <v>187</v>
      </c>
      <c r="H91" s="89">
        <f>INT((G91*Valores!$C$2*100)+0.5)/100</f>
        <v>1286.22</v>
      </c>
      <c r="I91" s="90">
        <v>1704</v>
      </c>
      <c r="J91" s="91">
        <f>INT((I91*Valores!$C$2*100)+0.5)/100</f>
        <v>11720.45</v>
      </c>
      <c r="K91" s="104">
        <v>0</v>
      </c>
      <c r="L91" s="91">
        <f>INT((K91*Valores!$C$2*100)+0.5)/100</f>
        <v>0</v>
      </c>
      <c r="M91" s="105">
        <v>0</v>
      </c>
      <c r="N91" s="91">
        <f>INT((M91*Valores!$C$2*100)+0.5)/100</f>
        <v>0</v>
      </c>
      <c r="O91" s="91">
        <f t="shared" si="15"/>
        <v>2567.8935000000001</v>
      </c>
      <c r="P91" s="91">
        <f t="shared" si="16"/>
        <v>0</v>
      </c>
      <c r="Q91" s="93">
        <f>Valores!$C$16</f>
        <v>4450.7</v>
      </c>
      <c r="R91" s="93">
        <f>Valores!$D$4</f>
        <v>3076.62</v>
      </c>
      <c r="S91" s="91">
        <f>Valores!$C$26</f>
        <v>3208.72</v>
      </c>
      <c r="T91" s="94">
        <f>Valores!$C$42</f>
        <v>1271.83</v>
      </c>
      <c r="U91" s="91">
        <f>Valores!$C$23</f>
        <v>2840.79</v>
      </c>
      <c r="V91" s="91">
        <f t="shared" si="13"/>
        <v>2840.79</v>
      </c>
      <c r="W91" s="91">
        <v>0</v>
      </c>
      <c r="X91" s="91">
        <v>0</v>
      </c>
      <c r="Y91" s="95">
        <v>0</v>
      </c>
      <c r="Z91" s="91">
        <f>Y91*Valores!$C$2</f>
        <v>0</v>
      </c>
      <c r="AA91" s="91">
        <v>0</v>
      </c>
      <c r="AB91" s="96">
        <f>Valores!$C$29</f>
        <v>166.15</v>
      </c>
      <c r="AC91" s="91">
        <f t="shared" si="19"/>
        <v>0</v>
      </c>
      <c r="AD91" s="91">
        <f>Valores!$C$30</f>
        <v>166.15</v>
      </c>
      <c r="AE91" s="95">
        <v>19</v>
      </c>
      <c r="AF91" s="91">
        <f>INT(((AE91*Valores!$C$2)*100)+0.5)/100</f>
        <v>130.69</v>
      </c>
      <c r="AG91" s="91">
        <f>Valores!$C$58</f>
        <v>337.97</v>
      </c>
      <c r="AH91" s="91">
        <f>Valores!$C$60</f>
        <v>96.56</v>
      </c>
      <c r="AI91" s="97">
        <f t="shared" si="20"/>
        <v>31320.743500000008</v>
      </c>
      <c r="AJ91" s="93">
        <f>Valores!$C$35</f>
        <v>666.25</v>
      </c>
      <c r="AK91" s="94">
        <f>Valores!$C$8</f>
        <v>0</v>
      </c>
      <c r="AL91" s="94">
        <f>Valores!$C$81</f>
        <v>1500</v>
      </c>
      <c r="AM91" s="96">
        <f>Valores!$C$51</f>
        <v>141.62</v>
      </c>
      <c r="AN91" s="98">
        <f t="shared" si="21"/>
        <v>2166.25</v>
      </c>
      <c r="AO91" s="99">
        <f>AI91*-Valores!$C$65</f>
        <v>-4071.6966550000011</v>
      </c>
      <c r="AP91" s="99">
        <f>AI91*-Valores!$C$66</f>
        <v>-156.60371750000004</v>
      </c>
      <c r="AQ91" s="93">
        <f>AI91*-Valores!$C$67</f>
        <v>-1409.4334575000003</v>
      </c>
      <c r="AR91" s="93">
        <f>AI91*-Valores!$C$68</f>
        <v>-845.66007450000018</v>
      </c>
      <c r="AS91" s="93">
        <f>AI91*-Valores!$C$69</f>
        <v>-93.962230500000018</v>
      </c>
      <c r="AT91" s="97">
        <f t="shared" si="17"/>
        <v>27849.25967000001</v>
      </c>
      <c r="AU91" s="97">
        <f t="shared" si="18"/>
        <v>28319.070822500009</v>
      </c>
      <c r="AV91" s="93">
        <f>AI91*Valores!$C$71</f>
        <v>5011.3189600000014</v>
      </c>
      <c r="AW91" s="93">
        <f>AI91*Valores!$C$72</f>
        <v>1409.4334575000003</v>
      </c>
      <c r="AX91" s="93">
        <f>AI91*Valores!$C$73</f>
        <v>313.20743500000009</v>
      </c>
      <c r="AY91" s="93">
        <f>AI91*Valores!$C$75</f>
        <v>1096.2260225000005</v>
      </c>
      <c r="AZ91" s="93">
        <f>AI91*Valores!$C$76</f>
        <v>187.92446100000004</v>
      </c>
      <c r="BA91" s="93">
        <f t="shared" si="22"/>
        <v>1691.3201490000006</v>
      </c>
      <c r="BB91" s="85"/>
      <c r="BC91" s="85">
        <v>25</v>
      </c>
      <c r="BD91" s="86" t="s">
        <v>4</v>
      </c>
    </row>
    <row r="92" spans="1:56" s="27" customFormat="1" ht="11.25" customHeight="1" x14ac:dyDescent="0.2">
      <c r="A92" s="51">
        <v>91</v>
      </c>
      <c r="B92" s="51"/>
      <c r="C92" s="27" t="s">
        <v>323</v>
      </c>
      <c r="E92" s="27">
        <f t="shared" si="14"/>
        <v>28</v>
      </c>
      <c r="F92" s="71" t="s">
        <v>324</v>
      </c>
      <c r="G92" s="72">
        <v>161</v>
      </c>
      <c r="H92" s="73">
        <f>INT((G92*Valores!$C$2*100)+0.5)/100</f>
        <v>1107.3900000000001</v>
      </c>
      <c r="I92" s="74">
        <f>1480</f>
        <v>1480</v>
      </c>
      <c r="J92" s="75">
        <f>INT((I92*Valores!$C$2*100)+0.5)/100</f>
        <v>10179.74</v>
      </c>
      <c r="K92" s="102">
        <v>0</v>
      </c>
      <c r="L92" s="75">
        <f>INT((K92*Valores!$C$2*100)+0.5)/100</f>
        <v>0</v>
      </c>
      <c r="M92" s="100">
        <v>0</v>
      </c>
      <c r="N92" s="75">
        <f>INT((M92*Valores!$C$2*100)+0.5)/100</f>
        <v>0</v>
      </c>
      <c r="O92" s="75">
        <f t="shared" si="15"/>
        <v>2309.9624999999996</v>
      </c>
      <c r="P92" s="75">
        <f t="shared" si="16"/>
        <v>0</v>
      </c>
      <c r="Q92" s="77">
        <f>Valores!$C$16</f>
        <v>4450.7</v>
      </c>
      <c r="R92" s="77">
        <f>Valores!$D$4</f>
        <v>3076.62</v>
      </c>
      <c r="S92" s="101">
        <f>Valores!$C$26</f>
        <v>3208.72</v>
      </c>
      <c r="T92" s="106">
        <f>Valores!$C$42</f>
        <v>1271.83</v>
      </c>
      <c r="U92" s="75">
        <f>Valores!$C$23</f>
        <v>2840.79</v>
      </c>
      <c r="V92" s="75">
        <f t="shared" si="13"/>
        <v>2840.79</v>
      </c>
      <c r="W92" s="75">
        <v>0</v>
      </c>
      <c r="X92" s="75">
        <v>0</v>
      </c>
      <c r="Y92" s="79">
        <v>0</v>
      </c>
      <c r="Z92" s="75">
        <f>Y92*Valores!$C$2</f>
        <v>0</v>
      </c>
      <c r="AA92" s="75">
        <v>0</v>
      </c>
      <c r="AB92" s="80">
        <f>Valores!$C$29</f>
        <v>166.15</v>
      </c>
      <c r="AC92" s="75">
        <f t="shared" si="19"/>
        <v>0</v>
      </c>
      <c r="AD92" s="75">
        <f>Valores!$C$30</f>
        <v>166.15</v>
      </c>
      <c r="AE92" s="79">
        <v>0</v>
      </c>
      <c r="AF92" s="75">
        <f>INT(((AE92*Valores!$C$2)*100)+0.5)/100</f>
        <v>0</v>
      </c>
      <c r="AG92" s="75">
        <f>Valores!$C$58</f>
        <v>337.97</v>
      </c>
      <c r="AH92" s="75">
        <f>Valores!$C$60</f>
        <v>96.56</v>
      </c>
      <c r="AI92" s="81">
        <f t="shared" si="20"/>
        <v>29212.582500000008</v>
      </c>
      <c r="AJ92" s="77">
        <f>Valores!$C$35</f>
        <v>666.25</v>
      </c>
      <c r="AK92" s="78">
        <f>Valores!$C$8</f>
        <v>0</v>
      </c>
      <c r="AL92" s="78">
        <f>Valores!$C$81</f>
        <v>1500</v>
      </c>
      <c r="AM92" s="80">
        <f>Valores!$C$51</f>
        <v>141.62</v>
      </c>
      <c r="AN92" s="82">
        <f t="shared" si="21"/>
        <v>2166.25</v>
      </c>
      <c r="AO92" s="83">
        <f>AI92*-Valores!$C$65</f>
        <v>-3797.635725000001</v>
      </c>
      <c r="AP92" s="83">
        <f>AI92*-Valores!$C$66</f>
        <v>-146.06291250000004</v>
      </c>
      <c r="AQ92" s="77">
        <f>AI92*-Valores!$C$67</f>
        <v>-1314.5662125000003</v>
      </c>
      <c r="AR92" s="77">
        <f>AI92*-Valores!$C$68</f>
        <v>-788.73972750000019</v>
      </c>
      <c r="AS92" s="77">
        <f>AI92*-Valores!$C$69</f>
        <v>-87.637747500000032</v>
      </c>
      <c r="AT92" s="81">
        <f t="shared" si="17"/>
        <v>26120.567650000005</v>
      </c>
      <c r="AU92" s="81">
        <f t="shared" si="18"/>
        <v>26558.756387500005</v>
      </c>
      <c r="AV92" s="77">
        <f>AI92*Valores!$C$71</f>
        <v>4674.0132000000012</v>
      </c>
      <c r="AW92" s="77">
        <f>AI92*Valores!$C$72</f>
        <v>1314.5662125000003</v>
      </c>
      <c r="AX92" s="77">
        <f>AI92*Valores!$C$73</f>
        <v>292.12582500000008</v>
      </c>
      <c r="AY92" s="77">
        <f>AI92*Valores!$C$75</f>
        <v>1022.4403875000004</v>
      </c>
      <c r="AZ92" s="77">
        <f>AI92*Valores!$C$76</f>
        <v>175.27549500000006</v>
      </c>
      <c r="BA92" s="77">
        <f t="shared" si="22"/>
        <v>1577.4794550000006</v>
      </c>
      <c r="BB92" s="51"/>
      <c r="BC92" s="51">
        <v>25</v>
      </c>
      <c r="BD92" s="27" t="s">
        <v>4</v>
      </c>
    </row>
    <row r="93" spans="1:56" s="27" customFormat="1" ht="11.25" customHeight="1" x14ac:dyDescent="0.2">
      <c r="A93" s="51">
        <v>92</v>
      </c>
      <c r="B93" s="51"/>
      <c r="C93" s="27" t="s">
        <v>323</v>
      </c>
      <c r="E93" s="27">
        <f t="shared" si="14"/>
        <v>41</v>
      </c>
      <c r="F93" s="71" t="s">
        <v>325</v>
      </c>
      <c r="G93" s="72">
        <v>161</v>
      </c>
      <c r="H93" s="73">
        <f>INT((G93*Valores!$C$2*100)+0.5)/100</f>
        <v>1107.3900000000001</v>
      </c>
      <c r="I93" s="74">
        <f>1480</f>
        <v>1480</v>
      </c>
      <c r="J93" s="75">
        <f>INT((I93*Valores!$C$2*100)+0.5)/100</f>
        <v>10179.74</v>
      </c>
      <c r="K93" s="102">
        <v>0</v>
      </c>
      <c r="L93" s="75">
        <f>INT((K93*Valores!$C$2*100)+0.5)/100</f>
        <v>0</v>
      </c>
      <c r="M93" s="100">
        <v>0</v>
      </c>
      <c r="N93" s="75">
        <f>INT((M93*Valores!$C$2*100)+0.5)/100</f>
        <v>0</v>
      </c>
      <c r="O93" s="75">
        <f t="shared" si="15"/>
        <v>2309.9624999999996</v>
      </c>
      <c r="P93" s="75">
        <f t="shared" si="16"/>
        <v>0</v>
      </c>
      <c r="Q93" s="77">
        <f>Valores!$C$16</f>
        <v>4450.7</v>
      </c>
      <c r="R93" s="77">
        <f>Valores!$D$4</f>
        <v>3076.62</v>
      </c>
      <c r="S93" s="101">
        <f>Valores!$C$26</f>
        <v>3208.72</v>
      </c>
      <c r="T93" s="106">
        <f>Valores!$C$42</f>
        <v>1271.83</v>
      </c>
      <c r="U93" s="75">
        <f>Valores!$C$23</f>
        <v>2840.79</v>
      </c>
      <c r="V93" s="75">
        <f t="shared" si="13"/>
        <v>2840.79</v>
      </c>
      <c r="W93" s="75">
        <v>0</v>
      </c>
      <c r="X93" s="75">
        <v>0</v>
      </c>
      <c r="Y93" s="79">
        <v>0</v>
      </c>
      <c r="Z93" s="75">
        <f>Y93*Valores!$C$2</f>
        <v>0</v>
      </c>
      <c r="AA93" s="75">
        <v>0</v>
      </c>
      <c r="AB93" s="80">
        <f>Valores!$C$29</f>
        <v>166.15</v>
      </c>
      <c r="AC93" s="75">
        <f t="shared" si="19"/>
        <v>0</v>
      </c>
      <c r="AD93" s="75">
        <f>Valores!$C$30</f>
        <v>166.15</v>
      </c>
      <c r="AE93" s="79">
        <v>19</v>
      </c>
      <c r="AF93" s="75">
        <f>INT(((AE93*Valores!$C$2)*100)+0.5)/100</f>
        <v>130.69</v>
      </c>
      <c r="AG93" s="75">
        <f>Valores!$C$58</f>
        <v>337.97</v>
      </c>
      <c r="AH93" s="75">
        <f>Valores!$C$60</f>
        <v>96.56</v>
      </c>
      <c r="AI93" s="81">
        <f t="shared" si="20"/>
        <v>29343.272500000003</v>
      </c>
      <c r="AJ93" s="77">
        <f>Valores!$C$35</f>
        <v>666.25</v>
      </c>
      <c r="AK93" s="78">
        <f>Valores!$C$8</f>
        <v>0</v>
      </c>
      <c r="AL93" s="78">
        <f>Valores!$C$81</f>
        <v>1500</v>
      </c>
      <c r="AM93" s="80">
        <f>Valores!$C$51</f>
        <v>141.62</v>
      </c>
      <c r="AN93" s="82">
        <f t="shared" si="21"/>
        <v>2166.25</v>
      </c>
      <c r="AO93" s="83">
        <f>AI93*-Valores!$C$65</f>
        <v>-3814.6254250000006</v>
      </c>
      <c r="AP93" s="83">
        <f>AI93*-Valores!$C$66</f>
        <v>-146.71636250000003</v>
      </c>
      <c r="AQ93" s="77">
        <f>AI93*-Valores!$C$67</f>
        <v>-1320.4472625000001</v>
      </c>
      <c r="AR93" s="77">
        <f>AI93*-Valores!$C$68</f>
        <v>-792.26835750000009</v>
      </c>
      <c r="AS93" s="77">
        <f>AI93*-Valores!$C$69</f>
        <v>-88.029817500000007</v>
      </c>
      <c r="AT93" s="81">
        <f t="shared" si="17"/>
        <v>26227.73345</v>
      </c>
      <c r="AU93" s="81">
        <f t="shared" si="18"/>
        <v>26667.882537500001</v>
      </c>
      <c r="AV93" s="77">
        <f>AI93*Valores!$C$71</f>
        <v>4694.923600000001</v>
      </c>
      <c r="AW93" s="77">
        <f>AI93*Valores!$C$72</f>
        <v>1320.4472625000001</v>
      </c>
      <c r="AX93" s="77">
        <f>AI93*Valores!$C$73</f>
        <v>293.43272500000006</v>
      </c>
      <c r="AY93" s="77">
        <f>AI93*Valores!$C$75</f>
        <v>1027.0145375000002</v>
      </c>
      <c r="AZ93" s="77">
        <f>AI93*Valores!$C$76</f>
        <v>176.05963500000001</v>
      </c>
      <c r="BA93" s="77">
        <f t="shared" si="22"/>
        <v>1584.5367150000002</v>
      </c>
      <c r="BB93" s="51"/>
      <c r="BC93" s="51">
        <v>25</v>
      </c>
      <c r="BD93" s="27" t="s">
        <v>4</v>
      </c>
    </row>
    <row r="94" spans="1:56" s="27" customFormat="1" ht="11.25" customHeight="1" x14ac:dyDescent="0.2">
      <c r="A94" s="51">
        <v>93</v>
      </c>
      <c r="B94" s="51"/>
      <c r="C94" s="27" t="s">
        <v>326</v>
      </c>
      <c r="E94" s="27">
        <f t="shared" si="14"/>
        <v>26</v>
      </c>
      <c r="F94" s="71" t="s">
        <v>327</v>
      </c>
      <c r="G94" s="72">
        <v>179</v>
      </c>
      <c r="H94" s="73">
        <f>INT((G94*Valores!$C$2*100)+0.5)/100</f>
        <v>1231.2</v>
      </c>
      <c r="I94" s="74">
        <v>1712</v>
      </c>
      <c r="J94" s="75">
        <f>INT((I94*Valores!$C$2*100)+0.5)/100</f>
        <v>11775.48</v>
      </c>
      <c r="K94" s="102">
        <v>0</v>
      </c>
      <c r="L94" s="75">
        <f>INT((K94*Valores!$C$2*100)+0.5)/100</f>
        <v>0</v>
      </c>
      <c r="M94" s="100">
        <v>0</v>
      </c>
      <c r="N94" s="75">
        <f>INT((M94*Valores!$C$2*100)+0.5)/100</f>
        <v>0</v>
      </c>
      <c r="O94" s="75">
        <f t="shared" si="15"/>
        <v>2567.8950000000004</v>
      </c>
      <c r="P94" s="75">
        <f t="shared" si="16"/>
        <v>0</v>
      </c>
      <c r="Q94" s="77">
        <f>Valores!$C$16</f>
        <v>4450.7</v>
      </c>
      <c r="R94" s="77">
        <f>Valores!$D$4</f>
        <v>3076.62</v>
      </c>
      <c r="S94" s="101">
        <f>Valores!$C$26</f>
        <v>3208.72</v>
      </c>
      <c r="T94" s="106">
        <f>Valores!$C$42</f>
        <v>1271.83</v>
      </c>
      <c r="U94" s="75">
        <f>Valores!$C$23</f>
        <v>2840.79</v>
      </c>
      <c r="V94" s="75">
        <f t="shared" si="13"/>
        <v>2840.79</v>
      </c>
      <c r="W94" s="75">
        <v>0</v>
      </c>
      <c r="X94" s="75">
        <v>0</v>
      </c>
      <c r="Y94" s="79">
        <v>0</v>
      </c>
      <c r="Z94" s="75">
        <f>Y94*Valores!$C$2</f>
        <v>0</v>
      </c>
      <c r="AA94" s="75">
        <v>0</v>
      </c>
      <c r="AB94" s="80">
        <f>Valores!$C$29</f>
        <v>166.15</v>
      </c>
      <c r="AC94" s="75">
        <f t="shared" si="19"/>
        <v>0</v>
      </c>
      <c r="AD94" s="75">
        <f>Valores!$C$30</f>
        <v>166.15</v>
      </c>
      <c r="AE94" s="79">
        <v>0</v>
      </c>
      <c r="AF94" s="75">
        <f>INT(((AE94*Valores!$C$2)*100)+0.5)/100</f>
        <v>0</v>
      </c>
      <c r="AG94" s="75">
        <f>Valores!$C$58</f>
        <v>337.97</v>
      </c>
      <c r="AH94" s="75">
        <f>Valores!$C$60</f>
        <v>96.56</v>
      </c>
      <c r="AI94" s="81">
        <f t="shared" si="20"/>
        <v>31190.065000000006</v>
      </c>
      <c r="AJ94" s="77">
        <f>Valores!$C$35</f>
        <v>666.25</v>
      </c>
      <c r="AK94" s="78">
        <f>Valores!$C$8</f>
        <v>0</v>
      </c>
      <c r="AL94" s="78">
        <f>Valores!$C$81</f>
        <v>1500</v>
      </c>
      <c r="AM94" s="80">
        <f>Valores!$C$51</f>
        <v>141.62</v>
      </c>
      <c r="AN94" s="82">
        <f t="shared" si="21"/>
        <v>2166.25</v>
      </c>
      <c r="AO94" s="83">
        <f>AI94*-Valores!$C$65</f>
        <v>-4054.708450000001</v>
      </c>
      <c r="AP94" s="83">
        <f>AI94*-Valores!$C$66</f>
        <v>-155.95032500000002</v>
      </c>
      <c r="AQ94" s="77">
        <f>AI94*-Valores!$C$67</f>
        <v>-1403.5529250000002</v>
      </c>
      <c r="AR94" s="77">
        <f>AI94*-Valores!$C$68</f>
        <v>-842.13175500000011</v>
      </c>
      <c r="AS94" s="77">
        <f>AI94*-Valores!$C$69</f>
        <v>-93.570195000000027</v>
      </c>
      <c r="AT94" s="81">
        <f t="shared" si="17"/>
        <v>27742.103300000002</v>
      </c>
      <c r="AU94" s="81">
        <f t="shared" si="18"/>
        <v>28209.954275000004</v>
      </c>
      <c r="AV94" s="77">
        <f>AI94*Valores!$C$71</f>
        <v>4990.4104000000007</v>
      </c>
      <c r="AW94" s="77">
        <f>AI94*Valores!$C$72</f>
        <v>1403.5529250000002</v>
      </c>
      <c r="AX94" s="77">
        <f>AI94*Valores!$C$73</f>
        <v>311.90065000000004</v>
      </c>
      <c r="AY94" s="77">
        <f>AI94*Valores!$C$75</f>
        <v>1091.6522750000004</v>
      </c>
      <c r="AZ94" s="77">
        <f>AI94*Valores!$C$76</f>
        <v>187.14039000000005</v>
      </c>
      <c r="BA94" s="77">
        <f t="shared" si="22"/>
        <v>1684.2635100000005</v>
      </c>
      <c r="BB94" s="51"/>
      <c r="BC94" s="85">
        <v>25</v>
      </c>
      <c r="BD94" s="27" t="s">
        <v>4</v>
      </c>
    </row>
    <row r="95" spans="1:56" s="27" customFormat="1" ht="11.25" customHeight="1" x14ac:dyDescent="0.2">
      <c r="A95" s="51">
        <v>94</v>
      </c>
      <c r="B95" s="51"/>
      <c r="C95" s="27" t="s">
        <v>328</v>
      </c>
      <c r="E95" s="27">
        <f t="shared" si="14"/>
        <v>30</v>
      </c>
      <c r="F95" s="71" t="s">
        <v>329</v>
      </c>
      <c r="G95" s="72">
        <v>64</v>
      </c>
      <c r="H95" s="73">
        <f>INT((G95*Valores!$C$2*100)+0.5)/100</f>
        <v>440.2</v>
      </c>
      <c r="I95" s="74">
        <v>2086</v>
      </c>
      <c r="J95" s="75">
        <f>INT((I95*Valores!$C$2*100)+0.5)/100</f>
        <v>14347.93</v>
      </c>
      <c r="K95" s="102">
        <v>0</v>
      </c>
      <c r="L95" s="75">
        <f>INT((K95*Valores!$C$2*100)+0.5)/100</f>
        <v>0</v>
      </c>
      <c r="M95" s="100">
        <v>0</v>
      </c>
      <c r="N95" s="75">
        <f>INT((M95*Valores!$C$2*100)+0.5)/100</f>
        <v>0</v>
      </c>
      <c r="O95" s="75">
        <f t="shared" si="15"/>
        <v>2835.1124999999997</v>
      </c>
      <c r="P95" s="75">
        <f t="shared" si="16"/>
        <v>0</v>
      </c>
      <c r="Q95" s="77">
        <f>Valores!$C$16</f>
        <v>4450.7</v>
      </c>
      <c r="R95" s="77">
        <f>Valores!$D$4</f>
        <v>3076.62</v>
      </c>
      <c r="S95" s="101">
        <f>Valores!$C$26</f>
        <v>3208.72</v>
      </c>
      <c r="T95" s="106">
        <f>Valores!$C$42</f>
        <v>1271.83</v>
      </c>
      <c r="U95" s="75">
        <f>Valores!$C$23</f>
        <v>2840.79</v>
      </c>
      <c r="V95" s="75">
        <f t="shared" si="13"/>
        <v>2840.79</v>
      </c>
      <c r="W95" s="75">
        <v>0</v>
      </c>
      <c r="X95" s="75">
        <v>0</v>
      </c>
      <c r="Y95" s="79">
        <v>0</v>
      </c>
      <c r="Z95" s="75">
        <f>Y95*Valores!$C$2</f>
        <v>0</v>
      </c>
      <c r="AA95" s="75">
        <v>0</v>
      </c>
      <c r="AB95" s="80">
        <f>Valores!$C$29</f>
        <v>166.15</v>
      </c>
      <c r="AC95" s="75">
        <f t="shared" si="19"/>
        <v>0</v>
      </c>
      <c r="AD95" s="75">
        <f>Valores!$C$30</f>
        <v>166.15</v>
      </c>
      <c r="AE95" s="79">
        <v>0</v>
      </c>
      <c r="AF95" s="75">
        <f>INT(((AE95*Valores!$C$2)*100)+0.5)/100</f>
        <v>0</v>
      </c>
      <c r="AG95" s="75">
        <f>Valores!$C$58</f>
        <v>337.97</v>
      </c>
      <c r="AH95" s="75">
        <f>Valores!$C$60</f>
        <v>96.56</v>
      </c>
      <c r="AI95" s="81">
        <f t="shared" si="20"/>
        <v>33238.732500000006</v>
      </c>
      <c r="AJ95" s="77">
        <f>Valores!$C$35</f>
        <v>666.25</v>
      </c>
      <c r="AK95" s="78">
        <f>Valores!$C$8</f>
        <v>0</v>
      </c>
      <c r="AL95" s="78">
        <f>Valores!$C$82</f>
        <v>1800</v>
      </c>
      <c r="AM95" s="80">
        <f>Valores!$C$51</f>
        <v>141.62</v>
      </c>
      <c r="AN95" s="82">
        <f t="shared" si="21"/>
        <v>2466.25</v>
      </c>
      <c r="AO95" s="83">
        <f>AI95*-Valores!$C$65</f>
        <v>-4321.0352250000005</v>
      </c>
      <c r="AP95" s="83">
        <f>AI95*-Valores!$C$66</f>
        <v>-166.19366250000004</v>
      </c>
      <c r="AQ95" s="77">
        <f>AI95*-Valores!$C$67</f>
        <v>-1495.7429625000002</v>
      </c>
      <c r="AR95" s="77">
        <f>AI95*-Valores!$C$68</f>
        <v>-897.44577750000019</v>
      </c>
      <c r="AS95" s="77">
        <f>AI95*-Valores!$C$69</f>
        <v>-99.716197500000021</v>
      </c>
      <c r="AT95" s="81">
        <f t="shared" si="17"/>
        <v>29722.010650000004</v>
      </c>
      <c r="AU95" s="81">
        <f t="shared" si="18"/>
        <v>30220.591637500005</v>
      </c>
      <c r="AV95" s="77">
        <f>AI95*Valores!$C$71</f>
        <v>5318.1972000000014</v>
      </c>
      <c r="AW95" s="77">
        <f>AI95*Valores!$C$72</f>
        <v>1495.7429625000002</v>
      </c>
      <c r="AX95" s="77">
        <f>AI95*Valores!$C$73</f>
        <v>332.38732500000009</v>
      </c>
      <c r="AY95" s="77">
        <f>AI95*Valores!$C$75</f>
        <v>1163.3556375000003</v>
      </c>
      <c r="AZ95" s="77">
        <f>AI95*Valores!$C$76</f>
        <v>199.43239500000004</v>
      </c>
      <c r="BA95" s="77">
        <f t="shared" si="22"/>
        <v>1794.8915550000006</v>
      </c>
      <c r="BB95" s="51"/>
      <c r="BC95" s="51">
        <v>25</v>
      </c>
      <c r="BD95" s="27" t="s">
        <v>4</v>
      </c>
    </row>
    <row r="96" spans="1:56" s="27" customFormat="1" ht="11.25" customHeight="1" x14ac:dyDescent="0.2">
      <c r="A96" s="85">
        <v>95</v>
      </c>
      <c r="B96" s="85" t="s">
        <v>163</v>
      </c>
      <c r="C96" s="86" t="s">
        <v>330</v>
      </c>
      <c r="D96" s="86"/>
      <c r="E96" s="86">
        <f t="shared" si="14"/>
        <v>31</v>
      </c>
      <c r="F96" s="87" t="s">
        <v>331</v>
      </c>
      <c r="G96" s="88">
        <v>89</v>
      </c>
      <c r="H96" s="89">
        <f>INT((G96*Valores!$C$2*100)+0.5)/100</f>
        <v>612.16</v>
      </c>
      <c r="I96" s="90">
        <v>2481</v>
      </c>
      <c r="J96" s="91">
        <f>INT((I96*Valores!$C$2*100)+0.5)/100</f>
        <v>17064.810000000001</v>
      </c>
      <c r="K96" s="104">
        <v>0</v>
      </c>
      <c r="L96" s="91">
        <f>INT((K96*Valores!$C$2*100)+0.5)/100</f>
        <v>0</v>
      </c>
      <c r="M96" s="105">
        <v>0</v>
      </c>
      <c r="N96" s="91">
        <f>INT((M96*Valores!$C$2*100)+0.5)/100</f>
        <v>0</v>
      </c>
      <c r="O96" s="91">
        <f t="shared" si="15"/>
        <v>3268.4385000000007</v>
      </c>
      <c r="P96" s="91">
        <f t="shared" si="16"/>
        <v>0</v>
      </c>
      <c r="Q96" s="93">
        <f>Valores!$C$15</f>
        <v>4424.9399999999996</v>
      </c>
      <c r="R96" s="93">
        <f>Valores!$D$4</f>
        <v>3076.62</v>
      </c>
      <c r="S96" s="91">
        <v>0</v>
      </c>
      <c r="T96" s="94">
        <f>Valores!$C$42</f>
        <v>1271.83</v>
      </c>
      <c r="U96" s="91">
        <f>Valores!$C$23</f>
        <v>2840.79</v>
      </c>
      <c r="V96" s="91">
        <f t="shared" si="13"/>
        <v>2840.79</v>
      </c>
      <c r="W96" s="91">
        <v>0</v>
      </c>
      <c r="X96" s="91">
        <v>0</v>
      </c>
      <c r="Y96" s="95">
        <v>0</v>
      </c>
      <c r="Z96" s="91">
        <f>Y96*Valores!$C$2</f>
        <v>0</v>
      </c>
      <c r="AA96" s="91">
        <v>0</v>
      </c>
      <c r="AB96" s="96">
        <f>Valores!$C$29</f>
        <v>166.15</v>
      </c>
      <c r="AC96" s="91">
        <f t="shared" si="19"/>
        <v>0</v>
      </c>
      <c r="AD96" s="91">
        <f>Valores!$C$30</f>
        <v>166.15</v>
      </c>
      <c r="AE96" s="95">
        <v>0</v>
      </c>
      <c r="AF96" s="91">
        <f>INT(((AE96*Valores!$C$2)*100)+0.5)/100</f>
        <v>0</v>
      </c>
      <c r="AG96" s="91">
        <f>Valores!$C$58</f>
        <v>337.97</v>
      </c>
      <c r="AH96" s="91">
        <f>Valores!$C$60</f>
        <v>96.56</v>
      </c>
      <c r="AI96" s="97">
        <f t="shared" si="20"/>
        <v>33326.4185</v>
      </c>
      <c r="AJ96" s="93">
        <f>Valores!$C$35</f>
        <v>666.25</v>
      </c>
      <c r="AK96" s="94">
        <f>Valores!$C$8</f>
        <v>0</v>
      </c>
      <c r="AL96" s="94">
        <f>Valores!$C$81</f>
        <v>1500</v>
      </c>
      <c r="AM96" s="96">
        <f>Valores!$C$51</f>
        <v>141.62</v>
      </c>
      <c r="AN96" s="98">
        <f t="shared" si="21"/>
        <v>2166.25</v>
      </c>
      <c r="AO96" s="99">
        <f>AI96*-Valores!$C$65</f>
        <v>-4332.434405</v>
      </c>
      <c r="AP96" s="99">
        <f>AI96*-Valores!$C$66</f>
        <v>-166.6320925</v>
      </c>
      <c r="AQ96" s="93">
        <f>AI96*-Valores!$C$67</f>
        <v>-1499.6888325</v>
      </c>
      <c r="AR96" s="93">
        <f>AI96*-Valores!$C$68</f>
        <v>-899.81329949999997</v>
      </c>
      <c r="AS96" s="93">
        <f>AI96*-Valores!$C$69</f>
        <v>-99.979255500000008</v>
      </c>
      <c r="AT96" s="97">
        <f t="shared" si="17"/>
        <v>29493.913169999993</v>
      </c>
      <c r="AU96" s="97">
        <f t="shared" si="18"/>
        <v>29993.8094475</v>
      </c>
      <c r="AV96" s="93">
        <f>AI96*Valores!$C$71</f>
        <v>5332.22696</v>
      </c>
      <c r="AW96" s="93">
        <f>AI96*Valores!$C$72</f>
        <v>1499.6888325</v>
      </c>
      <c r="AX96" s="93">
        <f>AI96*Valores!$C$73</f>
        <v>333.264185</v>
      </c>
      <c r="AY96" s="93">
        <f>AI96*Valores!$C$75</f>
        <v>1166.4246475</v>
      </c>
      <c r="AZ96" s="93">
        <f>AI96*Valores!$C$76</f>
        <v>199.95851100000002</v>
      </c>
      <c r="BA96" s="93">
        <f t="shared" si="22"/>
        <v>1799.6265989999999</v>
      </c>
      <c r="BB96" s="85"/>
      <c r="BC96" s="85">
        <v>25</v>
      </c>
      <c r="BD96" s="86" t="s">
        <v>8</v>
      </c>
    </row>
    <row r="97" spans="1:56" s="27" customFormat="1" ht="11.25" customHeight="1" x14ac:dyDescent="0.2">
      <c r="A97" s="51">
        <v>96</v>
      </c>
      <c r="B97" s="51"/>
      <c r="C97" s="27" t="s">
        <v>332</v>
      </c>
      <c r="E97" s="27">
        <f t="shared" si="14"/>
        <v>31</v>
      </c>
      <c r="F97" s="71" t="s">
        <v>333</v>
      </c>
      <c r="G97" s="72">
        <v>89</v>
      </c>
      <c r="H97" s="73">
        <f>INT((G97*Valores!$C$2*100)+0.5)/100</f>
        <v>612.16</v>
      </c>
      <c r="I97" s="74">
        <v>2381</v>
      </c>
      <c r="J97" s="75">
        <f>INT((I97*Valores!$C$2*100)+0.5)/100</f>
        <v>16376.99</v>
      </c>
      <c r="K97" s="102">
        <v>0</v>
      </c>
      <c r="L97" s="75">
        <f>INT((K97*Valores!$C$2*100)+0.5)/100</f>
        <v>0</v>
      </c>
      <c r="M97" s="100">
        <v>0</v>
      </c>
      <c r="N97" s="75">
        <f>INT((M97*Valores!$C$2*100)+0.5)/100</f>
        <v>0</v>
      </c>
      <c r="O97" s="75">
        <f t="shared" si="15"/>
        <v>3165.2655000000004</v>
      </c>
      <c r="P97" s="75">
        <f t="shared" si="16"/>
        <v>0</v>
      </c>
      <c r="Q97" s="77">
        <f>Valores!$C$20</f>
        <v>4231.82</v>
      </c>
      <c r="R97" s="77">
        <f>Valores!$D$4</f>
        <v>3076.62</v>
      </c>
      <c r="S97" s="75">
        <f>Valores!$C$26</f>
        <v>3208.72</v>
      </c>
      <c r="T97" s="78">
        <f>Valores!$C$42</f>
        <v>1271.83</v>
      </c>
      <c r="U97" s="75">
        <f>Valores!$C$23</f>
        <v>2840.79</v>
      </c>
      <c r="V97" s="75">
        <f t="shared" si="13"/>
        <v>2840.79</v>
      </c>
      <c r="W97" s="75">
        <v>0</v>
      </c>
      <c r="X97" s="75">
        <v>0</v>
      </c>
      <c r="Y97" s="79">
        <v>0</v>
      </c>
      <c r="Z97" s="75">
        <f>Y97*Valores!$C$2</f>
        <v>0</v>
      </c>
      <c r="AA97" s="75">
        <v>0</v>
      </c>
      <c r="AB97" s="80">
        <f>Valores!$C$29</f>
        <v>166.15</v>
      </c>
      <c r="AC97" s="75">
        <f t="shared" si="19"/>
        <v>0</v>
      </c>
      <c r="AD97" s="75">
        <f>Valores!$C$30</f>
        <v>166.15</v>
      </c>
      <c r="AE97" s="79">
        <v>0</v>
      </c>
      <c r="AF97" s="75">
        <f>INT(((AE97*Valores!$C$2)*100)+0.5)/100</f>
        <v>0</v>
      </c>
      <c r="AG97" s="75">
        <f>Valores!$C$58</f>
        <v>337.97</v>
      </c>
      <c r="AH97" s="75">
        <f>Valores!$C$60</f>
        <v>96.56</v>
      </c>
      <c r="AI97" s="81">
        <f t="shared" si="20"/>
        <v>35551.025500000003</v>
      </c>
      <c r="AJ97" s="77">
        <f>Valores!$C$35</f>
        <v>666.25</v>
      </c>
      <c r="AK97" s="78">
        <f>Valores!$C$8</f>
        <v>0</v>
      </c>
      <c r="AL97" s="78">
        <f>Valores!$C$81</f>
        <v>1500</v>
      </c>
      <c r="AM97" s="80">
        <f>Valores!$C$51</f>
        <v>141.62</v>
      </c>
      <c r="AN97" s="82">
        <f t="shared" si="21"/>
        <v>2166.25</v>
      </c>
      <c r="AO97" s="83">
        <f>AI97*-Valores!$C$65</f>
        <v>-4621.6333150000009</v>
      </c>
      <c r="AP97" s="83">
        <f>AI97*-Valores!$C$66</f>
        <v>-177.75512750000001</v>
      </c>
      <c r="AQ97" s="77">
        <f>AI97*-Valores!$C$67</f>
        <v>-1599.7961475000002</v>
      </c>
      <c r="AR97" s="77">
        <f>AI97*-Valores!$C$68</f>
        <v>-959.87768850000009</v>
      </c>
      <c r="AS97" s="77">
        <f>AI97*-Valores!$C$69</f>
        <v>-106.65307650000001</v>
      </c>
      <c r="AT97" s="81">
        <f t="shared" si="17"/>
        <v>31318.090910000006</v>
      </c>
      <c r="AU97" s="81">
        <f t="shared" si="18"/>
        <v>31851.356292500008</v>
      </c>
      <c r="AV97" s="77">
        <f>AI97*Valores!$C$71</f>
        <v>5688.1640800000005</v>
      </c>
      <c r="AW97" s="77">
        <f>AI97*Valores!$C$72</f>
        <v>1599.7961475000002</v>
      </c>
      <c r="AX97" s="77">
        <f>AI97*Valores!$C$73</f>
        <v>355.51025500000003</v>
      </c>
      <c r="AY97" s="77">
        <f>AI97*Valores!$C$75</f>
        <v>1244.2858925000003</v>
      </c>
      <c r="AZ97" s="77">
        <f>AI97*Valores!$C$76</f>
        <v>213.30615300000002</v>
      </c>
      <c r="BA97" s="77">
        <f t="shared" si="22"/>
        <v>1919.7553770000004</v>
      </c>
      <c r="BB97" s="51"/>
      <c r="BC97" s="51">
        <v>25</v>
      </c>
      <c r="BD97" s="27" t="s">
        <v>4</v>
      </c>
    </row>
    <row r="98" spans="1:56" s="27" customFormat="1" ht="11.25" customHeight="1" x14ac:dyDescent="0.2">
      <c r="A98" s="51">
        <v>97</v>
      </c>
      <c r="B98" s="51"/>
      <c r="C98" s="27" t="s">
        <v>334</v>
      </c>
      <c r="E98" s="27">
        <f t="shared" si="14"/>
        <v>31</v>
      </c>
      <c r="F98" s="71" t="s">
        <v>335</v>
      </c>
      <c r="G98" s="72">
        <v>89</v>
      </c>
      <c r="H98" s="73">
        <f>INT((G98*Valores!$C$2*100)+0.5)/100</f>
        <v>612.16</v>
      </c>
      <c r="I98" s="74">
        <v>1768</v>
      </c>
      <c r="J98" s="75">
        <f>INT((I98*Valores!$C$2*100)+0.5)/100</f>
        <v>12160.66</v>
      </c>
      <c r="K98" s="102">
        <v>0</v>
      </c>
      <c r="L98" s="75">
        <f>INT((K98*Valores!$C$2*100)+0.5)/100</f>
        <v>0</v>
      </c>
      <c r="M98" s="100">
        <v>0</v>
      </c>
      <c r="N98" s="75">
        <f>INT((M98*Valores!$C$2*100)+0.5)/100</f>
        <v>0</v>
      </c>
      <c r="O98" s="75">
        <f t="shared" si="15"/>
        <v>2532.8160000000003</v>
      </c>
      <c r="P98" s="75">
        <f t="shared" si="16"/>
        <v>0</v>
      </c>
      <c r="Q98" s="77">
        <f>Valores!$C$20</f>
        <v>4231.82</v>
      </c>
      <c r="R98" s="77">
        <f>Valores!$D$4</f>
        <v>3076.62</v>
      </c>
      <c r="S98" s="101">
        <f>Valores!$C$26</f>
        <v>3208.72</v>
      </c>
      <c r="T98" s="106">
        <f>Valores!$C$42</f>
        <v>1271.83</v>
      </c>
      <c r="U98" s="75">
        <f>Valores!$C$23</f>
        <v>2840.79</v>
      </c>
      <c r="V98" s="75">
        <f t="shared" si="13"/>
        <v>2840.79</v>
      </c>
      <c r="W98" s="75">
        <v>0</v>
      </c>
      <c r="X98" s="75">
        <v>0</v>
      </c>
      <c r="Y98" s="79">
        <v>0</v>
      </c>
      <c r="Z98" s="75">
        <f>Y98*Valores!$C$2</f>
        <v>0</v>
      </c>
      <c r="AA98" s="75">
        <v>0</v>
      </c>
      <c r="AB98" s="80">
        <f>Valores!$C$29</f>
        <v>166.15</v>
      </c>
      <c r="AC98" s="75">
        <f t="shared" si="19"/>
        <v>0</v>
      </c>
      <c r="AD98" s="75">
        <f>Valores!$C$30</f>
        <v>166.15</v>
      </c>
      <c r="AE98" s="79">
        <v>0</v>
      </c>
      <c r="AF98" s="75">
        <f>INT(((AE98*Valores!$C$2)*100)+0.5)/100</f>
        <v>0</v>
      </c>
      <c r="AG98" s="75">
        <f>Valores!$C$58</f>
        <v>337.97</v>
      </c>
      <c r="AH98" s="75">
        <f>Valores!$C$60</f>
        <v>96.56</v>
      </c>
      <c r="AI98" s="81">
        <f t="shared" si="20"/>
        <v>30702.246000000003</v>
      </c>
      <c r="AJ98" s="77">
        <f>Valores!$C$35</f>
        <v>666.25</v>
      </c>
      <c r="AK98" s="78">
        <f>Valores!$C$8</f>
        <v>0</v>
      </c>
      <c r="AL98" s="78">
        <f>Valores!$C$81</f>
        <v>1500</v>
      </c>
      <c r="AM98" s="80">
        <f>Valores!$C$51</f>
        <v>141.62</v>
      </c>
      <c r="AN98" s="82">
        <f t="shared" si="21"/>
        <v>2166.25</v>
      </c>
      <c r="AO98" s="83">
        <f>AI98*-Valores!$C$65</f>
        <v>-3991.2919800000004</v>
      </c>
      <c r="AP98" s="83">
        <f>AI98*-Valores!$C$66</f>
        <v>-153.51123000000001</v>
      </c>
      <c r="AQ98" s="77">
        <f>AI98*-Valores!$C$67</f>
        <v>-1381.6010700000002</v>
      </c>
      <c r="AR98" s="77">
        <f>AI98*-Valores!$C$68</f>
        <v>-828.96064200000012</v>
      </c>
      <c r="AS98" s="77">
        <f>AI98*-Valores!$C$69</f>
        <v>-92.106738000000007</v>
      </c>
      <c r="AT98" s="81">
        <f t="shared" si="17"/>
        <v>27342.091719999997</v>
      </c>
      <c r="AU98" s="81">
        <f t="shared" si="18"/>
        <v>27802.625409999997</v>
      </c>
      <c r="AV98" s="77">
        <f>AI98*Valores!$C$71</f>
        <v>4912.3593600000004</v>
      </c>
      <c r="AW98" s="77">
        <f>AI98*Valores!$C$72</f>
        <v>1381.6010700000002</v>
      </c>
      <c r="AX98" s="77">
        <f>AI98*Valores!$C$73</f>
        <v>307.02246000000002</v>
      </c>
      <c r="AY98" s="77">
        <f>AI98*Valores!$C$75</f>
        <v>1074.5786100000003</v>
      </c>
      <c r="AZ98" s="77">
        <f>AI98*Valores!$C$76</f>
        <v>184.21347600000001</v>
      </c>
      <c r="BA98" s="77">
        <f t="shared" si="22"/>
        <v>1657.9212840000002</v>
      </c>
      <c r="BB98" s="51"/>
      <c r="BC98" s="51">
        <v>25</v>
      </c>
      <c r="BD98" s="27" t="s">
        <v>4</v>
      </c>
    </row>
    <row r="99" spans="1:56" s="27" customFormat="1" ht="11.25" customHeight="1" x14ac:dyDescent="0.2">
      <c r="A99" s="51">
        <v>98</v>
      </c>
      <c r="B99" s="51"/>
      <c r="C99" s="27" t="s">
        <v>336</v>
      </c>
      <c r="E99" s="27">
        <f t="shared" si="14"/>
        <v>29</v>
      </c>
      <c r="F99" s="71" t="s">
        <v>337</v>
      </c>
      <c r="G99" s="72">
        <v>89</v>
      </c>
      <c r="H99" s="73">
        <f>INT((G99*Valores!$C$2*100)+0.5)/100</f>
        <v>612.16</v>
      </c>
      <c r="I99" s="74">
        <v>1768</v>
      </c>
      <c r="J99" s="75">
        <f>INT((I99*Valores!$C$2*100)+0.5)/100</f>
        <v>12160.66</v>
      </c>
      <c r="K99" s="102">
        <v>0</v>
      </c>
      <c r="L99" s="75">
        <f>INT((K99*Valores!$C$2*100)+0.5)/100</f>
        <v>0</v>
      </c>
      <c r="M99" s="100">
        <v>0</v>
      </c>
      <c r="N99" s="75">
        <f>INT((M99*Valores!$C$2*100)+0.5)/100</f>
        <v>0</v>
      </c>
      <c r="O99" s="75">
        <f t="shared" si="15"/>
        <v>2532.8160000000003</v>
      </c>
      <c r="P99" s="75">
        <f t="shared" si="16"/>
        <v>0</v>
      </c>
      <c r="Q99" s="77">
        <f>Valores!$C$15</f>
        <v>4424.9399999999996</v>
      </c>
      <c r="R99" s="77">
        <f>Valores!$D$4</f>
        <v>3076.62</v>
      </c>
      <c r="S99" s="101">
        <f>Valores!$C$26</f>
        <v>3208.72</v>
      </c>
      <c r="T99" s="106">
        <f>Valores!$C$42</f>
        <v>1271.83</v>
      </c>
      <c r="U99" s="75">
        <f>Valores!$C$23</f>
        <v>2840.79</v>
      </c>
      <c r="V99" s="75">
        <f t="shared" si="13"/>
        <v>2840.79</v>
      </c>
      <c r="W99" s="75">
        <v>0</v>
      </c>
      <c r="X99" s="75">
        <v>0</v>
      </c>
      <c r="Y99" s="79">
        <v>0</v>
      </c>
      <c r="Z99" s="75">
        <f>Y99*Valores!$C$2</f>
        <v>0</v>
      </c>
      <c r="AA99" s="75">
        <v>0</v>
      </c>
      <c r="AB99" s="80">
        <f>Valores!$C$29</f>
        <v>166.15</v>
      </c>
      <c r="AC99" s="75">
        <f t="shared" si="19"/>
        <v>0</v>
      </c>
      <c r="AD99" s="75">
        <f>Valores!$C$30</f>
        <v>166.15</v>
      </c>
      <c r="AE99" s="79">
        <v>0</v>
      </c>
      <c r="AF99" s="75">
        <f>INT(((AE99*Valores!$C$2)*100)+0.5)/100</f>
        <v>0</v>
      </c>
      <c r="AG99" s="75">
        <f>Valores!$C$58</f>
        <v>337.97</v>
      </c>
      <c r="AH99" s="75">
        <f>Valores!$C$60</f>
        <v>96.56</v>
      </c>
      <c r="AI99" s="81">
        <f t="shared" si="20"/>
        <v>30895.366000000005</v>
      </c>
      <c r="AJ99" s="77">
        <f>Valores!$C$35</f>
        <v>666.25</v>
      </c>
      <c r="AK99" s="78">
        <f>Valores!$C$8</f>
        <v>0</v>
      </c>
      <c r="AL99" s="78">
        <f>Valores!$C$81</f>
        <v>1500</v>
      </c>
      <c r="AM99" s="80">
        <f>Valores!$C$51</f>
        <v>141.62</v>
      </c>
      <c r="AN99" s="82">
        <f t="shared" si="21"/>
        <v>2166.25</v>
      </c>
      <c r="AO99" s="83">
        <f>AI99*-Valores!$C$65</f>
        <v>-4016.3975800000007</v>
      </c>
      <c r="AP99" s="83">
        <f>AI99*-Valores!$C$66</f>
        <v>-154.47683000000004</v>
      </c>
      <c r="AQ99" s="77">
        <f>AI99*-Valores!$C$67</f>
        <v>-1390.2914700000001</v>
      </c>
      <c r="AR99" s="77">
        <f>AI99*-Valores!$C$68</f>
        <v>-834.17488200000014</v>
      </c>
      <c r="AS99" s="77">
        <f>AI99*-Valores!$C$69</f>
        <v>-92.686098000000015</v>
      </c>
      <c r="AT99" s="81">
        <f t="shared" si="17"/>
        <v>27500.450120000009</v>
      </c>
      <c r="AU99" s="81">
        <f t="shared" si="18"/>
        <v>27963.880610000011</v>
      </c>
      <c r="AV99" s="77">
        <f>AI99*Valores!$C$71</f>
        <v>4943.2585600000011</v>
      </c>
      <c r="AW99" s="77">
        <f>AI99*Valores!$C$72</f>
        <v>1390.2914700000001</v>
      </c>
      <c r="AX99" s="77">
        <f>AI99*Valores!$C$73</f>
        <v>308.95366000000007</v>
      </c>
      <c r="AY99" s="77">
        <f>AI99*Valores!$C$75</f>
        <v>1081.3378100000002</v>
      </c>
      <c r="AZ99" s="77">
        <f>AI99*Valores!$C$76</f>
        <v>185.37219600000003</v>
      </c>
      <c r="BA99" s="77">
        <f t="shared" si="22"/>
        <v>1668.3497640000005</v>
      </c>
      <c r="BB99" s="51"/>
      <c r="BC99" s="85"/>
      <c r="BD99" s="27" t="s">
        <v>4</v>
      </c>
    </row>
    <row r="100" spans="1:56" s="27" customFormat="1" ht="11.25" customHeight="1" x14ac:dyDescent="0.2">
      <c r="A100" s="51">
        <v>99</v>
      </c>
      <c r="B100" s="51"/>
      <c r="C100" s="27" t="s">
        <v>338</v>
      </c>
      <c r="E100" s="27">
        <f t="shared" si="14"/>
        <v>31</v>
      </c>
      <c r="F100" s="71" t="s">
        <v>339</v>
      </c>
      <c r="G100" s="72">
        <v>89</v>
      </c>
      <c r="H100" s="73">
        <f>INT((G100*Valores!$C$2*100)+0.5)/100</f>
        <v>612.16</v>
      </c>
      <c r="I100" s="74">
        <v>2211</v>
      </c>
      <c r="J100" s="75">
        <f>INT((I100*Valores!$C$2*100)+0.5)/100</f>
        <v>15207.7</v>
      </c>
      <c r="K100" s="102">
        <v>0</v>
      </c>
      <c r="L100" s="75">
        <f>INT((K100*Valores!$C$2*100)+0.5)/100</f>
        <v>0</v>
      </c>
      <c r="M100" s="100">
        <v>0</v>
      </c>
      <c r="N100" s="75">
        <f>INT((M100*Valores!$C$2*100)+0.5)/100</f>
        <v>0</v>
      </c>
      <c r="O100" s="75">
        <f t="shared" si="15"/>
        <v>2989.8720000000003</v>
      </c>
      <c r="P100" s="75">
        <f t="shared" si="16"/>
        <v>0</v>
      </c>
      <c r="Q100" s="77">
        <f>Valores!$C$15</f>
        <v>4424.9399999999996</v>
      </c>
      <c r="R100" s="77">
        <f>Valores!$D$4</f>
        <v>3076.62</v>
      </c>
      <c r="S100" s="101">
        <f>Valores!$C$26</f>
        <v>3208.72</v>
      </c>
      <c r="T100" s="106">
        <f>Valores!$C$42</f>
        <v>1271.83</v>
      </c>
      <c r="U100" s="75">
        <f>Valores!$C$23</f>
        <v>2840.79</v>
      </c>
      <c r="V100" s="75">
        <f t="shared" si="13"/>
        <v>2840.79</v>
      </c>
      <c r="W100" s="75">
        <v>0</v>
      </c>
      <c r="X100" s="75">
        <v>0</v>
      </c>
      <c r="Y100" s="79">
        <v>0</v>
      </c>
      <c r="Z100" s="75">
        <f>Y100*Valores!$C$2</f>
        <v>0</v>
      </c>
      <c r="AA100" s="75">
        <v>0</v>
      </c>
      <c r="AB100" s="80">
        <f>Valores!$C$29</f>
        <v>166.15</v>
      </c>
      <c r="AC100" s="75">
        <f t="shared" si="19"/>
        <v>0</v>
      </c>
      <c r="AD100" s="75">
        <f>Valores!$C$30</f>
        <v>166.15</v>
      </c>
      <c r="AE100" s="79">
        <v>0</v>
      </c>
      <c r="AF100" s="75">
        <f>INT(((AE100*Valores!$C$2)*100)+0.5)/100</f>
        <v>0</v>
      </c>
      <c r="AG100" s="75">
        <f>Valores!$C$58</f>
        <v>337.97</v>
      </c>
      <c r="AH100" s="75">
        <f>Valores!$C$60</f>
        <v>96.56</v>
      </c>
      <c r="AI100" s="81">
        <f t="shared" si="20"/>
        <v>34399.462</v>
      </c>
      <c r="AJ100" s="77">
        <f>Valores!$C$35</f>
        <v>666.25</v>
      </c>
      <c r="AK100" s="78">
        <f>Valores!$C$8</f>
        <v>0</v>
      </c>
      <c r="AL100" s="78">
        <f>Valores!$C$81</f>
        <v>1500</v>
      </c>
      <c r="AM100" s="80">
        <f>Valores!$C$51</f>
        <v>141.62</v>
      </c>
      <c r="AN100" s="82">
        <f t="shared" si="21"/>
        <v>2166.25</v>
      </c>
      <c r="AO100" s="83">
        <f>AI100*-Valores!$C$65</f>
        <v>-4471.9300599999997</v>
      </c>
      <c r="AP100" s="83">
        <f>AI100*-Valores!$C$66</f>
        <v>-171.99731</v>
      </c>
      <c r="AQ100" s="77">
        <f>AI100*-Valores!$C$67</f>
        <v>-1547.97579</v>
      </c>
      <c r="AR100" s="77">
        <f>AI100*-Valores!$C$68</f>
        <v>-928.78547400000002</v>
      </c>
      <c r="AS100" s="77">
        <f>AI100*-Valores!$C$69</f>
        <v>-103.198386</v>
      </c>
      <c r="AT100" s="81">
        <f t="shared" si="17"/>
        <v>30373.808840000005</v>
      </c>
      <c r="AU100" s="81">
        <f t="shared" si="18"/>
        <v>30889.800770000005</v>
      </c>
      <c r="AV100" s="77">
        <f>AI100*Valores!$C$71</f>
        <v>5503.91392</v>
      </c>
      <c r="AW100" s="77">
        <f>AI100*Valores!$C$72</f>
        <v>1547.97579</v>
      </c>
      <c r="AX100" s="77">
        <f>AI100*Valores!$C$73</f>
        <v>343.99462</v>
      </c>
      <c r="AY100" s="77">
        <f>AI100*Valores!$C$75</f>
        <v>1203.98117</v>
      </c>
      <c r="AZ100" s="77">
        <f>AI100*Valores!$C$76</f>
        <v>206.396772</v>
      </c>
      <c r="BA100" s="77">
        <f t="shared" si="22"/>
        <v>1857.5709480000003</v>
      </c>
      <c r="BB100" s="51"/>
      <c r="BC100" s="51"/>
      <c r="BD100" s="27" t="s">
        <v>4</v>
      </c>
    </row>
    <row r="101" spans="1:56" s="27" customFormat="1" ht="11.25" customHeight="1" x14ac:dyDescent="0.2">
      <c r="A101" s="85">
        <v>100</v>
      </c>
      <c r="B101" s="85" t="s">
        <v>163</v>
      </c>
      <c r="C101" s="86" t="s">
        <v>340</v>
      </c>
      <c r="D101" s="86"/>
      <c r="E101" s="86">
        <f t="shared" si="14"/>
        <v>31</v>
      </c>
      <c r="F101" s="87" t="s">
        <v>341</v>
      </c>
      <c r="G101" s="88">
        <v>89</v>
      </c>
      <c r="H101" s="89">
        <f>INT((G101*Valores!$C$2*100)+0.5)/100</f>
        <v>612.16</v>
      </c>
      <c r="I101" s="90">
        <v>1956</v>
      </c>
      <c r="J101" s="91">
        <f>INT((I101*Valores!$C$2*100)+0.5)/100</f>
        <v>13453.76</v>
      </c>
      <c r="K101" s="104">
        <v>0</v>
      </c>
      <c r="L101" s="91">
        <f>INT((K101*Valores!$C$2*100)+0.5)/100</f>
        <v>0</v>
      </c>
      <c r="M101" s="105">
        <v>0</v>
      </c>
      <c r="N101" s="91">
        <f>INT((M101*Valores!$C$2*100)+0.5)/100</f>
        <v>0</v>
      </c>
      <c r="O101" s="91">
        <f t="shared" si="15"/>
        <v>2726.7809999999999</v>
      </c>
      <c r="P101" s="91">
        <f t="shared" si="16"/>
        <v>0</v>
      </c>
      <c r="Q101" s="93">
        <f>Valores!$C$20</f>
        <v>4231.82</v>
      </c>
      <c r="R101" s="93">
        <f>Valores!$D$4</f>
        <v>3076.62</v>
      </c>
      <c r="S101" s="91">
        <v>0</v>
      </c>
      <c r="T101" s="94">
        <f>Valores!$C$42</f>
        <v>1271.83</v>
      </c>
      <c r="U101" s="91">
        <f>Valores!$C$23</f>
        <v>2840.79</v>
      </c>
      <c r="V101" s="91">
        <f t="shared" si="13"/>
        <v>2840.79</v>
      </c>
      <c r="W101" s="91">
        <v>0</v>
      </c>
      <c r="X101" s="91">
        <v>0</v>
      </c>
      <c r="Y101" s="95">
        <v>0</v>
      </c>
      <c r="Z101" s="91">
        <f>Y101*Valores!$C$2</f>
        <v>0</v>
      </c>
      <c r="AA101" s="91">
        <v>0</v>
      </c>
      <c r="AB101" s="96">
        <f>Valores!$C$29</f>
        <v>166.15</v>
      </c>
      <c r="AC101" s="91">
        <f t="shared" si="19"/>
        <v>0</v>
      </c>
      <c r="AD101" s="91">
        <f>Valores!$C$30</f>
        <v>166.15</v>
      </c>
      <c r="AE101" s="95">
        <v>0</v>
      </c>
      <c r="AF101" s="91">
        <f>INT(((AE101*Valores!$C$2)*100)+0.5)/100</f>
        <v>0</v>
      </c>
      <c r="AG101" s="91">
        <f>Valores!$C$58</f>
        <v>337.97</v>
      </c>
      <c r="AH101" s="91">
        <f>Valores!$C$60</f>
        <v>96.56</v>
      </c>
      <c r="AI101" s="97">
        <f t="shared" si="20"/>
        <v>28980.591000000004</v>
      </c>
      <c r="AJ101" s="93">
        <f>Valores!$C$35</f>
        <v>666.25</v>
      </c>
      <c r="AK101" s="94">
        <f>Valores!$C$8</f>
        <v>0</v>
      </c>
      <c r="AL101" s="94">
        <f>Valores!$C$81</f>
        <v>1500</v>
      </c>
      <c r="AM101" s="96">
        <f>Valores!$C$51</f>
        <v>141.62</v>
      </c>
      <c r="AN101" s="98">
        <f t="shared" si="21"/>
        <v>2166.25</v>
      </c>
      <c r="AO101" s="99">
        <f>AI101*-Valores!$C$65</f>
        <v>-3767.4768300000005</v>
      </c>
      <c r="AP101" s="99">
        <f>AI101*-Valores!$C$66</f>
        <v>-144.90295500000002</v>
      </c>
      <c r="AQ101" s="93">
        <f>AI101*-Valores!$C$67</f>
        <v>-1304.1265950000002</v>
      </c>
      <c r="AR101" s="93">
        <f>AI101*-Valores!$C$68</f>
        <v>-782.47595700000011</v>
      </c>
      <c r="AS101" s="93">
        <f>AI101*-Valores!$C$69</f>
        <v>-86.941773000000012</v>
      </c>
      <c r="AT101" s="97">
        <f t="shared" si="17"/>
        <v>25930.334620000001</v>
      </c>
      <c r="AU101" s="97">
        <f t="shared" si="18"/>
        <v>26365.043485000006</v>
      </c>
      <c r="AV101" s="93">
        <f>AI101*Valores!$C$71</f>
        <v>4636.8945600000006</v>
      </c>
      <c r="AW101" s="93">
        <f>AI101*Valores!$C$72</f>
        <v>1304.1265950000002</v>
      </c>
      <c r="AX101" s="93">
        <f>AI101*Valores!$C$73</f>
        <v>289.80591000000004</v>
      </c>
      <c r="AY101" s="93">
        <f>AI101*Valores!$C$75</f>
        <v>1014.3206850000003</v>
      </c>
      <c r="AZ101" s="93">
        <f>AI101*Valores!$C$76</f>
        <v>173.88354600000002</v>
      </c>
      <c r="BA101" s="93">
        <f t="shared" si="22"/>
        <v>1564.9519140000004</v>
      </c>
      <c r="BB101" s="85"/>
      <c r="BC101" s="85"/>
      <c r="BD101" s="86" t="s">
        <v>8</v>
      </c>
    </row>
    <row r="102" spans="1:56" s="27" customFormat="1" ht="11.25" customHeight="1" x14ac:dyDescent="0.2">
      <c r="A102" s="51">
        <v>101</v>
      </c>
      <c r="B102" s="51"/>
      <c r="C102" s="27" t="s">
        <v>342</v>
      </c>
      <c r="E102" s="27">
        <f t="shared" si="14"/>
        <v>31</v>
      </c>
      <c r="F102" s="71" t="s">
        <v>343</v>
      </c>
      <c r="G102" s="72">
        <v>89</v>
      </c>
      <c r="H102" s="73">
        <f>INT((G102*Valores!$C$2*100)+0.5)/100</f>
        <v>612.16</v>
      </c>
      <c r="I102" s="74">
        <v>1267</v>
      </c>
      <c r="J102" s="75">
        <f>INT((I102*Valores!$C$2*100)+0.5)/100</f>
        <v>8714.68</v>
      </c>
      <c r="K102" s="102">
        <v>0</v>
      </c>
      <c r="L102" s="75">
        <f>INT((K102*Valores!$C$2*100)+0.5)/100</f>
        <v>0</v>
      </c>
      <c r="M102" s="100">
        <v>0</v>
      </c>
      <c r="N102" s="75">
        <f>INT((M102*Valores!$C$2*100)+0.5)/100</f>
        <v>0</v>
      </c>
      <c r="O102" s="75">
        <f t="shared" si="15"/>
        <v>2015.9190000000001</v>
      </c>
      <c r="P102" s="75">
        <f t="shared" si="16"/>
        <v>0</v>
      </c>
      <c r="Q102" s="77">
        <f>Valores!$C$20</f>
        <v>4231.82</v>
      </c>
      <c r="R102" s="77">
        <f>Valores!$D$4</f>
        <v>3076.62</v>
      </c>
      <c r="S102" s="75">
        <v>0</v>
      </c>
      <c r="T102" s="78">
        <f>Valores!$C$42</f>
        <v>1271.83</v>
      </c>
      <c r="U102" s="75">
        <f>Valores!$C$23</f>
        <v>2840.79</v>
      </c>
      <c r="V102" s="75">
        <f t="shared" si="13"/>
        <v>2840.79</v>
      </c>
      <c r="W102" s="75">
        <v>0</v>
      </c>
      <c r="X102" s="75">
        <v>0</v>
      </c>
      <c r="Y102" s="79">
        <v>0</v>
      </c>
      <c r="Z102" s="75">
        <f>Y102*Valores!$C$2</f>
        <v>0</v>
      </c>
      <c r="AA102" s="75">
        <v>0</v>
      </c>
      <c r="AB102" s="80">
        <f>Valores!$C$29</f>
        <v>166.15</v>
      </c>
      <c r="AC102" s="75">
        <f t="shared" si="19"/>
        <v>0</v>
      </c>
      <c r="AD102" s="75">
        <f>Valores!$C$30</f>
        <v>166.15</v>
      </c>
      <c r="AE102" s="79">
        <v>0</v>
      </c>
      <c r="AF102" s="75">
        <f>INT(((AE102*Valores!$C$2)*100)+0.5)/100</f>
        <v>0</v>
      </c>
      <c r="AG102" s="75">
        <f>Valores!$C$58</f>
        <v>337.97</v>
      </c>
      <c r="AH102" s="75">
        <f>Valores!$C$60</f>
        <v>96.56</v>
      </c>
      <c r="AI102" s="81">
        <f t="shared" si="20"/>
        <v>23530.649000000009</v>
      </c>
      <c r="AJ102" s="77">
        <f>Valores!$C$35</f>
        <v>666.25</v>
      </c>
      <c r="AK102" s="78">
        <f>Valores!$C$8</f>
        <v>0</v>
      </c>
      <c r="AL102" s="78">
        <f>Valores!$C$81</f>
        <v>1500</v>
      </c>
      <c r="AM102" s="80">
        <f>Valores!$C$51</f>
        <v>141.62</v>
      </c>
      <c r="AN102" s="82">
        <f t="shared" si="21"/>
        <v>2166.25</v>
      </c>
      <c r="AO102" s="83">
        <f>AI102*-Valores!$C$65</f>
        <v>-3058.984370000001</v>
      </c>
      <c r="AP102" s="83">
        <f>AI102*-Valores!$C$66</f>
        <v>-117.65324500000004</v>
      </c>
      <c r="AQ102" s="77">
        <f>AI102*-Valores!$C$67</f>
        <v>-1058.8792050000004</v>
      </c>
      <c r="AR102" s="77">
        <f>AI102*-Valores!$C$68</f>
        <v>-635.32752300000027</v>
      </c>
      <c r="AS102" s="77">
        <f>AI102*-Valores!$C$69</f>
        <v>-70.591947000000033</v>
      </c>
      <c r="AT102" s="81">
        <f t="shared" si="17"/>
        <v>21461.382180000004</v>
      </c>
      <c r="AU102" s="81">
        <f t="shared" si="18"/>
        <v>21814.341915000005</v>
      </c>
      <c r="AV102" s="77">
        <f>AI102*Valores!$C$71</f>
        <v>3764.9038400000013</v>
      </c>
      <c r="AW102" s="77">
        <f>AI102*Valores!$C$72</f>
        <v>1058.8792050000004</v>
      </c>
      <c r="AX102" s="77">
        <f>AI102*Valores!$C$73</f>
        <v>235.30649000000008</v>
      </c>
      <c r="AY102" s="77">
        <f>AI102*Valores!$C$75</f>
        <v>823.57271500000036</v>
      </c>
      <c r="AZ102" s="77">
        <f>AI102*Valores!$C$76</f>
        <v>141.18389400000007</v>
      </c>
      <c r="BA102" s="77">
        <f t="shared" si="22"/>
        <v>1270.6550460000005</v>
      </c>
      <c r="BB102" s="51"/>
      <c r="BC102" s="51"/>
      <c r="BD102" s="27" t="s">
        <v>8</v>
      </c>
    </row>
    <row r="103" spans="1:56" s="27" customFormat="1" ht="11.25" customHeight="1" x14ac:dyDescent="0.2">
      <c r="A103" s="51">
        <v>102</v>
      </c>
      <c r="B103" s="51"/>
      <c r="C103" s="27" t="s">
        <v>344</v>
      </c>
      <c r="E103" s="27">
        <f t="shared" si="14"/>
        <v>31</v>
      </c>
      <c r="F103" s="71" t="s">
        <v>345</v>
      </c>
      <c r="G103" s="72">
        <v>67</v>
      </c>
      <c r="H103" s="73">
        <f>INT((G103*Valores!$C$2*100)+0.5)/100</f>
        <v>460.84</v>
      </c>
      <c r="I103" s="74">
        <v>2108</v>
      </c>
      <c r="J103" s="75">
        <f>INT((I103*Valores!$C$2*100)+0.5)/100</f>
        <v>14499.25</v>
      </c>
      <c r="K103" s="102">
        <v>0</v>
      </c>
      <c r="L103" s="75">
        <f>INT((K103*Valores!$C$2*100)+0.5)/100</f>
        <v>0</v>
      </c>
      <c r="M103" s="100">
        <v>0</v>
      </c>
      <c r="N103" s="75">
        <f>INT((M103*Valores!$C$2*100)+0.5)/100</f>
        <v>0</v>
      </c>
      <c r="O103" s="75">
        <f t="shared" si="15"/>
        <v>2807.4090000000001</v>
      </c>
      <c r="P103" s="75">
        <f t="shared" si="16"/>
        <v>0</v>
      </c>
      <c r="Q103" s="77">
        <f>Valores!$C$20</f>
        <v>4231.82</v>
      </c>
      <c r="R103" s="77">
        <f>Valores!$D$4</f>
        <v>3076.62</v>
      </c>
      <c r="S103" s="75">
        <v>0</v>
      </c>
      <c r="T103" s="78">
        <f>Valores!$C$40</f>
        <v>953.84</v>
      </c>
      <c r="U103" s="101">
        <f>Valores!$C$24</f>
        <v>2802.13</v>
      </c>
      <c r="V103" s="75">
        <f t="shared" si="13"/>
        <v>2802.13</v>
      </c>
      <c r="W103" s="75">
        <v>0</v>
      </c>
      <c r="X103" s="75">
        <v>0</v>
      </c>
      <c r="Y103" s="79">
        <v>0</v>
      </c>
      <c r="Z103" s="75">
        <f>Y103*Valores!$C$2</f>
        <v>0</v>
      </c>
      <c r="AA103" s="75">
        <v>0</v>
      </c>
      <c r="AB103" s="80">
        <f>Valores!$C$29</f>
        <v>166.15</v>
      </c>
      <c r="AC103" s="75">
        <f t="shared" si="19"/>
        <v>0</v>
      </c>
      <c r="AD103" s="75">
        <f>Valores!$C$30</f>
        <v>166.15</v>
      </c>
      <c r="AE103" s="79">
        <v>0</v>
      </c>
      <c r="AF103" s="75">
        <f>INT(((AE103*Valores!$C$2)*100)+0.5)/100</f>
        <v>0</v>
      </c>
      <c r="AG103" s="75">
        <f>Valores!$C$58</f>
        <v>337.97</v>
      </c>
      <c r="AH103" s="75">
        <f>Valores!$C$60</f>
        <v>96.56</v>
      </c>
      <c r="AI103" s="81">
        <f t="shared" si="20"/>
        <v>29598.739000000005</v>
      </c>
      <c r="AJ103" s="77">
        <f>Valores!$C$35</f>
        <v>666.25</v>
      </c>
      <c r="AK103" s="78">
        <f>Valores!$C$6</f>
        <v>0</v>
      </c>
      <c r="AL103" s="78">
        <f>Valores!$C$81</f>
        <v>1500</v>
      </c>
      <c r="AM103" s="80">
        <f>Valores!$C$51</f>
        <v>141.62</v>
      </c>
      <c r="AN103" s="82">
        <f t="shared" si="21"/>
        <v>2166.25</v>
      </c>
      <c r="AO103" s="83">
        <f>AI103*-Valores!$C$65</f>
        <v>-3847.8360700000007</v>
      </c>
      <c r="AP103" s="83">
        <f>AI103*-Valores!$C$66</f>
        <v>-147.99369500000003</v>
      </c>
      <c r="AQ103" s="77">
        <f>AI103*-Valores!$C$67</f>
        <v>-1331.9432550000001</v>
      </c>
      <c r="AR103" s="77">
        <f>AI103*-Valores!$C$68</f>
        <v>-799.16595300000017</v>
      </c>
      <c r="AS103" s="77">
        <f>AI103*-Valores!$C$69</f>
        <v>-88.796217000000013</v>
      </c>
      <c r="AT103" s="81">
        <f t="shared" si="17"/>
        <v>26437.215980000004</v>
      </c>
      <c r="AU103" s="81">
        <f t="shared" si="18"/>
        <v>26881.197065000004</v>
      </c>
      <c r="AV103" s="77">
        <f>AI103*Valores!$C$71</f>
        <v>4735.798240000001</v>
      </c>
      <c r="AW103" s="77">
        <f>AI103*Valores!$C$72</f>
        <v>1331.9432550000001</v>
      </c>
      <c r="AX103" s="77">
        <f>AI103*Valores!$C$73</f>
        <v>295.98739000000006</v>
      </c>
      <c r="AY103" s="77">
        <f>AI103*Valores!$C$75</f>
        <v>1035.9558650000004</v>
      </c>
      <c r="AZ103" s="77">
        <f>AI103*Valores!$C$76</f>
        <v>177.59243400000003</v>
      </c>
      <c r="BA103" s="77">
        <f t="shared" si="22"/>
        <v>1598.3319060000003</v>
      </c>
      <c r="BB103" s="51"/>
      <c r="BC103" s="51">
        <v>30</v>
      </c>
      <c r="BD103" s="27" t="s">
        <v>4</v>
      </c>
    </row>
    <row r="104" spans="1:56" s="27" customFormat="1" ht="11.25" customHeight="1" x14ac:dyDescent="0.2">
      <c r="A104" s="51">
        <v>103</v>
      </c>
      <c r="B104" s="51"/>
      <c r="C104" s="27" t="s">
        <v>346</v>
      </c>
      <c r="E104" s="27">
        <f t="shared" si="14"/>
        <v>30</v>
      </c>
      <c r="F104" s="71" t="s">
        <v>347</v>
      </c>
      <c r="G104" s="72">
        <v>45</v>
      </c>
      <c r="H104" s="73">
        <f>INT((G104*Valores!$C$2*100)+0.5)/100</f>
        <v>309.52</v>
      </c>
      <c r="I104" s="74">
        <v>1502</v>
      </c>
      <c r="J104" s="75">
        <f>INT((I104*Valores!$C$2*100)+0.5)/100</f>
        <v>10331.06</v>
      </c>
      <c r="K104" s="102">
        <v>0</v>
      </c>
      <c r="L104" s="75">
        <f>INT((K104*Valores!$C$2*100)+0.5)/100</f>
        <v>0</v>
      </c>
      <c r="M104" s="100">
        <v>0</v>
      </c>
      <c r="N104" s="75">
        <f>INT((M104*Valores!$C$2*100)+0.5)/100</f>
        <v>0</v>
      </c>
      <c r="O104" s="75">
        <f t="shared" si="15"/>
        <v>2159.4824999999996</v>
      </c>
      <c r="P104" s="75">
        <f t="shared" si="16"/>
        <v>0</v>
      </c>
      <c r="Q104" s="77">
        <f>Valores!$C$20</f>
        <v>4231.82</v>
      </c>
      <c r="R104" s="77">
        <f>Valores!$D$4</f>
        <v>3076.62</v>
      </c>
      <c r="S104" s="75">
        <v>0</v>
      </c>
      <c r="T104" s="78">
        <f>Valores!$C$40</f>
        <v>953.84</v>
      </c>
      <c r="U104" s="101">
        <f>Valores!$C$24</f>
        <v>2802.13</v>
      </c>
      <c r="V104" s="75">
        <f t="shared" si="13"/>
        <v>2802.13</v>
      </c>
      <c r="W104" s="75">
        <v>0</v>
      </c>
      <c r="X104" s="75">
        <v>0</v>
      </c>
      <c r="Y104" s="79">
        <v>0</v>
      </c>
      <c r="Z104" s="75">
        <f>Y104*Valores!$C$2</f>
        <v>0</v>
      </c>
      <c r="AA104" s="75">
        <v>0</v>
      </c>
      <c r="AB104" s="80">
        <f>Valores!$C$29</f>
        <v>166.15</v>
      </c>
      <c r="AC104" s="75">
        <f t="shared" si="19"/>
        <v>0</v>
      </c>
      <c r="AD104" s="75">
        <f>Valores!$C$30</f>
        <v>166.15</v>
      </c>
      <c r="AE104" s="79">
        <v>0</v>
      </c>
      <c r="AF104" s="75">
        <f>INT(((AE104*Valores!$C$2)*100)+0.5)/100</f>
        <v>0</v>
      </c>
      <c r="AG104" s="75">
        <f>Valores!$C$58</f>
        <v>337.97</v>
      </c>
      <c r="AH104" s="75">
        <f>Valores!$C$60</f>
        <v>96.56</v>
      </c>
      <c r="AI104" s="81">
        <f t="shared" si="20"/>
        <v>24631.302500000005</v>
      </c>
      <c r="AJ104" s="77">
        <f>Valores!$C$35</f>
        <v>666.25</v>
      </c>
      <c r="AK104" s="78">
        <f>Valores!$C$6</f>
        <v>0</v>
      </c>
      <c r="AL104" s="78">
        <f>Valores!$C$81</f>
        <v>1500</v>
      </c>
      <c r="AM104" s="80">
        <f>Valores!$C$51</f>
        <v>141.62</v>
      </c>
      <c r="AN104" s="82">
        <f t="shared" si="21"/>
        <v>2166.25</v>
      </c>
      <c r="AO104" s="83">
        <f>AI104*-Valores!$C$65</f>
        <v>-3202.0693250000008</v>
      </c>
      <c r="AP104" s="83">
        <f>AI104*-Valores!$C$66</f>
        <v>-123.15651250000003</v>
      </c>
      <c r="AQ104" s="77">
        <f>AI104*-Valores!$C$67</f>
        <v>-1108.4086125000001</v>
      </c>
      <c r="AR104" s="77">
        <f>AI104*-Valores!$C$68</f>
        <v>-665.04516750000016</v>
      </c>
      <c r="AS104" s="77">
        <f>AI104*-Valores!$C$69</f>
        <v>-73.893907500000012</v>
      </c>
      <c r="AT104" s="81">
        <f t="shared" si="17"/>
        <v>22363.918050000004</v>
      </c>
      <c r="AU104" s="81">
        <f t="shared" si="18"/>
        <v>22733.387587500001</v>
      </c>
      <c r="AV104" s="77">
        <f>AI104*Valores!$C$71</f>
        <v>3941.0084000000011</v>
      </c>
      <c r="AW104" s="77">
        <f>AI104*Valores!$C$72</f>
        <v>1108.4086125000001</v>
      </c>
      <c r="AX104" s="77">
        <f>AI104*Valores!$C$73</f>
        <v>246.31302500000007</v>
      </c>
      <c r="AY104" s="77">
        <f>AI104*Valores!$C$75</f>
        <v>862.09558750000031</v>
      </c>
      <c r="AZ104" s="77">
        <f>AI104*Valores!$C$76</f>
        <v>147.78781500000002</v>
      </c>
      <c r="BA104" s="77">
        <f t="shared" si="22"/>
        <v>1330.0903350000006</v>
      </c>
      <c r="BB104" s="51"/>
      <c r="BC104" s="85"/>
      <c r="BD104" s="27" t="s">
        <v>4</v>
      </c>
    </row>
    <row r="105" spans="1:56" s="27" customFormat="1" ht="11.25" customHeight="1" x14ac:dyDescent="0.2">
      <c r="A105" s="51">
        <v>104</v>
      </c>
      <c r="B105" s="51"/>
      <c r="C105" s="27" t="s">
        <v>348</v>
      </c>
      <c r="E105" s="27">
        <f t="shared" si="14"/>
        <v>32</v>
      </c>
      <c r="F105" s="71" t="s">
        <v>349</v>
      </c>
      <c r="G105" s="72">
        <v>61</v>
      </c>
      <c r="H105" s="73">
        <f>INT((G105*Valores!$C$2*100)+0.5)/100</f>
        <v>419.57</v>
      </c>
      <c r="I105" s="74">
        <v>2114</v>
      </c>
      <c r="J105" s="75">
        <f>INT((I105*Valores!$C$2*100)+0.5)/100</f>
        <v>14540.51</v>
      </c>
      <c r="K105" s="102">
        <v>0</v>
      </c>
      <c r="L105" s="75">
        <f>INT((K105*Valores!$C$2*100)+0.5)/100</f>
        <v>0</v>
      </c>
      <c r="M105" s="100">
        <v>0</v>
      </c>
      <c r="N105" s="75">
        <f>INT((M105*Valores!$C$2*100)+0.5)/100</f>
        <v>0</v>
      </c>
      <c r="O105" s="75">
        <f t="shared" si="15"/>
        <v>2807.4074999999998</v>
      </c>
      <c r="P105" s="75">
        <f t="shared" si="16"/>
        <v>0</v>
      </c>
      <c r="Q105" s="77">
        <f>Valores!$C$20</f>
        <v>4231.82</v>
      </c>
      <c r="R105" s="77">
        <f>Valores!$D$4</f>
        <v>3076.62</v>
      </c>
      <c r="S105" s="75">
        <v>0</v>
      </c>
      <c r="T105" s="78">
        <f>Valores!$C$40</f>
        <v>953.84</v>
      </c>
      <c r="U105" s="101">
        <f>Valores!$C$24</f>
        <v>2802.13</v>
      </c>
      <c r="V105" s="75">
        <f t="shared" si="13"/>
        <v>2802.13</v>
      </c>
      <c r="W105" s="75">
        <v>0</v>
      </c>
      <c r="X105" s="75">
        <v>0</v>
      </c>
      <c r="Y105" s="79">
        <v>0</v>
      </c>
      <c r="Z105" s="75">
        <f>Y105*Valores!$C$2</f>
        <v>0</v>
      </c>
      <c r="AA105" s="75">
        <v>0</v>
      </c>
      <c r="AB105" s="80">
        <f>Valores!$C$29</f>
        <v>166.15</v>
      </c>
      <c r="AC105" s="75">
        <f t="shared" si="19"/>
        <v>0</v>
      </c>
      <c r="AD105" s="75">
        <f>Valores!$C$30</f>
        <v>166.15</v>
      </c>
      <c r="AE105" s="79">
        <v>0</v>
      </c>
      <c r="AF105" s="75">
        <f>INT(((AE105*Valores!$C$2)*100)+0.5)/100</f>
        <v>0</v>
      </c>
      <c r="AG105" s="75">
        <f>Valores!$C$58</f>
        <v>337.97</v>
      </c>
      <c r="AH105" s="75">
        <f>Valores!$C$60</f>
        <v>96.56</v>
      </c>
      <c r="AI105" s="81">
        <f t="shared" si="20"/>
        <v>29598.727500000005</v>
      </c>
      <c r="AJ105" s="77">
        <f>Valores!$C$35</f>
        <v>666.25</v>
      </c>
      <c r="AK105" s="78">
        <f>Valores!$C$6</f>
        <v>0</v>
      </c>
      <c r="AL105" s="78">
        <f>Valores!$C$81</f>
        <v>1500</v>
      </c>
      <c r="AM105" s="80">
        <f>Valores!$C$51</f>
        <v>141.62</v>
      </c>
      <c r="AN105" s="82">
        <f t="shared" si="21"/>
        <v>2166.25</v>
      </c>
      <c r="AO105" s="83">
        <f>AI105*-Valores!$C$65</f>
        <v>-3847.8345750000008</v>
      </c>
      <c r="AP105" s="83">
        <f>AI105*-Valores!$C$66</f>
        <v>-147.99363750000003</v>
      </c>
      <c r="AQ105" s="77">
        <f>AI105*-Valores!$C$67</f>
        <v>-1331.9427375000002</v>
      </c>
      <c r="AR105" s="77">
        <f>AI105*-Valores!$C$68</f>
        <v>-799.1656425000001</v>
      </c>
      <c r="AS105" s="77">
        <f>AI105*-Valores!$C$69</f>
        <v>-88.796182500000015</v>
      </c>
      <c r="AT105" s="81">
        <f t="shared" si="17"/>
        <v>26437.206550000003</v>
      </c>
      <c r="AU105" s="81">
        <f t="shared" si="18"/>
        <v>26881.187462500005</v>
      </c>
      <c r="AV105" s="77">
        <f>AI105*Valores!$C$71</f>
        <v>4735.7964000000011</v>
      </c>
      <c r="AW105" s="77">
        <f>AI105*Valores!$C$72</f>
        <v>1331.9427375000002</v>
      </c>
      <c r="AX105" s="77">
        <f>AI105*Valores!$C$73</f>
        <v>295.98727500000007</v>
      </c>
      <c r="AY105" s="77">
        <f>AI105*Valores!$C$75</f>
        <v>1035.9554625000003</v>
      </c>
      <c r="AZ105" s="77">
        <f>AI105*Valores!$C$76</f>
        <v>177.59236500000003</v>
      </c>
      <c r="BA105" s="77">
        <f t="shared" si="22"/>
        <v>1598.3312850000002</v>
      </c>
      <c r="BB105" s="51"/>
      <c r="BC105" s="51">
        <v>30</v>
      </c>
      <c r="BD105" s="27" t="s">
        <v>4</v>
      </c>
    </row>
    <row r="106" spans="1:56" s="27" customFormat="1" ht="11.25" customHeight="1" x14ac:dyDescent="0.2">
      <c r="A106" s="85">
        <v>105</v>
      </c>
      <c r="B106" s="85" t="s">
        <v>163</v>
      </c>
      <c r="C106" s="86" t="s">
        <v>350</v>
      </c>
      <c r="D106" s="86"/>
      <c r="E106" s="86">
        <f t="shared" si="14"/>
        <v>32</v>
      </c>
      <c r="F106" s="87" t="s">
        <v>351</v>
      </c>
      <c r="G106" s="88">
        <v>59</v>
      </c>
      <c r="H106" s="89">
        <f>INT((G106*Valores!$C$2*100)+0.5)/100</f>
        <v>405.81</v>
      </c>
      <c r="I106" s="90">
        <v>2013</v>
      </c>
      <c r="J106" s="91">
        <f>INT((I106*Valores!$C$2*100)+0.5)/100</f>
        <v>13845.82</v>
      </c>
      <c r="K106" s="104">
        <v>0</v>
      </c>
      <c r="L106" s="91">
        <f>INT((K106*Valores!$C$2*100)+0.5)/100</f>
        <v>0</v>
      </c>
      <c r="M106" s="105">
        <v>0</v>
      </c>
      <c r="N106" s="91">
        <f>INT((M106*Valores!$C$2*100)+0.5)/100</f>
        <v>0</v>
      </c>
      <c r="O106" s="91">
        <f t="shared" si="15"/>
        <v>2701.14</v>
      </c>
      <c r="P106" s="91">
        <f t="shared" si="16"/>
        <v>0</v>
      </c>
      <c r="Q106" s="93">
        <f>Valores!$C$20</f>
        <v>4231.82</v>
      </c>
      <c r="R106" s="93">
        <f>Valores!$D$4</f>
        <v>3076.62</v>
      </c>
      <c r="S106" s="91">
        <v>0</v>
      </c>
      <c r="T106" s="94">
        <f>Valores!$C$40</f>
        <v>953.84</v>
      </c>
      <c r="U106" s="107">
        <f>Valores!$C$24</f>
        <v>2802.13</v>
      </c>
      <c r="V106" s="91">
        <f t="shared" si="13"/>
        <v>2802.13</v>
      </c>
      <c r="W106" s="91">
        <v>0</v>
      </c>
      <c r="X106" s="91">
        <v>0</v>
      </c>
      <c r="Y106" s="95">
        <v>0</v>
      </c>
      <c r="Z106" s="91">
        <f>Y106*Valores!$C$2</f>
        <v>0</v>
      </c>
      <c r="AA106" s="91">
        <v>0</v>
      </c>
      <c r="AB106" s="96">
        <f>Valores!$C$29</f>
        <v>166.15</v>
      </c>
      <c r="AC106" s="91">
        <f t="shared" si="19"/>
        <v>0</v>
      </c>
      <c r="AD106" s="91">
        <f>Valores!$C$30</f>
        <v>166.15</v>
      </c>
      <c r="AE106" s="95">
        <v>0</v>
      </c>
      <c r="AF106" s="91">
        <f>INT(((AE106*Valores!$C$2)*100)+0.5)/100</f>
        <v>0</v>
      </c>
      <c r="AG106" s="91">
        <f>Valores!$C$58</f>
        <v>337.97</v>
      </c>
      <c r="AH106" s="91">
        <f>Valores!$C$60</f>
        <v>96.56</v>
      </c>
      <c r="AI106" s="97">
        <f t="shared" si="20"/>
        <v>28784.010000000006</v>
      </c>
      <c r="AJ106" s="93">
        <f>Valores!$C$35</f>
        <v>666.25</v>
      </c>
      <c r="AK106" s="94">
        <f>Valores!$C$6</f>
        <v>0</v>
      </c>
      <c r="AL106" s="94">
        <f>Valores!$C$81</f>
        <v>1500</v>
      </c>
      <c r="AM106" s="96">
        <f>Valores!$C$51</f>
        <v>141.62</v>
      </c>
      <c r="AN106" s="98">
        <f t="shared" si="21"/>
        <v>2166.25</v>
      </c>
      <c r="AO106" s="99">
        <f>AI106*-Valores!$C$65</f>
        <v>-3741.9213000000009</v>
      </c>
      <c r="AP106" s="99">
        <f>AI106*-Valores!$C$66</f>
        <v>-143.92005000000003</v>
      </c>
      <c r="AQ106" s="93">
        <f>AI106*-Valores!$C$67</f>
        <v>-1295.2804500000002</v>
      </c>
      <c r="AR106" s="93">
        <f>AI106*-Valores!$C$68</f>
        <v>-777.16827000000012</v>
      </c>
      <c r="AS106" s="93">
        <f>AI106*-Valores!$C$69</f>
        <v>-86.352030000000013</v>
      </c>
      <c r="AT106" s="97">
        <f t="shared" si="17"/>
        <v>25769.138200000001</v>
      </c>
      <c r="AU106" s="97">
        <f t="shared" si="18"/>
        <v>26200.898350000003</v>
      </c>
      <c r="AV106" s="93">
        <f>AI106*Valores!$C$71</f>
        <v>4605.441600000001</v>
      </c>
      <c r="AW106" s="93">
        <f>AI106*Valores!$C$72</f>
        <v>1295.2804500000002</v>
      </c>
      <c r="AX106" s="93">
        <f>AI106*Valores!$C$73</f>
        <v>287.84010000000006</v>
      </c>
      <c r="AY106" s="93">
        <f>AI106*Valores!$C$75</f>
        <v>1007.4403500000003</v>
      </c>
      <c r="AZ106" s="93">
        <f>AI106*Valores!$C$76</f>
        <v>172.70406000000003</v>
      </c>
      <c r="BA106" s="93">
        <f t="shared" si="22"/>
        <v>1554.3365400000005</v>
      </c>
      <c r="BB106" s="85"/>
      <c r="BC106" s="85">
        <v>30</v>
      </c>
      <c r="BD106" s="86" t="s">
        <v>4</v>
      </c>
    </row>
    <row r="107" spans="1:56" s="27" customFormat="1" ht="11.25" customHeight="1" x14ac:dyDescent="0.2">
      <c r="A107" s="51">
        <v>106</v>
      </c>
      <c r="B107" s="51"/>
      <c r="C107" s="27" t="s">
        <v>352</v>
      </c>
      <c r="E107" s="27">
        <f t="shared" si="14"/>
        <v>32</v>
      </c>
      <c r="F107" s="71" t="s">
        <v>353</v>
      </c>
      <c r="G107" s="72">
        <v>56</v>
      </c>
      <c r="H107" s="73">
        <f>INT((G107*Valores!$C$2*100)+0.5)/100</f>
        <v>385.18</v>
      </c>
      <c r="I107" s="74">
        <v>1720</v>
      </c>
      <c r="J107" s="75">
        <f>INT((I107*Valores!$C$2*100)+0.5)/100</f>
        <v>11830.5</v>
      </c>
      <c r="K107" s="102">
        <v>0</v>
      </c>
      <c r="L107" s="75">
        <f>INT((K107*Valores!$C$2*100)+0.5)/100</f>
        <v>0</v>
      </c>
      <c r="M107" s="100">
        <v>0</v>
      </c>
      <c r="N107" s="75">
        <f>INT((M107*Valores!$C$2*100)+0.5)/100</f>
        <v>0</v>
      </c>
      <c r="O107" s="75">
        <f t="shared" si="15"/>
        <v>2395.7474999999999</v>
      </c>
      <c r="P107" s="75">
        <f t="shared" si="16"/>
        <v>0</v>
      </c>
      <c r="Q107" s="77">
        <f>Valores!$C$20</f>
        <v>4231.82</v>
      </c>
      <c r="R107" s="77">
        <f>Valores!$D$4</f>
        <v>3076.62</v>
      </c>
      <c r="S107" s="75">
        <v>0</v>
      </c>
      <c r="T107" s="78">
        <f>Valores!$C$40</f>
        <v>953.84</v>
      </c>
      <c r="U107" s="101">
        <f>Valores!$C$24</f>
        <v>2802.13</v>
      </c>
      <c r="V107" s="75">
        <f t="shared" si="13"/>
        <v>2802.13</v>
      </c>
      <c r="W107" s="75">
        <v>0</v>
      </c>
      <c r="X107" s="75">
        <v>0</v>
      </c>
      <c r="Y107" s="79">
        <v>0</v>
      </c>
      <c r="Z107" s="75">
        <f>Y107*Valores!$C$2</f>
        <v>0</v>
      </c>
      <c r="AA107" s="75">
        <v>0</v>
      </c>
      <c r="AB107" s="80">
        <f>Valores!$C$29</f>
        <v>166.15</v>
      </c>
      <c r="AC107" s="75">
        <f t="shared" si="19"/>
        <v>0</v>
      </c>
      <c r="AD107" s="75">
        <f>Valores!$C$30</f>
        <v>166.15</v>
      </c>
      <c r="AE107" s="79">
        <v>0</v>
      </c>
      <c r="AF107" s="75">
        <f>INT(((AE107*Valores!$C$2)*100)+0.5)/100</f>
        <v>0</v>
      </c>
      <c r="AG107" s="75">
        <f>Valores!$C$58</f>
        <v>337.97</v>
      </c>
      <c r="AH107" s="75">
        <f>Valores!$C$60</f>
        <v>96.56</v>
      </c>
      <c r="AI107" s="81">
        <f t="shared" si="20"/>
        <v>26442.667500000003</v>
      </c>
      <c r="AJ107" s="77">
        <f>Valores!$C$35</f>
        <v>666.25</v>
      </c>
      <c r="AK107" s="78">
        <f>Valores!$C$6</f>
        <v>0</v>
      </c>
      <c r="AL107" s="78">
        <f>Valores!$C$81</f>
        <v>1500</v>
      </c>
      <c r="AM107" s="80">
        <f>Valores!$C$51</f>
        <v>141.62</v>
      </c>
      <c r="AN107" s="82">
        <f t="shared" si="21"/>
        <v>2166.25</v>
      </c>
      <c r="AO107" s="83">
        <f>AI107*-Valores!$C$65</f>
        <v>-3437.5467750000007</v>
      </c>
      <c r="AP107" s="83">
        <f>AI107*-Valores!$C$66</f>
        <v>-132.21333750000002</v>
      </c>
      <c r="AQ107" s="77">
        <f>AI107*-Valores!$C$67</f>
        <v>-1189.9200375</v>
      </c>
      <c r="AR107" s="77">
        <f>AI107*-Valores!$C$68</f>
        <v>-713.95202250000011</v>
      </c>
      <c r="AS107" s="77">
        <f>AI107*-Valores!$C$69</f>
        <v>-79.328002500000011</v>
      </c>
      <c r="AT107" s="81">
        <f t="shared" si="17"/>
        <v>23849.237350000003</v>
      </c>
      <c r="AU107" s="81">
        <f t="shared" si="18"/>
        <v>24245.877362500003</v>
      </c>
      <c r="AV107" s="77">
        <f>AI107*Valores!$C$71</f>
        <v>4230.8268000000007</v>
      </c>
      <c r="AW107" s="77">
        <f>AI107*Valores!$C$72</f>
        <v>1189.9200375</v>
      </c>
      <c r="AX107" s="77">
        <f>AI107*Valores!$C$73</f>
        <v>264.42667500000005</v>
      </c>
      <c r="AY107" s="77">
        <f>AI107*Valores!$C$75</f>
        <v>925.49336250000022</v>
      </c>
      <c r="AZ107" s="77">
        <f>AI107*Valores!$C$76</f>
        <v>158.65600500000002</v>
      </c>
      <c r="BA107" s="77">
        <f t="shared" si="22"/>
        <v>1427.9040450000002</v>
      </c>
      <c r="BB107" s="51"/>
      <c r="BC107" s="51">
        <v>30</v>
      </c>
      <c r="BD107" s="27" t="s">
        <v>4</v>
      </c>
    </row>
    <row r="108" spans="1:56" s="27" customFormat="1" ht="11.25" customHeight="1" x14ac:dyDescent="0.2">
      <c r="A108" s="51">
        <v>107</v>
      </c>
      <c r="B108" s="51"/>
      <c r="C108" s="27" t="s">
        <v>354</v>
      </c>
      <c r="E108" s="27">
        <f t="shared" si="14"/>
        <v>30</v>
      </c>
      <c r="F108" s="71" t="s">
        <v>355</v>
      </c>
      <c r="G108" s="72">
        <v>45</v>
      </c>
      <c r="H108" s="73">
        <f>INT((G108*Valores!$C$2*100)+0.5)/100</f>
        <v>309.52</v>
      </c>
      <c r="I108" s="74">
        <v>1502</v>
      </c>
      <c r="J108" s="75">
        <f>INT((I108*Valores!$C$2*100)+0.5)/100</f>
        <v>10331.06</v>
      </c>
      <c r="K108" s="102">
        <v>0</v>
      </c>
      <c r="L108" s="75">
        <f>INT((K108*Valores!$C$2*100)+0.5)/100</f>
        <v>0</v>
      </c>
      <c r="M108" s="100">
        <v>0</v>
      </c>
      <c r="N108" s="75">
        <f>INT((M108*Valores!$C$2*100)+0.5)/100</f>
        <v>0</v>
      </c>
      <c r="O108" s="75">
        <f t="shared" si="15"/>
        <v>2159.4824999999996</v>
      </c>
      <c r="P108" s="75">
        <f t="shared" si="16"/>
        <v>0</v>
      </c>
      <c r="Q108" s="77">
        <f>Valores!$C$20</f>
        <v>4231.82</v>
      </c>
      <c r="R108" s="77">
        <f>Valores!$D$4</f>
        <v>3076.62</v>
      </c>
      <c r="S108" s="75">
        <v>0</v>
      </c>
      <c r="T108" s="78">
        <f>Valores!$C$40</f>
        <v>953.84</v>
      </c>
      <c r="U108" s="101">
        <f>Valores!$C$24</f>
        <v>2802.13</v>
      </c>
      <c r="V108" s="75">
        <f t="shared" si="13"/>
        <v>2802.13</v>
      </c>
      <c r="W108" s="75">
        <v>0</v>
      </c>
      <c r="X108" s="75">
        <v>0</v>
      </c>
      <c r="Y108" s="79">
        <v>0</v>
      </c>
      <c r="Z108" s="75">
        <f>Y108*Valores!$C$2</f>
        <v>0</v>
      </c>
      <c r="AA108" s="75">
        <v>0</v>
      </c>
      <c r="AB108" s="80">
        <f>Valores!$C$29</f>
        <v>166.15</v>
      </c>
      <c r="AC108" s="75">
        <f t="shared" si="19"/>
        <v>0</v>
      </c>
      <c r="AD108" s="75">
        <f>Valores!$C$30</f>
        <v>166.15</v>
      </c>
      <c r="AE108" s="79">
        <v>0</v>
      </c>
      <c r="AF108" s="75">
        <f>INT(((AE108*Valores!$C$2)*100)+0.5)/100</f>
        <v>0</v>
      </c>
      <c r="AG108" s="75">
        <f>Valores!$C$58</f>
        <v>337.97</v>
      </c>
      <c r="AH108" s="75">
        <f>Valores!$C$60</f>
        <v>96.56</v>
      </c>
      <c r="AI108" s="81">
        <f t="shared" si="20"/>
        <v>24631.302500000005</v>
      </c>
      <c r="AJ108" s="77">
        <f>Valores!$C$35</f>
        <v>666.25</v>
      </c>
      <c r="AK108" s="78">
        <f>Valores!$C$6</f>
        <v>0</v>
      </c>
      <c r="AL108" s="78">
        <f>Valores!$C$81</f>
        <v>1500</v>
      </c>
      <c r="AM108" s="80">
        <f>Valores!$C$51</f>
        <v>141.62</v>
      </c>
      <c r="AN108" s="82">
        <f t="shared" si="21"/>
        <v>2166.25</v>
      </c>
      <c r="AO108" s="83">
        <f>AI108*-Valores!$C$65</f>
        <v>-3202.0693250000008</v>
      </c>
      <c r="AP108" s="83">
        <f>AI108*-Valores!$C$66</f>
        <v>-123.15651250000003</v>
      </c>
      <c r="AQ108" s="77">
        <f>AI108*-Valores!$C$67</f>
        <v>-1108.4086125000001</v>
      </c>
      <c r="AR108" s="77">
        <f>AI108*-Valores!$C$68</f>
        <v>-665.04516750000016</v>
      </c>
      <c r="AS108" s="77">
        <f>AI108*-Valores!$C$69</f>
        <v>-73.893907500000012</v>
      </c>
      <c r="AT108" s="81">
        <f t="shared" si="17"/>
        <v>22363.918050000004</v>
      </c>
      <c r="AU108" s="81">
        <f t="shared" si="18"/>
        <v>22733.387587500001</v>
      </c>
      <c r="AV108" s="77">
        <f>AI108*Valores!$C$71</f>
        <v>3941.0084000000011</v>
      </c>
      <c r="AW108" s="77">
        <f>AI108*Valores!$C$72</f>
        <v>1108.4086125000001</v>
      </c>
      <c r="AX108" s="77">
        <f>AI108*Valores!$C$73</f>
        <v>246.31302500000007</v>
      </c>
      <c r="AY108" s="77">
        <f>AI108*Valores!$C$75</f>
        <v>862.09558750000031</v>
      </c>
      <c r="AZ108" s="77">
        <f>AI108*Valores!$C$76</f>
        <v>147.78781500000002</v>
      </c>
      <c r="BA108" s="77">
        <f t="shared" si="22"/>
        <v>1330.0903350000006</v>
      </c>
      <c r="BB108" s="51"/>
      <c r="BC108" s="51">
        <v>30</v>
      </c>
      <c r="BD108" s="27" t="s">
        <v>4</v>
      </c>
    </row>
    <row r="109" spans="1:56" s="27" customFormat="1" ht="11.25" customHeight="1" x14ac:dyDescent="0.2">
      <c r="A109" s="51">
        <v>108</v>
      </c>
      <c r="B109" s="51"/>
      <c r="C109" s="27" t="s">
        <v>356</v>
      </c>
      <c r="E109" s="27">
        <f t="shared" si="14"/>
        <v>30</v>
      </c>
      <c r="F109" s="71" t="s">
        <v>357</v>
      </c>
      <c r="G109" s="72">
        <v>45</v>
      </c>
      <c r="H109" s="73">
        <f>INT((G109*Valores!$C$2*100)+0.5)/100</f>
        <v>309.52</v>
      </c>
      <c r="I109" s="74">
        <v>1139</v>
      </c>
      <c r="J109" s="75">
        <f>INT((I109*Valores!$C$2*100)+0.5)/100</f>
        <v>7834.27</v>
      </c>
      <c r="K109" s="102">
        <v>0</v>
      </c>
      <c r="L109" s="75">
        <f>INT((K109*Valores!$C$2*100)+0.5)/100</f>
        <v>0</v>
      </c>
      <c r="M109" s="100">
        <v>0</v>
      </c>
      <c r="N109" s="75">
        <f>INT((M109*Valores!$C$2*100)+0.5)/100</f>
        <v>0</v>
      </c>
      <c r="O109" s="75">
        <f t="shared" si="15"/>
        <v>1784.9640000000002</v>
      </c>
      <c r="P109" s="75">
        <f t="shared" si="16"/>
        <v>0</v>
      </c>
      <c r="Q109" s="77">
        <f>Valores!$C$20</f>
        <v>4231.82</v>
      </c>
      <c r="R109" s="77">
        <f>Valores!$D$4</f>
        <v>3076.62</v>
      </c>
      <c r="S109" s="75">
        <v>0</v>
      </c>
      <c r="T109" s="78">
        <f>Valores!$C$40</f>
        <v>953.84</v>
      </c>
      <c r="U109" s="101">
        <f>Valores!$C$24</f>
        <v>2802.13</v>
      </c>
      <c r="V109" s="75">
        <f t="shared" si="13"/>
        <v>2802.13</v>
      </c>
      <c r="W109" s="75">
        <v>0</v>
      </c>
      <c r="X109" s="75">
        <v>0</v>
      </c>
      <c r="Y109" s="79">
        <v>0</v>
      </c>
      <c r="Z109" s="75">
        <f>Y109*Valores!$C$2</f>
        <v>0</v>
      </c>
      <c r="AA109" s="75">
        <v>0</v>
      </c>
      <c r="AB109" s="80">
        <f>Valores!$C$29</f>
        <v>166.15</v>
      </c>
      <c r="AC109" s="75">
        <f t="shared" si="19"/>
        <v>0</v>
      </c>
      <c r="AD109" s="75">
        <f>Valores!$C$30</f>
        <v>166.15</v>
      </c>
      <c r="AE109" s="79">
        <v>0</v>
      </c>
      <c r="AF109" s="75">
        <f>INT(((AE109*Valores!$C$2)*100)+0.5)/100</f>
        <v>0</v>
      </c>
      <c r="AG109" s="75">
        <f>Valores!$C$58</f>
        <v>337.97</v>
      </c>
      <c r="AH109" s="75">
        <f>Valores!$C$60</f>
        <v>96.56</v>
      </c>
      <c r="AI109" s="81">
        <f t="shared" si="20"/>
        <v>21759.994000000006</v>
      </c>
      <c r="AJ109" s="77">
        <f>Valores!$C$35</f>
        <v>666.25</v>
      </c>
      <c r="AK109" s="78">
        <f>Valores!$C$6</f>
        <v>0</v>
      </c>
      <c r="AL109" s="78">
        <f>Valores!$C$81</f>
        <v>1500</v>
      </c>
      <c r="AM109" s="80">
        <f>Valores!$C$51</f>
        <v>141.62</v>
      </c>
      <c r="AN109" s="82">
        <f t="shared" si="21"/>
        <v>2166.25</v>
      </c>
      <c r="AO109" s="83">
        <f>AI109*-Valores!$C$65</f>
        <v>-2828.7992200000008</v>
      </c>
      <c r="AP109" s="83">
        <f>AI109*-Valores!$C$66</f>
        <v>-108.79997000000003</v>
      </c>
      <c r="AQ109" s="77">
        <f>AI109*-Valores!$C$67</f>
        <v>-979.19973000000027</v>
      </c>
      <c r="AR109" s="77">
        <f>AI109*-Valores!$C$68</f>
        <v>-587.51983800000016</v>
      </c>
      <c r="AS109" s="77">
        <f>AI109*-Valores!$C$69</f>
        <v>-65.279982000000018</v>
      </c>
      <c r="AT109" s="81">
        <f t="shared" si="17"/>
        <v>20009.445080000005</v>
      </c>
      <c r="AU109" s="81">
        <f t="shared" si="18"/>
        <v>20335.844990000005</v>
      </c>
      <c r="AV109" s="77">
        <f>AI109*Valores!$C$71</f>
        <v>3481.599040000001</v>
      </c>
      <c r="AW109" s="77">
        <f>AI109*Valores!$C$72</f>
        <v>979.19973000000027</v>
      </c>
      <c r="AX109" s="77">
        <f>AI109*Valores!$C$73</f>
        <v>217.59994000000006</v>
      </c>
      <c r="AY109" s="77">
        <f>AI109*Valores!$C$75</f>
        <v>761.59979000000033</v>
      </c>
      <c r="AZ109" s="77">
        <f>AI109*Valores!$C$76</f>
        <v>130.55996400000004</v>
      </c>
      <c r="BA109" s="77">
        <f t="shared" si="22"/>
        <v>1175.0396760000006</v>
      </c>
      <c r="BB109" s="51"/>
      <c r="BC109" s="85">
        <v>30</v>
      </c>
      <c r="BD109" s="27" t="s">
        <v>4</v>
      </c>
    </row>
    <row r="110" spans="1:56" s="27" customFormat="1" ht="11.25" customHeight="1" x14ac:dyDescent="0.2">
      <c r="A110" s="51">
        <v>109</v>
      </c>
      <c r="B110" s="51"/>
      <c r="C110" s="27" t="s">
        <v>358</v>
      </c>
      <c r="E110" s="27">
        <f t="shared" si="14"/>
        <v>30</v>
      </c>
      <c r="F110" s="71" t="s">
        <v>359</v>
      </c>
      <c r="G110" s="72">
        <v>46</v>
      </c>
      <c r="H110" s="73">
        <f>INT((G110*Valores!$C$2*100)+0.5)/100</f>
        <v>316.39999999999998</v>
      </c>
      <c r="I110" s="74">
        <v>1102</v>
      </c>
      <c r="J110" s="75">
        <f>INT((I110*Valores!$C$2*100)+0.5)/100</f>
        <v>7579.78</v>
      </c>
      <c r="K110" s="102">
        <v>0</v>
      </c>
      <c r="L110" s="75">
        <f>INT((K110*Valores!$C$2*100)+0.5)/100</f>
        <v>0</v>
      </c>
      <c r="M110" s="100">
        <v>0</v>
      </c>
      <c r="N110" s="75">
        <f>INT((M110*Valores!$C$2*100)+0.5)/100</f>
        <v>0</v>
      </c>
      <c r="O110" s="75">
        <f t="shared" si="15"/>
        <v>1747.8225</v>
      </c>
      <c r="P110" s="75">
        <f t="shared" si="16"/>
        <v>0</v>
      </c>
      <c r="Q110" s="77">
        <f>Valores!$C$20</f>
        <v>4231.82</v>
      </c>
      <c r="R110" s="77">
        <f>Valores!$D$4</f>
        <v>3076.62</v>
      </c>
      <c r="S110" s="75">
        <v>0</v>
      </c>
      <c r="T110" s="78">
        <f>Valores!$C$40</f>
        <v>953.84</v>
      </c>
      <c r="U110" s="101">
        <f>Valores!$C$24</f>
        <v>2802.13</v>
      </c>
      <c r="V110" s="75">
        <f t="shared" ref="V110:V173" si="23">U110*(1+$J$2)</f>
        <v>2802.13</v>
      </c>
      <c r="W110" s="75">
        <v>0</v>
      </c>
      <c r="X110" s="75">
        <v>0</v>
      </c>
      <c r="Y110" s="79">
        <v>0</v>
      </c>
      <c r="Z110" s="75">
        <f>Y110*Valores!$C$2</f>
        <v>0</v>
      </c>
      <c r="AA110" s="75">
        <v>0</v>
      </c>
      <c r="AB110" s="80">
        <f>Valores!$C$29</f>
        <v>166.15</v>
      </c>
      <c r="AC110" s="75">
        <f t="shared" si="19"/>
        <v>0</v>
      </c>
      <c r="AD110" s="75">
        <f>Valores!$C$30</f>
        <v>166.15</v>
      </c>
      <c r="AE110" s="79">
        <v>0</v>
      </c>
      <c r="AF110" s="75">
        <f>INT(((AE110*Valores!$C$2)*100)+0.5)/100</f>
        <v>0</v>
      </c>
      <c r="AG110" s="75">
        <f>Valores!$C$58</f>
        <v>337.97</v>
      </c>
      <c r="AH110" s="75">
        <f>Valores!$C$60</f>
        <v>96.56</v>
      </c>
      <c r="AI110" s="81">
        <f t="shared" si="20"/>
        <v>21475.242500000004</v>
      </c>
      <c r="AJ110" s="77">
        <f>Valores!$C$35</f>
        <v>666.25</v>
      </c>
      <c r="AK110" s="78">
        <f>Valores!$C$6</f>
        <v>0</v>
      </c>
      <c r="AL110" s="78">
        <f>Valores!$C$81</f>
        <v>1500</v>
      </c>
      <c r="AM110" s="80">
        <f>Valores!$C$51</f>
        <v>141.62</v>
      </c>
      <c r="AN110" s="82">
        <f t="shared" si="21"/>
        <v>2166.25</v>
      </c>
      <c r="AO110" s="83">
        <f>AI110*-Valores!$C$65</f>
        <v>-2791.7815250000008</v>
      </c>
      <c r="AP110" s="83">
        <f>AI110*-Valores!$C$66</f>
        <v>-107.37621250000002</v>
      </c>
      <c r="AQ110" s="77">
        <f>AI110*-Valores!$C$67</f>
        <v>-966.38591250000013</v>
      </c>
      <c r="AR110" s="77">
        <f>AI110*-Valores!$C$68</f>
        <v>-579.83154750000006</v>
      </c>
      <c r="AS110" s="77">
        <f>AI110*-Valores!$C$69</f>
        <v>-64.425727500000008</v>
      </c>
      <c r="AT110" s="81">
        <f t="shared" si="17"/>
        <v>19775.948850000001</v>
      </c>
      <c r="AU110" s="81">
        <f t="shared" si="18"/>
        <v>20098.077487499999</v>
      </c>
      <c r="AV110" s="77">
        <f>AI110*Valores!$C$71</f>
        <v>3436.0388000000007</v>
      </c>
      <c r="AW110" s="77">
        <f>AI110*Valores!$C$72</f>
        <v>966.38591250000013</v>
      </c>
      <c r="AX110" s="77">
        <f>AI110*Valores!$C$73</f>
        <v>214.75242500000004</v>
      </c>
      <c r="AY110" s="77">
        <f>AI110*Valores!$C$75</f>
        <v>751.63348750000023</v>
      </c>
      <c r="AZ110" s="77">
        <f>AI110*Valores!$C$76</f>
        <v>128.85145500000002</v>
      </c>
      <c r="BA110" s="77">
        <f t="shared" si="22"/>
        <v>1159.6630950000003</v>
      </c>
      <c r="BB110" s="51"/>
      <c r="BC110" s="51">
        <v>30</v>
      </c>
      <c r="BD110" s="27" t="s">
        <v>4</v>
      </c>
    </row>
    <row r="111" spans="1:56" s="27" customFormat="1" ht="11.25" customHeight="1" x14ac:dyDescent="0.2">
      <c r="A111" s="85">
        <v>110</v>
      </c>
      <c r="B111" s="85" t="s">
        <v>163</v>
      </c>
      <c r="C111" s="86" t="s">
        <v>360</v>
      </c>
      <c r="D111" s="86"/>
      <c r="E111" s="86">
        <f t="shared" si="14"/>
        <v>32</v>
      </c>
      <c r="F111" s="87" t="s">
        <v>361</v>
      </c>
      <c r="G111" s="88">
        <v>66</v>
      </c>
      <c r="H111" s="89">
        <f>INT((G111*Valores!$C$2*100)+0.5)/100</f>
        <v>453.96</v>
      </c>
      <c r="I111" s="90">
        <v>1911</v>
      </c>
      <c r="J111" s="91">
        <f>INT((I111*Valores!$C$2*100)+0.5)/100</f>
        <v>13144.24</v>
      </c>
      <c r="K111" s="104">
        <v>0</v>
      </c>
      <c r="L111" s="91">
        <f>INT((K111*Valores!$C$2*100)+0.5)/100</f>
        <v>0</v>
      </c>
      <c r="M111" s="105">
        <v>0</v>
      </c>
      <c r="N111" s="91">
        <f>INT((M111*Valores!$C$2*100)+0.5)/100</f>
        <v>0</v>
      </c>
      <c r="O111" s="91">
        <f t="shared" si="15"/>
        <v>2603.1254999999996</v>
      </c>
      <c r="P111" s="91">
        <f t="shared" si="16"/>
        <v>0</v>
      </c>
      <c r="Q111" s="93">
        <f>Valores!$C$20</f>
        <v>4231.82</v>
      </c>
      <c r="R111" s="93">
        <f>Valores!$D$4</f>
        <v>3076.62</v>
      </c>
      <c r="S111" s="107">
        <f>Valores!$C$26</f>
        <v>3208.72</v>
      </c>
      <c r="T111" s="108">
        <f>Valores!$C$40</f>
        <v>953.84</v>
      </c>
      <c r="U111" s="107">
        <f>Valores!$C$24</f>
        <v>2802.13</v>
      </c>
      <c r="V111" s="91">
        <f t="shared" si="23"/>
        <v>2802.13</v>
      </c>
      <c r="W111" s="91">
        <v>0</v>
      </c>
      <c r="X111" s="91">
        <v>0</v>
      </c>
      <c r="Y111" s="95">
        <v>0</v>
      </c>
      <c r="Z111" s="91">
        <f>Y111*Valores!$C$2</f>
        <v>0</v>
      </c>
      <c r="AA111" s="91">
        <v>0</v>
      </c>
      <c r="AB111" s="96">
        <f>Valores!$C$29</f>
        <v>166.15</v>
      </c>
      <c r="AC111" s="91">
        <f t="shared" si="19"/>
        <v>0</v>
      </c>
      <c r="AD111" s="91">
        <f>Valores!$C$30</f>
        <v>166.15</v>
      </c>
      <c r="AE111" s="95">
        <v>94</v>
      </c>
      <c r="AF111" s="91">
        <f>INT(((AE111*Valores!$C$2)*100)+0.5)/100</f>
        <v>646.54999999999995</v>
      </c>
      <c r="AG111" s="91">
        <f>Valores!$C$58</f>
        <v>337.97</v>
      </c>
      <c r="AH111" s="91">
        <f>Valores!$C$60</f>
        <v>96.56</v>
      </c>
      <c r="AI111" s="97">
        <f t="shared" si="20"/>
        <v>31887.835500000005</v>
      </c>
      <c r="AJ111" s="93">
        <f>Valores!$C$35</f>
        <v>666.25</v>
      </c>
      <c r="AK111" s="94">
        <f>Valores!$C$6</f>
        <v>0</v>
      </c>
      <c r="AL111" s="94">
        <f>Valores!$C$81</f>
        <v>1500</v>
      </c>
      <c r="AM111" s="96">
        <f>Valores!$C$51</f>
        <v>141.62</v>
      </c>
      <c r="AN111" s="98">
        <f t="shared" si="21"/>
        <v>2166.25</v>
      </c>
      <c r="AO111" s="99">
        <f>AI111*-Valores!$C$65</f>
        <v>-4145.4186150000005</v>
      </c>
      <c r="AP111" s="99">
        <f>AI111*-Valores!$C$66</f>
        <v>-159.43917750000003</v>
      </c>
      <c r="AQ111" s="93">
        <f>AI111*-Valores!$C$67</f>
        <v>-1434.9525975000001</v>
      </c>
      <c r="AR111" s="93">
        <f>AI111*-Valores!$C$68</f>
        <v>-860.97155850000013</v>
      </c>
      <c r="AS111" s="93">
        <f>AI111*-Valores!$C$69</f>
        <v>-95.663506500000011</v>
      </c>
      <c r="AT111" s="97">
        <f t="shared" si="17"/>
        <v>28314.275110000002</v>
      </c>
      <c r="AU111" s="97">
        <f t="shared" si="18"/>
        <v>28792.5926425</v>
      </c>
      <c r="AV111" s="93">
        <f>AI111*Valores!$C$71</f>
        <v>5102.0536800000009</v>
      </c>
      <c r="AW111" s="93">
        <f>AI111*Valores!$C$72</f>
        <v>1434.9525975000001</v>
      </c>
      <c r="AX111" s="93">
        <f>AI111*Valores!$C$73</f>
        <v>318.87835500000006</v>
      </c>
      <c r="AY111" s="93">
        <f>AI111*Valores!$C$75</f>
        <v>1116.0742425000003</v>
      </c>
      <c r="AZ111" s="93">
        <f>AI111*Valores!$C$76</f>
        <v>191.32701300000002</v>
      </c>
      <c r="BA111" s="93">
        <f t="shared" si="22"/>
        <v>1721.9431170000005</v>
      </c>
      <c r="BB111" s="85"/>
      <c r="BC111" s="85">
        <v>25</v>
      </c>
      <c r="BD111" s="86" t="s">
        <v>4</v>
      </c>
    </row>
    <row r="112" spans="1:56" s="27" customFormat="1" ht="11.25" customHeight="1" x14ac:dyDescent="0.2">
      <c r="A112" s="51">
        <v>111</v>
      </c>
      <c r="B112" s="51"/>
      <c r="C112" s="27" t="s">
        <v>362</v>
      </c>
      <c r="E112" s="27">
        <f t="shared" si="14"/>
        <v>30</v>
      </c>
      <c r="F112" s="71" t="s">
        <v>363</v>
      </c>
      <c r="G112" s="72">
        <v>61</v>
      </c>
      <c r="H112" s="73">
        <f>INT((G112*Valores!$C$2*100)+0.5)/100</f>
        <v>419.57</v>
      </c>
      <c r="I112" s="74">
        <v>1545</v>
      </c>
      <c r="J112" s="75">
        <f>INT((I112*Valores!$C$2*100)+0.5)/100</f>
        <v>10626.82</v>
      </c>
      <c r="K112" s="102">
        <v>0</v>
      </c>
      <c r="L112" s="75">
        <f>INT((K112*Valores!$C$2*100)+0.5)/100</f>
        <v>0</v>
      </c>
      <c r="M112" s="100">
        <v>0</v>
      </c>
      <c r="N112" s="75">
        <f>INT((M112*Valores!$C$2*100)+0.5)/100</f>
        <v>0</v>
      </c>
      <c r="O112" s="75">
        <f t="shared" si="15"/>
        <v>2220.3539999999998</v>
      </c>
      <c r="P112" s="75">
        <f t="shared" si="16"/>
        <v>0</v>
      </c>
      <c r="Q112" s="77">
        <f>Valores!$C$20</f>
        <v>4231.82</v>
      </c>
      <c r="R112" s="77">
        <f>Valores!$D$4</f>
        <v>3076.62</v>
      </c>
      <c r="S112" s="75">
        <f>Valores!$C$26</f>
        <v>3208.72</v>
      </c>
      <c r="T112" s="78">
        <f>Valores!$C$40</f>
        <v>953.84</v>
      </c>
      <c r="U112" s="101">
        <f>Valores!$C$24</f>
        <v>2802.13</v>
      </c>
      <c r="V112" s="75">
        <f t="shared" si="23"/>
        <v>2802.13</v>
      </c>
      <c r="W112" s="75">
        <v>0</v>
      </c>
      <c r="X112" s="75">
        <v>0</v>
      </c>
      <c r="Y112" s="79">
        <v>0</v>
      </c>
      <c r="Z112" s="75">
        <f>Y112*Valores!$C$2</f>
        <v>0</v>
      </c>
      <c r="AA112" s="75">
        <v>0</v>
      </c>
      <c r="AB112" s="80">
        <f>Valores!$C$29</f>
        <v>166.15</v>
      </c>
      <c r="AC112" s="75">
        <f t="shared" si="19"/>
        <v>0</v>
      </c>
      <c r="AD112" s="75">
        <f>Valores!$C$30</f>
        <v>166.15</v>
      </c>
      <c r="AE112" s="79">
        <v>94</v>
      </c>
      <c r="AF112" s="75">
        <f>INT(((AE112*Valores!$C$2)*100)+0.5)/100</f>
        <v>646.54999999999995</v>
      </c>
      <c r="AG112" s="75">
        <f>Valores!$C$58</f>
        <v>337.97</v>
      </c>
      <c r="AH112" s="75">
        <f>Valores!$C$60</f>
        <v>96.56</v>
      </c>
      <c r="AI112" s="81">
        <f t="shared" si="20"/>
        <v>28953.254000000004</v>
      </c>
      <c r="AJ112" s="77">
        <f>Valores!$C$35</f>
        <v>666.25</v>
      </c>
      <c r="AK112" s="78">
        <f>Valores!$C$6</f>
        <v>0</v>
      </c>
      <c r="AL112" s="78">
        <f>Valores!$C$81</f>
        <v>1500</v>
      </c>
      <c r="AM112" s="80">
        <f>Valores!$C$51</f>
        <v>141.62</v>
      </c>
      <c r="AN112" s="82">
        <f t="shared" si="21"/>
        <v>2166.25</v>
      </c>
      <c r="AO112" s="83">
        <f>AI112*-Valores!$C$65</f>
        <v>-3763.9230200000006</v>
      </c>
      <c r="AP112" s="83">
        <f>AI112*-Valores!$C$66</f>
        <v>-144.76627000000002</v>
      </c>
      <c r="AQ112" s="77">
        <f>AI112*-Valores!$C$67</f>
        <v>-1302.8964300000002</v>
      </c>
      <c r="AR112" s="77">
        <f>AI112*-Valores!$C$68</f>
        <v>-781.73785800000007</v>
      </c>
      <c r="AS112" s="77">
        <f>AI112*-Valores!$C$69</f>
        <v>-86.859762000000018</v>
      </c>
      <c r="AT112" s="81">
        <f t="shared" si="17"/>
        <v>25907.918280000002</v>
      </c>
      <c r="AU112" s="81">
        <f t="shared" si="18"/>
        <v>26342.217090000002</v>
      </c>
      <c r="AV112" s="77">
        <f>AI112*Valores!$C$71</f>
        <v>4632.5206400000006</v>
      </c>
      <c r="AW112" s="77">
        <f>AI112*Valores!$C$72</f>
        <v>1302.8964300000002</v>
      </c>
      <c r="AX112" s="77">
        <f>AI112*Valores!$C$73</f>
        <v>289.53254000000004</v>
      </c>
      <c r="AY112" s="77">
        <f>AI112*Valores!$C$75</f>
        <v>1013.3638900000002</v>
      </c>
      <c r="AZ112" s="77">
        <f>AI112*Valores!$C$76</f>
        <v>173.71952400000004</v>
      </c>
      <c r="BA112" s="77">
        <f t="shared" si="22"/>
        <v>1563.4757160000001</v>
      </c>
      <c r="BB112" s="51"/>
      <c r="BC112" s="51">
        <v>25</v>
      </c>
      <c r="BD112" s="27" t="s">
        <v>8</v>
      </c>
    </row>
    <row r="113" spans="1:56" s="27" customFormat="1" ht="11.25" customHeight="1" x14ac:dyDescent="0.2">
      <c r="A113" s="51">
        <v>112</v>
      </c>
      <c r="B113" s="51"/>
      <c r="C113" s="27" t="s">
        <v>364</v>
      </c>
      <c r="E113" s="27">
        <f t="shared" si="14"/>
        <v>30</v>
      </c>
      <c r="F113" s="71" t="s">
        <v>365</v>
      </c>
      <c r="G113" s="72">
        <f>75+143</f>
        <v>218</v>
      </c>
      <c r="H113" s="73">
        <f>INT((G113*Valores!$C$2*100)+0.5)/100</f>
        <v>1499.45</v>
      </c>
      <c r="I113" s="74">
        <v>2100</v>
      </c>
      <c r="J113" s="75">
        <f>INT((I113*Valores!$C$2*100)+0.5)/100</f>
        <v>14444.22</v>
      </c>
      <c r="K113" s="102">
        <v>0</v>
      </c>
      <c r="L113" s="75">
        <f>INT((K113*Valores!$C$2*100)+0.5)/100</f>
        <v>0</v>
      </c>
      <c r="M113" s="100">
        <v>0</v>
      </c>
      <c r="N113" s="75">
        <f>INT((M113*Valores!$C$2*100)+0.5)/100</f>
        <v>0</v>
      </c>
      <c r="O113" s="75">
        <f t="shared" si="15"/>
        <v>2954.9459999999999</v>
      </c>
      <c r="P113" s="75">
        <f t="shared" si="16"/>
        <v>0</v>
      </c>
      <c r="Q113" s="77">
        <f>Valores!$C$20</f>
        <v>4231.82</v>
      </c>
      <c r="R113" s="77">
        <f>Valores!$D$4</f>
        <v>3076.62</v>
      </c>
      <c r="S113" s="101">
        <f>Valores!$C$26</f>
        <v>3208.72</v>
      </c>
      <c r="T113" s="106">
        <f>Valores!$C$40</f>
        <v>953.84</v>
      </c>
      <c r="U113" s="101">
        <f>Valores!$C$24</f>
        <v>2802.13</v>
      </c>
      <c r="V113" s="75">
        <f t="shared" si="23"/>
        <v>2802.13</v>
      </c>
      <c r="W113" s="75">
        <v>0</v>
      </c>
      <c r="X113" s="75">
        <v>0</v>
      </c>
      <c r="Y113" s="79">
        <v>0</v>
      </c>
      <c r="Z113" s="75">
        <f>Y113*Valores!$C$2</f>
        <v>0</v>
      </c>
      <c r="AA113" s="75">
        <v>0</v>
      </c>
      <c r="AB113" s="80">
        <f>Valores!$C$29</f>
        <v>166.15</v>
      </c>
      <c r="AC113" s="75">
        <f t="shared" si="19"/>
        <v>0</v>
      </c>
      <c r="AD113" s="75">
        <f>Valores!$C$30</f>
        <v>166.15</v>
      </c>
      <c r="AE113" s="79">
        <v>0</v>
      </c>
      <c r="AF113" s="75">
        <f>INT(((AE113*Valores!$C$2)*100)+0.5)/100</f>
        <v>0</v>
      </c>
      <c r="AG113" s="75">
        <f>Valores!$C$58</f>
        <v>337.97</v>
      </c>
      <c r="AH113" s="75">
        <f>Valores!$C$60</f>
        <v>96.56</v>
      </c>
      <c r="AI113" s="81">
        <f t="shared" si="20"/>
        <v>33938.576000000001</v>
      </c>
      <c r="AJ113" s="77">
        <f>Valores!$C$35</f>
        <v>666.25</v>
      </c>
      <c r="AK113" s="78">
        <f>Valores!$C$6</f>
        <v>0</v>
      </c>
      <c r="AL113" s="78">
        <f>Valores!$C$81</f>
        <v>1500</v>
      </c>
      <c r="AM113" s="80">
        <f>Valores!$C$51</f>
        <v>141.62</v>
      </c>
      <c r="AN113" s="82">
        <f t="shared" si="21"/>
        <v>2166.25</v>
      </c>
      <c r="AO113" s="83">
        <f>AI113*-Valores!$C$65</f>
        <v>-4412.0148800000006</v>
      </c>
      <c r="AP113" s="83">
        <f>AI113*-Valores!$C$66</f>
        <v>-169.69288</v>
      </c>
      <c r="AQ113" s="77">
        <f>AI113*-Valores!$C$67</f>
        <v>-1527.2359200000001</v>
      </c>
      <c r="AR113" s="77">
        <f>AI113*-Valores!$C$68</f>
        <v>-916.34155199999998</v>
      </c>
      <c r="AS113" s="77">
        <f>AI113*-Valores!$C$69</f>
        <v>-101.81572800000001</v>
      </c>
      <c r="AT113" s="81">
        <f t="shared" si="17"/>
        <v>29995.882319999997</v>
      </c>
      <c r="AU113" s="81">
        <f t="shared" si="18"/>
        <v>30504.960959999997</v>
      </c>
      <c r="AV113" s="77">
        <f>AI113*Valores!$C$71</f>
        <v>5430.1721600000001</v>
      </c>
      <c r="AW113" s="77">
        <f>AI113*Valores!$C$72</f>
        <v>1527.2359200000001</v>
      </c>
      <c r="AX113" s="77">
        <f>AI113*Valores!$C$73</f>
        <v>339.38576</v>
      </c>
      <c r="AY113" s="77">
        <f>AI113*Valores!$C$75</f>
        <v>1187.8501600000002</v>
      </c>
      <c r="AZ113" s="77">
        <f>AI113*Valores!$C$76</f>
        <v>203.63145600000001</v>
      </c>
      <c r="BA113" s="77">
        <f t="shared" si="22"/>
        <v>1832.6831040000002</v>
      </c>
      <c r="BB113" s="51"/>
      <c r="BC113" s="51">
        <v>30</v>
      </c>
      <c r="BD113" s="27" t="s">
        <v>4</v>
      </c>
    </row>
    <row r="114" spans="1:56" s="27" customFormat="1" ht="11.25" customHeight="1" x14ac:dyDescent="0.2">
      <c r="A114" s="51">
        <v>113</v>
      </c>
      <c r="B114" s="51"/>
      <c r="C114" s="27" t="s">
        <v>366</v>
      </c>
      <c r="E114" s="27">
        <f t="shared" si="14"/>
        <v>30</v>
      </c>
      <c r="F114" s="71" t="s">
        <v>367</v>
      </c>
      <c r="G114" s="72">
        <f>77+143</f>
        <v>220</v>
      </c>
      <c r="H114" s="73">
        <f>INT((G114*Valores!$C$2*100)+0.5)/100</f>
        <v>1513.2</v>
      </c>
      <c r="I114" s="74">
        <v>1995</v>
      </c>
      <c r="J114" s="75">
        <f>INT((I114*Valores!$C$2*100)+0.5)/100</f>
        <v>13722.01</v>
      </c>
      <c r="K114" s="102">
        <v>0</v>
      </c>
      <c r="L114" s="75">
        <f>INT((K114*Valores!$C$2*100)+0.5)/100</f>
        <v>0</v>
      </c>
      <c r="M114" s="100">
        <v>0</v>
      </c>
      <c r="N114" s="75">
        <f>INT((M114*Valores!$C$2*100)+0.5)/100</f>
        <v>0</v>
      </c>
      <c r="O114" s="75">
        <f t="shared" si="15"/>
        <v>2848.6770000000001</v>
      </c>
      <c r="P114" s="75">
        <f t="shared" si="16"/>
        <v>0</v>
      </c>
      <c r="Q114" s="77">
        <f>Valores!$C$20</f>
        <v>4231.82</v>
      </c>
      <c r="R114" s="77">
        <f>Valores!$D$4</f>
        <v>3076.62</v>
      </c>
      <c r="S114" s="101">
        <f>Valores!$C$26</f>
        <v>3208.72</v>
      </c>
      <c r="T114" s="106">
        <f>Valores!$C$40</f>
        <v>953.84</v>
      </c>
      <c r="U114" s="101">
        <f>Valores!$C$24</f>
        <v>2802.13</v>
      </c>
      <c r="V114" s="75">
        <f t="shared" si="23"/>
        <v>2802.13</v>
      </c>
      <c r="W114" s="75">
        <v>0</v>
      </c>
      <c r="X114" s="75">
        <v>0</v>
      </c>
      <c r="Y114" s="79">
        <v>0</v>
      </c>
      <c r="Z114" s="75">
        <f>Y114*Valores!$C$2</f>
        <v>0</v>
      </c>
      <c r="AA114" s="75">
        <v>0</v>
      </c>
      <c r="AB114" s="80">
        <f>Valores!$C$29</f>
        <v>166.15</v>
      </c>
      <c r="AC114" s="75">
        <f t="shared" si="19"/>
        <v>0</v>
      </c>
      <c r="AD114" s="75">
        <f>Valores!$C$30</f>
        <v>166.15</v>
      </c>
      <c r="AE114" s="79">
        <v>0</v>
      </c>
      <c r="AF114" s="75">
        <f>INT(((AE114*Valores!$C$2)*100)+0.5)/100</f>
        <v>0</v>
      </c>
      <c r="AG114" s="75">
        <f>Valores!$C$58</f>
        <v>337.97</v>
      </c>
      <c r="AH114" s="75">
        <f>Valores!$C$60</f>
        <v>96.56</v>
      </c>
      <c r="AI114" s="81">
        <f t="shared" si="20"/>
        <v>33123.847000000002</v>
      </c>
      <c r="AJ114" s="77">
        <f>Valores!$C$35</f>
        <v>666.25</v>
      </c>
      <c r="AK114" s="78">
        <f>Valores!$C$6</f>
        <v>0</v>
      </c>
      <c r="AL114" s="78">
        <f>Valores!$C$81</f>
        <v>1500</v>
      </c>
      <c r="AM114" s="80">
        <f>Valores!$C$51</f>
        <v>141.62</v>
      </c>
      <c r="AN114" s="82">
        <f t="shared" si="21"/>
        <v>2166.25</v>
      </c>
      <c r="AO114" s="83">
        <f>AI114*-Valores!$C$65</f>
        <v>-4306.1001100000003</v>
      </c>
      <c r="AP114" s="83">
        <f>AI114*-Valores!$C$66</f>
        <v>-165.619235</v>
      </c>
      <c r="AQ114" s="77">
        <f>AI114*-Valores!$C$67</f>
        <v>-1490.5731149999999</v>
      </c>
      <c r="AR114" s="77">
        <f>AI114*-Valores!$C$68</f>
        <v>-894.34386900000004</v>
      </c>
      <c r="AS114" s="77">
        <f>AI114*-Valores!$C$69</f>
        <v>-99.371541000000008</v>
      </c>
      <c r="AT114" s="81">
        <f t="shared" si="17"/>
        <v>29327.804540000005</v>
      </c>
      <c r="AU114" s="81">
        <f t="shared" si="18"/>
        <v>29824.662245000007</v>
      </c>
      <c r="AV114" s="77">
        <f>AI114*Valores!$C$71</f>
        <v>5299.8155200000001</v>
      </c>
      <c r="AW114" s="77">
        <f>AI114*Valores!$C$72</f>
        <v>1490.5731149999999</v>
      </c>
      <c r="AX114" s="77">
        <f>AI114*Valores!$C$73</f>
        <v>331.23847000000001</v>
      </c>
      <c r="AY114" s="77">
        <f>AI114*Valores!$C$75</f>
        <v>1159.3346450000001</v>
      </c>
      <c r="AZ114" s="77">
        <f>AI114*Valores!$C$76</f>
        <v>198.74308200000002</v>
      </c>
      <c r="BA114" s="77">
        <f t="shared" si="22"/>
        <v>1788.6877380000003</v>
      </c>
      <c r="BB114" s="51"/>
      <c r="BC114" s="85">
        <v>30</v>
      </c>
      <c r="BD114" s="27" t="s">
        <v>4</v>
      </c>
    </row>
    <row r="115" spans="1:56" s="27" customFormat="1" ht="11.25" customHeight="1" x14ac:dyDescent="0.2">
      <c r="A115" s="51">
        <v>114</v>
      </c>
      <c r="B115" s="51"/>
      <c r="C115" s="27" t="s">
        <v>368</v>
      </c>
      <c r="E115" s="27">
        <f t="shared" si="14"/>
        <v>30</v>
      </c>
      <c r="F115" s="71" t="s">
        <v>369</v>
      </c>
      <c r="G115" s="72">
        <f>72+115</f>
        <v>187</v>
      </c>
      <c r="H115" s="73">
        <f>INT((G115*Valores!$C$2*100)+0.5)/100</f>
        <v>1286.22</v>
      </c>
      <c r="I115" s="74">
        <v>1704</v>
      </c>
      <c r="J115" s="75">
        <f>INT((I115*Valores!$C$2*100)+0.5)/100</f>
        <v>11720.45</v>
      </c>
      <c r="K115" s="102">
        <v>0</v>
      </c>
      <c r="L115" s="75">
        <f>INT((K115*Valores!$C$2*100)+0.5)/100</f>
        <v>0</v>
      </c>
      <c r="M115" s="100">
        <v>0</v>
      </c>
      <c r="N115" s="75">
        <f>INT((M115*Valores!$C$2*100)+0.5)/100</f>
        <v>0</v>
      </c>
      <c r="O115" s="75">
        <f t="shared" si="15"/>
        <v>2514.3959999999997</v>
      </c>
      <c r="P115" s="75">
        <f t="shared" si="16"/>
        <v>0</v>
      </c>
      <c r="Q115" s="77">
        <f>Valores!$C$20</f>
        <v>4231.82</v>
      </c>
      <c r="R115" s="77">
        <f>Valores!$D$4</f>
        <v>3076.62</v>
      </c>
      <c r="S115" s="101">
        <f>Valores!$C$26</f>
        <v>3208.72</v>
      </c>
      <c r="T115" s="106">
        <f>Valores!$C$40</f>
        <v>953.84</v>
      </c>
      <c r="U115" s="101">
        <f>Valores!$C$24</f>
        <v>2802.13</v>
      </c>
      <c r="V115" s="75">
        <f t="shared" si="23"/>
        <v>2802.13</v>
      </c>
      <c r="W115" s="75">
        <v>0</v>
      </c>
      <c r="X115" s="75">
        <v>0</v>
      </c>
      <c r="Y115" s="79">
        <v>0</v>
      </c>
      <c r="Z115" s="75">
        <f>Y115*Valores!$C$2</f>
        <v>0</v>
      </c>
      <c r="AA115" s="75">
        <v>0</v>
      </c>
      <c r="AB115" s="80">
        <f>Valores!$C$29</f>
        <v>166.15</v>
      </c>
      <c r="AC115" s="75">
        <f t="shared" si="19"/>
        <v>0</v>
      </c>
      <c r="AD115" s="75">
        <f>Valores!$C$30</f>
        <v>166.15</v>
      </c>
      <c r="AE115" s="79">
        <v>0</v>
      </c>
      <c r="AF115" s="75">
        <f>INT(((AE115*Valores!$C$2)*100)+0.5)/100</f>
        <v>0</v>
      </c>
      <c r="AG115" s="75">
        <f>Valores!$C$58</f>
        <v>337.97</v>
      </c>
      <c r="AH115" s="75">
        <f>Valores!$C$60</f>
        <v>96.56</v>
      </c>
      <c r="AI115" s="81">
        <f t="shared" si="20"/>
        <v>30561.026000000005</v>
      </c>
      <c r="AJ115" s="77">
        <f>Valores!$C$35</f>
        <v>666.25</v>
      </c>
      <c r="AK115" s="78">
        <f>Valores!$C$6</f>
        <v>0</v>
      </c>
      <c r="AL115" s="78">
        <f>Valores!$C$81</f>
        <v>1500</v>
      </c>
      <c r="AM115" s="80">
        <f>Valores!$C$51</f>
        <v>141.62</v>
      </c>
      <c r="AN115" s="82">
        <f t="shared" si="21"/>
        <v>2166.25</v>
      </c>
      <c r="AO115" s="83">
        <f>AI115*-Valores!$C$65</f>
        <v>-3972.9333800000009</v>
      </c>
      <c r="AP115" s="83">
        <f>AI115*-Valores!$C$66</f>
        <v>-152.80513000000002</v>
      </c>
      <c r="AQ115" s="77">
        <f>AI115*-Valores!$C$67</f>
        <v>-1375.2461700000001</v>
      </c>
      <c r="AR115" s="77">
        <f>AI115*-Valores!$C$68</f>
        <v>-825.14770200000009</v>
      </c>
      <c r="AS115" s="77">
        <f>AI115*-Valores!$C$69</f>
        <v>-91.683078000000023</v>
      </c>
      <c r="AT115" s="81">
        <f t="shared" si="17"/>
        <v>27226.291320000004</v>
      </c>
      <c r="AU115" s="81">
        <f t="shared" si="18"/>
        <v>27684.706710000006</v>
      </c>
      <c r="AV115" s="77">
        <f>AI115*Valores!$C$71</f>
        <v>4889.7641600000006</v>
      </c>
      <c r="AW115" s="77">
        <f>AI115*Valores!$C$72</f>
        <v>1375.2461700000001</v>
      </c>
      <c r="AX115" s="77">
        <f>AI115*Valores!$C$73</f>
        <v>305.61026000000004</v>
      </c>
      <c r="AY115" s="77">
        <f>AI115*Valores!$C$75</f>
        <v>1069.6359100000002</v>
      </c>
      <c r="AZ115" s="77">
        <f>AI115*Valores!$C$76</f>
        <v>183.36615600000005</v>
      </c>
      <c r="BA115" s="77">
        <f t="shared" si="22"/>
        <v>1650.2954040000002</v>
      </c>
      <c r="BB115" s="51"/>
      <c r="BC115" s="51">
        <v>30</v>
      </c>
      <c r="BD115" s="27" t="s">
        <v>4</v>
      </c>
    </row>
    <row r="116" spans="1:56" s="27" customFormat="1" ht="11.25" customHeight="1" x14ac:dyDescent="0.2">
      <c r="A116" s="85">
        <v>115</v>
      </c>
      <c r="B116" s="85" t="s">
        <v>163</v>
      </c>
      <c r="C116" s="86" t="s">
        <v>370</v>
      </c>
      <c r="D116" s="86"/>
      <c r="E116" s="86">
        <f t="shared" si="14"/>
        <v>30</v>
      </c>
      <c r="F116" s="87" t="s">
        <v>371</v>
      </c>
      <c r="G116" s="88">
        <f>67+94</f>
        <v>161</v>
      </c>
      <c r="H116" s="89">
        <f>INT((G116*Valores!$C$2*100)+0.5)/100</f>
        <v>1107.3900000000001</v>
      </c>
      <c r="I116" s="90">
        <v>1480</v>
      </c>
      <c r="J116" s="91">
        <f>INT((I116*Valores!$C$2*100)+0.5)/100</f>
        <v>10179.74</v>
      </c>
      <c r="K116" s="104">
        <v>0</v>
      </c>
      <c r="L116" s="91">
        <f>INT((K116*Valores!$C$2*100)+0.5)/100</f>
        <v>0</v>
      </c>
      <c r="M116" s="105">
        <v>0</v>
      </c>
      <c r="N116" s="91">
        <f>INT((M116*Valores!$C$2*100)+0.5)/100</f>
        <v>0</v>
      </c>
      <c r="O116" s="91">
        <f t="shared" si="15"/>
        <v>2256.4649999999997</v>
      </c>
      <c r="P116" s="91">
        <f t="shared" si="16"/>
        <v>0</v>
      </c>
      <c r="Q116" s="93">
        <f>Valores!$C$20</f>
        <v>4231.82</v>
      </c>
      <c r="R116" s="93">
        <f>Valores!$D$4</f>
        <v>3076.62</v>
      </c>
      <c r="S116" s="107">
        <f>Valores!$C$26</f>
        <v>3208.72</v>
      </c>
      <c r="T116" s="108">
        <f>Valores!$C$40</f>
        <v>953.84</v>
      </c>
      <c r="U116" s="107">
        <f>Valores!$C$24</f>
        <v>2802.13</v>
      </c>
      <c r="V116" s="91">
        <f t="shared" si="23"/>
        <v>2802.13</v>
      </c>
      <c r="W116" s="91">
        <v>0</v>
      </c>
      <c r="X116" s="91">
        <v>0</v>
      </c>
      <c r="Y116" s="95">
        <v>0</v>
      </c>
      <c r="Z116" s="91">
        <f>Y116*Valores!$C$2</f>
        <v>0</v>
      </c>
      <c r="AA116" s="91">
        <v>0</v>
      </c>
      <c r="AB116" s="96">
        <f>Valores!$C$29</f>
        <v>166.15</v>
      </c>
      <c r="AC116" s="91">
        <f t="shared" si="19"/>
        <v>0</v>
      </c>
      <c r="AD116" s="91">
        <f>Valores!$C$30</f>
        <v>166.15</v>
      </c>
      <c r="AE116" s="95">
        <v>0</v>
      </c>
      <c r="AF116" s="91">
        <f>INT(((AE116*Valores!$C$2)*100)+0.5)/100</f>
        <v>0</v>
      </c>
      <c r="AG116" s="91">
        <f>Valores!$C$58</f>
        <v>337.97</v>
      </c>
      <c r="AH116" s="91">
        <f>Valores!$C$60</f>
        <v>96.56</v>
      </c>
      <c r="AI116" s="97">
        <f t="shared" si="20"/>
        <v>28583.555000000008</v>
      </c>
      <c r="AJ116" s="93">
        <f>Valores!$C$35</f>
        <v>666.25</v>
      </c>
      <c r="AK116" s="94">
        <f>Valores!$C$6</f>
        <v>0</v>
      </c>
      <c r="AL116" s="94">
        <f>Valores!$C$81</f>
        <v>1500</v>
      </c>
      <c r="AM116" s="96">
        <f>Valores!$C$51</f>
        <v>141.62</v>
      </c>
      <c r="AN116" s="98">
        <f t="shared" si="21"/>
        <v>2166.25</v>
      </c>
      <c r="AO116" s="99">
        <f>AI116*-Valores!$C$65</f>
        <v>-3715.8621500000013</v>
      </c>
      <c r="AP116" s="99">
        <f>AI116*-Valores!$C$66</f>
        <v>-142.91777500000003</v>
      </c>
      <c r="AQ116" s="93">
        <f>AI116*-Valores!$C$67</f>
        <v>-1286.2599750000004</v>
      </c>
      <c r="AR116" s="93">
        <f>AI116*-Valores!$C$68</f>
        <v>-771.75598500000024</v>
      </c>
      <c r="AS116" s="93">
        <f>AI116*-Valores!$C$69</f>
        <v>-85.750665000000026</v>
      </c>
      <c r="AT116" s="97">
        <f t="shared" si="17"/>
        <v>25604.765100000004</v>
      </c>
      <c r="AU116" s="97">
        <f t="shared" si="18"/>
        <v>26033.518425000006</v>
      </c>
      <c r="AV116" s="93">
        <f>AI116*Valores!$C$71</f>
        <v>4573.3688000000011</v>
      </c>
      <c r="AW116" s="93">
        <f>AI116*Valores!$C$72</f>
        <v>1286.2599750000004</v>
      </c>
      <c r="AX116" s="93">
        <f>AI116*Valores!$C$73</f>
        <v>285.83555000000007</v>
      </c>
      <c r="AY116" s="93">
        <f>AI116*Valores!$C$75</f>
        <v>1000.4244250000004</v>
      </c>
      <c r="AZ116" s="93">
        <f>AI116*Valores!$C$76</f>
        <v>171.50133000000005</v>
      </c>
      <c r="BA116" s="93">
        <f t="shared" si="22"/>
        <v>1543.5119700000005</v>
      </c>
      <c r="BB116" s="85"/>
      <c r="BC116" s="85">
        <v>30</v>
      </c>
      <c r="BD116" s="86" t="s">
        <v>4</v>
      </c>
    </row>
    <row r="117" spans="1:56" s="27" customFormat="1" ht="11.25" customHeight="1" x14ac:dyDescent="0.2">
      <c r="A117" s="51">
        <v>116</v>
      </c>
      <c r="B117" s="51"/>
      <c r="C117" s="27" t="s">
        <v>372</v>
      </c>
      <c r="E117" s="27">
        <f t="shared" si="14"/>
        <v>30</v>
      </c>
      <c r="F117" s="71" t="s">
        <v>373</v>
      </c>
      <c r="G117" s="72">
        <f>1184+94</f>
        <v>1278</v>
      </c>
      <c r="H117" s="73">
        <f>INT((G117*Valores!$C$2*100)+0.5)/100</f>
        <v>8790.34</v>
      </c>
      <c r="I117" s="112">
        <v>0</v>
      </c>
      <c r="J117" s="75">
        <f>INT((I117*Valores!$C$2*100)+0.5)/100</f>
        <v>0</v>
      </c>
      <c r="K117" s="102">
        <v>0</v>
      </c>
      <c r="L117" s="75">
        <f>INT((K117*Valores!$C$2*100)+0.5)/100</f>
        <v>0</v>
      </c>
      <c r="M117" s="100">
        <v>0</v>
      </c>
      <c r="N117" s="75">
        <f>INT((M117*Valores!$C$2*100)+0.5)/100</f>
        <v>0</v>
      </c>
      <c r="O117" s="75">
        <f t="shared" si="15"/>
        <v>1881.9465</v>
      </c>
      <c r="P117" s="75">
        <f t="shared" si="16"/>
        <v>0</v>
      </c>
      <c r="Q117" s="77">
        <f>Valores!$C$20</f>
        <v>4231.82</v>
      </c>
      <c r="R117" s="77">
        <f>Valores!$D$4</f>
        <v>3076.62</v>
      </c>
      <c r="S117" s="75">
        <f>Valores!$C$26</f>
        <v>3208.72</v>
      </c>
      <c r="T117" s="78">
        <f>Valores!$C$40</f>
        <v>953.84</v>
      </c>
      <c r="U117" s="101">
        <f>Valores!$C$24</f>
        <v>2802.13</v>
      </c>
      <c r="V117" s="75">
        <f t="shared" si="23"/>
        <v>2802.13</v>
      </c>
      <c r="W117" s="75">
        <v>0</v>
      </c>
      <c r="X117" s="75">
        <v>0</v>
      </c>
      <c r="Y117" s="79">
        <v>0</v>
      </c>
      <c r="Z117" s="75">
        <f>Y117*Valores!$C$2</f>
        <v>0</v>
      </c>
      <c r="AA117" s="75">
        <v>0</v>
      </c>
      <c r="AB117" s="80">
        <f>Valores!$C$29</f>
        <v>166.15</v>
      </c>
      <c r="AC117" s="75">
        <f t="shared" si="19"/>
        <v>0</v>
      </c>
      <c r="AD117" s="75">
        <f>Valores!$C$30</f>
        <v>166.15</v>
      </c>
      <c r="AE117" s="79">
        <v>0</v>
      </c>
      <c r="AF117" s="75">
        <f>INT(((AE117*Valores!$C$2)*100)+0.5)/100</f>
        <v>0</v>
      </c>
      <c r="AG117" s="75">
        <f>Valores!$C$58</f>
        <v>337.97</v>
      </c>
      <c r="AH117" s="75">
        <f>Valores!$C$60</f>
        <v>96.56</v>
      </c>
      <c r="AI117" s="81">
        <f t="shared" si="20"/>
        <v>25712.246500000008</v>
      </c>
      <c r="AJ117" s="77">
        <f>Valores!$C$35</f>
        <v>666.25</v>
      </c>
      <c r="AK117" s="78">
        <f>Valores!$C$6</f>
        <v>0</v>
      </c>
      <c r="AL117" s="78">
        <f>Valores!$C$81</f>
        <v>1500</v>
      </c>
      <c r="AM117" s="80">
        <f>Valores!$C$51</f>
        <v>141.62</v>
      </c>
      <c r="AN117" s="82">
        <f t="shared" si="21"/>
        <v>2166.25</v>
      </c>
      <c r="AO117" s="83">
        <f>AI117*-Valores!$C$65</f>
        <v>-3342.5920450000012</v>
      </c>
      <c r="AP117" s="83">
        <f>AI117*-Valores!$C$66</f>
        <v>-128.56123250000005</v>
      </c>
      <c r="AQ117" s="77">
        <f>AI117*-Valores!$C$67</f>
        <v>-1157.0510925000003</v>
      </c>
      <c r="AR117" s="77">
        <f>AI117*-Valores!$C$68</f>
        <v>-694.23065550000024</v>
      </c>
      <c r="AS117" s="77">
        <f>AI117*-Valores!$C$69</f>
        <v>-77.136739500000033</v>
      </c>
      <c r="AT117" s="81">
        <f t="shared" si="17"/>
        <v>23250.292130000005</v>
      </c>
      <c r="AU117" s="81">
        <f t="shared" si="18"/>
        <v>23635.975827500006</v>
      </c>
      <c r="AV117" s="77">
        <f>AI117*Valores!$C$71</f>
        <v>4113.9594400000015</v>
      </c>
      <c r="AW117" s="77">
        <f>AI117*Valores!$C$72</f>
        <v>1157.0510925000003</v>
      </c>
      <c r="AX117" s="77">
        <f>AI117*Valores!$C$73</f>
        <v>257.12246500000009</v>
      </c>
      <c r="AY117" s="77">
        <f>AI117*Valores!$C$75</f>
        <v>899.9286275000004</v>
      </c>
      <c r="AZ117" s="77">
        <f>AI117*Valores!$C$76</f>
        <v>154.27347900000007</v>
      </c>
      <c r="BA117" s="77">
        <f t="shared" si="22"/>
        <v>1388.4613110000005</v>
      </c>
      <c r="BB117" s="51"/>
      <c r="BC117" s="51">
        <v>30</v>
      </c>
      <c r="BD117" s="27" t="s">
        <v>4</v>
      </c>
    </row>
    <row r="118" spans="1:56" s="27" customFormat="1" ht="11.25" customHeight="1" x14ac:dyDescent="0.2">
      <c r="A118" s="51">
        <v>117</v>
      </c>
      <c r="B118" s="51"/>
      <c r="C118" s="27" t="s">
        <v>374</v>
      </c>
      <c r="E118" s="27">
        <f t="shared" si="14"/>
        <v>17</v>
      </c>
      <c r="F118" s="71" t="s">
        <v>375</v>
      </c>
      <c r="G118" s="72">
        <v>77</v>
      </c>
      <c r="H118" s="73">
        <f>INT((G118*Valores!$C$2*100)+0.5)/100</f>
        <v>529.62</v>
      </c>
      <c r="I118" s="112">
        <v>2073</v>
      </c>
      <c r="J118" s="75">
        <f>INT((I118*Valores!$C$2*100)+0.5)/100</f>
        <v>14258.51</v>
      </c>
      <c r="K118" s="102">
        <v>0</v>
      </c>
      <c r="L118" s="75">
        <f>INT((K118*Valores!$C$2*100)+0.5)/100</f>
        <v>0</v>
      </c>
      <c r="M118" s="100">
        <v>0</v>
      </c>
      <c r="N118" s="75">
        <f>INT((M118*Valores!$C$2*100)+0.5)/100</f>
        <v>0</v>
      </c>
      <c r="O118" s="75">
        <f t="shared" si="15"/>
        <v>2835.1124999999997</v>
      </c>
      <c r="P118" s="75">
        <f t="shared" si="16"/>
        <v>0</v>
      </c>
      <c r="Q118" s="77">
        <f>Valores!$C$15</f>
        <v>4424.9399999999996</v>
      </c>
      <c r="R118" s="77">
        <f>Valores!$D$4</f>
        <v>3076.62</v>
      </c>
      <c r="S118" s="101">
        <f>Valores!$C$26</f>
        <v>3208.72</v>
      </c>
      <c r="T118" s="106">
        <f>Valores!$C$42</f>
        <v>1271.83</v>
      </c>
      <c r="U118" s="75">
        <f>Valores!$C$23</f>
        <v>2840.79</v>
      </c>
      <c r="V118" s="75">
        <f t="shared" si="23"/>
        <v>2840.79</v>
      </c>
      <c r="W118" s="75">
        <v>0</v>
      </c>
      <c r="X118" s="75">
        <v>0</v>
      </c>
      <c r="Y118" s="79">
        <v>0</v>
      </c>
      <c r="Z118" s="75">
        <f>Y118*Valores!$C$2</f>
        <v>0</v>
      </c>
      <c r="AA118" s="75">
        <v>0</v>
      </c>
      <c r="AB118" s="80">
        <f>Valores!$C$29</f>
        <v>166.15</v>
      </c>
      <c r="AC118" s="75">
        <f t="shared" si="19"/>
        <v>0</v>
      </c>
      <c r="AD118" s="75">
        <f>Valores!$C$30</f>
        <v>166.15</v>
      </c>
      <c r="AE118" s="79">
        <v>0</v>
      </c>
      <c r="AF118" s="75">
        <f>INT(((AE118*Valores!$C$2)*100)+0.5)/100</f>
        <v>0</v>
      </c>
      <c r="AG118" s="75">
        <f>Valores!$C$58</f>
        <v>337.97</v>
      </c>
      <c r="AH118" s="75">
        <f>Valores!$C$60</f>
        <v>96.56</v>
      </c>
      <c r="AI118" s="81">
        <f t="shared" si="20"/>
        <v>33212.972500000003</v>
      </c>
      <c r="AJ118" s="77">
        <f>Valores!$C$35</f>
        <v>666.25</v>
      </c>
      <c r="AK118" s="78">
        <f>Valores!$C$8</f>
        <v>0</v>
      </c>
      <c r="AL118" s="78">
        <f>Valores!$C$81</f>
        <v>1500</v>
      </c>
      <c r="AM118" s="80">
        <f>Valores!$C$51</f>
        <v>141.62</v>
      </c>
      <c r="AN118" s="82">
        <f t="shared" si="21"/>
        <v>2166.25</v>
      </c>
      <c r="AO118" s="83">
        <f>AI118*-Valores!$C$65</f>
        <v>-4317.6864250000008</v>
      </c>
      <c r="AP118" s="83">
        <f>AI118*-Valores!$C$66</f>
        <v>-166.06486250000003</v>
      </c>
      <c r="AQ118" s="77">
        <f>AI118*-Valores!$C$67</f>
        <v>-1494.5837625000001</v>
      </c>
      <c r="AR118" s="77">
        <f>AI118*-Valores!$C$68</f>
        <v>-896.75025750000009</v>
      </c>
      <c r="AS118" s="77">
        <f>AI118*-Valores!$C$69</f>
        <v>-99.638917500000019</v>
      </c>
      <c r="AT118" s="81">
        <f t="shared" si="17"/>
        <v>29400.887450000002</v>
      </c>
      <c r="AU118" s="81">
        <f t="shared" si="18"/>
        <v>29899.082037499997</v>
      </c>
      <c r="AV118" s="77">
        <f>AI118*Valores!$C$71</f>
        <v>5314.075600000001</v>
      </c>
      <c r="AW118" s="77">
        <f>AI118*Valores!$C$72</f>
        <v>1494.5837625000001</v>
      </c>
      <c r="AX118" s="77">
        <f>AI118*Valores!$C$73</f>
        <v>332.12972500000006</v>
      </c>
      <c r="AY118" s="77">
        <f>AI118*Valores!$C$75</f>
        <v>1162.4540375000001</v>
      </c>
      <c r="AZ118" s="77">
        <f>AI118*Valores!$C$76</f>
        <v>199.27783500000004</v>
      </c>
      <c r="BA118" s="77">
        <f t="shared" si="22"/>
        <v>1793.5005150000004</v>
      </c>
      <c r="BB118" s="51"/>
      <c r="BC118" s="51">
        <v>30</v>
      </c>
      <c r="BD118" s="27" t="s">
        <v>4</v>
      </c>
    </row>
    <row r="119" spans="1:56" s="27" customFormat="1" ht="11.25" customHeight="1" x14ac:dyDescent="0.2">
      <c r="A119" s="51">
        <v>118</v>
      </c>
      <c r="B119" s="51"/>
      <c r="C119" s="27" t="s">
        <v>376</v>
      </c>
      <c r="E119" s="27">
        <f t="shared" si="14"/>
        <v>29</v>
      </c>
      <c r="F119" s="71" t="s">
        <v>377</v>
      </c>
      <c r="G119" s="72">
        <v>77</v>
      </c>
      <c r="H119" s="73">
        <f>INT((G119*Valores!$C$2*100)+0.5)/100</f>
        <v>529.62</v>
      </c>
      <c r="I119" s="112">
        <v>2043</v>
      </c>
      <c r="J119" s="75">
        <f>INT((I119*Valores!$C$2*100)+0.5)/100</f>
        <v>14052.16</v>
      </c>
      <c r="K119" s="102">
        <v>0</v>
      </c>
      <c r="L119" s="75">
        <f>INT((K119*Valores!$C$2*100)+0.5)/100</f>
        <v>0</v>
      </c>
      <c r="M119" s="100">
        <v>0</v>
      </c>
      <c r="N119" s="75">
        <f>INT((M119*Valores!$C$2*100)+0.5)/100</f>
        <v>0</v>
      </c>
      <c r="O119" s="75">
        <f t="shared" si="15"/>
        <v>2804.1600000000003</v>
      </c>
      <c r="P119" s="75">
        <f t="shared" si="16"/>
        <v>0</v>
      </c>
      <c r="Q119" s="77">
        <f>Valores!$C$16</f>
        <v>4450.7</v>
      </c>
      <c r="R119" s="77">
        <f>Valores!$D$4</f>
        <v>3076.62</v>
      </c>
      <c r="S119" s="101">
        <f>Valores!$C$26</f>
        <v>3208.72</v>
      </c>
      <c r="T119" s="106">
        <f>Valores!$C$42</f>
        <v>1271.83</v>
      </c>
      <c r="U119" s="75">
        <f>Valores!$C$23</f>
        <v>2840.79</v>
      </c>
      <c r="V119" s="75">
        <f t="shared" si="23"/>
        <v>2840.79</v>
      </c>
      <c r="W119" s="75">
        <v>0</v>
      </c>
      <c r="X119" s="75">
        <v>0</v>
      </c>
      <c r="Y119" s="79">
        <v>0</v>
      </c>
      <c r="Z119" s="75">
        <f>Y119*Valores!$C$2</f>
        <v>0</v>
      </c>
      <c r="AA119" s="75">
        <v>0</v>
      </c>
      <c r="AB119" s="80">
        <f>Valores!$C$29</f>
        <v>166.15</v>
      </c>
      <c r="AC119" s="75">
        <f t="shared" si="19"/>
        <v>0</v>
      </c>
      <c r="AD119" s="75">
        <f>Valores!$C$30</f>
        <v>166.15</v>
      </c>
      <c r="AE119" s="79">
        <v>0</v>
      </c>
      <c r="AF119" s="75">
        <f>INT(((AE119*Valores!$C$2)*100)+0.5)/100</f>
        <v>0</v>
      </c>
      <c r="AG119" s="75">
        <f>Valores!$C$58</f>
        <v>337.97</v>
      </c>
      <c r="AH119" s="75">
        <f>Valores!$C$60</f>
        <v>96.56</v>
      </c>
      <c r="AI119" s="81">
        <f t="shared" si="20"/>
        <v>33001.430000000008</v>
      </c>
      <c r="AJ119" s="77">
        <f>Valores!$C$35</f>
        <v>666.25</v>
      </c>
      <c r="AK119" s="78">
        <f>Valores!$C$8</f>
        <v>0</v>
      </c>
      <c r="AL119" s="78">
        <f>Valores!$C$81</f>
        <v>1500</v>
      </c>
      <c r="AM119" s="80">
        <f>Valores!$C$51</f>
        <v>141.62</v>
      </c>
      <c r="AN119" s="82">
        <f t="shared" si="21"/>
        <v>2166.25</v>
      </c>
      <c r="AO119" s="83">
        <f>AI119*-Valores!$C$65</f>
        <v>-4290.1859000000013</v>
      </c>
      <c r="AP119" s="83">
        <f>AI119*-Valores!$C$66</f>
        <v>-165.00715000000005</v>
      </c>
      <c r="AQ119" s="77">
        <f>AI119*-Valores!$C$67</f>
        <v>-1485.0643500000003</v>
      </c>
      <c r="AR119" s="77">
        <f>AI119*-Valores!$C$68</f>
        <v>-891.03861000000018</v>
      </c>
      <c r="AS119" s="77">
        <f>AI119*-Valores!$C$69</f>
        <v>-99.004290000000026</v>
      </c>
      <c r="AT119" s="81">
        <f t="shared" si="17"/>
        <v>29227.422600000009</v>
      </c>
      <c r="AU119" s="81">
        <f t="shared" si="18"/>
        <v>29722.444050000006</v>
      </c>
      <c r="AV119" s="77">
        <f>AI119*Valores!$C$71</f>
        <v>5280.2288000000017</v>
      </c>
      <c r="AW119" s="77">
        <f>AI119*Valores!$C$72</f>
        <v>1485.0643500000003</v>
      </c>
      <c r="AX119" s="77">
        <f>AI119*Valores!$C$73</f>
        <v>330.01430000000011</v>
      </c>
      <c r="AY119" s="77">
        <f>AI119*Valores!$C$75</f>
        <v>1155.0500500000003</v>
      </c>
      <c r="AZ119" s="77">
        <f>AI119*Valores!$C$76</f>
        <v>198.00858000000005</v>
      </c>
      <c r="BA119" s="77">
        <f t="shared" si="22"/>
        <v>1782.0772200000006</v>
      </c>
      <c r="BB119" s="51"/>
      <c r="BC119" s="85">
        <v>30</v>
      </c>
      <c r="BD119" s="27" t="s">
        <v>4</v>
      </c>
    </row>
    <row r="120" spans="1:56" s="27" customFormat="1" ht="11.25" customHeight="1" x14ac:dyDescent="0.2">
      <c r="A120" s="51">
        <v>119</v>
      </c>
      <c r="B120" s="51"/>
      <c r="C120" s="27" t="s">
        <v>378</v>
      </c>
      <c r="E120" s="27">
        <f t="shared" si="14"/>
        <v>29</v>
      </c>
      <c r="F120" s="71" t="s">
        <v>379</v>
      </c>
      <c r="G120" s="72">
        <v>76</v>
      </c>
      <c r="H120" s="73">
        <f>INT((G120*Valores!$C$2*100)+0.5)/100</f>
        <v>522.74</v>
      </c>
      <c r="I120" s="112">
        <v>1954</v>
      </c>
      <c r="J120" s="75">
        <f>INT((I120*Valores!$C$2*100)+0.5)/100</f>
        <v>13440</v>
      </c>
      <c r="K120" s="102">
        <v>0</v>
      </c>
      <c r="L120" s="75">
        <f>INT((K120*Valores!$C$2*100)+0.5)/100</f>
        <v>0</v>
      </c>
      <c r="M120" s="100">
        <v>0</v>
      </c>
      <c r="N120" s="75">
        <f>INT((M120*Valores!$C$2*100)+0.5)/100</f>
        <v>0</v>
      </c>
      <c r="O120" s="75">
        <f t="shared" si="15"/>
        <v>2711.3040000000001</v>
      </c>
      <c r="P120" s="75">
        <f t="shared" si="16"/>
        <v>0</v>
      </c>
      <c r="Q120" s="77">
        <f>Valores!$C$16</f>
        <v>4450.7</v>
      </c>
      <c r="R120" s="77">
        <f>Valores!$D$4</f>
        <v>3076.62</v>
      </c>
      <c r="S120" s="101">
        <f>Valores!$C$26</f>
        <v>3208.72</v>
      </c>
      <c r="T120" s="106">
        <f>Valores!$C$42</f>
        <v>1271.83</v>
      </c>
      <c r="U120" s="75">
        <f>Valores!$C$23</f>
        <v>2840.79</v>
      </c>
      <c r="V120" s="75">
        <f t="shared" si="23"/>
        <v>2840.79</v>
      </c>
      <c r="W120" s="75">
        <v>0</v>
      </c>
      <c r="X120" s="75">
        <v>0</v>
      </c>
      <c r="Y120" s="79">
        <v>0</v>
      </c>
      <c r="Z120" s="75">
        <f>Y120*Valores!$C$2</f>
        <v>0</v>
      </c>
      <c r="AA120" s="75">
        <v>0</v>
      </c>
      <c r="AB120" s="80">
        <f>Valores!$C$29</f>
        <v>166.15</v>
      </c>
      <c r="AC120" s="75">
        <f t="shared" si="19"/>
        <v>0</v>
      </c>
      <c r="AD120" s="75">
        <f>Valores!$C$30</f>
        <v>166.15</v>
      </c>
      <c r="AE120" s="79">
        <v>0</v>
      </c>
      <c r="AF120" s="75">
        <f>INT(((AE120*Valores!$C$2)*100)+0.5)/100</f>
        <v>0</v>
      </c>
      <c r="AG120" s="75">
        <f>Valores!$C$58</f>
        <v>337.97</v>
      </c>
      <c r="AH120" s="75">
        <f>Valores!$C$60</f>
        <v>96.56</v>
      </c>
      <c r="AI120" s="81">
        <f t="shared" si="20"/>
        <v>32289.534000000011</v>
      </c>
      <c r="AJ120" s="77">
        <f>Valores!$C$35</f>
        <v>666.25</v>
      </c>
      <c r="AK120" s="78">
        <f>Valores!$C$8</f>
        <v>0</v>
      </c>
      <c r="AL120" s="78">
        <f>Valores!$C$81</f>
        <v>1500</v>
      </c>
      <c r="AM120" s="80">
        <f>Valores!$C$51</f>
        <v>141.62</v>
      </c>
      <c r="AN120" s="82">
        <f t="shared" si="21"/>
        <v>2166.25</v>
      </c>
      <c r="AO120" s="83">
        <f>AI120*-Valores!$C$65</f>
        <v>-4197.6394200000013</v>
      </c>
      <c r="AP120" s="83">
        <f>AI120*-Valores!$C$66</f>
        <v>-161.44767000000004</v>
      </c>
      <c r="AQ120" s="77">
        <f>AI120*-Valores!$C$67</f>
        <v>-1453.0290300000004</v>
      </c>
      <c r="AR120" s="77">
        <f>AI120*-Valores!$C$68</f>
        <v>-871.81741800000032</v>
      </c>
      <c r="AS120" s="77">
        <f>AI120*-Valores!$C$69</f>
        <v>-96.868602000000038</v>
      </c>
      <c r="AT120" s="81">
        <f t="shared" si="17"/>
        <v>28643.667880000015</v>
      </c>
      <c r="AU120" s="81">
        <f t="shared" si="18"/>
        <v>29128.010890000016</v>
      </c>
      <c r="AV120" s="77">
        <f>AI120*Valores!$C$71</f>
        <v>5166.3254400000014</v>
      </c>
      <c r="AW120" s="77">
        <f>AI120*Valores!$C$72</f>
        <v>1453.0290300000004</v>
      </c>
      <c r="AX120" s="77">
        <f>AI120*Valores!$C$73</f>
        <v>322.89534000000009</v>
      </c>
      <c r="AY120" s="77">
        <f>AI120*Valores!$C$75</f>
        <v>1130.1336900000006</v>
      </c>
      <c r="AZ120" s="77">
        <f>AI120*Valores!$C$76</f>
        <v>193.73720400000008</v>
      </c>
      <c r="BA120" s="77">
        <f t="shared" si="22"/>
        <v>1743.6348360000006</v>
      </c>
      <c r="BB120" s="51"/>
      <c r="BC120" s="51">
        <v>30</v>
      </c>
      <c r="BD120" s="27" t="s">
        <v>4</v>
      </c>
    </row>
    <row r="121" spans="1:56" s="27" customFormat="1" ht="11.25" customHeight="1" x14ac:dyDescent="0.2">
      <c r="A121" s="85">
        <v>120</v>
      </c>
      <c r="B121" s="85" t="s">
        <v>163</v>
      </c>
      <c r="C121" s="86" t="s">
        <v>380</v>
      </c>
      <c r="D121" s="86"/>
      <c r="E121" s="86">
        <f t="shared" si="14"/>
        <v>29</v>
      </c>
      <c r="F121" s="87" t="s">
        <v>381</v>
      </c>
      <c r="G121" s="88">
        <v>274</v>
      </c>
      <c r="H121" s="89">
        <f>INT((G121*Valores!$C$2*100)+0.5)/100</f>
        <v>1884.63</v>
      </c>
      <c r="I121" s="103">
        <v>1163</v>
      </c>
      <c r="J121" s="91">
        <f>INT((I121*Valores!$C$2*100)+0.5)/100</f>
        <v>7999.35</v>
      </c>
      <c r="K121" s="104">
        <v>0</v>
      </c>
      <c r="L121" s="91">
        <f>INT((K121*Valores!$C$2*100)+0.5)/100</f>
        <v>0</v>
      </c>
      <c r="M121" s="105">
        <v>0</v>
      </c>
      <c r="N121" s="91">
        <f>INT((M121*Valores!$C$2*100)+0.5)/100</f>
        <v>0</v>
      </c>
      <c r="O121" s="91">
        <f t="shared" si="15"/>
        <v>2099.4899999999998</v>
      </c>
      <c r="P121" s="91">
        <f t="shared" si="16"/>
        <v>0</v>
      </c>
      <c r="Q121" s="93">
        <f>Valores!$C$16</f>
        <v>4450.7</v>
      </c>
      <c r="R121" s="93">
        <f>Valores!$D$4</f>
        <v>3076.62</v>
      </c>
      <c r="S121" s="107">
        <f>Valores!$C$26</f>
        <v>3208.72</v>
      </c>
      <c r="T121" s="108">
        <f>Valores!$C$42</f>
        <v>1271.83</v>
      </c>
      <c r="U121" s="91">
        <f>Valores!$C$23</f>
        <v>2840.79</v>
      </c>
      <c r="V121" s="91">
        <f t="shared" si="23"/>
        <v>2840.79</v>
      </c>
      <c r="W121" s="91">
        <v>0</v>
      </c>
      <c r="X121" s="91">
        <v>0</v>
      </c>
      <c r="Y121" s="95">
        <v>0</v>
      </c>
      <c r="Z121" s="91">
        <f>Y121*Valores!$C$2</f>
        <v>0</v>
      </c>
      <c r="AA121" s="91">
        <v>0</v>
      </c>
      <c r="AB121" s="96">
        <f>Valores!$C$29</f>
        <v>166.15</v>
      </c>
      <c r="AC121" s="91">
        <f t="shared" si="19"/>
        <v>0</v>
      </c>
      <c r="AD121" s="91">
        <f>Valores!$C$30</f>
        <v>166.15</v>
      </c>
      <c r="AE121" s="95">
        <v>0</v>
      </c>
      <c r="AF121" s="91">
        <f>INT(((AE121*Valores!$C$2)*100)+0.5)/100</f>
        <v>0</v>
      </c>
      <c r="AG121" s="91">
        <f>Valores!$C$58</f>
        <v>337.97</v>
      </c>
      <c r="AH121" s="91">
        <f>Valores!$C$60</f>
        <v>96.56</v>
      </c>
      <c r="AI121" s="97">
        <f t="shared" si="20"/>
        <v>27598.960000000003</v>
      </c>
      <c r="AJ121" s="93">
        <f>Valores!$C$35</f>
        <v>666.25</v>
      </c>
      <c r="AK121" s="94">
        <f>Valores!$C$8</f>
        <v>0</v>
      </c>
      <c r="AL121" s="94">
        <f>Valores!$C$81</f>
        <v>1500</v>
      </c>
      <c r="AM121" s="96">
        <f>Valores!$C$51</f>
        <v>141.62</v>
      </c>
      <c r="AN121" s="98">
        <f t="shared" si="21"/>
        <v>2166.25</v>
      </c>
      <c r="AO121" s="99">
        <f>AI121*-Valores!$C$65</f>
        <v>-3587.8648000000003</v>
      </c>
      <c r="AP121" s="99">
        <f>AI121*-Valores!$C$66</f>
        <v>-137.99480000000003</v>
      </c>
      <c r="AQ121" s="93">
        <f>AI121*-Valores!$C$67</f>
        <v>-1241.9532000000002</v>
      </c>
      <c r="AR121" s="93">
        <f>AI121*-Valores!$C$68</f>
        <v>-745.17192000000011</v>
      </c>
      <c r="AS121" s="93">
        <f>AI121*-Valores!$C$69</f>
        <v>-82.796880000000016</v>
      </c>
      <c r="AT121" s="97">
        <f t="shared" si="17"/>
        <v>24797.397200000003</v>
      </c>
      <c r="AU121" s="97">
        <f t="shared" si="18"/>
        <v>25211.381600000001</v>
      </c>
      <c r="AV121" s="93">
        <f>AI121*Valores!$C$71</f>
        <v>4415.8336000000008</v>
      </c>
      <c r="AW121" s="93">
        <f>AI121*Valores!$C$72</f>
        <v>1241.9532000000002</v>
      </c>
      <c r="AX121" s="93">
        <f>AI121*Valores!$C$73</f>
        <v>275.98960000000005</v>
      </c>
      <c r="AY121" s="93">
        <f>AI121*Valores!$C$75</f>
        <v>965.96360000000016</v>
      </c>
      <c r="AZ121" s="93">
        <f>AI121*Valores!$C$76</f>
        <v>165.59376000000003</v>
      </c>
      <c r="BA121" s="93">
        <f t="shared" si="22"/>
        <v>1490.3438400000002</v>
      </c>
      <c r="BB121" s="85"/>
      <c r="BC121" s="85">
        <v>30</v>
      </c>
      <c r="BD121" s="86" t="s">
        <v>4</v>
      </c>
    </row>
    <row r="122" spans="1:56" s="27" customFormat="1" ht="11.25" customHeight="1" x14ac:dyDescent="0.2">
      <c r="A122" s="51">
        <v>121</v>
      </c>
      <c r="B122" s="51"/>
      <c r="C122" s="27" t="s">
        <v>382</v>
      </c>
      <c r="E122" s="27">
        <f t="shared" si="14"/>
        <v>27</v>
      </c>
      <c r="F122" s="71" t="s">
        <v>383</v>
      </c>
      <c r="G122" s="72">
        <v>2800</v>
      </c>
      <c r="H122" s="73">
        <f>INT((G122*Valores!$C$2*100)+0.5)/100</f>
        <v>19258.96</v>
      </c>
      <c r="I122" s="112">
        <v>0</v>
      </c>
      <c r="J122" s="75">
        <f>INT((I122*Valores!$C$2*100)+0.5)/100</f>
        <v>0</v>
      </c>
      <c r="K122" s="102">
        <v>0</v>
      </c>
      <c r="L122" s="75">
        <f>INT((K122*Valores!$C$2*100)+0.5)/100</f>
        <v>0</v>
      </c>
      <c r="M122" s="100">
        <v>0</v>
      </c>
      <c r="N122" s="75">
        <f>INT((M122*Valores!$C$2*100)+0.5)/100</f>
        <v>0</v>
      </c>
      <c r="O122" s="75">
        <f t="shared" si="15"/>
        <v>3595.3229999999999</v>
      </c>
      <c r="P122" s="75">
        <f t="shared" si="16"/>
        <v>0</v>
      </c>
      <c r="Q122" s="77">
        <f>Valores!$C$20</f>
        <v>4231.82</v>
      </c>
      <c r="R122" s="77">
        <f>Valores!$D$4</f>
        <v>3076.62</v>
      </c>
      <c r="S122" s="75">
        <f>Valores!$C$26</f>
        <v>3208.72</v>
      </c>
      <c r="T122" s="78">
        <f>Valores!$C$43</f>
        <v>1907.73</v>
      </c>
      <c r="U122" s="101">
        <f>Valores!$C$24</f>
        <v>2802.13</v>
      </c>
      <c r="V122" s="75">
        <f t="shared" si="23"/>
        <v>2802.13</v>
      </c>
      <c r="W122" s="75">
        <v>0</v>
      </c>
      <c r="X122" s="75">
        <v>0</v>
      </c>
      <c r="Y122" s="79">
        <v>0</v>
      </c>
      <c r="Z122" s="75">
        <f>Y122*Valores!$C$2</f>
        <v>0</v>
      </c>
      <c r="AA122" s="75">
        <v>0</v>
      </c>
      <c r="AB122" s="80">
        <f>Valores!$C$29</f>
        <v>166.15</v>
      </c>
      <c r="AC122" s="75">
        <f t="shared" si="19"/>
        <v>0</v>
      </c>
      <c r="AD122" s="75">
        <f>Valores!$C$30</f>
        <v>166.15</v>
      </c>
      <c r="AE122" s="79">
        <v>0</v>
      </c>
      <c r="AF122" s="75">
        <f>INT(((AE122*Valores!$C$2)*100)+0.5)/100</f>
        <v>0</v>
      </c>
      <c r="AG122" s="75">
        <f>Valores!$C$58</f>
        <v>337.97</v>
      </c>
      <c r="AH122" s="75">
        <f>Valores!$C$60</f>
        <v>96.56</v>
      </c>
      <c r="AI122" s="81">
        <f t="shared" si="20"/>
        <v>38848.133000000002</v>
      </c>
      <c r="AJ122" s="77">
        <f>Valores!$C$35</f>
        <v>666.25</v>
      </c>
      <c r="AK122" s="78">
        <f>Valores!$C$9</f>
        <v>0</v>
      </c>
      <c r="AL122" s="78">
        <f>Valores!$C$81</f>
        <v>1500</v>
      </c>
      <c r="AM122" s="80">
        <f>Valores!$C$50</f>
        <v>283.24</v>
      </c>
      <c r="AN122" s="82">
        <f t="shared" si="21"/>
        <v>2166.25</v>
      </c>
      <c r="AO122" s="83">
        <f>AI122*-Valores!$C$65</f>
        <v>-5050.2572900000005</v>
      </c>
      <c r="AP122" s="83">
        <f>AI122*-Valores!$C$66</f>
        <v>-194.24066500000001</v>
      </c>
      <c r="AQ122" s="77">
        <f>AI122*-Valores!$C$67</f>
        <v>-1748.1659850000001</v>
      </c>
      <c r="AR122" s="77">
        <f>AI122*-Valores!$C$68</f>
        <v>-1048.8995910000001</v>
      </c>
      <c r="AS122" s="77">
        <f>AI122*-Valores!$C$69</f>
        <v>-116.54439900000001</v>
      </c>
      <c r="AT122" s="81">
        <f t="shared" si="17"/>
        <v>34021.719060000003</v>
      </c>
      <c r="AU122" s="81">
        <f t="shared" si="18"/>
        <v>34604.441055000003</v>
      </c>
      <c r="AV122" s="77">
        <f>AI122*Valores!$C$71</f>
        <v>6215.7012800000002</v>
      </c>
      <c r="AW122" s="77">
        <f>AI122*Valores!$C$72</f>
        <v>1748.1659850000001</v>
      </c>
      <c r="AX122" s="77">
        <f>AI122*Valores!$C$73</f>
        <v>388.48133000000001</v>
      </c>
      <c r="AY122" s="77">
        <f>AI122*Valores!$C$75</f>
        <v>1359.6846550000002</v>
      </c>
      <c r="AZ122" s="77">
        <f>AI122*Valores!$C$76</f>
        <v>233.08879800000003</v>
      </c>
      <c r="BA122" s="77">
        <f t="shared" si="22"/>
        <v>2097.7991820000002</v>
      </c>
      <c r="BB122" s="51"/>
      <c r="BC122" s="51"/>
      <c r="BD122" s="27" t="s">
        <v>4</v>
      </c>
    </row>
    <row r="123" spans="1:56" s="27" customFormat="1" ht="11.25" customHeight="1" x14ac:dyDescent="0.2">
      <c r="A123" s="51">
        <v>122</v>
      </c>
      <c r="B123" s="51"/>
      <c r="C123" s="27" t="s">
        <v>384</v>
      </c>
      <c r="E123" s="27">
        <f t="shared" si="14"/>
        <v>27</v>
      </c>
      <c r="F123" s="71" t="s">
        <v>385</v>
      </c>
      <c r="G123" s="72">
        <v>2850</v>
      </c>
      <c r="H123" s="73">
        <f>INT((G123*Valores!$C$2*100)+0.5)/100</f>
        <v>19602.87</v>
      </c>
      <c r="I123" s="112">
        <v>0</v>
      </c>
      <c r="J123" s="75">
        <f>INT((I123*Valores!$C$2*100)+0.5)/100</f>
        <v>0</v>
      </c>
      <c r="K123" s="102">
        <v>0</v>
      </c>
      <c r="L123" s="75">
        <f>INT((K123*Valores!$C$2*100)+0.5)/100</f>
        <v>0</v>
      </c>
      <c r="M123" s="100">
        <v>0</v>
      </c>
      <c r="N123" s="75">
        <f>INT((M123*Valores!$C$2*100)+0.5)/100</f>
        <v>0</v>
      </c>
      <c r="O123" s="75">
        <f t="shared" si="15"/>
        <v>3646.9094999999998</v>
      </c>
      <c r="P123" s="75">
        <f t="shared" si="16"/>
        <v>0</v>
      </c>
      <c r="Q123" s="77">
        <f>Valores!$C$16</f>
        <v>4450.7</v>
      </c>
      <c r="R123" s="77">
        <f>Valores!$D$4</f>
        <v>3076.62</v>
      </c>
      <c r="S123" s="101">
        <f>Valores!$C$26</f>
        <v>3208.72</v>
      </c>
      <c r="T123" s="106">
        <f>Valores!$C$43</f>
        <v>1907.73</v>
      </c>
      <c r="U123" s="101">
        <f>Valores!$C$24</f>
        <v>2802.13</v>
      </c>
      <c r="V123" s="75">
        <f t="shared" si="23"/>
        <v>2802.13</v>
      </c>
      <c r="W123" s="75">
        <v>0</v>
      </c>
      <c r="X123" s="75">
        <v>0</v>
      </c>
      <c r="Y123" s="79">
        <v>0</v>
      </c>
      <c r="Z123" s="75">
        <f>Y123*Valores!$C$2</f>
        <v>0</v>
      </c>
      <c r="AA123" s="75">
        <v>0</v>
      </c>
      <c r="AB123" s="80">
        <f>Valores!$C$29</f>
        <v>166.15</v>
      </c>
      <c r="AC123" s="75">
        <f t="shared" si="19"/>
        <v>0</v>
      </c>
      <c r="AD123" s="75">
        <f>Valores!$C$30</f>
        <v>166.15</v>
      </c>
      <c r="AE123" s="79">
        <v>0</v>
      </c>
      <c r="AF123" s="75">
        <f>INT(((AE123*Valores!$C$2)*100)+0.5)/100</f>
        <v>0</v>
      </c>
      <c r="AG123" s="75">
        <f>Valores!$C$58</f>
        <v>337.97</v>
      </c>
      <c r="AH123" s="75">
        <f>Valores!$C$60</f>
        <v>96.56</v>
      </c>
      <c r="AI123" s="81">
        <f t="shared" si="20"/>
        <v>39462.5095</v>
      </c>
      <c r="AJ123" s="77">
        <f>Valores!$C$35</f>
        <v>666.25</v>
      </c>
      <c r="AK123" s="78">
        <f>Valores!$C$9</f>
        <v>0</v>
      </c>
      <c r="AL123" s="78">
        <f>Valores!$C$83</f>
        <v>3000</v>
      </c>
      <c r="AM123" s="80">
        <f>Valores!$C$50</f>
        <v>283.24</v>
      </c>
      <c r="AN123" s="82">
        <f t="shared" si="21"/>
        <v>3666.25</v>
      </c>
      <c r="AO123" s="83">
        <f>AI123*-Valores!$C$65</f>
        <v>-5130.1262350000006</v>
      </c>
      <c r="AP123" s="83">
        <f>AI123*-Valores!$C$66</f>
        <v>-197.31254749999999</v>
      </c>
      <c r="AQ123" s="77">
        <f>AI123*-Valores!$C$67</f>
        <v>-1775.8129274999999</v>
      </c>
      <c r="AR123" s="77">
        <f>AI123*-Valores!$C$68</f>
        <v>-1065.4877564999999</v>
      </c>
      <c r="AS123" s="77">
        <f>AI123*-Valores!$C$69</f>
        <v>-118.3875285</v>
      </c>
      <c r="AT123" s="81">
        <f t="shared" si="17"/>
        <v>36025.507789999996</v>
      </c>
      <c r="AU123" s="81">
        <f t="shared" si="18"/>
        <v>36617.445432499997</v>
      </c>
      <c r="AV123" s="77">
        <f>AI123*Valores!$C$71</f>
        <v>6314.0015199999998</v>
      </c>
      <c r="AW123" s="77">
        <f>AI123*Valores!$C$72</f>
        <v>1775.8129274999999</v>
      </c>
      <c r="AX123" s="77">
        <f>AI123*Valores!$C$73</f>
        <v>394.62509499999999</v>
      </c>
      <c r="AY123" s="77">
        <f>AI123*Valores!$C$75</f>
        <v>1381.1878325000002</v>
      </c>
      <c r="AZ123" s="77">
        <f>AI123*Valores!$C$76</f>
        <v>236.775057</v>
      </c>
      <c r="BA123" s="77">
        <f t="shared" si="22"/>
        <v>2130.9755130000003</v>
      </c>
      <c r="BB123" s="51"/>
      <c r="BC123" s="51"/>
      <c r="BD123" s="27" t="s">
        <v>4</v>
      </c>
    </row>
    <row r="124" spans="1:56" s="27" customFormat="1" ht="11.25" customHeight="1" x14ac:dyDescent="0.2">
      <c r="A124" s="51">
        <v>123</v>
      </c>
      <c r="B124" s="51"/>
      <c r="C124" s="27" t="s">
        <v>386</v>
      </c>
      <c r="E124" s="27">
        <f t="shared" si="14"/>
        <v>21</v>
      </c>
      <c r="F124" s="71" t="s">
        <v>387</v>
      </c>
      <c r="G124" s="72">
        <v>1735</v>
      </c>
      <c r="H124" s="73">
        <f>INT((G124*Valores!$C$2*100)+0.5)/100</f>
        <v>11933.68</v>
      </c>
      <c r="I124" s="112">
        <v>0</v>
      </c>
      <c r="J124" s="75">
        <f>INT((I124*Valores!$C$2*100)+0.5)/100</f>
        <v>0</v>
      </c>
      <c r="K124" s="102">
        <v>0</v>
      </c>
      <c r="L124" s="75">
        <f>INT((K124*Valores!$C$2*100)+0.5)/100</f>
        <v>0</v>
      </c>
      <c r="M124" s="100">
        <v>0</v>
      </c>
      <c r="N124" s="75">
        <f>INT((M124*Valores!$C$2*100)+0.5)/100</f>
        <v>0</v>
      </c>
      <c r="O124" s="75">
        <f t="shared" si="15"/>
        <v>2377.2975000000001</v>
      </c>
      <c r="P124" s="75">
        <f t="shared" si="16"/>
        <v>0</v>
      </c>
      <c r="Q124" s="77">
        <f>Valores!$C$20</f>
        <v>4231.82</v>
      </c>
      <c r="R124" s="77">
        <f>Valores!$D$4</f>
        <v>3076.62</v>
      </c>
      <c r="S124" s="75">
        <v>0</v>
      </c>
      <c r="T124" s="78">
        <f>Valores!$C$41</f>
        <v>1112.8399999999999</v>
      </c>
      <c r="U124" s="101">
        <f>Valores!$C$24</f>
        <v>2802.13</v>
      </c>
      <c r="V124" s="75">
        <f t="shared" si="23"/>
        <v>2802.13</v>
      </c>
      <c r="W124" s="75">
        <v>0</v>
      </c>
      <c r="X124" s="75">
        <v>0</v>
      </c>
      <c r="Y124" s="79">
        <v>0</v>
      </c>
      <c r="Z124" s="75">
        <f>Y124*Valores!$C$2</f>
        <v>0</v>
      </c>
      <c r="AA124" s="75">
        <v>0</v>
      </c>
      <c r="AB124" s="80">
        <f>Valores!$C$29</f>
        <v>166.15</v>
      </c>
      <c r="AC124" s="75">
        <f t="shared" si="19"/>
        <v>0</v>
      </c>
      <c r="AD124" s="75">
        <f>Valores!$C$30</f>
        <v>166.15</v>
      </c>
      <c r="AE124" s="79">
        <v>0</v>
      </c>
      <c r="AF124" s="75">
        <f>INT(((AE124*Valores!$C$2)*100)+0.5)/100</f>
        <v>0</v>
      </c>
      <c r="AG124" s="75">
        <f>Valores!$C$58</f>
        <v>337.97</v>
      </c>
      <c r="AH124" s="75">
        <f>Valores!$C$60</f>
        <v>96.56</v>
      </c>
      <c r="AI124" s="81">
        <f t="shared" si="20"/>
        <v>26301.217500000006</v>
      </c>
      <c r="AJ124" s="77">
        <f>Valores!$C$35</f>
        <v>666.25</v>
      </c>
      <c r="AK124" s="78">
        <f>Valores!$C$7</f>
        <v>0</v>
      </c>
      <c r="AL124" s="78">
        <f>Valores!$C$81</f>
        <v>1500</v>
      </c>
      <c r="AM124" s="80">
        <f>Valores!$C$51</f>
        <v>141.62</v>
      </c>
      <c r="AN124" s="82">
        <f t="shared" si="21"/>
        <v>2166.25</v>
      </c>
      <c r="AO124" s="83">
        <f>AI124*-Valores!$C$65</f>
        <v>-3419.1582750000007</v>
      </c>
      <c r="AP124" s="83">
        <f>AI124*-Valores!$C$66</f>
        <v>-131.50608750000004</v>
      </c>
      <c r="AQ124" s="77">
        <f>AI124*-Valores!$C$67</f>
        <v>-1183.5547875000002</v>
      </c>
      <c r="AR124" s="77">
        <f>AI124*-Valores!$C$68</f>
        <v>-710.13287250000019</v>
      </c>
      <c r="AS124" s="77">
        <f>AI124*-Valores!$C$69</f>
        <v>-78.903652500000021</v>
      </c>
      <c r="AT124" s="81">
        <f t="shared" si="17"/>
        <v>23733.248350000002</v>
      </c>
      <c r="AU124" s="81">
        <f t="shared" si="18"/>
        <v>24127.766612500003</v>
      </c>
      <c r="AV124" s="77">
        <f>AI124*Valores!$C$71</f>
        <v>4208.1948000000011</v>
      </c>
      <c r="AW124" s="77">
        <f>AI124*Valores!$C$72</f>
        <v>1183.5547875000002</v>
      </c>
      <c r="AX124" s="77">
        <f>AI124*Valores!$C$73</f>
        <v>263.01217500000007</v>
      </c>
      <c r="AY124" s="77">
        <f>AI124*Valores!$C$75</f>
        <v>920.54261250000025</v>
      </c>
      <c r="AZ124" s="77">
        <f>AI124*Valores!$C$76</f>
        <v>157.80730500000004</v>
      </c>
      <c r="BA124" s="77">
        <f t="shared" si="22"/>
        <v>1420.2657450000004</v>
      </c>
      <c r="BB124" s="51"/>
      <c r="BC124" s="85"/>
      <c r="BD124" s="27" t="s">
        <v>4</v>
      </c>
    </row>
    <row r="125" spans="1:56" s="27" customFormat="1" ht="11.25" customHeight="1" x14ac:dyDescent="0.2">
      <c r="A125" s="51">
        <v>124</v>
      </c>
      <c r="B125" s="51"/>
      <c r="C125" s="27" t="s">
        <v>388</v>
      </c>
      <c r="E125" s="27">
        <f t="shared" si="14"/>
        <v>35</v>
      </c>
      <c r="F125" s="71" t="s">
        <v>389</v>
      </c>
      <c r="G125" s="72">
        <v>72</v>
      </c>
      <c r="H125" s="73">
        <f>INT((G125*Valores!$C$2*100)+0.5)/100</f>
        <v>495.23</v>
      </c>
      <c r="I125" s="112">
        <v>1590</v>
      </c>
      <c r="J125" s="75">
        <f>INT((I125*Valores!$C$2*100)+0.5)/100</f>
        <v>10936.34</v>
      </c>
      <c r="K125" s="102">
        <v>0</v>
      </c>
      <c r="L125" s="75">
        <f>INT((K125*Valores!$C$2*100)+0.5)/100</f>
        <v>0</v>
      </c>
      <c r="M125" s="100">
        <v>0</v>
      </c>
      <c r="N125" s="75">
        <f>INT((M125*Valores!$C$2*100)+0.5)/100</f>
        <v>0</v>
      </c>
      <c r="O125" s="75">
        <f t="shared" si="15"/>
        <v>2301.9810000000002</v>
      </c>
      <c r="P125" s="75">
        <f t="shared" si="16"/>
        <v>0</v>
      </c>
      <c r="Q125" s="77">
        <f>Valores!$C$20</f>
        <v>4231.82</v>
      </c>
      <c r="R125" s="77">
        <f>Valores!$D$4</f>
        <v>3076.62</v>
      </c>
      <c r="S125" s="78">
        <f>Valores!$C$26</f>
        <v>3208.72</v>
      </c>
      <c r="T125" s="78">
        <f>Valores!$C$41</f>
        <v>1112.8399999999999</v>
      </c>
      <c r="U125" s="101">
        <f>Valores!$C$24</f>
        <v>2802.13</v>
      </c>
      <c r="V125" s="75">
        <f t="shared" si="23"/>
        <v>2802.13</v>
      </c>
      <c r="W125" s="75">
        <v>0</v>
      </c>
      <c r="X125" s="75">
        <v>0</v>
      </c>
      <c r="Y125" s="79">
        <v>0</v>
      </c>
      <c r="Z125" s="75">
        <f>Y125*Valores!$C$2</f>
        <v>0</v>
      </c>
      <c r="AA125" s="75">
        <v>0</v>
      </c>
      <c r="AB125" s="80">
        <f>Valores!$C$29</f>
        <v>166.15</v>
      </c>
      <c r="AC125" s="75">
        <f t="shared" si="19"/>
        <v>0</v>
      </c>
      <c r="AD125" s="75">
        <f>Valores!$C$30</f>
        <v>166.15</v>
      </c>
      <c r="AE125" s="79">
        <v>0</v>
      </c>
      <c r="AF125" s="75">
        <f>INT(((AE125*Valores!$C$2)*100)+0.5)/100</f>
        <v>0</v>
      </c>
      <c r="AG125" s="75">
        <f>Valores!$C$58</f>
        <v>337.97</v>
      </c>
      <c r="AH125" s="75">
        <f>Valores!$C$60</f>
        <v>96.56</v>
      </c>
      <c r="AI125" s="81">
        <f t="shared" si="20"/>
        <v>28932.511000000006</v>
      </c>
      <c r="AJ125" s="77">
        <f>Valores!$C$35</f>
        <v>666.25</v>
      </c>
      <c r="AK125" s="78">
        <f>Valores!$C$7</f>
        <v>0</v>
      </c>
      <c r="AL125" s="78">
        <f>Valores!$C$81</f>
        <v>1500</v>
      </c>
      <c r="AM125" s="80">
        <f>Valores!$C$51</f>
        <v>141.62</v>
      </c>
      <c r="AN125" s="82">
        <f t="shared" si="21"/>
        <v>2166.25</v>
      </c>
      <c r="AO125" s="83">
        <f>AI125*-Valores!$C$65</f>
        <v>-3761.2264300000011</v>
      </c>
      <c r="AP125" s="83">
        <f>AI125*-Valores!$C$66</f>
        <v>-144.66255500000003</v>
      </c>
      <c r="AQ125" s="77">
        <f>AI125*-Valores!$C$67</f>
        <v>-1301.9629950000003</v>
      </c>
      <c r="AR125" s="77">
        <f>AI125*-Valores!$C$68</f>
        <v>-781.17779700000017</v>
      </c>
      <c r="AS125" s="77">
        <f>AI125*-Valores!$C$69</f>
        <v>-86.797533000000016</v>
      </c>
      <c r="AT125" s="81">
        <f t="shared" si="17"/>
        <v>25890.909020000003</v>
      </c>
      <c r="AU125" s="81">
        <f t="shared" si="18"/>
        <v>26324.896685000003</v>
      </c>
      <c r="AV125" s="77">
        <f>AI125*Valores!$C$71</f>
        <v>4629.2017600000008</v>
      </c>
      <c r="AW125" s="77">
        <f>AI125*Valores!$C$72</f>
        <v>1301.9629950000003</v>
      </c>
      <c r="AX125" s="77">
        <f>AI125*Valores!$C$73</f>
        <v>289.32511000000005</v>
      </c>
      <c r="AY125" s="77">
        <f>AI125*Valores!$C$75</f>
        <v>1012.6378850000003</v>
      </c>
      <c r="AZ125" s="77">
        <f>AI125*Valores!$C$76</f>
        <v>173.59506600000003</v>
      </c>
      <c r="BA125" s="77">
        <f t="shared" si="22"/>
        <v>1562.3555940000006</v>
      </c>
      <c r="BB125" s="51"/>
      <c r="BC125" s="51">
        <v>25</v>
      </c>
      <c r="BD125" s="27" t="s">
        <v>4</v>
      </c>
    </row>
    <row r="126" spans="1:56" s="27" customFormat="1" ht="11.25" customHeight="1" x14ac:dyDescent="0.2">
      <c r="A126" s="85">
        <v>125</v>
      </c>
      <c r="B126" s="85" t="s">
        <v>163</v>
      </c>
      <c r="C126" s="86" t="s">
        <v>390</v>
      </c>
      <c r="D126" s="86"/>
      <c r="E126" s="86">
        <f t="shared" si="14"/>
        <v>32</v>
      </c>
      <c r="F126" s="87" t="s">
        <v>391</v>
      </c>
      <c r="G126" s="88">
        <v>72</v>
      </c>
      <c r="H126" s="89">
        <f>INT((G126*Valores!$C$2*100)+0.5)/100</f>
        <v>495.23</v>
      </c>
      <c r="I126" s="103">
        <v>1590</v>
      </c>
      <c r="J126" s="91">
        <f>INT((I126*Valores!$C$2*100)+0.5)/100</f>
        <v>10936.34</v>
      </c>
      <c r="K126" s="104">
        <v>0</v>
      </c>
      <c r="L126" s="91">
        <f>INT((K126*Valores!$C$2*100)+0.5)/100</f>
        <v>0</v>
      </c>
      <c r="M126" s="105">
        <v>0</v>
      </c>
      <c r="N126" s="91">
        <f>INT((M126*Valores!$C$2*100)+0.5)/100</f>
        <v>0</v>
      </c>
      <c r="O126" s="91">
        <f t="shared" si="15"/>
        <v>2301.9810000000002</v>
      </c>
      <c r="P126" s="91">
        <f t="shared" si="16"/>
        <v>0</v>
      </c>
      <c r="Q126" s="93">
        <f>Valores!$C$20</f>
        <v>4231.82</v>
      </c>
      <c r="R126" s="93">
        <f>Valores!$D$4</f>
        <v>3076.62</v>
      </c>
      <c r="S126" s="108">
        <f>Valores!$C$26</f>
        <v>3208.72</v>
      </c>
      <c r="T126" s="108">
        <f>Valores!$C$41</f>
        <v>1112.8399999999999</v>
      </c>
      <c r="U126" s="107">
        <f>Valores!$C$24</f>
        <v>2802.13</v>
      </c>
      <c r="V126" s="91">
        <f t="shared" si="23"/>
        <v>2802.13</v>
      </c>
      <c r="W126" s="91">
        <v>0</v>
      </c>
      <c r="X126" s="91">
        <v>0</v>
      </c>
      <c r="Y126" s="95">
        <v>0</v>
      </c>
      <c r="Z126" s="91">
        <f>Y126*Valores!$C$2</f>
        <v>0</v>
      </c>
      <c r="AA126" s="91">
        <v>0</v>
      </c>
      <c r="AB126" s="96">
        <f>Valores!$C$29</f>
        <v>166.15</v>
      </c>
      <c r="AC126" s="91">
        <f t="shared" si="19"/>
        <v>0</v>
      </c>
      <c r="AD126" s="91">
        <f>Valores!$C$30</f>
        <v>166.15</v>
      </c>
      <c r="AE126" s="95">
        <v>94</v>
      </c>
      <c r="AF126" s="91">
        <f>INT(((AE126*Valores!$C$2)*100)+0.5)/100</f>
        <v>646.54999999999995</v>
      </c>
      <c r="AG126" s="91">
        <f>Valores!$C$58</f>
        <v>337.97</v>
      </c>
      <c r="AH126" s="91">
        <f>Valores!$C$60</f>
        <v>96.56</v>
      </c>
      <c r="AI126" s="97">
        <f t="shared" si="20"/>
        <v>29579.061000000005</v>
      </c>
      <c r="AJ126" s="93">
        <f>Valores!$C$35</f>
        <v>666.25</v>
      </c>
      <c r="AK126" s="94">
        <f>Valores!$C$7</f>
        <v>0</v>
      </c>
      <c r="AL126" s="94">
        <f>Valores!$C$81</f>
        <v>1500</v>
      </c>
      <c r="AM126" s="96">
        <f>Valores!$C$51</f>
        <v>141.62</v>
      </c>
      <c r="AN126" s="98">
        <f t="shared" si="21"/>
        <v>2166.25</v>
      </c>
      <c r="AO126" s="99">
        <f>AI126*-Valores!$C$65</f>
        <v>-3845.2779300000007</v>
      </c>
      <c r="AP126" s="99">
        <f>AI126*-Valores!$C$66</f>
        <v>-147.89530500000004</v>
      </c>
      <c r="AQ126" s="93">
        <f>AI126*-Valores!$C$67</f>
        <v>-1331.0577450000003</v>
      </c>
      <c r="AR126" s="93">
        <f>AI126*-Valores!$C$68</f>
        <v>-798.63464700000009</v>
      </c>
      <c r="AS126" s="93">
        <f>AI126*-Valores!$C$69</f>
        <v>-88.737183000000016</v>
      </c>
      <c r="AT126" s="97">
        <f t="shared" si="17"/>
        <v>26421.080020000001</v>
      </c>
      <c r="AU126" s="97">
        <f t="shared" si="18"/>
        <v>26864.765935000003</v>
      </c>
      <c r="AV126" s="93">
        <f>AI126*Valores!$C$71</f>
        <v>4732.6497600000012</v>
      </c>
      <c r="AW126" s="93">
        <f>AI126*Valores!$C$72</f>
        <v>1331.0577450000003</v>
      </c>
      <c r="AX126" s="93">
        <f>AI126*Valores!$C$73</f>
        <v>295.79061000000007</v>
      </c>
      <c r="AY126" s="93">
        <f>AI126*Valores!$C$75</f>
        <v>1035.2671350000003</v>
      </c>
      <c r="AZ126" s="93">
        <f>AI126*Valores!$C$76</f>
        <v>177.47436600000003</v>
      </c>
      <c r="BA126" s="93">
        <f t="shared" si="22"/>
        <v>1597.2692940000006</v>
      </c>
      <c r="BB126" s="85"/>
      <c r="BC126" s="85">
        <v>20</v>
      </c>
      <c r="BD126" s="86" t="s">
        <v>4</v>
      </c>
    </row>
    <row r="127" spans="1:56" s="27" customFormat="1" ht="11.25" customHeight="1" x14ac:dyDescent="0.2">
      <c r="A127" s="51">
        <v>126</v>
      </c>
      <c r="B127" s="51"/>
      <c r="C127" s="27" t="s">
        <v>392</v>
      </c>
      <c r="E127" s="27">
        <f t="shared" si="14"/>
        <v>36</v>
      </c>
      <c r="F127" s="71" t="s">
        <v>393</v>
      </c>
      <c r="G127" s="72">
        <v>77</v>
      </c>
      <c r="H127" s="73">
        <f>INT((G127*Valores!$C$2*100)+0.5)/100</f>
        <v>529.62</v>
      </c>
      <c r="I127" s="112">
        <v>2043</v>
      </c>
      <c r="J127" s="75">
        <f>INT((I127*Valores!$C$2*100)+0.5)/100</f>
        <v>14052.16</v>
      </c>
      <c r="K127" s="102">
        <v>0</v>
      </c>
      <c r="L127" s="75">
        <f>INT((K127*Valores!$C$2*100)+0.5)/100</f>
        <v>0</v>
      </c>
      <c r="M127" s="100">
        <v>0</v>
      </c>
      <c r="N127" s="75">
        <f>INT((M127*Valores!$C$2*100)+0.5)/100</f>
        <v>0</v>
      </c>
      <c r="O127" s="75">
        <f t="shared" si="15"/>
        <v>2804.1600000000003</v>
      </c>
      <c r="P127" s="75">
        <f t="shared" si="16"/>
        <v>0</v>
      </c>
      <c r="Q127" s="109">
        <f>Valores!$C$16</f>
        <v>4450.7</v>
      </c>
      <c r="R127" s="77">
        <f>Valores!$D$4</f>
        <v>3076.62</v>
      </c>
      <c r="S127" s="78">
        <f>Valores!$C$26</f>
        <v>3208.72</v>
      </c>
      <c r="T127" s="78">
        <f>Valores!$C$42</f>
        <v>1271.83</v>
      </c>
      <c r="U127" s="75">
        <f>Valores!$C$23</f>
        <v>2840.79</v>
      </c>
      <c r="V127" s="75">
        <f t="shared" si="23"/>
        <v>2840.79</v>
      </c>
      <c r="W127" s="75">
        <v>0</v>
      </c>
      <c r="X127" s="75">
        <v>0</v>
      </c>
      <c r="Y127" s="79">
        <v>0</v>
      </c>
      <c r="Z127" s="75">
        <f>Y127*Valores!$C$2</f>
        <v>0</v>
      </c>
      <c r="AA127" s="75">
        <v>0</v>
      </c>
      <c r="AB127" s="80">
        <f>Valores!$C$29</f>
        <v>166.15</v>
      </c>
      <c r="AC127" s="75">
        <f t="shared" si="19"/>
        <v>0</v>
      </c>
      <c r="AD127" s="75">
        <f>Valores!$C$30</f>
        <v>166.15</v>
      </c>
      <c r="AE127" s="79">
        <v>0</v>
      </c>
      <c r="AF127" s="75">
        <f>INT(((AE127*Valores!$C$2)*100)+0.5)/100</f>
        <v>0</v>
      </c>
      <c r="AG127" s="75">
        <f>Valores!$C$58</f>
        <v>337.97</v>
      </c>
      <c r="AH127" s="75">
        <f>Valores!$C$60</f>
        <v>96.56</v>
      </c>
      <c r="AI127" s="81">
        <f t="shared" si="20"/>
        <v>33001.430000000008</v>
      </c>
      <c r="AJ127" s="77">
        <f>Valores!$C$35</f>
        <v>666.25</v>
      </c>
      <c r="AK127" s="78">
        <f>Valores!$C$8</f>
        <v>0</v>
      </c>
      <c r="AL127" s="78">
        <f>Valores!$C$81</f>
        <v>1500</v>
      </c>
      <c r="AM127" s="80">
        <f>Valores!$C$51</f>
        <v>141.62</v>
      </c>
      <c r="AN127" s="82">
        <f t="shared" si="21"/>
        <v>2166.25</v>
      </c>
      <c r="AO127" s="83">
        <f>AI127*-Valores!$C$65</f>
        <v>-4290.1859000000013</v>
      </c>
      <c r="AP127" s="83">
        <f>AI127*-Valores!$C$66</f>
        <v>-165.00715000000005</v>
      </c>
      <c r="AQ127" s="77">
        <f>AI127*-Valores!$C$67</f>
        <v>-1485.0643500000003</v>
      </c>
      <c r="AR127" s="77">
        <f>AI127*-Valores!$C$68</f>
        <v>-891.03861000000018</v>
      </c>
      <c r="AS127" s="77">
        <f>AI127*-Valores!$C$69</f>
        <v>-99.004290000000026</v>
      </c>
      <c r="AT127" s="81">
        <f t="shared" si="17"/>
        <v>29227.422600000009</v>
      </c>
      <c r="AU127" s="81">
        <f t="shared" si="18"/>
        <v>29722.444050000006</v>
      </c>
      <c r="AV127" s="77">
        <f>AI127*Valores!$C$71</f>
        <v>5280.2288000000017</v>
      </c>
      <c r="AW127" s="77">
        <f>AI127*Valores!$C$72</f>
        <v>1485.0643500000003</v>
      </c>
      <c r="AX127" s="77">
        <f>AI127*Valores!$C$73</f>
        <v>330.01430000000011</v>
      </c>
      <c r="AY127" s="77">
        <f>AI127*Valores!$C$75</f>
        <v>1155.0500500000003</v>
      </c>
      <c r="AZ127" s="77">
        <f>AI127*Valores!$C$76</f>
        <v>198.00858000000005</v>
      </c>
      <c r="BA127" s="77">
        <f t="shared" si="22"/>
        <v>1782.0772200000006</v>
      </c>
      <c r="BB127" s="51"/>
      <c r="BC127" s="51"/>
      <c r="BD127" s="27" t="s">
        <v>4</v>
      </c>
    </row>
    <row r="128" spans="1:56" s="27" customFormat="1" ht="11.25" customHeight="1" x14ac:dyDescent="0.2">
      <c r="A128" s="51">
        <v>127</v>
      </c>
      <c r="B128" s="51"/>
      <c r="C128" s="27" t="s">
        <v>394</v>
      </c>
      <c r="E128" s="27">
        <f t="shared" si="14"/>
        <v>35</v>
      </c>
      <c r="F128" s="71" t="s">
        <v>395</v>
      </c>
      <c r="G128" s="72">
        <v>61</v>
      </c>
      <c r="H128" s="73">
        <f>INT((G128*Valores!$C$2*100)+0.5)/100</f>
        <v>419.57</v>
      </c>
      <c r="I128" s="112">
        <v>1217</v>
      </c>
      <c r="J128" s="75">
        <f>INT((I128*Valores!$C$2*100)+0.5)/100</f>
        <v>8370.77</v>
      </c>
      <c r="K128" s="102">
        <v>0</v>
      </c>
      <c r="L128" s="75">
        <f>INT((K128*Valores!$C$2*100)+0.5)/100</f>
        <v>0</v>
      </c>
      <c r="M128" s="100">
        <v>0</v>
      </c>
      <c r="N128" s="75">
        <f>INT((M128*Valores!$C$2*100)+0.5)/100</f>
        <v>0</v>
      </c>
      <c r="O128" s="75">
        <f t="shared" si="15"/>
        <v>1911.5955000000001</v>
      </c>
      <c r="P128" s="75">
        <f t="shared" si="16"/>
        <v>0</v>
      </c>
      <c r="Q128" s="77">
        <f>Valores!$C$20</f>
        <v>4231.82</v>
      </c>
      <c r="R128" s="77">
        <f>Valores!$D$4</f>
        <v>3076.62</v>
      </c>
      <c r="S128" s="78">
        <f>Valores!$C$26</f>
        <v>3208.72</v>
      </c>
      <c r="T128" s="78">
        <f>Valores!$C$41</f>
        <v>1112.8399999999999</v>
      </c>
      <c r="U128" s="101">
        <f>Valores!$C$23</f>
        <v>2840.79</v>
      </c>
      <c r="V128" s="75">
        <f t="shared" si="23"/>
        <v>2840.79</v>
      </c>
      <c r="W128" s="75">
        <v>0</v>
      </c>
      <c r="X128" s="75">
        <v>0</v>
      </c>
      <c r="Y128" s="79">
        <v>0</v>
      </c>
      <c r="Z128" s="75">
        <f>Y128*Valores!$C$2</f>
        <v>0</v>
      </c>
      <c r="AA128" s="75">
        <v>0</v>
      </c>
      <c r="AB128" s="80">
        <f>Valores!$C$29</f>
        <v>166.15</v>
      </c>
      <c r="AC128" s="75">
        <f t="shared" si="19"/>
        <v>0</v>
      </c>
      <c r="AD128" s="75">
        <f>Valores!$C$30</f>
        <v>166.15</v>
      </c>
      <c r="AE128" s="79">
        <v>0</v>
      </c>
      <c r="AF128" s="75">
        <f>INT(((AE128*Valores!$C$2)*100)+0.5)/100</f>
        <v>0</v>
      </c>
      <c r="AG128" s="75">
        <f>Valores!$C$58</f>
        <v>337.97</v>
      </c>
      <c r="AH128" s="75">
        <f>Valores!$C$60</f>
        <v>96.56</v>
      </c>
      <c r="AI128" s="81">
        <f t="shared" si="20"/>
        <v>25939.555500000006</v>
      </c>
      <c r="AJ128" s="77">
        <f>Valores!$C$35</f>
        <v>666.25</v>
      </c>
      <c r="AK128" s="78">
        <f>Valores!$C$7</f>
        <v>0</v>
      </c>
      <c r="AL128" s="78">
        <f>Valores!$C$81</f>
        <v>1500</v>
      </c>
      <c r="AM128" s="80">
        <f>Valores!$C$51</f>
        <v>141.62</v>
      </c>
      <c r="AN128" s="82">
        <f t="shared" si="21"/>
        <v>2166.25</v>
      </c>
      <c r="AO128" s="83">
        <f>AI128*-Valores!$C$65</f>
        <v>-3372.1422150000008</v>
      </c>
      <c r="AP128" s="83">
        <f>AI128*-Valores!$C$66</f>
        <v>-129.69777750000003</v>
      </c>
      <c r="AQ128" s="77">
        <f>AI128*-Valores!$C$67</f>
        <v>-1167.2799975000003</v>
      </c>
      <c r="AR128" s="77">
        <f>AI128*-Valores!$C$68</f>
        <v>-700.36799850000011</v>
      </c>
      <c r="AS128" s="77">
        <f>AI128*-Valores!$C$69</f>
        <v>-77.81866650000002</v>
      </c>
      <c r="AT128" s="81">
        <f t="shared" si="17"/>
        <v>23436.685510000003</v>
      </c>
      <c r="AU128" s="81">
        <f t="shared" si="18"/>
        <v>23825.778842500004</v>
      </c>
      <c r="AV128" s="77">
        <f>AI128*Valores!$C$71</f>
        <v>4150.3288800000009</v>
      </c>
      <c r="AW128" s="77">
        <f>AI128*Valores!$C$72</f>
        <v>1167.2799975000003</v>
      </c>
      <c r="AX128" s="77">
        <f>AI128*Valores!$C$73</f>
        <v>259.39555500000006</v>
      </c>
      <c r="AY128" s="77">
        <f>AI128*Valores!$C$75</f>
        <v>907.88444250000032</v>
      </c>
      <c r="AZ128" s="77">
        <f>AI128*Valores!$C$76</f>
        <v>155.63733300000004</v>
      </c>
      <c r="BA128" s="77">
        <f t="shared" si="22"/>
        <v>1400.7359970000005</v>
      </c>
      <c r="BB128" s="51"/>
      <c r="BC128" s="51">
        <v>25</v>
      </c>
      <c r="BD128" s="27" t="s">
        <v>4</v>
      </c>
    </row>
    <row r="129" spans="1:56" s="27" customFormat="1" ht="11.25" customHeight="1" x14ac:dyDescent="0.2">
      <c r="A129" s="51">
        <v>128</v>
      </c>
      <c r="B129" s="51"/>
      <c r="C129" s="27" t="s">
        <v>396</v>
      </c>
      <c r="E129" s="27">
        <f t="shared" si="14"/>
        <v>32</v>
      </c>
      <c r="F129" s="71" t="s">
        <v>397</v>
      </c>
      <c r="G129" s="72">
        <v>72</v>
      </c>
      <c r="H129" s="73">
        <f>INT((G129*Valores!$C$2*100)+0.5)/100</f>
        <v>495.23</v>
      </c>
      <c r="I129" s="112">
        <v>1206</v>
      </c>
      <c r="J129" s="75">
        <f>INT((I129*Valores!$C$2*100)+0.5)/100</f>
        <v>8295.11</v>
      </c>
      <c r="K129" s="102">
        <v>0</v>
      </c>
      <c r="L129" s="75">
        <f>INT((K129*Valores!$C$2*100)+0.5)/100</f>
        <v>0</v>
      </c>
      <c r="M129" s="100">
        <v>0</v>
      </c>
      <c r="N129" s="75">
        <f>INT((M129*Valores!$C$2*100)+0.5)/100</f>
        <v>0</v>
      </c>
      <c r="O129" s="75">
        <f t="shared" si="15"/>
        <v>1911.5955000000001</v>
      </c>
      <c r="P129" s="75">
        <f t="shared" si="16"/>
        <v>0</v>
      </c>
      <c r="Q129" s="77">
        <f>Valores!$C$20</f>
        <v>4231.82</v>
      </c>
      <c r="R129" s="77">
        <f>Valores!$D$4</f>
        <v>3076.62</v>
      </c>
      <c r="S129" s="106">
        <f>Valores!$C$26</f>
        <v>3208.72</v>
      </c>
      <c r="T129" s="106">
        <f>Valores!$C$41</f>
        <v>1112.8399999999999</v>
      </c>
      <c r="U129" s="75">
        <f>Valores!$C$23</f>
        <v>2840.79</v>
      </c>
      <c r="V129" s="75">
        <f t="shared" si="23"/>
        <v>2840.79</v>
      </c>
      <c r="W129" s="75">
        <v>0</v>
      </c>
      <c r="X129" s="75">
        <v>0</v>
      </c>
      <c r="Y129" s="79">
        <v>0</v>
      </c>
      <c r="Z129" s="75">
        <f>Y129*Valores!$C$2</f>
        <v>0</v>
      </c>
      <c r="AA129" s="75">
        <v>0</v>
      </c>
      <c r="AB129" s="80">
        <f>Valores!$C$29</f>
        <v>166.15</v>
      </c>
      <c r="AC129" s="75">
        <f t="shared" si="19"/>
        <v>0</v>
      </c>
      <c r="AD129" s="75">
        <f>Valores!$C$30</f>
        <v>166.15</v>
      </c>
      <c r="AE129" s="79">
        <v>94</v>
      </c>
      <c r="AF129" s="75">
        <f>INT(((AE129*Valores!$C$2)*100)+0.5)/100</f>
        <v>646.54999999999995</v>
      </c>
      <c r="AG129" s="75">
        <f>Valores!$C$58</f>
        <v>337.97</v>
      </c>
      <c r="AH129" s="75">
        <f>Valores!$C$60</f>
        <v>96.56</v>
      </c>
      <c r="AI129" s="81">
        <f t="shared" si="20"/>
        <v>26586.105500000005</v>
      </c>
      <c r="AJ129" s="77">
        <f>Valores!$C$35</f>
        <v>666.25</v>
      </c>
      <c r="AK129" s="78">
        <f>Valores!$C$7</f>
        <v>0</v>
      </c>
      <c r="AL129" s="78">
        <f>Valores!$C$81</f>
        <v>1500</v>
      </c>
      <c r="AM129" s="80">
        <f>Valores!$C$51</f>
        <v>141.62</v>
      </c>
      <c r="AN129" s="82">
        <f t="shared" si="21"/>
        <v>2166.25</v>
      </c>
      <c r="AO129" s="83">
        <f>AI129*-Valores!$C$65</f>
        <v>-3456.1937150000008</v>
      </c>
      <c r="AP129" s="83">
        <f>AI129*-Valores!$C$66</f>
        <v>-132.93052750000004</v>
      </c>
      <c r="AQ129" s="77">
        <f>AI129*-Valores!$C$67</f>
        <v>-1196.3747475000002</v>
      </c>
      <c r="AR129" s="77">
        <f>AI129*-Valores!$C$68</f>
        <v>-717.82484850000014</v>
      </c>
      <c r="AS129" s="77">
        <f>AI129*-Valores!$C$69</f>
        <v>-79.758316500000021</v>
      </c>
      <c r="AT129" s="81">
        <f t="shared" si="17"/>
        <v>23966.856510000001</v>
      </c>
      <c r="AU129" s="81">
        <f t="shared" si="18"/>
        <v>24365.648092500003</v>
      </c>
      <c r="AV129" s="77">
        <f>AI129*Valores!$C$71</f>
        <v>4253.7768800000013</v>
      </c>
      <c r="AW129" s="77">
        <f>AI129*Valores!$C$72</f>
        <v>1196.3747475000002</v>
      </c>
      <c r="AX129" s="77">
        <f>AI129*Valores!$C$73</f>
        <v>265.86105500000008</v>
      </c>
      <c r="AY129" s="77">
        <f>AI129*Valores!$C$75</f>
        <v>930.51369250000027</v>
      </c>
      <c r="AZ129" s="77">
        <f>AI129*Valores!$C$76</f>
        <v>159.51663300000004</v>
      </c>
      <c r="BA129" s="77">
        <f t="shared" si="22"/>
        <v>1435.6496970000005</v>
      </c>
      <c r="BB129" s="51"/>
      <c r="BC129" s="85">
        <v>20</v>
      </c>
      <c r="BD129" s="27" t="s">
        <v>4</v>
      </c>
    </row>
    <row r="130" spans="1:56" s="27" customFormat="1" ht="11.25" customHeight="1" x14ac:dyDescent="0.2">
      <c r="A130" s="51">
        <v>129</v>
      </c>
      <c r="B130" s="51"/>
      <c r="C130" s="27" t="s">
        <v>398</v>
      </c>
      <c r="E130" s="27">
        <f t="shared" si="14"/>
        <v>33</v>
      </c>
      <c r="F130" s="71" t="s">
        <v>399</v>
      </c>
      <c r="G130" s="72">
        <v>61</v>
      </c>
      <c r="H130" s="73">
        <f>INT((G130*Valores!$C$2*100)+0.5)/100</f>
        <v>419.57</v>
      </c>
      <c r="I130" s="112">
        <v>1217</v>
      </c>
      <c r="J130" s="75">
        <f>INT((I130*Valores!$C$2*100)+0.5)/100</f>
        <v>8370.77</v>
      </c>
      <c r="K130" s="102">
        <v>0</v>
      </c>
      <c r="L130" s="75">
        <f>INT((K130*Valores!$C$2*100)+0.5)/100</f>
        <v>0</v>
      </c>
      <c r="M130" s="100">
        <v>0</v>
      </c>
      <c r="N130" s="75">
        <f>INT((M130*Valores!$C$2*100)+0.5)/100</f>
        <v>0</v>
      </c>
      <c r="O130" s="75">
        <f t="shared" si="15"/>
        <v>1905.7965000000002</v>
      </c>
      <c r="P130" s="75">
        <f t="shared" si="16"/>
        <v>0</v>
      </c>
      <c r="Q130" s="77">
        <f>Valores!$C$20</f>
        <v>4231.82</v>
      </c>
      <c r="R130" s="77">
        <f>Valores!$D$4</f>
        <v>3076.62</v>
      </c>
      <c r="S130" s="75">
        <v>0</v>
      </c>
      <c r="T130" s="78">
        <f>Valores!$C$41</f>
        <v>1112.8399999999999</v>
      </c>
      <c r="U130" s="101">
        <f>Valores!$C$24</f>
        <v>2802.13</v>
      </c>
      <c r="V130" s="75">
        <f t="shared" si="23"/>
        <v>2802.13</v>
      </c>
      <c r="W130" s="75">
        <v>0</v>
      </c>
      <c r="X130" s="75">
        <v>0</v>
      </c>
      <c r="Y130" s="79">
        <v>0</v>
      </c>
      <c r="Z130" s="75">
        <f>Y130*Valores!$C$2</f>
        <v>0</v>
      </c>
      <c r="AA130" s="75">
        <v>0</v>
      </c>
      <c r="AB130" s="80">
        <f>Valores!$C$29</f>
        <v>166.15</v>
      </c>
      <c r="AC130" s="75">
        <f t="shared" si="19"/>
        <v>0</v>
      </c>
      <c r="AD130" s="75">
        <f>Valores!$C$30</f>
        <v>166.15</v>
      </c>
      <c r="AE130" s="79">
        <v>0</v>
      </c>
      <c r="AF130" s="75">
        <f>INT(((AE130*Valores!$C$2)*100)+0.5)/100</f>
        <v>0</v>
      </c>
      <c r="AG130" s="75">
        <f>Valores!$C$58</f>
        <v>337.97</v>
      </c>
      <c r="AH130" s="75">
        <f>Valores!$C$60</f>
        <v>96.56</v>
      </c>
      <c r="AI130" s="81">
        <f t="shared" si="20"/>
        <v>22686.376500000006</v>
      </c>
      <c r="AJ130" s="77">
        <f>Valores!$C$35</f>
        <v>666.25</v>
      </c>
      <c r="AK130" s="78">
        <f>Valores!$C$7</f>
        <v>0</v>
      </c>
      <c r="AL130" s="78">
        <f>Valores!$C$81</f>
        <v>1500</v>
      </c>
      <c r="AM130" s="80">
        <f>Valores!$C$51</f>
        <v>141.62</v>
      </c>
      <c r="AN130" s="82">
        <f t="shared" si="21"/>
        <v>2166.25</v>
      </c>
      <c r="AO130" s="83">
        <f>AI130*-Valores!$C$65</f>
        <v>-2949.2289450000007</v>
      </c>
      <c r="AP130" s="83">
        <f>AI130*-Valores!$C$66</f>
        <v>-113.43188250000003</v>
      </c>
      <c r="AQ130" s="77">
        <f>AI130*-Valores!$C$67</f>
        <v>-1020.8869425000003</v>
      </c>
      <c r="AR130" s="77">
        <f>AI130*-Valores!$C$68</f>
        <v>-612.53216550000013</v>
      </c>
      <c r="AS130" s="77">
        <f>AI130*-Valores!$C$69</f>
        <v>-68.059129500000012</v>
      </c>
      <c r="AT130" s="81">
        <f t="shared" si="17"/>
        <v>20769.078730000001</v>
      </c>
      <c r="AU130" s="81">
        <f t="shared" si="18"/>
        <v>21109.3743775</v>
      </c>
      <c r="AV130" s="77">
        <f>AI130*Valores!$C$71</f>
        <v>3629.8202400000009</v>
      </c>
      <c r="AW130" s="77">
        <f>AI130*Valores!$C$72</f>
        <v>1020.8869425000003</v>
      </c>
      <c r="AX130" s="77">
        <f>AI130*Valores!$C$73</f>
        <v>226.86376500000006</v>
      </c>
      <c r="AY130" s="77">
        <f>AI130*Valores!$C$75</f>
        <v>794.02317750000032</v>
      </c>
      <c r="AZ130" s="77">
        <f>AI130*Valores!$C$76</f>
        <v>136.11825900000002</v>
      </c>
      <c r="BA130" s="77">
        <f t="shared" si="22"/>
        <v>1225.0643310000005</v>
      </c>
      <c r="BB130" s="51"/>
      <c r="BC130" s="51"/>
      <c r="BD130" s="27" t="s">
        <v>8</v>
      </c>
    </row>
    <row r="131" spans="1:56" s="27" customFormat="1" ht="11.25" customHeight="1" x14ac:dyDescent="0.2">
      <c r="A131" s="85">
        <v>130</v>
      </c>
      <c r="B131" s="85" t="s">
        <v>163</v>
      </c>
      <c r="C131" s="86" t="s">
        <v>400</v>
      </c>
      <c r="D131" s="86"/>
      <c r="E131" s="86">
        <f t="shared" si="14"/>
        <v>24</v>
      </c>
      <c r="F131" s="87" t="s">
        <v>401</v>
      </c>
      <c r="G131" s="88">
        <v>1278</v>
      </c>
      <c r="H131" s="89">
        <f>INT((G131*Valores!$C$2*100)+0.5)/100</f>
        <v>8790.34</v>
      </c>
      <c r="I131" s="103">
        <v>0</v>
      </c>
      <c r="J131" s="91">
        <f>INT((I131*Valores!$C$2*100)+0.5)/100</f>
        <v>0</v>
      </c>
      <c r="K131" s="104">
        <v>0</v>
      </c>
      <c r="L131" s="91">
        <f>INT((K131*Valores!$C$2*100)+0.5)/100</f>
        <v>0</v>
      </c>
      <c r="M131" s="105">
        <v>0</v>
      </c>
      <c r="N131" s="91">
        <f>INT((M131*Valores!$C$2*100)+0.5)/100</f>
        <v>0</v>
      </c>
      <c r="O131" s="91">
        <f t="shared" si="15"/>
        <v>1929.645</v>
      </c>
      <c r="P131" s="91">
        <f t="shared" si="16"/>
        <v>0</v>
      </c>
      <c r="Q131" s="93">
        <f>Valores!$C$20</f>
        <v>4231.82</v>
      </c>
      <c r="R131" s="93">
        <f>Valores!$D$4</f>
        <v>3076.62</v>
      </c>
      <c r="S131" s="107">
        <f>Valores!$C$26</f>
        <v>3208.72</v>
      </c>
      <c r="T131" s="108">
        <f>Valores!$C$42</f>
        <v>1271.83</v>
      </c>
      <c r="U131" s="107">
        <f>Valores!$C$24</f>
        <v>2802.13</v>
      </c>
      <c r="V131" s="91">
        <f t="shared" si="23"/>
        <v>2802.13</v>
      </c>
      <c r="W131" s="91">
        <v>0</v>
      </c>
      <c r="X131" s="91">
        <v>0</v>
      </c>
      <c r="Y131" s="95">
        <v>0</v>
      </c>
      <c r="Z131" s="91">
        <f>Y131*Valores!$C$2</f>
        <v>0</v>
      </c>
      <c r="AA131" s="91">
        <v>0</v>
      </c>
      <c r="AB131" s="96">
        <f>Valores!$C$29</f>
        <v>166.15</v>
      </c>
      <c r="AC131" s="91">
        <f t="shared" si="19"/>
        <v>0</v>
      </c>
      <c r="AD131" s="91">
        <f>Valores!$C$30</f>
        <v>166.15</v>
      </c>
      <c r="AE131" s="95">
        <v>0</v>
      </c>
      <c r="AF131" s="91">
        <f>INT(((AE131*Valores!$C$2)*100)+0.5)/100</f>
        <v>0</v>
      </c>
      <c r="AG131" s="91">
        <f>Valores!$C$58</f>
        <v>337.97</v>
      </c>
      <c r="AH131" s="91">
        <f>Valores!$C$60</f>
        <v>96.56</v>
      </c>
      <c r="AI131" s="97">
        <f t="shared" si="20"/>
        <v>26077.935000000009</v>
      </c>
      <c r="AJ131" s="93">
        <f>Valores!$C$35</f>
        <v>666.25</v>
      </c>
      <c r="AK131" s="94">
        <f>Valores!$C$8</f>
        <v>0</v>
      </c>
      <c r="AL131" s="94">
        <f>Valores!$C$81</f>
        <v>1500</v>
      </c>
      <c r="AM131" s="96">
        <f>Valores!$C$51</f>
        <v>141.62</v>
      </c>
      <c r="AN131" s="98">
        <f t="shared" si="21"/>
        <v>2166.25</v>
      </c>
      <c r="AO131" s="99">
        <f>AI131*-Valores!$C$65</f>
        <v>-3390.1315500000014</v>
      </c>
      <c r="AP131" s="99">
        <f>AI131*-Valores!$C$66</f>
        <v>-130.38967500000004</v>
      </c>
      <c r="AQ131" s="93">
        <f>AI131*-Valores!$C$67</f>
        <v>-1173.5070750000004</v>
      </c>
      <c r="AR131" s="93">
        <f>AI131*-Valores!$C$68</f>
        <v>-704.10424500000022</v>
      </c>
      <c r="AS131" s="93">
        <f>AI131*-Valores!$C$69</f>
        <v>-78.233805000000032</v>
      </c>
      <c r="AT131" s="97">
        <f t="shared" si="17"/>
        <v>23550.156700000007</v>
      </c>
      <c r="AU131" s="97">
        <f t="shared" si="18"/>
        <v>23941.32572500001</v>
      </c>
      <c r="AV131" s="93">
        <f>AI131*Valores!$C$71</f>
        <v>4172.4696000000013</v>
      </c>
      <c r="AW131" s="93">
        <f>AI131*Valores!$C$72</f>
        <v>1173.5070750000004</v>
      </c>
      <c r="AX131" s="93">
        <f>AI131*Valores!$C$73</f>
        <v>260.77935000000008</v>
      </c>
      <c r="AY131" s="93">
        <f>AI131*Valores!$C$75</f>
        <v>912.72772500000042</v>
      </c>
      <c r="AZ131" s="93">
        <f>AI131*Valores!$C$76</f>
        <v>156.46761000000006</v>
      </c>
      <c r="BA131" s="93">
        <f t="shared" si="22"/>
        <v>1408.2084900000004</v>
      </c>
      <c r="BB131" s="85"/>
      <c r="BC131" s="85">
        <v>22</v>
      </c>
      <c r="BD131" s="86" t="s">
        <v>4</v>
      </c>
    </row>
    <row r="132" spans="1:56" s="27" customFormat="1" ht="11.25" customHeight="1" x14ac:dyDescent="0.2">
      <c r="A132" s="51">
        <v>131</v>
      </c>
      <c r="B132" s="51"/>
      <c r="C132" s="27" t="s">
        <v>402</v>
      </c>
      <c r="E132" s="27">
        <f t="shared" si="14"/>
        <v>30</v>
      </c>
      <c r="F132" s="71" t="s">
        <v>403</v>
      </c>
      <c r="G132" s="72">
        <v>1278</v>
      </c>
      <c r="H132" s="73">
        <f>INT((G132*Valores!$C$2*100)+0.5)/100</f>
        <v>8790.34</v>
      </c>
      <c r="I132" s="112">
        <v>0</v>
      </c>
      <c r="J132" s="75">
        <f>INT((I132*Valores!$C$2*100)+0.5)/100</f>
        <v>0</v>
      </c>
      <c r="K132" s="102">
        <v>0</v>
      </c>
      <c r="L132" s="75">
        <f>INT((K132*Valores!$C$2*100)+0.5)/100</f>
        <v>0</v>
      </c>
      <c r="M132" s="100">
        <v>0</v>
      </c>
      <c r="N132" s="75">
        <f>INT((M132*Valores!$C$2*100)+0.5)/100</f>
        <v>0</v>
      </c>
      <c r="O132" s="75">
        <f t="shared" si="15"/>
        <v>1935.444</v>
      </c>
      <c r="P132" s="75">
        <f t="shared" si="16"/>
        <v>0</v>
      </c>
      <c r="Q132" s="77">
        <f>Valores!$C$20</f>
        <v>4231.82</v>
      </c>
      <c r="R132" s="77">
        <f>Valores!$D$4</f>
        <v>3076.62</v>
      </c>
      <c r="S132" s="75">
        <f>Valores!$C$26</f>
        <v>3208.72</v>
      </c>
      <c r="T132" s="78">
        <f>Valores!$C$42</f>
        <v>1271.83</v>
      </c>
      <c r="U132" s="75">
        <f>Valores!$C$23</f>
        <v>2840.79</v>
      </c>
      <c r="V132" s="75">
        <f t="shared" si="23"/>
        <v>2840.79</v>
      </c>
      <c r="W132" s="75">
        <v>0</v>
      </c>
      <c r="X132" s="75">
        <v>0</v>
      </c>
      <c r="Y132" s="79">
        <v>0</v>
      </c>
      <c r="Z132" s="75">
        <f>Y132*Valores!$C$2</f>
        <v>0</v>
      </c>
      <c r="AA132" s="75">
        <v>0</v>
      </c>
      <c r="AB132" s="80">
        <f>Valores!$C$29</f>
        <v>166.15</v>
      </c>
      <c r="AC132" s="75">
        <f t="shared" si="19"/>
        <v>0</v>
      </c>
      <c r="AD132" s="75">
        <f>Valores!$C$30</f>
        <v>166.15</v>
      </c>
      <c r="AE132" s="79">
        <v>94</v>
      </c>
      <c r="AF132" s="75">
        <f>INT(((AE132*Valores!$C$2)*100)+0.5)/100</f>
        <v>646.54999999999995</v>
      </c>
      <c r="AG132" s="75">
        <f>Valores!$C$58</f>
        <v>337.97</v>
      </c>
      <c r="AH132" s="75">
        <f>Valores!$C$60</f>
        <v>96.56</v>
      </c>
      <c r="AI132" s="81">
        <f t="shared" si="20"/>
        <v>26768.944000000007</v>
      </c>
      <c r="AJ132" s="77">
        <f>Valores!$C$35</f>
        <v>666.25</v>
      </c>
      <c r="AK132" s="78">
        <f>Valores!$C$8</f>
        <v>0</v>
      </c>
      <c r="AL132" s="78">
        <f>Valores!$C$81</f>
        <v>1500</v>
      </c>
      <c r="AM132" s="80">
        <f>Valores!$C$51</f>
        <v>141.62</v>
      </c>
      <c r="AN132" s="82">
        <f t="shared" si="21"/>
        <v>2166.25</v>
      </c>
      <c r="AO132" s="83">
        <f>AI132*-Valores!$C$65</f>
        <v>-3479.9627200000009</v>
      </c>
      <c r="AP132" s="83">
        <f>AI132*-Valores!$C$66</f>
        <v>-133.84472000000002</v>
      </c>
      <c r="AQ132" s="77">
        <f>AI132*-Valores!$C$67</f>
        <v>-1204.6024800000002</v>
      </c>
      <c r="AR132" s="77">
        <f>AI132*-Valores!$C$68</f>
        <v>-722.76148800000021</v>
      </c>
      <c r="AS132" s="77">
        <f>AI132*-Valores!$C$69</f>
        <v>-80.306832000000028</v>
      </c>
      <c r="AT132" s="81">
        <f t="shared" si="17"/>
        <v>24116.784080000005</v>
      </c>
      <c r="AU132" s="81">
        <f t="shared" si="18"/>
        <v>24518.318240000008</v>
      </c>
      <c r="AV132" s="77">
        <f>AI132*Valores!$C$71</f>
        <v>4283.0310400000008</v>
      </c>
      <c r="AW132" s="77">
        <f>AI132*Valores!$C$72</f>
        <v>1204.6024800000002</v>
      </c>
      <c r="AX132" s="77">
        <f>AI132*Valores!$C$73</f>
        <v>267.68944000000005</v>
      </c>
      <c r="AY132" s="77">
        <f>AI132*Valores!$C$75</f>
        <v>936.91304000000036</v>
      </c>
      <c r="AZ132" s="77">
        <f>AI132*Valores!$C$76</f>
        <v>160.61366400000006</v>
      </c>
      <c r="BA132" s="77">
        <f t="shared" si="22"/>
        <v>1445.5229760000004</v>
      </c>
      <c r="BB132" s="51"/>
      <c r="BC132" s="51">
        <v>20</v>
      </c>
      <c r="BD132" s="27" t="s">
        <v>4</v>
      </c>
    </row>
    <row r="133" spans="1:56" s="27" customFormat="1" ht="11.25" customHeight="1" x14ac:dyDescent="0.2">
      <c r="A133" s="51">
        <v>132</v>
      </c>
      <c r="B133" s="51"/>
      <c r="C133" s="27" t="s">
        <v>404</v>
      </c>
      <c r="E133" s="27">
        <f t="shared" si="14"/>
        <v>19</v>
      </c>
      <c r="F133" s="71" t="s">
        <v>405</v>
      </c>
      <c r="G133" s="72">
        <v>936</v>
      </c>
      <c r="H133" s="73">
        <f>INT((G133*Valores!$C$2*100)+0.5)/100</f>
        <v>6438</v>
      </c>
      <c r="I133" s="112">
        <v>0</v>
      </c>
      <c r="J133" s="75">
        <f>INT((I133*Valores!$C$2*100)+0.5)/100</f>
        <v>0</v>
      </c>
      <c r="K133" s="102">
        <v>0</v>
      </c>
      <c r="L133" s="75">
        <f>INT((K133*Valores!$C$2*100)+0.5)/100</f>
        <v>0</v>
      </c>
      <c r="M133" s="100">
        <v>0</v>
      </c>
      <c r="N133" s="75">
        <f>INT((M133*Valores!$C$2*100)+0.5)/100</f>
        <v>0</v>
      </c>
      <c r="O133" s="75">
        <f t="shared" si="15"/>
        <v>1552.9455</v>
      </c>
      <c r="P133" s="75">
        <f t="shared" si="16"/>
        <v>0</v>
      </c>
      <c r="Q133" s="101">
        <f>Valores!$C$20</f>
        <v>4231.82</v>
      </c>
      <c r="R133" s="101">
        <f>Valores!$D$4</f>
        <v>3076.62</v>
      </c>
      <c r="S133" s="101">
        <f>Valores!$C$27</f>
        <v>2957.66</v>
      </c>
      <c r="T133" s="106">
        <f>Valores!$C$41</f>
        <v>1112.8399999999999</v>
      </c>
      <c r="U133" s="101">
        <f>Valores!$C$24</f>
        <v>2802.13</v>
      </c>
      <c r="V133" s="75">
        <f t="shared" si="23"/>
        <v>2802.13</v>
      </c>
      <c r="W133" s="75">
        <v>0</v>
      </c>
      <c r="X133" s="75">
        <v>0</v>
      </c>
      <c r="Y133" s="79">
        <v>0</v>
      </c>
      <c r="Z133" s="75">
        <f>Y133*Valores!$C$2</f>
        <v>0</v>
      </c>
      <c r="AA133" s="75">
        <v>0</v>
      </c>
      <c r="AB133" s="80">
        <f>Valores!$C$29</f>
        <v>166.15</v>
      </c>
      <c r="AC133" s="75">
        <f t="shared" si="19"/>
        <v>0</v>
      </c>
      <c r="AD133" s="75">
        <f>Valores!$C$30</f>
        <v>166.15</v>
      </c>
      <c r="AE133" s="113">
        <v>94</v>
      </c>
      <c r="AF133" s="78">
        <f>INT(((AE133*Valores!$C$2)*100)+0.5)/100</f>
        <v>646.54999999999995</v>
      </c>
      <c r="AG133" s="78">
        <f>Valores!$C$58</f>
        <v>337.97</v>
      </c>
      <c r="AH133" s="78">
        <f>Valores!$C$60</f>
        <v>96.56</v>
      </c>
      <c r="AI133" s="114">
        <f t="shared" si="20"/>
        <v>23585.395500000006</v>
      </c>
      <c r="AJ133" s="101">
        <f>Valores!$C$35</f>
        <v>666.25</v>
      </c>
      <c r="AK133" s="78">
        <f>Valores!$C$7</f>
        <v>0</v>
      </c>
      <c r="AL133" s="78">
        <f>Valores!$C$81</f>
        <v>1500</v>
      </c>
      <c r="AM133" s="80">
        <f>Valores!$C$51</f>
        <v>141.62</v>
      </c>
      <c r="AN133" s="82">
        <f t="shared" si="21"/>
        <v>2166.25</v>
      </c>
      <c r="AO133" s="61">
        <f>AI133*-Valores!$C$65</f>
        <v>-3066.101415000001</v>
      </c>
      <c r="AP133" s="61">
        <f>AI133*-Valores!$C$66</f>
        <v>-117.92697750000004</v>
      </c>
      <c r="AQ133" s="77">
        <f>AI133*-Valores!$C$67</f>
        <v>-1061.3427975000002</v>
      </c>
      <c r="AR133" s="77">
        <f>AI133*-Valores!$C$68</f>
        <v>-636.80567850000011</v>
      </c>
      <c r="AS133" s="77">
        <f>AI133*-Valores!$C$69</f>
        <v>-70.756186500000013</v>
      </c>
      <c r="AT133" s="81">
        <f t="shared" si="17"/>
        <v>21506.274310000004</v>
      </c>
      <c r="AU133" s="81">
        <f t="shared" si="18"/>
        <v>21860.055242500006</v>
      </c>
      <c r="AV133" s="77">
        <f>AI133*Valores!$C$71</f>
        <v>3773.6632800000011</v>
      </c>
      <c r="AW133" s="77">
        <f>AI133*Valores!$C$72</f>
        <v>1061.3427975000002</v>
      </c>
      <c r="AX133" s="77">
        <f>AI133*Valores!$C$73</f>
        <v>235.85395500000007</v>
      </c>
      <c r="AY133" s="77">
        <f>AI133*Valores!$C$75</f>
        <v>825.48884250000026</v>
      </c>
      <c r="AZ133" s="77">
        <f>AI133*Valores!$C$76</f>
        <v>141.51237300000003</v>
      </c>
      <c r="BA133" s="77">
        <f t="shared" si="22"/>
        <v>1273.6113570000005</v>
      </c>
      <c r="BB133" s="51">
        <v>8</v>
      </c>
      <c r="BC133" s="51"/>
      <c r="BD133" s="27" t="s">
        <v>4</v>
      </c>
    </row>
    <row r="134" spans="1:56" s="27" customFormat="1" ht="11.25" customHeight="1" x14ac:dyDescent="0.2">
      <c r="A134" s="51">
        <v>133</v>
      </c>
      <c r="B134" s="51"/>
      <c r="C134" s="27" t="s">
        <v>406</v>
      </c>
      <c r="E134" s="27">
        <f t="shared" si="14"/>
        <v>19</v>
      </c>
      <c r="F134" s="71" t="s">
        <v>407</v>
      </c>
      <c r="G134" s="72">
        <v>1278</v>
      </c>
      <c r="H134" s="73">
        <f>INT((G134*Valores!$C$2*100)+0.5)/100</f>
        <v>8790.34</v>
      </c>
      <c r="I134" s="112">
        <v>0</v>
      </c>
      <c r="J134" s="75">
        <f>INT((I134*Valores!$C$2*100)+0.5)/100</f>
        <v>0</v>
      </c>
      <c r="K134" s="102">
        <v>0</v>
      </c>
      <c r="L134" s="75">
        <f>INT((K134*Valores!$C$2*100)+0.5)/100</f>
        <v>0</v>
      </c>
      <c r="M134" s="100">
        <v>0</v>
      </c>
      <c r="N134" s="75">
        <f>INT((M134*Valores!$C$2*100)+0.5)/100</f>
        <v>0</v>
      </c>
      <c r="O134" s="75">
        <f t="shared" si="15"/>
        <v>1905.7965000000002</v>
      </c>
      <c r="P134" s="75">
        <f t="shared" si="16"/>
        <v>0</v>
      </c>
      <c r="Q134" s="101">
        <f>Valores!$C$15</f>
        <v>4424.9399999999996</v>
      </c>
      <c r="R134" s="101">
        <f>Valores!$D$4</f>
        <v>3076.62</v>
      </c>
      <c r="S134" s="78">
        <v>0</v>
      </c>
      <c r="T134" s="78">
        <f>Valores!$C$41</f>
        <v>1112.8399999999999</v>
      </c>
      <c r="U134" s="101">
        <f>Valores!$C$24</f>
        <v>2802.13</v>
      </c>
      <c r="V134" s="75">
        <f t="shared" si="23"/>
        <v>2802.13</v>
      </c>
      <c r="W134" s="75">
        <v>0</v>
      </c>
      <c r="X134" s="75">
        <v>0</v>
      </c>
      <c r="Y134" s="79">
        <v>0</v>
      </c>
      <c r="Z134" s="75">
        <f>Y134*Valores!$C$2</f>
        <v>0</v>
      </c>
      <c r="AA134" s="75">
        <v>0</v>
      </c>
      <c r="AB134" s="80">
        <f>Valores!$C$29</f>
        <v>166.15</v>
      </c>
      <c r="AC134" s="75">
        <f t="shared" si="19"/>
        <v>0</v>
      </c>
      <c r="AD134" s="75">
        <f>Valores!$C$30</f>
        <v>166.15</v>
      </c>
      <c r="AE134" s="113">
        <v>94</v>
      </c>
      <c r="AF134" s="78">
        <f>INT(((AE134*Valores!$C$2)*100)+0.5)/100</f>
        <v>646.54999999999995</v>
      </c>
      <c r="AG134" s="78">
        <f>Valores!$C$58</f>
        <v>337.97</v>
      </c>
      <c r="AH134" s="78">
        <f>Valores!$C$60</f>
        <v>96.56</v>
      </c>
      <c r="AI134" s="114">
        <f t="shared" si="20"/>
        <v>23526.046500000004</v>
      </c>
      <c r="AJ134" s="101">
        <f>Valores!$C$35</f>
        <v>666.25</v>
      </c>
      <c r="AK134" s="78">
        <f>Valores!$C$7</f>
        <v>0</v>
      </c>
      <c r="AL134" s="78">
        <f>Valores!$C$81</f>
        <v>1500</v>
      </c>
      <c r="AM134" s="80">
        <f>Valores!$C$51</f>
        <v>141.62</v>
      </c>
      <c r="AN134" s="82">
        <f t="shared" si="21"/>
        <v>2166.25</v>
      </c>
      <c r="AO134" s="61">
        <f>AI134*-Valores!$C$65</f>
        <v>-3058.3860450000006</v>
      </c>
      <c r="AP134" s="61">
        <f>AI134*-Valores!$C$66</f>
        <v>-117.63023250000002</v>
      </c>
      <c r="AQ134" s="77">
        <f>AI134*-Valores!$C$67</f>
        <v>-1058.6720925000002</v>
      </c>
      <c r="AR134" s="77">
        <f>AI134*-Valores!$C$68</f>
        <v>-635.20325550000007</v>
      </c>
      <c r="AS134" s="77">
        <f>AI134*-Valores!$C$69</f>
        <v>-70.57813950000002</v>
      </c>
      <c r="AT134" s="81">
        <f t="shared" si="17"/>
        <v>21457.608130000004</v>
      </c>
      <c r="AU134" s="81">
        <f t="shared" si="18"/>
        <v>21810.498827500003</v>
      </c>
      <c r="AV134" s="77">
        <f>AI134*Valores!$C$71</f>
        <v>3764.1674400000006</v>
      </c>
      <c r="AW134" s="77">
        <f>AI134*Valores!$C$72</f>
        <v>1058.6720925000002</v>
      </c>
      <c r="AX134" s="77">
        <f>AI134*Valores!$C$73</f>
        <v>235.26046500000004</v>
      </c>
      <c r="AY134" s="77">
        <f>AI134*Valores!$C$75</f>
        <v>823.41162750000024</v>
      </c>
      <c r="AZ134" s="77">
        <f>AI134*Valores!$C$76</f>
        <v>141.15627900000004</v>
      </c>
      <c r="BA134" s="77">
        <f t="shared" si="22"/>
        <v>1270.4065110000004</v>
      </c>
      <c r="BB134" s="51"/>
      <c r="BC134" s="85">
        <v>22</v>
      </c>
      <c r="BD134" s="27" t="s">
        <v>4</v>
      </c>
    </row>
    <row r="135" spans="1:56" s="27" customFormat="1" ht="11.25" customHeight="1" x14ac:dyDescent="0.2">
      <c r="A135" s="51">
        <v>134</v>
      </c>
      <c r="B135" s="51"/>
      <c r="C135" s="27" t="s">
        <v>408</v>
      </c>
      <c r="E135" s="27">
        <f t="shared" ref="E135:E198" si="24">LEN(F135)</f>
        <v>26</v>
      </c>
      <c r="F135" s="71" t="s">
        <v>409</v>
      </c>
      <c r="G135" s="72">
        <v>1278</v>
      </c>
      <c r="H135" s="73">
        <f>INT((G135*Valores!$C$2*100)+0.5)/100</f>
        <v>8790.34</v>
      </c>
      <c r="I135" s="112">
        <v>0</v>
      </c>
      <c r="J135" s="75">
        <f>INT((I135*Valores!$C$2*100)+0.5)/100</f>
        <v>0</v>
      </c>
      <c r="K135" s="102">
        <v>0</v>
      </c>
      <c r="L135" s="75">
        <f>INT((K135*Valores!$C$2*100)+0.5)/100</f>
        <v>0</v>
      </c>
      <c r="M135" s="100">
        <v>0</v>
      </c>
      <c r="N135" s="75">
        <f>INT((M135*Valores!$C$2*100)+0.5)/100</f>
        <v>0</v>
      </c>
      <c r="O135" s="75">
        <f t="shared" ref="O135:O198" si="25">IF($J$2=0,IF(C135&lt;&gt;"13-930",(SUM(H135,J135,L135,N135,Z135,U135,T135)*$O$2),0),0)</f>
        <v>1935.444</v>
      </c>
      <c r="P135" s="75">
        <f t="shared" ref="P135:P198" si="26">SUM(H135,J135,L135,N135,Z135,T135)*$J$2</f>
        <v>0</v>
      </c>
      <c r="Q135" s="101">
        <f>Valores!$C$15</f>
        <v>4424.9399999999996</v>
      </c>
      <c r="R135" s="101">
        <f>Valores!$D$4</f>
        <v>3076.62</v>
      </c>
      <c r="S135" s="101">
        <f>Valores!$C$26</f>
        <v>3208.72</v>
      </c>
      <c r="T135" s="106">
        <f>Valores!$C$42</f>
        <v>1271.83</v>
      </c>
      <c r="U135" s="75">
        <f>Valores!$C$23</f>
        <v>2840.79</v>
      </c>
      <c r="V135" s="75">
        <f t="shared" si="23"/>
        <v>2840.79</v>
      </c>
      <c r="W135" s="75">
        <v>0</v>
      </c>
      <c r="X135" s="75">
        <v>0</v>
      </c>
      <c r="Y135" s="79">
        <v>0</v>
      </c>
      <c r="Z135" s="75">
        <f>Y135*Valores!$C$2</f>
        <v>0</v>
      </c>
      <c r="AA135" s="75">
        <v>0</v>
      </c>
      <c r="AB135" s="80">
        <f>Valores!$C$29</f>
        <v>166.15</v>
      </c>
      <c r="AC135" s="75">
        <f t="shared" si="19"/>
        <v>0</v>
      </c>
      <c r="AD135" s="75">
        <f>Valores!$C$30</f>
        <v>166.15</v>
      </c>
      <c r="AE135" s="79">
        <v>0</v>
      </c>
      <c r="AF135" s="75">
        <f>INT(((AE135*Valores!$C$2)*100)+0.5)/100</f>
        <v>0</v>
      </c>
      <c r="AG135" s="75">
        <f>Valores!$C$58</f>
        <v>337.97</v>
      </c>
      <c r="AH135" s="75">
        <f>Valores!$C$60</f>
        <v>96.56</v>
      </c>
      <c r="AI135" s="114">
        <f t="shared" si="20"/>
        <v>26315.514000000006</v>
      </c>
      <c r="AJ135" s="101">
        <f>Valores!$C$35</f>
        <v>666.25</v>
      </c>
      <c r="AK135" s="78">
        <f>Valores!$C$8</f>
        <v>0</v>
      </c>
      <c r="AL135" s="78">
        <f>Valores!$C$81</f>
        <v>1500</v>
      </c>
      <c r="AM135" s="80">
        <f>Valores!$C$51</f>
        <v>141.62</v>
      </c>
      <c r="AN135" s="82">
        <f t="shared" si="21"/>
        <v>2166.25</v>
      </c>
      <c r="AO135" s="61">
        <f>AI135*-Valores!$C$65</f>
        <v>-3421.0168200000007</v>
      </c>
      <c r="AP135" s="61">
        <f>AI135*-Valores!$C$66</f>
        <v>-131.57757000000004</v>
      </c>
      <c r="AQ135" s="77">
        <f>AI135*-Valores!$C$67</f>
        <v>-1184.1981300000002</v>
      </c>
      <c r="AR135" s="77">
        <f>AI135*-Valores!$C$68</f>
        <v>-710.5188780000002</v>
      </c>
      <c r="AS135" s="77">
        <f>AI135*-Valores!$C$69</f>
        <v>-78.946542000000022</v>
      </c>
      <c r="AT135" s="81">
        <f t="shared" ref="AT135:AT198" si="27">AI135+AN135+AP135+AQ135+AO135</f>
        <v>23744.971480000004</v>
      </c>
      <c r="AU135" s="81">
        <f t="shared" ref="AU135:AU198" si="28">AI135+AN135+AP135+AR135+AO135+AS135</f>
        <v>24139.704190000004</v>
      </c>
      <c r="AV135" s="77">
        <f>AI135*Valores!$C$71</f>
        <v>4210.4822400000012</v>
      </c>
      <c r="AW135" s="77">
        <f>AI135*Valores!$C$72</f>
        <v>1184.1981300000002</v>
      </c>
      <c r="AX135" s="77">
        <f>AI135*Valores!$C$73</f>
        <v>263.15514000000007</v>
      </c>
      <c r="AY135" s="77">
        <f>AI135*Valores!$C$75</f>
        <v>921.04299000000026</v>
      </c>
      <c r="AZ135" s="77">
        <f>AI135*Valores!$C$76</f>
        <v>157.89308400000004</v>
      </c>
      <c r="BA135" s="77">
        <f t="shared" si="22"/>
        <v>1421.0377560000006</v>
      </c>
      <c r="BB135" s="51"/>
      <c r="BC135" s="51"/>
      <c r="BD135" s="27" t="s">
        <v>4</v>
      </c>
    </row>
    <row r="136" spans="1:56" s="27" customFormat="1" ht="11.25" customHeight="1" x14ac:dyDescent="0.2">
      <c r="A136" s="85">
        <v>135</v>
      </c>
      <c r="B136" s="85" t="s">
        <v>163</v>
      </c>
      <c r="C136" s="86" t="s">
        <v>410</v>
      </c>
      <c r="D136" s="86"/>
      <c r="E136" s="86">
        <f t="shared" si="24"/>
        <v>19</v>
      </c>
      <c r="F136" s="87" t="s">
        <v>411</v>
      </c>
      <c r="G136" s="88">
        <v>1278</v>
      </c>
      <c r="H136" s="89">
        <f>INT((G136*Valores!$C$2*100)+0.5)/100</f>
        <v>8790.34</v>
      </c>
      <c r="I136" s="103">
        <v>0</v>
      </c>
      <c r="J136" s="91">
        <f>INT((I136*Valores!$C$2*100)+0.5)/100</f>
        <v>0</v>
      </c>
      <c r="K136" s="104">
        <v>0</v>
      </c>
      <c r="L136" s="91">
        <f>INT((K136*Valores!$C$2*100)+0.5)/100</f>
        <v>0</v>
      </c>
      <c r="M136" s="105">
        <v>0</v>
      </c>
      <c r="N136" s="91">
        <f>INT((M136*Valores!$C$2*100)+0.5)/100</f>
        <v>0</v>
      </c>
      <c r="O136" s="91">
        <f t="shared" si="25"/>
        <v>1935.444</v>
      </c>
      <c r="P136" s="91">
        <f t="shared" si="26"/>
        <v>0</v>
      </c>
      <c r="Q136" s="107">
        <f>Valores!$C$15</f>
        <v>4424.9399999999996</v>
      </c>
      <c r="R136" s="107">
        <f>Valores!$D$4</f>
        <v>3076.62</v>
      </c>
      <c r="S136" s="107">
        <f>Valores!$C$26</f>
        <v>3208.72</v>
      </c>
      <c r="T136" s="108">
        <f>Valores!$C$42</f>
        <v>1271.83</v>
      </c>
      <c r="U136" s="91">
        <f>Valores!$C$23</f>
        <v>2840.79</v>
      </c>
      <c r="V136" s="91">
        <f t="shared" si="23"/>
        <v>2840.79</v>
      </c>
      <c r="W136" s="91">
        <v>0</v>
      </c>
      <c r="X136" s="91">
        <v>0</v>
      </c>
      <c r="Y136" s="95">
        <v>0</v>
      </c>
      <c r="Z136" s="91">
        <f>Y136*Valores!$C$2</f>
        <v>0</v>
      </c>
      <c r="AA136" s="91">
        <v>0</v>
      </c>
      <c r="AB136" s="96">
        <f>Valores!$C$29</f>
        <v>166.15</v>
      </c>
      <c r="AC136" s="91">
        <f t="shared" ref="AC136:AC199" si="29">SUM(H136,J136,L136,Z136,T136)*$H$3/100</f>
        <v>0</v>
      </c>
      <c r="AD136" s="91">
        <f>Valores!$C$30</f>
        <v>166.15</v>
      </c>
      <c r="AE136" s="95">
        <v>0</v>
      </c>
      <c r="AF136" s="91">
        <f>INT(((AE136*Valores!$C$2)*100)+0.5)/100</f>
        <v>0</v>
      </c>
      <c r="AG136" s="91">
        <f>Valores!$C$58</f>
        <v>337.97</v>
      </c>
      <c r="AH136" s="91">
        <f>Valores!$C$60</f>
        <v>96.56</v>
      </c>
      <c r="AI136" s="115">
        <f t="shared" ref="AI136:AI199" si="30">SUM(H136,J136,L136,N136,O136,P136,Q136,R136,S136,V136,W136,X136,Z136,AA136,AB136,AC136,AD136,AF136,T136,AG136,AH136)</f>
        <v>26315.514000000006</v>
      </c>
      <c r="AJ136" s="107">
        <f>Valores!$C$35</f>
        <v>666.25</v>
      </c>
      <c r="AK136" s="94">
        <f>Valores!$C$8</f>
        <v>0</v>
      </c>
      <c r="AL136" s="94">
        <f>Valores!$C$81</f>
        <v>1500</v>
      </c>
      <c r="AM136" s="96">
        <f>Valores!$C$51</f>
        <v>141.62</v>
      </c>
      <c r="AN136" s="98">
        <f t="shared" ref="AN136:AN199" si="31">IF($H$4="SI",SUM(AJ136:AL136,AM136),SUM(AJ136:AL136))</f>
        <v>2166.25</v>
      </c>
      <c r="AO136" s="116">
        <f>AI136*-Valores!$C$65</f>
        <v>-3421.0168200000007</v>
      </c>
      <c r="AP136" s="116">
        <f>AI136*-Valores!$C$66</f>
        <v>-131.57757000000004</v>
      </c>
      <c r="AQ136" s="93">
        <f>AI136*-Valores!$C$67</f>
        <v>-1184.1981300000002</v>
      </c>
      <c r="AR136" s="93">
        <f>AI136*-Valores!$C$68</f>
        <v>-710.5188780000002</v>
      </c>
      <c r="AS136" s="93">
        <f>AI136*-Valores!$C$69</f>
        <v>-78.946542000000022</v>
      </c>
      <c r="AT136" s="97">
        <f t="shared" si="27"/>
        <v>23744.971480000004</v>
      </c>
      <c r="AU136" s="97">
        <f t="shared" si="28"/>
        <v>24139.704190000004</v>
      </c>
      <c r="AV136" s="93">
        <f>AI136*Valores!$C$71</f>
        <v>4210.4822400000012</v>
      </c>
      <c r="AW136" s="93">
        <f>AI136*Valores!$C$72</f>
        <v>1184.1981300000002</v>
      </c>
      <c r="AX136" s="93">
        <f>AI136*Valores!$C$73</f>
        <v>263.15514000000007</v>
      </c>
      <c r="AY136" s="93">
        <f>AI136*Valores!$C$75</f>
        <v>921.04299000000026</v>
      </c>
      <c r="AZ136" s="93">
        <f>AI136*Valores!$C$76</f>
        <v>157.89308400000004</v>
      </c>
      <c r="BA136" s="93">
        <f t="shared" si="22"/>
        <v>1421.0377560000006</v>
      </c>
      <c r="BB136" s="85"/>
      <c r="BC136" s="85"/>
      <c r="BD136" s="86" t="s">
        <v>4</v>
      </c>
    </row>
    <row r="137" spans="1:56" s="27" customFormat="1" ht="11.25" customHeight="1" x14ac:dyDescent="0.2">
      <c r="A137" s="51">
        <v>136</v>
      </c>
      <c r="B137" s="51"/>
      <c r="C137" s="27" t="s">
        <v>412</v>
      </c>
      <c r="E137" s="27">
        <f t="shared" si="24"/>
        <v>29</v>
      </c>
      <c r="F137" s="71" t="s">
        <v>413</v>
      </c>
      <c r="G137" s="72">
        <v>1278</v>
      </c>
      <c r="H137" s="73">
        <f>INT((G137*Valores!$C$2*100)+0.5)/100</f>
        <v>8790.34</v>
      </c>
      <c r="I137" s="112">
        <v>0</v>
      </c>
      <c r="J137" s="75">
        <f>INT((I137*Valores!$C$2*100)+0.5)/100</f>
        <v>0</v>
      </c>
      <c r="K137" s="102">
        <v>0</v>
      </c>
      <c r="L137" s="75">
        <f>INT((K137*Valores!$C$2*100)+0.5)/100</f>
        <v>0</v>
      </c>
      <c r="M137" s="100">
        <v>0</v>
      </c>
      <c r="N137" s="75">
        <f>INT((M137*Valores!$C$2*100)+0.5)/100</f>
        <v>0</v>
      </c>
      <c r="O137" s="75">
        <f t="shared" si="25"/>
        <v>1935.444</v>
      </c>
      <c r="P137" s="75">
        <f t="shared" si="26"/>
        <v>0</v>
      </c>
      <c r="Q137" s="101">
        <f>Valores!$C$20</f>
        <v>4231.82</v>
      </c>
      <c r="R137" s="101">
        <f>Valores!$D$4</f>
        <v>3076.62</v>
      </c>
      <c r="S137" s="75">
        <v>0</v>
      </c>
      <c r="T137" s="78">
        <f>Valores!$C$42</f>
        <v>1271.83</v>
      </c>
      <c r="U137" s="75">
        <f>Valores!$C$23</f>
        <v>2840.79</v>
      </c>
      <c r="V137" s="75">
        <f t="shared" si="23"/>
        <v>2840.79</v>
      </c>
      <c r="W137" s="75">
        <v>0</v>
      </c>
      <c r="X137" s="75">
        <v>0</v>
      </c>
      <c r="Y137" s="79">
        <v>0</v>
      </c>
      <c r="Z137" s="75">
        <f>Y137*Valores!$C$2</f>
        <v>0</v>
      </c>
      <c r="AA137" s="75">
        <v>0</v>
      </c>
      <c r="AB137" s="80">
        <f>Valores!$C$29</f>
        <v>166.15</v>
      </c>
      <c r="AC137" s="75">
        <f t="shared" si="29"/>
        <v>0</v>
      </c>
      <c r="AD137" s="75">
        <f>Valores!$C$30</f>
        <v>166.15</v>
      </c>
      <c r="AE137" s="79">
        <v>0</v>
      </c>
      <c r="AF137" s="75">
        <f>INT(((AE137*Valores!$C$2)*100)+0.5)/100</f>
        <v>0</v>
      </c>
      <c r="AG137" s="75">
        <f>Valores!$C$58</f>
        <v>337.97</v>
      </c>
      <c r="AH137" s="75">
        <f>Valores!$C$60</f>
        <v>96.56</v>
      </c>
      <c r="AI137" s="114">
        <f t="shared" si="30"/>
        <v>22913.674000000003</v>
      </c>
      <c r="AJ137" s="101">
        <f>Valores!$C$35</f>
        <v>666.25</v>
      </c>
      <c r="AK137" s="78">
        <f>Valores!$C$8</f>
        <v>0</v>
      </c>
      <c r="AL137" s="78">
        <f>Valores!$C$81</f>
        <v>1500</v>
      </c>
      <c r="AM137" s="80">
        <f>Valores!$C$51</f>
        <v>141.62</v>
      </c>
      <c r="AN137" s="82">
        <f t="shared" si="31"/>
        <v>2166.25</v>
      </c>
      <c r="AO137" s="61">
        <f>AI137*-Valores!$C$65</f>
        <v>-2978.7776200000003</v>
      </c>
      <c r="AP137" s="61">
        <f>AI137*-Valores!$C$66</f>
        <v>-114.56837000000002</v>
      </c>
      <c r="AQ137" s="77">
        <f>AI137*-Valores!$C$67</f>
        <v>-1031.1153300000001</v>
      </c>
      <c r="AR137" s="77">
        <f>AI137*-Valores!$C$68</f>
        <v>-618.66919800000005</v>
      </c>
      <c r="AS137" s="77">
        <f>AI137*-Valores!$C$69</f>
        <v>-68.741022000000015</v>
      </c>
      <c r="AT137" s="81">
        <f t="shared" si="27"/>
        <v>20955.462680000001</v>
      </c>
      <c r="AU137" s="81">
        <f t="shared" si="28"/>
        <v>21299.167790000003</v>
      </c>
      <c r="AV137" s="77">
        <f>AI137*Valores!$C$71</f>
        <v>3666.1878400000005</v>
      </c>
      <c r="AW137" s="77">
        <f>AI137*Valores!$C$72</f>
        <v>1031.1153300000001</v>
      </c>
      <c r="AX137" s="77">
        <f>AI137*Valores!$C$73</f>
        <v>229.13674000000003</v>
      </c>
      <c r="AY137" s="77">
        <f>AI137*Valores!$C$75</f>
        <v>801.97859000000017</v>
      </c>
      <c r="AZ137" s="77">
        <f>AI137*Valores!$C$76</f>
        <v>137.48204400000003</v>
      </c>
      <c r="BA137" s="77">
        <f t="shared" ref="BA137:BA200" si="32">AI137*5.4/100</f>
        <v>1237.3383960000001</v>
      </c>
      <c r="BB137" s="51">
        <v>12</v>
      </c>
      <c r="BC137" s="51">
        <v>15</v>
      </c>
      <c r="BD137" s="27" t="s">
        <v>8</v>
      </c>
    </row>
    <row r="138" spans="1:56" s="27" customFormat="1" ht="11.25" customHeight="1" x14ac:dyDescent="0.2">
      <c r="A138" s="51">
        <v>137</v>
      </c>
      <c r="B138" s="51"/>
      <c r="C138" s="27" t="s">
        <v>414</v>
      </c>
      <c r="E138" s="27">
        <f t="shared" si="24"/>
        <v>26</v>
      </c>
      <c r="F138" s="71" t="s">
        <v>415</v>
      </c>
      <c r="G138" s="72">
        <v>616</v>
      </c>
      <c r="H138" s="73">
        <f>INT((G138*Valores!$C$2*100)+0.5)/100</f>
        <v>4236.97</v>
      </c>
      <c r="I138" s="112">
        <v>0</v>
      </c>
      <c r="J138" s="75">
        <f>INT((I138*Valores!$C$2*100)+0.5)/100</f>
        <v>0</v>
      </c>
      <c r="K138" s="102">
        <v>0</v>
      </c>
      <c r="L138" s="75">
        <f>INT((K138*Valores!$C$2*100)+0.5)/100</f>
        <v>0</v>
      </c>
      <c r="M138" s="100">
        <v>0</v>
      </c>
      <c r="N138" s="75">
        <f>INT((M138*Valores!$C$2*100)+0.5)/100</f>
        <v>0</v>
      </c>
      <c r="O138" s="75">
        <f t="shared" si="25"/>
        <v>1252.4385</v>
      </c>
      <c r="P138" s="75">
        <f t="shared" si="26"/>
        <v>0</v>
      </c>
      <c r="Q138" s="101">
        <f>Valores!$C$15</f>
        <v>4424.9399999999996</v>
      </c>
      <c r="R138" s="101">
        <f>Valores!$D$4</f>
        <v>3076.62</v>
      </c>
      <c r="S138" s="101">
        <f>Valores!$C$26</f>
        <v>3208.72</v>
      </c>
      <c r="T138" s="106">
        <f>Valores!$C$42</f>
        <v>1271.83</v>
      </c>
      <c r="U138" s="75">
        <f>Valores!$C$23</f>
        <v>2840.79</v>
      </c>
      <c r="V138" s="75">
        <f t="shared" si="23"/>
        <v>2840.79</v>
      </c>
      <c r="W138" s="75">
        <v>0</v>
      </c>
      <c r="X138" s="75">
        <v>0</v>
      </c>
      <c r="Y138" s="79">
        <v>0</v>
      </c>
      <c r="Z138" s="75">
        <f>Y138*Valores!$C$2</f>
        <v>0</v>
      </c>
      <c r="AA138" s="75">
        <v>0</v>
      </c>
      <c r="AB138" s="80">
        <f>Valores!$C$29</f>
        <v>166.15</v>
      </c>
      <c r="AC138" s="75">
        <f t="shared" si="29"/>
        <v>0</v>
      </c>
      <c r="AD138" s="75">
        <f>Valores!$C$30</f>
        <v>166.15</v>
      </c>
      <c r="AE138" s="79">
        <v>0</v>
      </c>
      <c r="AF138" s="75">
        <f>INT(((AE138*Valores!$C$2)*100)+0.5)/100</f>
        <v>0</v>
      </c>
      <c r="AG138" s="75">
        <f>Valores!$C$58</f>
        <v>337.97</v>
      </c>
      <c r="AH138" s="75">
        <f>Valores!$C$60</f>
        <v>96.56</v>
      </c>
      <c r="AI138" s="114">
        <f t="shared" si="30"/>
        <v>21079.138500000005</v>
      </c>
      <c r="AJ138" s="101">
        <f>Valores!$C$35</f>
        <v>666.25</v>
      </c>
      <c r="AK138" s="78">
        <f>Valores!$C$8</f>
        <v>0</v>
      </c>
      <c r="AL138" s="78">
        <f>Valores!$C$81</f>
        <v>1500</v>
      </c>
      <c r="AM138" s="80">
        <f>Valores!$C$51</f>
        <v>141.62</v>
      </c>
      <c r="AN138" s="82">
        <f t="shared" si="31"/>
        <v>2166.25</v>
      </c>
      <c r="AO138" s="61">
        <f>AI138*-Valores!$C$65</f>
        <v>-2740.2880050000008</v>
      </c>
      <c r="AP138" s="61">
        <f>AI138*-Valores!$C$66</f>
        <v>-105.39569250000002</v>
      </c>
      <c r="AQ138" s="77">
        <f>AI138*-Valores!$C$67</f>
        <v>-948.56123250000019</v>
      </c>
      <c r="AR138" s="77">
        <f>AI138*-Valores!$C$68</f>
        <v>-569.13673950000009</v>
      </c>
      <c r="AS138" s="77">
        <f>AI138*-Valores!$C$69</f>
        <v>-63.237415500000012</v>
      </c>
      <c r="AT138" s="81">
        <f t="shared" si="27"/>
        <v>19451.143570000004</v>
      </c>
      <c r="AU138" s="81">
        <f t="shared" si="28"/>
        <v>19767.330647500003</v>
      </c>
      <c r="AV138" s="77">
        <f>AI138*Valores!$C$71</f>
        <v>3372.6621600000008</v>
      </c>
      <c r="AW138" s="77">
        <f>AI138*Valores!$C$72</f>
        <v>948.56123250000019</v>
      </c>
      <c r="AX138" s="77">
        <f>AI138*Valores!$C$73</f>
        <v>210.79138500000005</v>
      </c>
      <c r="AY138" s="77">
        <f>AI138*Valores!$C$75</f>
        <v>737.7698475000002</v>
      </c>
      <c r="AZ138" s="77">
        <f>AI138*Valores!$C$76</f>
        <v>126.47483100000002</v>
      </c>
      <c r="BA138" s="77">
        <f t="shared" si="32"/>
        <v>1138.2734790000004</v>
      </c>
      <c r="BB138" s="51">
        <v>6</v>
      </c>
      <c r="BC138" s="51"/>
      <c r="BD138" s="27" t="s">
        <v>4</v>
      </c>
    </row>
    <row r="139" spans="1:56" s="27" customFormat="1" ht="11.25" customHeight="1" x14ac:dyDescent="0.2">
      <c r="A139" s="51">
        <v>138</v>
      </c>
      <c r="B139" s="51"/>
      <c r="C139" s="27" t="s">
        <v>416</v>
      </c>
      <c r="E139" s="27">
        <f t="shared" si="24"/>
        <v>31</v>
      </c>
      <c r="F139" s="71" t="s">
        <v>417</v>
      </c>
      <c r="G139" s="72">
        <v>1278</v>
      </c>
      <c r="H139" s="73">
        <f>INT((G139*Valores!$C$2*100)+0.5)/100</f>
        <v>8790.34</v>
      </c>
      <c r="I139" s="112">
        <v>0</v>
      </c>
      <c r="J139" s="75">
        <f>INT((I139*Valores!$C$2*100)+0.5)/100</f>
        <v>0</v>
      </c>
      <c r="K139" s="102">
        <v>0</v>
      </c>
      <c r="L139" s="75">
        <f>INT((K139*Valores!$C$2*100)+0.5)/100</f>
        <v>0</v>
      </c>
      <c r="M139" s="100">
        <v>0</v>
      </c>
      <c r="N139" s="75">
        <f>INT((M139*Valores!$C$2*100)+0.5)/100</f>
        <v>0</v>
      </c>
      <c r="O139" s="75">
        <f t="shared" si="25"/>
        <v>1929.645</v>
      </c>
      <c r="P139" s="75">
        <f t="shared" si="26"/>
        <v>0</v>
      </c>
      <c r="Q139" s="101">
        <f>Valores!$C$20</f>
        <v>4231.82</v>
      </c>
      <c r="R139" s="101">
        <f>Valores!$D$4</f>
        <v>3076.62</v>
      </c>
      <c r="S139" s="75">
        <v>0</v>
      </c>
      <c r="T139" s="78">
        <f>Valores!$C$42</f>
        <v>1271.83</v>
      </c>
      <c r="U139" s="101">
        <f>Valores!$C$24</f>
        <v>2802.13</v>
      </c>
      <c r="V139" s="75">
        <f t="shared" si="23"/>
        <v>2802.13</v>
      </c>
      <c r="W139" s="75">
        <v>0</v>
      </c>
      <c r="X139" s="75">
        <v>0</v>
      </c>
      <c r="Y139" s="79">
        <v>0</v>
      </c>
      <c r="Z139" s="75">
        <f>Y139*Valores!$C$2</f>
        <v>0</v>
      </c>
      <c r="AA139" s="75">
        <v>0</v>
      </c>
      <c r="AB139" s="80">
        <f>Valores!$C$29</f>
        <v>166.15</v>
      </c>
      <c r="AC139" s="75">
        <f t="shared" si="29"/>
        <v>0</v>
      </c>
      <c r="AD139" s="75">
        <f>Valores!$C$30</f>
        <v>166.15</v>
      </c>
      <c r="AE139" s="79">
        <v>0</v>
      </c>
      <c r="AF139" s="75">
        <f>INT(((AE139*Valores!$C$2)*100)+0.5)/100</f>
        <v>0</v>
      </c>
      <c r="AG139" s="75">
        <f>Valores!$C$58</f>
        <v>337.97</v>
      </c>
      <c r="AH139" s="75">
        <f>Valores!$C$60</f>
        <v>96.56</v>
      </c>
      <c r="AI139" s="114">
        <f t="shared" si="30"/>
        <v>22869.215000000007</v>
      </c>
      <c r="AJ139" s="101">
        <f>Valores!$C$35</f>
        <v>666.25</v>
      </c>
      <c r="AK139" s="78">
        <f>Valores!$C$8</f>
        <v>0</v>
      </c>
      <c r="AL139" s="78">
        <f>Valores!$C$81</f>
        <v>1500</v>
      </c>
      <c r="AM139" s="80">
        <f>Valores!$C$53</f>
        <v>129.32</v>
      </c>
      <c r="AN139" s="82">
        <f t="shared" si="31"/>
        <v>2166.25</v>
      </c>
      <c r="AO139" s="61">
        <f>AI139*-Valores!$C$65</f>
        <v>-2972.9979500000009</v>
      </c>
      <c r="AP139" s="61">
        <f>AI139*-Valores!$C$66</f>
        <v>-114.34607500000004</v>
      </c>
      <c r="AQ139" s="77">
        <f>AI139*-Valores!$C$67</f>
        <v>-1029.1146750000003</v>
      </c>
      <c r="AR139" s="77">
        <f>AI139*-Valores!$C$68</f>
        <v>-617.4688050000002</v>
      </c>
      <c r="AS139" s="77">
        <f>AI139*-Valores!$C$69</f>
        <v>-68.607645000000019</v>
      </c>
      <c r="AT139" s="81">
        <f t="shared" si="27"/>
        <v>20919.006300000005</v>
      </c>
      <c r="AU139" s="81">
        <f t="shared" si="28"/>
        <v>21262.044525000005</v>
      </c>
      <c r="AV139" s="77">
        <f>AI139*Valores!$C$71</f>
        <v>3659.0744000000013</v>
      </c>
      <c r="AW139" s="77">
        <f>AI139*Valores!$C$72</f>
        <v>1029.1146750000003</v>
      </c>
      <c r="AX139" s="77">
        <f>AI139*Valores!$C$73</f>
        <v>228.69215000000008</v>
      </c>
      <c r="AY139" s="77">
        <f>AI139*Valores!$C$75</f>
        <v>800.42252500000029</v>
      </c>
      <c r="AZ139" s="77">
        <f>AI139*Valores!$C$76</f>
        <v>137.21529000000004</v>
      </c>
      <c r="BA139" s="77">
        <f t="shared" si="32"/>
        <v>1234.9376100000004</v>
      </c>
      <c r="BB139" s="51">
        <v>12</v>
      </c>
      <c r="BC139" s="85">
        <v>15</v>
      </c>
      <c r="BD139" s="27" t="s">
        <v>4</v>
      </c>
    </row>
    <row r="140" spans="1:56" s="27" customFormat="1" ht="11.25" customHeight="1" x14ac:dyDescent="0.2">
      <c r="A140" s="51">
        <v>139</v>
      </c>
      <c r="B140" s="51"/>
      <c r="C140" s="27" t="s">
        <v>418</v>
      </c>
      <c r="E140" s="27">
        <f t="shared" si="24"/>
        <v>33</v>
      </c>
      <c r="F140" s="71" t="s">
        <v>419</v>
      </c>
      <c r="G140" s="72">
        <v>1983</v>
      </c>
      <c r="H140" s="73">
        <f>INT((G140*Valores!$C$2*100)+0.5)/100</f>
        <v>13639.47</v>
      </c>
      <c r="I140" s="112">
        <v>0</v>
      </c>
      <c r="J140" s="75">
        <f>INT((I140*Valores!$C$2*100)+0.5)/100</f>
        <v>0</v>
      </c>
      <c r="K140" s="102">
        <v>0</v>
      </c>
      <c r="L140" s="75">
        <f>INT((K140*Valores!$C$2*100)+0.5)/100</f>
        <v>0</v>
      </c>
      <c r="M140" s="100">
        <v>0</v>
      </c>
      <c r="N140" s="75">
        <f>INT((M140*Valores!$C$2*100)+0.5)/100</f>
        <v>0</v>
      </c>
      <c r="O140" s="75">
        <f t="shared" si="25"/>
        <v>2662.8134999999993</v>
      </c>
      <c r="P140" s="75">
        <f t="shared" si="26"/>
        <v>0</v>
      </c>
      <c r="Q140" s="101">
        <f>Valores!$C$15</f>
        <v>4424.9399999999996</v>
      </c>
      <c r="R140" s="101">
        <f>Valores!$D$4</f>
        <v>3076.62</v>
      </c>
      <c r="S140" s="101">
        <f>Valores!$C$26</f>
        <v>3208.72</v>
      </c>
      <c r="T140" s="106">
        <f>Valores!$C$42</f>
        <v>1271.83</v>
      </c>
      <c r="U140" s="75">
        <f>Valores!$C$23</f>
        <v>2840.79</v>
      </c>
      <c r="V140" s="75">
        <f t="shared" si="23"/>
        <v>2840.79</v>
      </c>
      <c r="W140" s="75">
        <v>0</v>
      </c>
      <c r="X140" s="75">
        <v>0</v>
      </c>
      <c r="Y140" s="79">
        <v>0</v>
      </c>
      <c r="Z140" s="75">
        <f>Y140*Valores!$C$2</f>
        <v>0</v>
      </c>
      <c r="AA140" s="75">
        <v>0</v>
      </c>
      <c r="AB140" s="80">
        <f>Valores!$C$29</f>
        <v>166.15</v>
      </c>
      <c r="AC140" s="75">
        <f t="shared" si="29"/>
        <v>0</v>
      </c>
      <c r="AD140" s="75">
        <f>Valores!$C$30</f>
        <v>166.15</v>
      </c>
      <c r="AE140" s="79">
        <v>94</v>
      </c>
      <c r="AF140" s="75">
        <f>INT(((AE140*Valores!$C$2)*100)+0.5)/100</f>
        <v>646.54999999999995</v>
      </c>
      <c r="AG140" s="75">
        <f>Valores!$C$58</f>
        <v>337.97</v>
      </c>
      <c r="AH140" s="75">
        <f>Valores!$C$60</f>
        <v>96.56</v>
      </c>
      <c r="AI140" s="114">
        <f t="shared" si="30"/>
        <v>32538.5635</v>
      </c>
      <c r="AJ140" s="101">
        <f>Valores!$C$35</f>
        <v>666.25</v>
      </c>
      <c r="AK140" s="78">
        <f>Valores!$C$8</f>
        <v>0</v>
      </c>
      <c r="AL140" s="78">
        <f>Valores!$C$81</f>
        <v>1500</v>
      </c>
      <c r="AM140" s="80">
        <f>Valores!$C$51</f>
        <v>141.62</v>
      </c>
      <c r="AN140" s="82">
        <f t="shared" si="31"/>
        <v>2166.25</v>
      </c>
      <c r="AO140" s="61">
        <f>AI140*-Valores!$C$65</f>
        <v>-4230.0132549999998</v>
      </c>
      <c r="AP140" s="61">
        <f>AI140*-Valores!$C$66</f>
        <v>-162.69281750000002</v>
      </c>
      <c r="AQ140" s="77">
        <f>AI140*-Valores!$C$67</f>
        <v>-1464.2353575</v>
      </c>
      <c r="AR140" s="77">
        <f>AI140*-Valores!$C$68</f>
        <v>-878.54121450000002</v>
      </c>
      <c r="AS140" s="77">
        <f>AI140*-Valores!$C$69</f>
        <v>-97.615690499999999</v>
      </c>
      <c r="AT140" s="81">
        <f t="shared" si="27"/>
        <v>28847.872070000005</v>
      </c>
      <c r="AU140" s="81">
        <f t="shared" si="28"/>
        <v>29335.950522500007</v>
      </c>
      <c r="AV140" s="77">
        <f>AI140*Valores!$C$71</f>
        <v>5206.1701600000006</v>
      </c>
      <c r="AW140" s="77">
        <f>AI140*Valores!$C$72</f>
        <v>1464.2353575</v>
      </c>
      <c r="AX140" s="77">
        <f>AI140*Valores!$C$73</f>
        <v>325.38563500000004</v>
      </c>
      <c r="AY140" s="77">
        <f>AI140*Valores!$C$75</f>
        <v>1138.8497225000001</v>
      </c>
      <c r="AZ140" s="77">
        <f>AI140*Valores!$C$76</f>
        <v>195.231381</v>
      </c>
      <c r="BA140" s="77">
        <f t="shared" si="32"/>
        <v>1757.082429</v>
      </c>
      <c r="BB140" s="51"/>
      <c r="BC140" s="51"/>
      <c r="BD140" s="27" t="s">
        <v>8</v>
      </c>
    </row>
    <row r="141" spans="1:56" s="27" customFormat="1" ht="11.25" customHeight="1" x14ac:dyDescent="0.2">
      <c r="A141" s="85">
        <v>140</v>
      </c>
      <c r="B141" s="85" t="s">
        <v>163</v>
      </c>
      <c r="C141" s="86" t="s">
        <v>420</v>
      </c>
      <c r="D141" s="86"/>
      <c r="E141" s="86">
        <f t="shared" si="24"/>
        <v>29</v>
      </c>
      <c r="F141" s="87" t="s">
        <v>421</v>
      </c>
      <c r="G141" s="88">
        <v>1378</v>
      </c>
      <c r="H141" s="89">
        <f>INT((G141*Valores!$C$2*100)+0.5)/100</f>
        <v>9478.16</v>
      </c>
      <c r="I141" s="103">
        <v>0</v>
      </c>
      <c r="J141" s="91">
        <f>INT((I141*Valores!$C$2*100)+0.5)/100</f>
        <v>0</v>
      </c>
      <c r="K141" s="104">
        <v>0</v>
      </c>
      <c r="L141" s="91">
        <f>INT((K141*Valores!$C$2*100)+0.5)/100</f>
        <v>0</v>
      </c>
      <c r="M141" s="105">
        <v>0</v>
      </c>
      <c r="N141" s="91">
        <f>INT((M141*Valores!$C$2*100)+0.5)/100</f>
        <v>0</v>
      </c>
      <c r="O141" s="91">
        <f t="shared" si="25"/>
        <v>2032.818</v>
      </c>
      <c r="P141" s="91">
        <f t="shared" si="26"/>
        <v>0</v>
      </c>
      <c r="Q141" s="107">
        <f>Valores!$C$20</f>
        <v>4231.82</v>
      </c>
      <c r="R141" s="107">
        <f>Valores!$D$4</f>
        <v>3076.62</v>
      </c>
      <c r="S141" s="107">
        <f>Valores!$C$26</f>
        <v>3208.72</v>
      </c>
      <c r="T141" s="108">
        <f>Valores!$C$42</f>
        <v>1271.83</v>
      </c>
      <c r="U141" s="107">
        <f>Valores!$C$24</f>
        <v>2802.13</v>
      </c>
      <c r="V141" s="91">
        <f t="shared" si="23"/>
        <v>2802.13</v>
      </c>
      <c r="W141" s="91">
        <v>0</v>
      </c>
      <c r="X141" s="91">
        <v>0</v>
      </c>
      <c r="Y141" s="95">
        <v>0</v>
      </c>
      <c r="Z141" s="91">
        <f>Y141*Valores!$C$2</f>
        <v>0</v>
      </c>
      <c r="AA141" s="91">
        <v>0</v>
      </c>
      <c r="AB141" s="96">
        <f>Valores!$C$29</f>
        <v>166.15</v>
      </c>
      <c r="AC141" s="91">
        <f t="shared" si="29"/>
        <v>0</v>
      </c>
      <c r="AD141" s="91">
        <f>Valores!$C$30</f>
        <v>166.15</v>
      </c>
      <c r="AE141" s="95">
        <v>0</v>
      </c>
      <c r="AF141" s="91">
        <f>INT(((AE141*Valores!$C$2)*100)+0.5)/100</f>
        <v>0</v>
      </c>
      <c r="AG141" s="91">
        <f>Valores!$C$58</f>
        <v>337.97</v>
      </c>
      <c r="AH141" s="91">
        <f>Valores!$C$60</f>
        <v>96.56</v>
      </c>
      <c r="AI141" s="115">
        <f t="shared" si="30"/>
        <v>26868.928000000004</v>
      </c>
      <c r="AJ141" s="107">
        <f>Valores!$C$35</f>
        <v>666.25</v>
      </c>
      <c r="AK141" s="94">
        <f>Valores!$C$8</f>
        <v>0</v>
      </c>
      <c r="AL141" s="94">
        <f>Valores!$C$81</f>
        <v>1500</v>
      </c>
      <c r="AM141" s="96">
        <f>Valores!$C$51</f>
        <v>141.62</v>
      </c>
      <c r="AN141" s="98">
        <f t="shared" si="31"/>
        <v>2166.25</v>
      </c>
      <c r="AO141" s="116">
        <f>AI141*-Valores!$C$65</f>
        <v>-3492.9606400000007</v>
      </c>
      <c r="AP141" s="116">
        <f>AI141*-Valores!$C$66</f>
        <v>-134.34464000000003</v>
      </c>
      <c r="AQ141" s="93">
        <f>AI141*-Valores!$C$67</f>
        <v>-1209.10176</v>
      </c>
      <c r="AR141" s="93">
        <f>AI141*-Valores!$C$68</f>
        <v>-725.4610560000001</v>
      </c>
      <c r="AS141" s="93">
        <f>AI141*-Valores!$C$69</f>
        <v>-80.606784000000019</v>
      </c>
      <c r="AT141" s="97">
        <f t="shared" si="27"/>
        <v>24198.770960000002</v>
      </c>
      <c r="AU141" s="97">
        <f t="shared" si="28"/>
        <v>24601.804880000003</v>
      </c>
      <c r="AV141" s="93">
        <f>AI141*Valores!$C$71</f>
        <v>4299.0284800000009</v>
      </c>
      <c r="AW141" s="93">
        <f>AI141*Valores!$C$72</f>
        <v>1209.10176</v>
      </c>
      <c r="AX141" s="93">
        <f>AI141*Valores!$C$73</f>
        <v>268.68928000000005</v>
      </c>
      <c r="AY141" s="93">
        <f>AI141*Valores!$C$75</f>
        <v>940.41248000000019</v>
      </c>
      <c r="AZ141" s="93">
        <f>AI141*Valores!$C$76</f>
        <v>161.21356800000004</v>
      </c>
      <c r="BA141" s="93">
        <f t="shared" si="32"/>
        <v>1450.9221120000002</v>
      </c>
      <c r="BB141" s="85"/>
      <c r="BC141" s="85">
        <v>22</v>
      </c>
      <c r="BD141" s="86" t="s">
        <v>4</v>
      </c>
    </row>
    <row r="142" spans="1:56" s="27" customFormat="1" ht="11.25" customHeight="1" x14ac:dyDescent="0.2">
      <c r="A142" s="51">
        <v>141</v>
      </c>
      <c r="B142" s="51"/>
      <c r="C142" s="27" t="s">
        <v>422</v>
      </c>
      <c r="E142" s="27">
        <f t="shared" si="24"/>
        <v>30</v>
      </c>
      <c r="F142" s="71" t="s">
        <v>423</v>
      </c>
      <c r="G142" s="72">
        <v>1278</v>
      </c>
      <c r="H142" s="73">
        <f>INT((G142*Valores!$C$2*100)+0.5)/100</f>
        <v>8790.34</v>
      </c>
      <c r="I142" s="112">
        <v>0</v>
      </c>
      <c r="J142" s="75">
        <f>INT((I142*Valores!$C$2*100)+0.5)/100</f>
        <v>0</v>
      </c>
      <c r="K142" s="102">
        <v>0</v>
      </c>
      <c r="L142" s="75">
        <f>INT((K142*Valores!$C$2*100)+0.5)/100</f>
        <v>0</v>
      </c>
      <c r="M142" s="100">
        <v>0</v>
      </c>
      <c r="N142" s="75">
        <f>INT((M142*Valores!$C$2*100)+0.5)/100</f>
        <v>0</v>
      </c>
      <c r="O142" s="75">
        <f t="shared" si="25"/>
        <v>1935.444</v>
      </c>
      <c r="P142" s="75">
        <f t="shared" si="26"/>
        <v>0</v>
      </c>
      <c r="Q142" s="101">
        <f>Valores!$C$20</f>
        <v>4231.82</v>
      </c>
      <c r="R142" s="101">
        <f>Valores!$D$4</f>
        <v>3076.62</v>
      </c>
      <c r="S142" s="75">
        <f>Valores!$C$26</f>
        <v>3208.72</v>
      </c>
      <c r="T142" s="78">
        <f>Valores!$C$42</f>
        <v>1271.83</v>
      </c>
      <c r="U142" s="75">
        <f>Valores!$C$23</f>
        <v>2840.79</v>
      </c>
      <c r="V142" s="75">
        <f t="shared" si="23"/>
        <v>2840.79</v>
      </c>
      <c r="W142" s="75">
        <v>0</v>
      </c>
      <c r="X142" s="75">
        <v>0</v>
      </c>
      <c r="Y142" s="79">
        <v>0</v>
      </c>
      <c r="Z142" s="75">
        <f>Y142*Valores!$C$2</f>
        <v>0</v>
      </c>
      <c r="AA142" s="75">
        <v>0</v>
      </c>
      <c r="AB142" s="80">
        <f>Valores!$C$29</f>
        <v>166.15</v>
      </c>
      <c r="AC142" s="75">
        <f t="shared" si="29"/>
        <v>0</v>
      </c>
      <c r="AD142" s="75">
        <f>Valores!$C$30</f>
        <v>166.15</v>
      </c>
      <c r="AE142" s="79">
        <v>0</v>
      </c>
      <c r="AF142" s="75">
        <f>INT(((AE142*Valores!$C$2)*100)+0.5)/100</f>
        <v>0</v>
      </c>
      <c r="AG142" s="75">
        <f>Valores!$C$58</f>
        <v>337.97</v>
      </c>
      <c r="AH142" s="75">
        <f>Valores!$C$60</f>
        <v>96.56</v>
      </c>
      <c r="AI142" s="114">
        <f t="shared" si="30"/>
        <v>26122.394000000004</v>
      </c>
      <c r="AJ142" s="101">
        <f>Valores!$C$35</f>
        <v>666.25</v>
      </c>
      <c r="AK142" s="78">
        <f>Valores!$C$8</f>
        <v>0</v>
      </c>
      <c r="AL142" s="78">
        <f>Valores!$C$81</f>
        <v>1500</v>
      </c>
      <c r="AM142" s="80">
        <f>Valores!$C$51</f>
        <v>141.62</v>
      </c>
      <c r="AN142" s="82">
        <f t="shared" si="31"/>
        <v>2166.25</v>
      </c>
      <c r="AO142" s="61">
        <f>AI142*-Valores!$C$65</f>
        <v>-3395.9112200000004</v>
      </c>
      <c r="AP142" s="61">
        <f>AI142*-Valores!$C$66</f>
        <v>-130.61197000000001</v>
      </c>
      <c r="AQ142" s="77">
        <f>AI142*-Valores!$C$67</f>
        <v>-1175.50773</v>
      </c>
      <c r="AR142" s="77">
        <f>AI142*-Valores!$C$68</f>
        <v>-705.30463800000007</v>
      </c>
      <c r="AS142" s="77">
        <f>AI142*-Valores!$C$69</f>
        <v>-78.367182000000014</v>
      </c>
      <c r="AT142" s="81">
        <f t="shared" si="27"/>
        <v>23586.613079999999</v>
      </c>
      <c r="AU142" s="81">
        <f t="shared" si="28"/>
        <v>23978.448989999997</v>
      </c>
      <c r="AV142" s="77">
        <f>AI142*Valores!$C$71</f>
        <v>4179.5830400000004</v>
      </c>
      <c r="AW142" s="77">
        <f>AI142*Valores!$C$72</f>
        <v>1175.50773</v>
      </c>
      <c r="AX142" s="77">
        <f>AI142*Valores!$C$73</f>
        <v>261.22394000000003</v>
      </c>
      <c r="AY142" s="77">
        <f>AI142*Valores!$C$75</f>
        <v>914.28379000000018</v>
      </c>
      <c r="AZ142" s="77">
        <f>AI142*Valores!$C$76</f>
        <v>156.73436400000003</v>
      </c>
      <c r="BA142" s="77">
        <f t="shared" si="32"/>
        <v>1410.6092760000001</v>
      </c>
      <c r="BB142" s="51"/>
      <c r="BC142" s="51">
        <v>22</v>
      </c>
      <c r="BD142" s="27" t="s">
        <v>4</v>
      </c>
    </row>
    <row r="143" spans="1:56" s="27" customFormat="1" ht="11.25" customHeight="1" x14ac:dyDescent="0.2">
      <c r="A143" s="51">
        <v>142</v>
      </c>
      <c r="B143" s="51"/>
      <c r="C143" s="27" t="s">
        <v>424</v>
      </c>
      <c r="E143" s="27">
        <f t="shared" si="24"/>
        <v>31</v>
      </c>
      <c r="F143" s="71" t="s">
        <v>425</v>
      </c>
      <c r="G143" s="72">
        <v>1278</v>
      </c>
      <c r="H143" s="73">
        <f>INT((G143*Valores!$C$2*100)+0.5)/100</f>
        <v>8790.34</v>
      </c>
      <c r="I143" s="112">
        <v>0</v>
      </c>
      <c r="J143" s="75">
        <f>INT((I143*Valores!$C$2*100)+0.5)/100</f>
        <v>0</v>
      </c>
      <c r="K143" s="102">
        <v>0</v>
      </c>
      <c r="L143" s="75">
        <f>INT((K143*Valores!$C$2*100)+0.5)/100</f>
        <v>0</v>
      </c>
      <c r="M143" s="100">
        <v>0</v>
      </c>
      <c r="N143" s="75">
        <f>INT((M143*Valores!$C$2*100)+0.5)/100</f>
        <v>0</v>
      </c>
      <c r="O143" s="75">
        <f t="shared" si="25"/>
        <v>1834.2577500000002</v>
      </c>
      <c r="P143" s="75">
        <f t="shared" si="26"/>
        <v>0</v>
      </c>
      <c r="Q143" s="101">
        <f>Valores!$C$20</f>
        <v>4231.82</v>
      </c>
      <c r="R143" s="101">
        <f>Valores!$D$4</f>
        <v>3076.62</v>
      </c>
      <c r="S143" s="101">
        <f>Valores!$C$26</f>
        <v>3208.72</v>
      </c>
      <c r="T143" s="78">
        <f>Valores!$C$42/2</f>
        <v>635.91499999999996</v>
      </c>
      <c r="U143" s="101">
        <f>Valores!$C$24</f>
        <v>2802.13</v>
      </c>
      <c r="V143" s="75">
        <f t="shared" si="23"/>
        <v>2802.13</v>
      </c>
      <c r="W143" s="75">
        <v>0</v>
      </c>
      <c r="X143" s="75">
        <v>0</v>
      </c>
      <c r="Y143" s="79">
        <v>0</v>
      </c>
      <c r="Z143" s="75">
        <f>Y143*Valores!$C$2</f>
        <v>0</v>
      </c>
      <c r="AA143" s="75">
        <v>0</v>
      </c>
      <c r="AB143" s="80">
        <f>Valores!$C$29</f>
        <v>166.15</v>
      </c>
      <c r="AC143" s="75">
        <f t="shared" si="29"/>
        <v>0</v>
      </c>
      <c r="AD143" s="75">
        <f>Valores!$C$30</f>
        <v>166.15</v>
      </c>
      <c r="AE143" s="79">
        <v>0</v>
      </c>
      <c r="AF143" s="75">
        <f>INT(((AE143*Valores!$C$2)*100)+0.5)/100</f>
        <v>0</v>
      </c>
      <c r="AG143" s="75">
        <f>Valores!$C$58/2</f>
        <v>168.98500000000001</v>
      </c>
      <c r="AH143" s="75">
        <f>Valores!$C$60/2</f>
        <v>48.28</v>
      </c>
      <c r="AI143" s="114">
        <f t="shared" si="30"/>
        <v>25129.367750000005</v>
      </c>
      <c r="AJ143" s="101">
        <f>Valores!$C$35</f>
        <v>666.25</v>
      </c>
      <c r="AK143" s="78">
        <f>Valores!$C$8/2</f>
        <v>0</v>
      </c>
      <c r="AL143" s="78">
        <f>Valores!$C$81</f>
        <v>1500</v>
      </c>
      <c r="AM143" s="80">
        <f>Valores!$C$51</f>
        <v>141.62</v>
      </c>
      <c r="AN143" s="82">
        <f t="shared" si="31"/>
        <v>2166.25</v>
      </c>
      <c r="AO143" s="61">
        <f>AI143*-Valores!$C$65</f>
        <v>-3266.8178075000005</v>
      </c>
      <c r="AP143" s="61">
        <f>AI143*-Valores!$C$66</f>
        <v>-125.64683875000003</v>
      </c>
      <c r="AQ143" s="77">
        <f>AI143*-Valores!$C$67</f>
        <v>-1130.8215487500001</v>
      </c>
      <c r="AR143" s="77">
        <f>AI143*-Valores!$C$68</f>
        <v>-678.49292925000009</v>
      </c>
      <c r="AS143" s="77">
        <f>AI143*-Valores!$C$69</f>
        <v>-75.388103250000015</v>
      </c>
      <c r="AT143" s="81">
        <f t="shared" si="27"/>
        <v>22772.331555000008</v>
      </c>
      <c r="AU143" s="81">
        <f t="shared" si="28"/>
        <v>23149.272071250005</v>
      </c>
      <c r="AV143" s="77">
        <f>AI143*Valores!$C$71</f>
        <v>4020.6988400000009</v>
      </c>
      <c r="AW143" s="77">
        <f>AI143*Valores!$C$72</f>
        <v>1130.8215487500001</v>
      </c>
      <c r="AX143" s="77">
        <f>AI143*Valores!$C$73</f>
        <v>251.29367750000006</v>
      </c>
      <c r="AY143" s="77">
        <f>AI143*Valores!$C$75</f>
        <v>879.5278712500002</v>
      </c>
      <c r="AZ143" s="77">
        <f>AI143*Valores!$C$76</f>
        <v>150.77620650000003</v>
      </c>
      <c r="BA143" s="77">
        <f t="shared" si="32"/>
        <v>1356.9858585000004</v>
      </c>
      <c r="BB143" s="51"/>
      <c r="BC143" s="51"/>
      <c r="BD143" s="27" t="s">
        <v>8</v>
      </c>
    </row>
    <row r="144" spans="1:56" s="27" customFormat="1" ht="11.25" customHeight="1" x14ac:dyDescent="0.2">
      <c r="A144" s="51">
        <v>143</v>
      </c>
      <c r="B144" s="51"/>
      <c r="C144" s="27" t="s">
        <v>426</v>
      </c>
      <c r="E144" s="27">
        <f t="shared" si="24"/>
        <v>19</v>
      </c>
      <c r="F144" s="71" t="s">
        <v>427</v>
      </c>
      <c r="G144" s="72">
        <v>1278</v>
      </c>
      <c r="H144" s="73">
        <f>INT((G144*Valores!$C$2*100)+0.5)/100</f>
        <v>8790.34</v>
      </c>
      <c r="I144" s="112">
        <v>0</v>
      </c>
      <c r="J144" s="75">
        <f>INT((I144*Valores!$C$2*100)+0.5)/100</f>
        <v>0</v>
      </c>
      <c r="K144" s="102">
        <v>0</v>
      </c>
      <c r="L144" s="75">
        <f>INT((K144*Valores!$C$2*100)+0.5)/100</f>
        <v>0</v>
      </c>
      <c r="M144" s="100">
        <v>0</v>
      </c>
      <c r="N144" s="75">
        <f>INT((M144*Valores!$C$2*100)+0.5)/100</f>
        <v>0</v>
      </c>
      <c r="O144" s="75">
        <f t="shared" si="25"/>
        <v>1935.444</v>
      </c>
      <c r="P144" s="75">
        <f t="shared" si="26"/>
        <v>0</v>
      </c>
      <c r="Q144" s="101">
        <f>Valores!$C$20</f>
        <v>4231.82</v>
      </c>
      <c r="R144" s="101">
        <f>Valores!$D$4</f>
        <v>3076.62</v>
      </c>
      <c r="S144" s="101">
        <f>Valores!$C$26</f>
        <v>3208.72</v>
      </c>
      <c r="T144" s="106">
        <f>Valores!$C$42</f>
        <v>1271.83</v>
      </c>
      <c r="U144" s="75">
        <f>Valores!$C$23</f>
        <v>2840.79</v>
      </c>
      <c r="V144" s="75">
        <f t="shared" si="23"/>
        <v>2840.79</v>
      </c>
      <c r="W144" s="75">
        <v>0</v>
      </c>
      <c r="X144" s="75">
        <v>0</v>
      </c>
      <c r="Y144" s="79">
        <v>0</v>
      </c>
      <c r="Z144" s="75">
        <f>Y144*Valores!$C$2</f>
        <v>0</v>
      </c>
      <c r="AA144" s="75">
        <v>0</v>
      </c>
      <c r="AB144" s="80">
        <f>Valores!$C$29</f>
        <v>166.15</v>
      </c>
      <c r="AC144" s="75">
        <f t="shared" si="29"/>
        <v>0</v>
      </c>
      <c r="AD144" s="75">
        <f>Valores!$C$30</f>
        <v>166.15</v>
      </c>
      <c r="AE144" s="79">
        <v>0</v>
      </c>
      <c r="AF144" s="75">
        <f>INT(((AE144*Valores!$C$2)*100)+0.5)/100</f>
        <v>0</v>
      </c>
      <c r="AG144" s="75">
        <f>Valores!$C$58</f>
        <v>337.97</v>
      </c>
      <c r="AH144" s="75">
        <f>Valores!$C$60</f>
        <v>96.56</v>
      </c>
      <c r="AI144" s="114">
        <f t="shared" si="30"/>
        <v>26122.394000000004</v>
      </c>
      <c r="AJ144" s="101">
        <f>Valores!$C$35</f>
        <v>666.25</v>
      </c>
      <c r="AK144" s="78">
        <f>Valores!$C$8</f>
        <v>0</v>
      </c>
      <c r="AL144" s="78">
        <f>Valores!$C$81</f>
        <v>1500</v>
      </c>
      <c r="AM144" s="80">
        <f>Valores!$C$51</f>
        <v>141.62</v>
      </c>
      <c r="AN144" s="82">
        <f t="shared" si="31"/>
        <v>2166.25</v>
      </c>
      <c r="AO144" s="61">
        <f>AI144*-Valores!$C$65</f>
        <v>-3395.9112200000004</v>
      </c>
      <c r="AP144" s="61">
        <f>AI144*-Valores!$C$66</f>
        <v>-130.61197000000001</v>
      </c>
      <c r="AQ144" s="77">
        <f>AI144*-Valores!$C$67</f>
        <v>-1175.50773</v>
      </c>
      <c r="AR144" s="77">
        <f>AI144*-Valores!$C$68</f>
        <v>-705.30463800000007</v>
      </c>
      <c r="AS144" s="77">
        <f>AI144*-Valores!$C$69</f>
        <v>-78.367182000000014</v>
      </c>
      <c r="AT144" s="81">
        <f t="shared" si="27"/>
        <v>23586.613079999999</v>
      </c>
      <c r="AU144" s="81">
        <f t="shared" si="28"/>
        <v>23978.448989999997</v>
      </c>
      <c r="AV144" s="77">
        <f>AI144*Valores!$C$71</f>
        <v>4179.5830400000004</v>
      </c>
      <c r="AW144" s="77">
        <f>AI144*Valores!$C$72</f>
        <v>1175.50773</v>
      </c>
      <c r="AX144" s="77">
        <f>AI144*Valores!$C$73</f>
        <v>261.22394000000003</v>
      </c>
      <c r="AY144" s="77">
        <f>AI144*Valores!$C$75</f>
        <v>914.28379000000018</v>
      </c>
      <c r="AZ144" s="77">
        <f>AI144*Valores!$C$76</f>
        <v>156.73436400000003</v>
      </c>
      <c r="BA144" s="77">
        <f t="shared" si="32"/>
        <v>1410.6092760000001</v>
      </c>
      <c r="BB144" s="51"/>
      <c r="BC144" s="85"/>
      <c r="BD144" s="27" t="s">
        <v>4</v>
      </c>
    </row>
    <row r="145" spans="1:56" s="27" customFormat="1" ht="11.25" customHeight="1" x14ac:dyDescent="0.2">
      <c r="A145" s="51">
        <v>144</v>
      </c>
      <c r="B145" s="51"/>
      <c r="C145" s="27" t="s">
        <v>428</v>
      </c>
      <c r="E145" s="27">
        <f t="shared" si="24"/>
        <v>29</v>
      </c>
      <c r="F145" s="71" t="s">
        <v>429</v>
      </c>
      <c r="G145" s="72">
        <v>1278</v>
      </c>
      <c r="H145" s="73">
        <f>INT((G145*Valores!$C$2*100)+0.5)/100</f>
        <v>8790.34</v>
      </c>
      <c r="I145" s="112">
        <v>0</v>
      </c>
      <c r="J145" s="75">
        <f>INT((I145*Valores!$C$2*100)+0.5)/100</f>
        <v>0</v>
      </c>
      <c r="K145" s="102">
        <v>0</v>
      </c>
      <c r="L145" s="75">
        <f>INT((K145*Valores!$C$2*100)+0.5)/100</f>
        <v>0</v>
      </c>
      <c r="M145" s="100">
        <v>0</v>
      </c>
      <c r="N145" s="75">
        <f>INT((M145*Valores!$C$2*100)+0.5)/100</f>
        <v>0</v>
      </c>
      <c r="O145" s="75">
        <f t="shared" si="25"/>
        <v>1935.444</v>
      </c>
      <c r="P145" s="75">
        <f t="shared" si="26"/>
        <v>0</v>
      </c>
      <c r="Q145" s="101">
        <f>Valores!$C$20</f>
        <v>4231.82</v>
      </c>
      <c r="R145" s="101">
        <f>Valores!$D$4</f>
        <v>3076.62</v>
      </c>
      <c r="S145" s="101">
        <f>Valores!$C$26</f>
        <v>3208.72</v>
      </c>
      <c r="T145" s="106">
        <f>Valores!$C$42</f>
        <v>1271.83</v>
      </c>
      <c r="U145" s="75">
        <f>Valores!$C$23</f>
        <v>2840.79</v>
      </c>
      <c r="V145" s="75">
        <f t="shared" si="23"/>
        <v>2840.79</v>
      </c>
      <c r="W145" s="75">
        <v>0</v>
      </c>
      <c r="X145" s="75">
        <v>0</v>
      </c>
      <c r="Y145" s="79">
        <v>0</v>
      </c>
      <c r="Z145" s="75">
        <f>Y145*Valores!$C$2</f>
        <v>0</v>
      </c>
      <c r="AA145" s="75">
        <v>0</v>
      </c>
      <c r="AB145" s="80">
        <f>Valores!$C$29</f>
        <v>166.15</v>
      </c>
      <c r="AC145" s="75">
        <f t="shared" si="29"/>
        <v>0</v>
      </c>
      <c r="AD145" s="75">
        <f>Valores!$C$30</f>
        <v>166.15</v>
      </c>
      <c r="AE145" s="79">
        <v>0</v>
      </c>
      <c r="AF145" s="75">
        <f>INT(((AE145*Valores!$C$2)*100)+0.5)/100</f>
        <v>0</v>
      </c>
      <c r="AG145" s="75">
        <f>Valores!$C$58</f>
        <v>337.97</v>
      </c>
      <c r="AH145" s="75">
        <f>Valores!$C$60</f>
        <v>96.56</v>
      </c>
      <c r="AI145" s="114">
        <f t="shared" si="30"/>
        <v>26122.394000000004</v>
      </c>
      <c r="AJ145" s="101">
        <f>Valores!$C$35</f>
        <v>666.25</v>
      </c>
      <c r="AK145" s="78">
        <f>Valores!$C$8</f>
        <v>0</v>
      </c>
      <c r="AL145" s="78">
        <f>Valores!$C$81</f>
        <v>1500</v>
      </c>
      <c r="AM145" s="80">
        <f>Valores!$C$51</f>
        <v>141.62</v>
      </c>
      <c r="AN145" s="82">
        <f t="shared" si="31"/>
        <v>2166.25</v>
      </c>
      <c r="AO145" s="61">
        <f>AI145*-Valores!$C$65</f>
        <v>-3395.9112200000004</v>
      </c>
      <c r="AP145" s="61">
        <f>AI145*-Valores!$C$66</f>
        <v>-130.61197000000001</v>
      </c>
      <c r="AQ145" s="77">
        <f>AI145*-Valores!$C$67</f>
        <v>-1175.50773</v>
      </c>
      <c r="AR145" s="77">
        <f>AI145*-Valores!$C$68</f>
        <v>-705.30463800000007</v>
      </c>
      <c r="AS145" s="77">
        <f>AI145*-Valores!$C$69</f>
        <v>-78.367182000000014</v>
      </c>
      <c r="AT145" s="81">
        <f t="shared" si="27"/>
        <v>23586.613079999999</v>
      </c>
      <c r="AU145" s="81">
        <f t="shared" si="28"/>
        <v>23978.448989999997</v>
      </c>
      <c r="AV145" s="77">
        <f>AI145*Valores!$C$71</f>
        <v>4179.5830400000004</v>
      </c>
      <c r="AW145" s="77">
        <f>AI145*Valores!$C$72</f>
        <v>1175.50773</v>
      </c>
      <c r="AX145" s="77">
        <f>AI145*Valores!$C$73</f>
        <v>261.22394000000003</v>
      </c>
      <c r="AY145" s="77">
        <f>AI145*Valores!$C$75</f>
        <v>914.28379000000018</v>
      </c>
      <c r="AZ145" s="77">
        <f>AI145*Valores!$C$76</f>
        <v>156.73436400000003</v>
      </c>
      <c r="BA145" s="77">
        <f t="shared" si="32"/>
        <v>1410.6092760000001</v>
      </c>
      <c r="BB145" s="51"/>
      <c r="BC145" s="51">
        <v>20</v>
      </c>
      <c r="BD145" s="27" t="s">
        <v>4</v>
      </c>
    </row>
    <row r="146" spans="1:56" s="27" customFormat="1" ht="11.25" customHeight="1" x14ac:dyDescent="0.2">
      <c r="A146" s="85">
        <v>145</v>
      </c>
      <c r="B146" s="85" t="s">
        <v>163</v>
      </c>
      <c r="C146" s="86" t="s">
        <v>430</v>
      </c>
      <c r="D146" s="86"/>
      <c r="E146" s="86">
        <f t="shared" si="24"/>
        <v>31</v>
      </c>
      <c r="F146" s="87" t="s">
        <v>431</v>
      </c>
      <c r="G146" s="88">
        <v>1278</v>
      </c>
      <c r="H146" s="89">
        <f>INT((G146*Valores!$C$2*100)+0.5)/100</f>
        <v>8790.34</v>
      </c>
      <c r="I146" s="103">
        <v>0</v>
      </c>
      <c r="J146" s="91">
        <f>INT((I146*Valores!$C$2*100)+0.5)/100</f>
        <v>0</v>
      </c>
      <c r="K146" s="104">
        <v>0</v>
      </c>
      <c r="L146" s="91">
        <f>INT((K146*Valores!$C$2*100)+0.5)/100</f>
        <v>0</v>
      </c>
      <c r="M146" s="105">
        <v>0</v>
      </c>
      <c r="N146" s="91">
        <f>INT((M146*Valores!$C$2*100)+0.5)/100</f>
        <v>0</v>
      </c>
      <c r="O146" s="91">
        <f t="shared" si="25"/>
        <v>1935.444</v>
      </c>
      <c r="P146" s="91">
        <f t="shared" si="26"/>
        <v>0</v>
      </c>
      <c r="Q146" s="107">
        <f>Valores!$C$20</f>
        <v>4231.82</v>
      </c>
      <c r="R146" s="107">
        <f>Valores!$D$4</f>
        <v>3076.62</v>
      </c>
      <c r="S146" s="107">
        <f>Valores!$C$26</f>
        <v>3208.72</v>
      </c>
      <c r="T146" s="108">
        <f>Valores!$C$42</f>
        <v>1271.83</v>
      </c>
      <c r="U146" s="91">
        <f>Valores!$C$23</f>
        <v>2840.79</v>
      </c>
      <c r="V146" s="91">
        <f t="shared" si="23"/>
        <v>2840.79</v>
      </c>
      <c r="W146" s="91">
        <v>0</v>
      </c>
      <c r="X146" s="91">
        <v>0</v>
      </c>
      <c r="Y146" s="95">
        <v>0</v>
      </c>
      <c r="Z146" s="91">
        <f>Y146*Valores!$C$2</f>
        <v>0</v>
      </c>
      <c r="AA146" s="91">
        <v>0</v>
      </c>
      <c r="AB146" s="96">
        <f>Valores!$C$29</f>
        <v>166.15</v>
      </c>
      <c r="AC146" s="91">
        <f t="shared" si="29"/>
        <v>0</v>
      </c>
      <c r="AD146" s="91">
        <f>Valores!$C$30</f>
        <v>166.15</v>
      </c>
      <c r="AE146" s="95">
        <v>94</v>
      </c>
      <c r="AF146" s="91">
        <f>INT(((AE146*Valores!$C$2)*100)+0.5)/100</f>
        <v>646.54999999999995</v>
      </c>
      <c r="AG146" s="91">
        <f>Valores!$C$58</f>
        <v>337.97</v>
      </c>
      <c r="AH146" s="91">
        <f>Valores!$C$60</f>
        <v>96.56</v>
      </c>
      <c r="AI146" s="115">
        <f t="shared" si="30"/>
        <v>26768.944000000007</v>
      </c>
      <c r="AJ146" s="107">
        <f>Valores!$C$35</f>
        <v>666.25</v>
      </c>
      <c r="AK146" s="94">
        <f>Valores!$C$8</f>
        <v>0</v>
      </c>
      <c r="AL146" s="94">
        <f>Valores!$C$81</f>
        <v>1500</v>
      </c>
      <c r="AM146" s="96">
        <f>Valores!$C$51</f>
        <v>141.62</v>
      </c>
      <c r="AN146" s="98">
        <f t="shared" si="31"/>
        <v>2166.25</v>
      </c>
      <c r="AO146" s="116">
        <f>AI146*-Valores!$C$65</f>
        <v>-3479.9627200000009</v>
      </c>
      <c r="AP146" s="116">
        <f>AI146*-Valores!$C$66</f>
        <v>-133.84472000000002</v>
      </c>
      <c r="AQ146" s="93">
        <f>AI146*-Valores!$C$67</f>
        <v>-1204.6024800000002</v>
      </c>
      <c r="AR146" s="93">
        <f>AI146*-Valores!$C$68</f>
        <v>-722.76148800000021</v>
      </c>
      <c r="AS146" s="93">
        <f>AI146*-Valores!$C$69</f>
        <v>-80.306832000000028</v>
      </c>
      <c r="AT146" s="97">
        <f t="shared" si="27"/>
        <v>24116.784080000005</v>
      </c>
      <c r="AU146" s="97">
        <f t="shared" si="28"/>
        <v>24518.318240000008</v>
      </c>
      <c r="AV146" s="93">
        <f>AI146*Valores!$C$71</f>
        <v>4283.0310400000008</v>
      </c>
      <c r="AW146" s="93">
        <f>AI146*Valores!$C$72</f>
        <v>1204.6024800000002</v>
      </c>
      <c r="AX146" s="93">
        <f>AI146*Valores!$C$73</f>
        <v>267.68944000000005</v>
      </c>
      <c r="AY146" s="93">
        <f>AI146*Valores!$C$75</f>
        <v>936.91304000000036</v>
      </c>
      <c r="AZ146" s="93">
        <f>AI146*Valores!$C$76</f>
        <v>160.61366400000006</v>
      </c>
      <c r="BA146" s="93">
        <f t="shared" si="32"/>
        <v>1445.5229760000004</v>
      </c>
      <c r="BB146" s="85"/>
      <c r="BC146" s="85">
        <v>20</v>
      </c>
      <c r="BD146" s="86" t="s">
        <v>4</v>
      </c>
    </row>
    <row r="147" spans="1:56" s="27" customFormat="1" ht="11.25" customHeight="1" x14ac:dyDescent="0.2">
      <c r="A147" s="51">
        <v>146</v>
      </c>
      <c r="B147" s="51"/>
      <c r="C147" s="27" t="s">
        <v>432</v>
      </c>
      <c r="E147" s="27">
        <f t="shared" si="24"/>
        <v>26</v>
      </c>
      <c r="F147" s="71" t="s">
        <v>433</v>
      </c>
      <c r="G147" s="72">
        <v>1278</v>
      </c>
      <c r="H147" s="73">
        <f>INT((G147*Valores!$C$2*100)+0.5)/100</f>
        <v>8790.34</v>
      </c>
      <c r="I147" s="112">
        <v>0</v>
      </c>
      <c r="J147" s="75">
        <f>INT((I147*Valores!$C$2*100)+0.5)/100</f>
        <v>0</v>
      </c>
      <c r="K147" s="102">
        <v>0</v>
      </c>
      <c r="L147" s="75">
        <f>INT((K147*Valores!$C$2*100)+0.5)/100</f>
        <v>0</v>
      </c>
      <c r="M147" s="100">
        <v>0</v>
      </c>
      <c r="N147" s="75">
        <f>INT((M147*Valores!$C$2*100)+0.5)/100</f>
        <v>0</v>
      </c>
      <c r="O147" s="75">
        <f t="shared" si="25"/>
        <v>1935.444</v>
      </c>
      <c r="P147" s="75">
        <f t="shared" si="26"/>
        <v>0</v>
      </c>
      <c r="Q147" s="101">
        <f>Valores!$C$20</f>
        <v>4231.82</v>
      </c>
      <c r="R147" s="101">
        <f>Valores!$D$4</f>
        <v>3076.62</v>
      </c>
      <c r="S147" s="78">
        <f>Valores!$C$26</f>
        <v>3208.72</v>
      </c>
      <c r="T147" s="78">
        <f>Valores!$C$42</f>
        <v>1271.83</v>
      </c>
      <c r="U147" s="101">
        <f>Valores!$C$23</f>
        <v>2840.79</v>
      </c>
      <c r="V147" s="75">
        <f t="shared" si="23"/>
        <v>2840.79</v>
      </c>
      <c r="W147" s="75">
        <v>0</v>
      </c>
      <c r="X147" s="75">
        <v>0</v>
      </c>
      <c r="Y147" s="79">
        <v>0</v>
      </c>
      <c r="Z147" s="75">
        <f>Y147*Valores!$C$2</f>
        <v>0</v>
      </c>
      <c r="AA147" s="75">
        <v>0</v>
      </c>
      <c r="AB147" s="80">
        <f>Valores!$C$29</f>
        <v>166.15</v>
      </c>
      <c r="AC147" s="75">
        <f t="shared" si="29"/>
        <v>0</v>
      </c>
      <c r="AD147" s="75">
        <f>Valores!$C$30</f>
        <v>166.15</v>
      </c>
      <c r="AE147" s="79">
        <v>0</v>
      </c>
      <c r="AF147" s="75">
        <f>INT(((AE147*Valores!$C$2)*100)+0.5)/100</f>
        <v>0</v>
      </c>
      <c r="AG147" s="75">
        <f>Valores!$C$58</f>
        <v>337.97</v>
      </c>
      <c r="AH147" s="75">
        <f>Valores!$C$60</f>
        <v>96.56</v>
      </c>
      <c r="AI147" s="114">
        <f t="shared" si="30"/>
        <v>26122.394000000004</v>
      </c>
      <c r="AJ147" s="101">
        <f>Valores!$C$35</f>
        <v>666.25</v>
      </c>
      <c r="AK147" s="78">
        <f>Valores!$C$8</f>
        <v>0</v>
      </c>
      <c r="AL147" s="78">
        <f>Valores!$C$81</f>
        <v>1500</v>
      </c>
      <c r="AM147" s="80">
        <f>Valores!$C$51</f>
        <v>141.62</v>
      </c>
      <c r="AN147" s="82">
        <f t="shared" si="31"/>
        <v>2166.25</v>
      </c>
      <c r="AO147" s="61">
        <f>AI147*-Valores!$C$65</f>
        <v>-3395.9112200000004</v>
      </c>
      <c r="AP147" s="61">
        <f>AI147*-Valores!$C$66</f>
        <v>-130.61197000000001</v>
      </c>
      <c r="AQ147" s="77">
        <f>AI147*-Valores!$C$67</f>
        <v>-1175.50773</v>
      </c>
      <c r="AR147" s="77">
        <f>AI147*-Valores!$C$68</f>
        <v>-705.30463800000007</v>
      </c>
      <c r="AS147" s="77">
        <f>AI147*-Valores!$C$69</f>
        <v>-78.367182000000014</v>
      </c>
      <c r="AT147" s="81">
        <f t="shared" si="27"/>
        <v>23586.613079999999</v>
      </c>
      <c r="AU147" s="81">
        <f t="shared" si="28"/>
        <v>23978.448989999997</v>
      </c>
      <c r="AV147" s="77">
        <f>AI147*Valores!$C$71</f>
        <v>4179.5830400000004</v>
      </c>
      <c r="AW147" s="77">
        <f>AI147*Valores!$C$72</f>
        <v>1175.50773</v>
      </c>
      <c r="AX147" s="77">
        <f>AI147*Valores!$C$73</f>
        <v>261.22394000000003</v>
      </c>
      <c r="AY147" s="77">
        <f>AI147*Valores!$C$75</f>
        <v>914.28379000000018</v>
      </c>
      <c r="AZ147" s="77">
        <f>AI147*Valores!$C$76</f>
        <v>156.73436400000003</v>
      </c>
      <c r="BA147" s="77">
        <f t="shared" si="32"/>
        <v>1410.6092760000001</v>
      </c>
      <c r="BB147" s="51"/>
      <c r="BC147" s="51">
        <v>22</v>
      </c>
      <c r="BD147" s="27" t="s">
        <v>4</v>
      </c>
    </row>
    <row r="148" spans="1:56" s="27" customFormat="1" ht="11.25" customHeight="1" x14ac:dyDescent="0.2">
      <c r="A148" s="51">
        <v>147</v>
      </c>
      <c r="B148" s="51"/>
      <c r="C148" s="27" t="s">
        <v>434</v>
      </c>
      <c r="E148" s="27">
        <f t="shared" si="24"/>
        <v>26</v>
      </c>
      <c r="F148" s="71" t="s">
        <v>435</v>
      </c>
      <c r="G148" s="72">
        <v>1278</v>
      </c>
      <c r="H148" s="73">
        <f>INT((G148*Valores!$C$2*100)+0.5)/100</f>
        <v>8790.34</v>
      </c>
      <c r="I148" s="112">
        <v>0</v>
      </c>
      <c r="J148" s="75">
        <f>INT((I148*Valores!$C$2*100)+0.5)/100</f>
        <v>0</v>
      </c>
      <c r="K148" s="102">
        <v>0</v>
      </c>
      <c r="L148" s="75">
        <f>INT((K148*Valores!$C$2*100)+0.5)/100</f>
        <v>0</v>
      </c>
      <c r="M148" s="100">
        <v>0</v>
      </c>
      <c r="N148" s="75">
        <f>INT((M148*Valores!$C$2*100)+0.5)/100</f>
        <v>0</v>
      </c>
      <c r="O148" s="75">
        <f t="shared" si="25"/>
        <v>1929.645</v>
      </c>
      <c r="P148" s="75">
        <f t="shared" si="26"/>
        <v>0</v>
      </c>
      <c r="Q148" s="101">
        <f>Valores!$C$20</f>
        <v>4231.82</v>
      </c>
      <c r="R148" s="101">
        <f>Valores!$D$4</f>
        <v>3076.62</v>
      </c>
      <c r="S148" s="78">
        <v>0</v>
      </c>
      <c r="T148" s="78">
        <f>Valores!$C$42</f>
        <v>1271.83</v>
      </c>
      <c r="U148" s="101">
        <f>Valores!$C$24</f>
        <v>2802.13</v>
      </c>
      <c r="V148" s="75">
        <f t="shared" si="23"/>
        <v>2802.13</v>
      </c>
      <c r="W148" s="75">
        <v>0</v>
      </c>
      <c r="X148" s="75">
        <v>0</v>
      </c>
      <c r="Y148" s="79">
        <v>0</v>
      </c>
      <c r="Z148" s="75">
        <f>Y148*Valores!$C$2</f>
        <v>0</v>
      </c>
      <c r="AA148" s="75">
        <v>0</v>
      </c>
      <c r="AB148" s="80">
        <f>Valores!$C$29</f>
        <v>166.15</v>
      </c>
      <c r="AC148" s="75">
        <f t="shared" si="29"/>
        <v>0</v>
      </c>
      <c r="AD148" s="75">
        <f>Valores!$C$30</f>
        <v>166.15</v>
      </c>
      <c r="AE148" s="79">
        <v>0</v>
      </c>
      <c r="AF148" s="75">
        <f>INT(((AE148*Valores!$C$2)*100)+0.5)/100</f>
        <v>0</v>
      </c>
      <c r="AG148" s="75">
        <f>Valores!$C$58</f>
        <v>337.97</v>
      </c>
      <c r="AH148" s="75">
        <f>Valores!$C$60</f>
        <v>96.56</v>
      </c>
      <c r="AI148" s="114">
        <f t="shared" si="30"/>
        <v>22869.215000000007</v>
      </c>
      <c r="AJ148" s="101">
        <f>Valores!$C$35</f>
        <v>666.25</v>
      </c>
      <c r="AK148" s="78">
        <f>Valores!$C$8</f>
        <v>0</v>
      </c>
      <c r="AL148" s="78">
        <f>Valores!$C$81</f>
        <v>1500</v>
      </c>
      <c r="AM148" s="80">
        <f>Valores!$C$51</f>
        <v>141.62</v>
      </c>
      <c r="AN148" s="82">
        <f t="shared" si="31"/>
        <v>2166.25</v>
      </c>
      <c r="AO148" s="61">
        <f>AI148*-Valores!$C$65</f>
        <v>-2972.9979500000009</v>
      </c>
      <c r="AP148" s="61">
        <f>AI148*-Valores!$C$66</f>
        <v>-114.34607500000004</v>
      </c>
      <c r="AQ148" s="77">
        <f>AI148*-Valores!$C$67</f>
        <v>-1029.1146750000003</v>
      </c>
      <c r="AR148" s="77">
        <f>AI148*-Valores!$C$68</f>
        <v>-617.4688050000002</v>
      </c>
      <c r="AS148" s="77">
        <f>AI148*-Valores!$C$69</f>
        <v>-68.607645000000019</v>
      </c>
      <c r="AT148" s="81">
        <f t="shared" si="27"/>
        <v>20919.006300000005</v>
      </c>
      <c r="AU148" s="81">
        <f t="shared" si="28"/>
        <v>21262.044525000005</v>
      </c>
      <c r="AV148" s="77">
        <f>AI148*Valores!$C$71</f>
        <v>3659.0744000000013</v>
      </c>
      <c r="AW148" s="77">
        <f>AI148*Valores!$C$72</f>
        <v>1029.1146750000003</v>
      </c>
      <c r="AX148" s="77">
        <f>AI148*Valores!$C$73</f>
        <v>228.69215000000008</v>
      </c>
      <c r="AY148" s="77">
        <f>AI148*Valores!$C$75</f>
        <v>800.42252500000029</v>
      </c>
      <c r="AZ148" s="77">
        <f>AI148*Valores!$C$76</f>
        <v>137.21529000000004</v>
      </c>
      <c r="BA148" s="77">
        <f t="shared" si="32"/>
        <v>1234.9376100000004</v>
      </c>
      <c r="BB148" s="51"/>
      <c r="BC148" s="51"/>
      <c r="BD148" s="27" t="s">
        <v>8</v>
      </c>
    </row>
    <row r="149" spans="1:56" s="27" customFormat="1" ht="11.25" customHeight="1" x14ac:dyDescent="0.2">
      <c r="A149" s="51">
        <v>148</v>
      </c>
      <c r="B149" s="51"/>
      <c r="C149" s="27" t="s">
        <v>436</v>
      </c>
      <c r="E149" s="27">
        <f t="shared" si="24"/>
        <v>37</v>
      </c>
      <c r="F149" s="71" t="s">
        <v>437</v>
      </c>
      <c r="G149" s="72">
        <v>1278</v>
      </c>
      <c r="H149" s="73">
        <f>INT((G149*Valores!$C$2*100)+0.5)/100</f>
        <v>8790.34</v>
      </c>
      <c r="I149" s="112">
        <v>0</v>
      </c>
      <c r="J149" s="75">
        <f>INT((I149*Valores!$C$2*100)+0.5)/100</f>
        <v>0</v>
      </c>
      <c r="K149" s="102">
        <v>0</v>
      </c>
      <c r="L149" s="75">
        <f>INT((K149*Valores!$C$2*100)+0.5)/100</f>
        <v>0</v>
      </c>
      <c r="M149" s="100">
        <v>0</v>
      </c>
      <c r="N149" s="75">
        <f>INT((M149*Valores!$C$2*100)+0.5)/100</f>
        <v>0</v>
      </c>
      <c r="O149" s="75">
        <f t="shared" si="25"/>
        <v>1929.645</v>
      </c>
      <c r="P149" s="75">
        <f t="shared" si="26"/>
        <v>0</v>
      </c>
      <c r="Q149" s="101">
        <f>Valores!$C$20</f>
        <v>4231.82</v>
      </c>
      <c r="R149" s="101">
        <f>Valores!$D$4</f>
        <v>3076.62</v>
      </c>
      <c r="S149" s="78">
        <v>0</v>
      </c>
      <c r="T149" s="78">
        <f>Valores!$C$42</f>
        <v>1271.83</v>
      </c>
      <c r="U149" s="101">
        <f>Valores!$C$24</f>
        <v>2802.13</v>
      </c>
      <c r="V149" s="75">
        <f t="shared" si="23"/>
        <v>2802.13</v>
      </c>
      <c r="W149" s="75">
        <v>0</v>
      </c>
      <c r="X149" s="75">
        <v>0</v>
      </c>
      <c r="Y149" s="79">
        <v>0</v>
      </c>
      <c r="Z149" s="75">
        <f>Y149*Valores!$C$2</f>
        <v>0</v>
      </c>
      <c r="AA149" s="75">
        <v>0</v>
      </c>
      <c r="AB149" s="80">
        <f>Valores!$C$29</f>
        <v>166.15</v>
      </c>
      <c r="AC149" s="75">
        <f t="shared" si="29"/>
        <v>0</v>
      </c>
      <c r="AD149" s="75">
        <f>Valores!$C$30</f>
        <v>166.15</v>
      </c>
      <c r="AE149" s="79">
        <v>0</v>
      </c>
      <c r="AF149" s="75">
        <f>INT(((AE149*Valores!$C$2)*100)+0.5)/100</f>
        <v>0</v>
      </c>
      <c r="AG149" s="75">
        <f>Valores!$C$58</f>
        <v>337.97</v>
      </c>
      <c r="AH149" s="75">
        <f>Valores!$C$60</f>
        <v>96.56</v>
      </c>
      <c r="AI149" s="114">
        <f t="shared" si="30"/>
        <v>22869.215000000007</v>
      </c>
      <c r="AJ149" s="101">
        <f>Valores!$C$35</f>
        <v>666.25</v>
      </c>
      <c r="AK149" s="78">
        <f>Valores!$C$8</f>
        <v>0</v>
      </c>
      <c r="AL149" s="78">
        <f>Valores!$C$81</f>
        <v>1500</v>
      </c>
      <c r="AM149" s="80">
        <f>Valores!$C$51</f>
        <v>141.62</v>
      </c>
      <c r="AN149" s="82">
        <f t="shared" si="31"/>
        <v>2166.25</v>
      </c>
      <c r="AO149" s="61">
        <f>AI149*-Valores!$C$65</f>
        <v>-2972.9979500000009</v>
      </c>
      <c r="AP149" s="61">
        <f>AI149*-Valores!$C$66</f>
        <v>-114.34607500000004</v>
      </c>
      <c r="AQ149" s="77">
        <f>AI149*-Valores!$C$67</f>
        <v>-1029.1146750000003</v>
      </c>
      <c r="AR149" s="77">
        <f>AI149*-Valores!$C$68</f>
        <v>-617.4688050000002</v>
      </c>
      <c r="AS149" s="77">
        <f>AI149*-Valores!$C$69</f>
        <v>-68.607645000000019</v>
      </c>
      <c r="AT149" s="81">
        <f t="shared" si="27"/>
        <v>20919.006300000005</v>
      </c>
      <c r="AU149" s="81">
        <f t="shared" si="28"/>
        <v>21262.044525000005</v>
      </c>
      <c r="AV149" s="77">
        <f>AI149*Valores!$C$71</f>
        <v>3659.0744000000013</v>
      </c>
      <c r="AW149" s="77">
        <f>AI149*Valores!$C$72</f>
        <v>1029.1146750000003</v>
      </c>
      <c r="AX149" s="77">
        <f>AI149*Valores!$C$73</f>
        <v>228.69215000000008</v>
      </c>
      <c r="AY149" s="77">
        <f>AI149*Valores!$C$75</f>
        <v>800.42252500000029</v>
      </c>
      <c r="AZ149" s="77">
        <f>AI149*Valores!$C$76</f>
        <v>137.21529000000004</v>
      </c>
      <c r="BA149" s="77">
        <f t="shared" si="32"/>
        <v>1234.9376100000004</v>
      </c>
      <c r="BB149" s="51"/>
      <c r="BC149" s="85"/>
      <c r="BD149" s="27" t="s">
        <v>8</v>
      </c>
    </row>
    <row r="150" spans="1:56" s="27" customFormat="1" ht="11.25" customHeight="1" x14ac:dyDescent="0.2">
      <c r="A150" s="51">
        <v>149</v>
      </c>
      <c r="B150" s="51"/>
      <c r="C150" s="27" t="s">
        <v>438</v>
      </c>
      <c r="E150" s="27">
        <f t="shared" si="24"/>
        <v>27</v>
      </c>
      <c r="F150" s="71" t="s">
        <v>439</v>
      </c>
      <c r="G150" s="72">
        <v>1060</v>
      </c>
      <c r="H150" s="73">
        <f>INT((G150*Valores!$C$2*100)+0.5)/100</f>
        <v>7290.89</v>
      </c>
      <c r="I150" s="112">
        <v>0</v>
      </c>
      <c r="J150" s="75">
        <f>INT((I150*Valores!$C$2*100)+0.5)/100</f>
        <v>0</v>
      </c>
      <c r="K150" s="102">
        <v>0</v>
      </c>
      <c r="L150" s="75">
        <f>INT((K150*Valores!$C$2*100)+0.5)/100</f>
        <v>0</v>
      </c>
      <c r="M150" s="100">
        <v>0</v>
      </c>
      <c r="N150" s="75">
        <f>INT((M150*Valores!$C$2*100)+0.5)/100</f>
        <v>0</v>
      </c>
      <c r="O150" s="75">
        <f t="shared" si="25"/>
        <v>1710.5264999999999</v>
      </c>
      <c r="P150" s="75">
        <f t="shared" si="26"/>
        <v>0</v>
      </c>
      <c r="Q150" s="101">
        <f>Valores!$C$20</f>
        <v>4231.82</v>
      </c>
      <c r="R150" s="101">
        <f>Valores!$D$4</f>
        <v>3076.62</v>
      </c>
      <c r="S150" s="106">
        <f>Valores!$C$26</f>
        <v>3208.72</v>
      </c>
      <c r="T150" s="106">
        <f>Valores!$C$42</f>
        <v>1271.83</v>
      </c>
      <c r="U150" s="75">
        <f>Valores!$C$23</f>
        <v>2840.79</v>
      </c>
      <c r="V150" s="75">
        <f t="shared" si="23"/>
        <v>2840.79</v>
      </c>
      <c r="W150" s="75">
        <v>0</v>
      </c>
      <c r="X150" s="75">
        <v>0</v>
      </c>
      <c r="Y150" s="79">
        <v>0</v>
      </c>
      <c r="Z150" s="75">
        <f>Y150*Valores!$C$2</f>
        <v>0</v>
      </c>
      <c r="AA150" s="75">
        <v>0</v>
      </c>
      <c r="AB150" s="80">
        <f>Valores!$C$29</f>
        <v>166.15</v>
      </c>
      <c r="AC150" s="75">
        <f t="shared" si="29"/>
        <v>0</v>
      </c>
      <c r="AD150" s="75">
        <f>Valores!$C$30</f>
        <v>166.15</v>
      </c>
      <c r="AE150" s="79">
        <v>0</v>
      </c>
      <c r="AF150" s="75">
        <f>INT(((AE150*Valores!$C$2)*100)+0.5)/100</f>
        <v>0</v>
      </c>
      <c r="AG150" s="75">
        <f>Valores!$C$58</f>
        <v>337.97</v>
      </c>
      <c r="AH150" s="75">
        <f>Valores!$C$60</f>
        <v>96.56</v>
      </c>
      <c r="AI150" s="114">
        <f t="shared" si="30"/>
        <v>24398.026500000004</v>
      </c>
      <c r="AJ150" s="101">
        <f>Valores!$C$35</f>
        <v>666.25</v>
      </c>
      <c r="AK150" s="78">
        <f>Valores!$C$8</f>
        <v>0</v>
      </c>
      <c r="AL150" s="78">
        <f>Valores!$C$81</f>
        <v>1500</v>
      </c>
      <c r="AM150" s="80">
        <f>Valores!$C$51</f>
        <v>141.62</v>
      </c>
      <c r="AN150" s="82">
        <f t="shared" si="31"/>
        <v>2166.25</v>
      </c>
      <c r="AO150" s="61">
        <f>AI150*-Valores!$C$65</f>
        <v>-3171.7434450000005</v>
      </c>
      <c r="AP150" s="61">
        <f>AI150*-Valores!$C$66</f>
        <v>-121.99013250000002</v>
      </c>
      <c r="AQ150" s="77">
        <f>AI150*-Valores!$C$67</f>
        <v>-1097.9111925000002</v>
      </c>
      <c r="AR150" s="77">
        <f>AI150*-Valores!$C$68</f>
        <v>-658.74671550000005</v>
      </c>
      <c r="AS150" s="77">
        <f>AI150*-Valores!$C$69</f>
        <v>-73.194079500000015</v>
      </c>
      <c r="AT150" s="81">
        <f t="shared" si="27"/>
        <v>22172.631730000005</v>
      </c>
      <c r="AU150" s="81">
        <f t="shared" si="28"/>
        <v>22538.602127500002</v>
      </c>
      <c r="AV150" s="77">
        <f>AI150*Valores!$C$71</f>
        <v>3903.6842400000005</v>
      </c>
      <c r="AW150" s="77">
        <f>AI150*Valores!$C$72</f>
        <v>1097.9111925000002</v>
      </c>
      <c r="AX150" s="77">
        <f>AI150*Valores!$C$73</f>
        <v>243.98026500000003</v>
      </c>
      <c r="AY150" s="77">
        <f>AI150*Valores!$C$75</f>
        <v>853.93092750000017</v>
      </c>
      <c r="AZ150" s="77">
        <f>AI150*Valores!$C$76</f>
        <v>146.38815900000003</v>
      </c>
      <c r="BA150" s="77">
        <f t="shared" si="32"/>
        <v>1317.4934310000003</v>
      </c>
      <c r="BB150" s="51"/>
      <c r="BC150" s="51"/>
      <c r="BD150" s="27" t="s">
        <v>4</v>
      </c>
    </row>
    <row r="151" spans="1:56" s="27" customFormat="1" ht="11.25" customHeight="1" x14ac:dyDescent="0.2">
      <c r="A151" s="85">
        <v>150</v>
      </c>
      <c r="B151" s="85" t="s">
        <v>163</v>
      </c>
      <c r="C151" s="86" t="s">
        <v>440</v>
      </c>
      <c r="D151" s="86"/>
      <c r="E151" s="86">
        <f t="shared" si="24"/>
        <v>23</v>
      </c>
      <c r="F151" s="87" t="s">
        <v>441</v>
      </c>
      <c r="G151" s="88">
        <v>1278</v>
      </c>
      <c r="H151" s="89">
        <f>INT((G151*Valores!$C$2*100)+0.5)/100</f>
        <v>8790.34</v>
      </c>
      <c r="I151" s="103">
        <v>0</v>
      </c>
      <c r="J151" s="91">
        <f>INT((I151*Valores!$C$2*100)+0.5)/100</f>
        <v>0</v>
      </c>
      <c r="K151" s="104">
        <v>0</v>
      </c>
      <c r="L151" s="91">
        <f>INT((K151*Valores!$C$2*100)+0.5)/100</f>
        <v>0</v>
      </c>
      <c r="M151" s="105">
        <v>0</v>
      </c>
      <c r="N151" s="91">
        <f>INT((M151*Valores!$C$2*100)+0.5)/100</f>
        <v>0</v>
      </c>
      <c r="O151" s="91">
        <f t="shared" si="25"/>
        <v>1929.645</v>
      </c>
      <c r="P151" s="91">
        <f t="shared" si="26"/>
        <v>0</v>
      </c>
      <c r="Q151" s="107">
        <f>Valores!$C$20</f>
        <v>4231.82</v>
      </c>
      <c r="R151" s="107">
        <f>Valores!$D$4</f>
        <v>3076.62</v>
      </c>
      <c r="S151" s="108">
        <f>Valores!$C$26</f>
        <v>3208.72</v>
      </c>
      <c r="T151" s="108">
        <f>Valores!$C$42</f>
        <v>1271.83</v>
      </c>
      <c r="U151" s="107">
        <f>Valores!$C$24</f>
        <v>2802.13</v>
      </c>
      <c r="V151" s="91">
        <f t="shared" si="23"/>
        <v>2802.13</v>
      </c>
      <c r="W151" s="91">
        <v>0</v>
      </c>
      <c r="X151" s="91">
        <v>0</v>
      </c>
      <c r="Y151" s="95">
        <v>0</v>
      </c>
      <c r="Z151" s="91">
        <f>Y151*Valores!$C$2</f>
        <v>0</v>
      </c>
      <c r="AA151" s="91">
        <v>0</v>
      </c>
      <c r="AB151" s="96">
        <f>Valores!$C$29</f>
        <v>166.15</v>
      </c>
      <c r="AC151" s="91">
        <f t="shared" si="29"/>
        <v>0</v>
      </c>
      <c r="AD151" s="91">
        <f>Valores!$C$30</f>
        <v>166.15</v>
      </c>
      <c r="AE151" s="95">
        <v>0</v>
      </c>
      <c r="AF151" s="91">
        <f>INT(((AE151*Valores!$C$2)*100)+0.5)/100</f>
        <v>0</v>
      </c>
      <c r="AG151" s="91">
        <f>Valores!$C$58</f>
        <v>337.97</v>
      </c>
      <c r="AH151" s="91">
        <f>Valores!$C$60</f>
        <v>96.56</v>
      </c>
      <c r="AI151" s="115">
        <f t="shared" si="30"/>
        <v>26077.935000000009</v>
      </c>
      <c r="AJ151" s="107">
        <f>Valores!$C$35</f>
        <v>666.25</v>
      </c>
      <c r="AK151" s="94">
        <f>Valores!$C$8</f>
        <v>0</v>
      </c>
      <c r="AL151" s="94">
        <f>Valores!$C$81</f>
        <v>1500</v>
      </c>
      <c r="AM151" s="96">
        <f>Valores!$C$51</f>
        <v>141.62</v>
      </c>
      <c r="AN151" s="98">
        <f t="shared" si="31"/>
        <v>2166.25</v>
      </c>
      <c r="AO151" s="116">
        <f>AI151*-Valores!$C$65</f>
        <v>-3390.1315500000014</v>
      </c>
      <c r="AP151" s="116">
        <f>AI151*-Valores!$C$66</f>
        <v>-130.38967500000004</v>
      </c>
      <c r="AQ151" s="93">
        <f>AI151*-Valores!$C$67</f>
        <v>-1173.5070750000004</v>
      </c>
      <c r="AR151" s="93">
        <f>AI151*-Valores!$C$68</f>
        <v>-704.10424500000022</v>
      </c>
      <c r="AS151" s="93">
        <f>AI151*-Valores!$C$69</f>
        <v>-78.233805000000032</v>
      </c>
      <c r="AT151" s="97">
        <f t="shared" si="27"/>
        <v>23550.156700000007</v>
      </c>
      <c r="AU151" s="97">
        <f t="shared" si="28"/>
        <v>23941.32572500001</v>
      </c>
      <c r="AV151" s="93">
        <f>AI151*Valores!$C$71</f>
        <v>4172.4696000000013</v>
      </c>
      <c r="AW151" s="93">
        <f>AI151*Valores!$C$72</f>
        <v>1173.5070750000004</v>
      </c>
      <c r="AX151" s="93">
        <f>AI151*Valores!$C$73</f>
        <v>260.77935000000008</v>
      </c>
      <c r="AY151" s="93">
        <f>AI151*Valores!$C$75</f>
        <v>912.72772500000042</v>
      </c>
      <c r="AZ151" s="93">
        <f>AI151*Valores!$C$76</f>
        <v>156.46761000000006</v>
      </c>
      <c r="BA151" s="93">
        <f t="shared" si="32"/>
        <v>1408.2084900000004</v>
      </c>
      <c r="BB151" s="85"/>
      <c r="BC151" s="85">
        <v>22</v>
      </c>
      <c r="BD151" s="86" t="s">
        <v>4</v>
      </c>
    </row>
    <row r="152" spans="1:56" s="27" customFormat="1" ht="11.25" customHeight="1" x14ac:dyDescent="0.2">
      <c r="A152" s="51">
        <v>151</v>
      </c>
      <c r="B152" s="51"/>
      <c r="C152" s="27" t="s">
        <v>442</v>
      </c>
      <c r="E152" s="27">
        <f t="shared" si="24"/>
        <v>18</v>
      </c>
      <c r="F152" s="71" t="s">
        <v>443</v>
      </c>
      <c r="G152" s="72">
        <v>1278</v>
      </c>
      <c r="H152" s="73">
        <f>INT((G152*Valores!$C$2*100)+0.5)/100</f>
        <v>8790.34</v>
      </c>
      <c r="I152" s="112">
        <v>0</v>
      </c>
      <c r="J152" s="75">
        <f>INT((I152*Valores!$C$2*100)+0.5)/100</f>
        <v>0</v>
      </c>
      <c r="K152" s="102">
        <v>0</v>
      </c>
      <c r="L152" s="75">
        <f>INT((K152*Valores!$C$2*100)+0.5)/100</f>
        <v>0</v>
      </c>
      <c r="M152" s="100">
        <v>0</v>
      </c>
      <c r="N152" s="75">
        <f>INT((M152*Valores!$C$2*100)+0.5)/100</f>
        <v>0</v>
      </c>
      <c r="O152" s="75">
        <f t="shared" si="25"/>
        <v>1935.444</v>
      </c>
      <c r="P152" s="75">
        <f t="shared" si="26"/>
        <v>0</v>
      </c>
      <c r="Q152" s="101">
        <f>Valores!$C$20</f>
        <v>4231.82</v>
      </c>
      <c r="R152" s="101">
        <f>Valores!$D$4</f>
        <v>3076.62</v>
      </c>
      <c r="S152" s="78">
        <f>Valores!$C$26</f>
        <v>3208.72</v>
      </c>
      <c r="T152" s="78">
        <f>Valores!$C$42</f>
        <v>1271.83</v>
      </c>
      <c r="U152" s="75">
        <f>Valores!$C$23</f>
        <v>2840.79</v>
      </c>
      <c r="V152" s="75">
        <f t="shared" si="23"/>
        <v>2840.79</v>
      </c>
      <c r="W152" s="75">
        <v>0</v>
      </c>
      <c r="X152" s="75">
        <v>0</v>
      </c>
      <c r="Y152" s="79">
        <v>0</v>
      </c>
      <c r="Z152" s="75">
        <f>Y152*Valores!$C$2</f>
        <v>0</v>
      </c>
      <c r="AA152" s="75">
        <v>0</v>
      </c>
      <c r="AB152" s="80">
        <f>Valores!$C$29</f>
        <v>166.15</v>
      </c>
      <c r="AC152" s="75">
        <f t="shared" si="29"/>
        <v>0</v>
      </c>
      <c r="AD152" s="75">
        <f>Valores!$C$30</f>
        <v>166.15</v>
      </c>
      <c r="AE152" s="79">
        <v>0</v>
      </c>
      <c r="AF152" s="75">
        <f>INT(((AE152*Valores!$C$2)*100)+0.5)/100</f>
        <v>0</v>
      </c>
      <c r="AG152" s="75">
        <f>Valores!$C$58</f>
        <v>337.97</v>
      </c>
      <c r="AH152" s="75">
        <f>Valores!$C$60</f>
        <v>96.56</v>
      </c>
      <c r="AI152" s="114">
        <f t="shared" si="30"/>
        <v>26122.394000000004</v>
      </c>
      <c r="AJ152" s="101">
        <f>Valores!$C$35</f>
        <v>666.25</v>
      </c>
      <c r="AK152" s="78">
        <f>Valores!$C$8</f>
        <v>0</v>
      </c>
      <c r="AL152" s="78">
        <f>Valores!$C$81</f>
        <v>1500</v>
      </c>
      <c r="AM152" s="80">
        <f>Valores!$C$51</f>
        <v>141.62</v>
      </c>
      <c r="AN152" s="82">
        <f t="shared" si="31"/>
        <v>2166.25</v>
      </c>
      <c r="AO152" s="61">
        <f>AI152*-Valores!$C$65</f>
        <v>-3395.9112200000004</v>
      </c>
      <c r="AP152" s="61">
        <f>AI152*-Valores!$C$66</f>
        <v>-130.61197000000001</v>
      </c>
      <c r="AQ152" s="77">
        <f>AI152*-Valores!$C$67</f>
        <v>-1175.50773</v>
      </c>
      <c r="AR152" s="77">
        <f>AI152*-Valores!$C$68</f>
        <v>-705.30463800000007</v>
      </c>
      <c r="AS152" s="77">
        <f>AI152*-Valores!$C$69</f>
        <v>-78.367182000000014</v>
      </c>
      <c r="AT152" s="81">
        <f t="shared" si="27"/>
        <v>23586.613079999999</v>
      </c>
      <c r="AU152" s="81">
        <f t="shared" si="28"/>
        <v>23978.448989999997</v>
      </c>
      <c r="AV152" s="77">
        <f>AI152*Valores!$C$71</f>
        <v>4179.5830400000004</v>
      </c>
      <c r="AW152" s="77">
        <f>AI152*Valores!$C$72</f>
        <v>1175.50773</v>
      </c>
      <c r="AX152" s="77">
        <f>AI152*Valores!$C$73</f>
        <v>261.22394000000003</v>
      </c>
      <c r="AY152" s="77">
        <f>AI152*Valores!$C$75</f>
        <v>914.28379000000018</v>
      </c>
      <c r="AZ152" s="77">
        <f>AI152*Valores!$C$76</f>
        <v>156.73436400000003</v>
      </c>
      <c r="BA152" s="77">
        <f t="shared" si="32"/>
        <v>1410.6092760000001</v>
      </c>
      <c r="BB152" s="51"/>
      <c r="BC152" s="51">
        <v>25</v>
      </c>
      <c r="BD152" s="27" t="s">
        <v>4</v>
      </c>
    </row>
    <row r="153" spans="1:56" s="27" customFormat="1" ht="11.25" customHeight="1" x14ac:dyDescent="0.2">
      <c r="A153" s="51">
        <v>152</v>
      </c>
      <c r="B153" s="51"/>
      <c r="C153" s="27" t="s">
        <v>444</v>
      </c>
      <c r="E153" s="27">
        <f t="shared" si="24"/>
        <v>13</v>
      </c>
      <c r="F153" s="71" t="s">
        <v>445</v>
      </c>
      <c r="G153" s="72">
        <v>1065</v>
      </c>
      <c r="H153" s="73">
        <f>INT((G153*Valores!$C$2*100)+0.5)/100</f>
        <v>7325.28</v>
      </c>
      <c r="I153" s="112">
        <v>0</v>
      </c>
      <c r="J153" s="75">
        <f>INT((I153*Valores!$C$2*100)+0.5)/100</f>
        <v>0</v>
      </c>
      <c r="K153" s="102">
        <v>0</v>
      </c>
      <c r="L153" s="75">
        <f>INT((K153*Valores!$C$2*100)+0.5)/100</f>
        <v>0</v>
      </c>
      <c r="M153" s="100">
        <v>0</v>
      </c>
      <c r="N153" s="75">
        <f>INT((M153*Valores!$C$2*100)+0.5)/100</f>
        <v>0</v>
      </c>
      <c r="O153" s="75">
        <f t="shared" si="25"/>
        <v>1691.8364999999999</v>
      </c>
      <c r="P153" s="75">
        <f t="shared" si="26"/>
        <v>0</v>
      </c>
      <c r="Q153" s="101">
        <f>Valores!$C$20</f>
        <v>4231.82</v>
      </c>
      <c r="R153" s="101">
        <f>Valores!$D$4</f>
        <v>3076.62</v>
      </c>
      <c r="S153" s="78">
        <f>Valores!$C$27</f>
        <v>2957.66</v>
      </c>
      <c r="T153" s="78">
        <f>Valores!$C$41</f>
        <v>1112.8399999999999</v>
      </c>
      <c r="U153" s="101">
        <f>Valores!$C$23</f>
        <v>2840.79</v>
      </c>
      <c r="V153" s="75">
        <f t="shared" si="23"/>
        <v>2840.79</v>
      </c>
      <c r="W153" s="75">
        <v>0</v>
      </c>
      <c r="X153" s="75">
        <v>0</v>
      </c>
      <c r="Y153" s="79">
        <v>0</v>
      </c>
      <c r="Z153" s="75">
        <f>Y153*Valores!$C$2</f>
        <v>0</v>
      </c>
      <c r="AA153" s="75">
        <v>0</v>
      </c>
      <c r="AB153" s="80">
        <f>Valores!$C$29</f>
        <v>166.15</v>
      </c>
      <c r="AC153" s="75">
        <f t="shared" si="29"/>
        <v>0</v>
      </c>
      <c r="AD153" s="75">
        <f>Valores!$C$30</f>
        <v>166.15</v>
      </c>
      <c r="AE153" s="79">
        <v>0</v>
      </c>
      <c r="AF153" s="75">
        <f>INT(((AE153*Valores!$C$2)*100)+0.5)/100</f>
        <v>0</v>
      </c>
      <c r="AG153" s="75">
        <f>Valores!$C$58</f>
        <v>337.97</v>
      </c>
      <c r="AH153" s="75">
        <f>Valores!$C$60</f>
        <v>96.56</v>
      </c>
      <c r="AI153" s="114">
        <f t="shared" si="30"/>
        <v>24003.676500000005</v>
      </c>
      <c r="AJ153" s="101">
        <f>Valores!$C$35</f>
        <v>666.25</v>
      </c>
      <c r="AK153" s="78">
        <f>Valores!$C$7</f>
        <v>0</v>
      </c>
      <c r="AL153" s="78">
        <f>Valores!$C$81</f>
        <v>1500</v>
      </c>
      <c r="AM153" s="80">
        <f>Valores!$C$51</f>
        <v>141.62</v>
      </c>
      <c r="AN153" s="82">
        <f t="shared" si="31"/>
        <v>2166.25</v>
      </c>
      <c r="AO153" s="61">
        <f>AI153*-Valores!$C$65</f>
        <v>-3120.4779450000005</v>
      </c>
      <c r="AP153" s="61">
        <f>AI153*-Valores!$C$66</f>
        <v>-120.01838250000003</v>
      </c>
      <c r="AQ153" s="77">
        <f>AI153*-Valores!$C$67</f>
        <v>-1080.1654425000002</v>
      </c>
      <c r="AR153" s="77">
        <f>AI153*-Valores!$C$68</f>
        <v>-648.09926550000012</v>
      </c>
      <c r="AS153" s="77">
        <f>AI153*-Valores!$C$69</f>
        <v>-72.011029500000021</v>
      </c>
      <c r="AT153" s="81">
        <f t="shared" si="27"/>
        <v>21849.264730000003</v>
      </c>
      <c r="AU153" s="81">
        <f t="shared" si="28"/>
        <v>22209.319877500002</v>
      </c>
      <c r="AV153" s="77">
        <f>AI153*Valores!$C$71</f>
        <v>3840.588240000001</v>
      </c>
      <c r="AW153" s="77">
        <f>AI153*Valores!$C$72</f>
        <v>1080.1654425000002</v>
      </c>
      <c r="AX153" s="77">
        <f>AI153*Valores!$C$73</f>
        <v>240.03676500000006</v>
      </c>
      <c r="AY153" s="77">
        <f>AI153*Valores!$C$75</f>
        <v>840.12867750000021</v>
      </c>
      <c r="AZ153" s="77">
        <f>AI153*Valores!$C$76</f>
        <v>144.02205900000004</v>
      </c>
      <c r="BA153" s="77">
        <f t="shared" si="32"/>
        <v>1296.1985310000005</v>
      </c>
      <c r="BB153" s="51"/>
      <c r="BC153" s="51">
        <v>25</v>
      </c>
      <c r="BD153" s="27" t="s">
        <v>4</v>
      </c>
    </row>
    <row r="154" spans="1:56" s="27" customFormat="1" ht="11.25" customHeight="1" x14ac:dyDescent="0.2">
      <c r="A154" s="51">
        <v>153</v>
      </c>
      <c r="B154" s="51"/>
      <c r="C154" s="27" t="s">
        <v>446</v>
      </c>
      <c r="E154" s="27">
        <f t="shared" si="24"/>
        <v>16</v>
      </c>
      <c r="F154" s="71" t="s">
        <v>447</v>
      </c>
      <c r="G154" s="72">
        <v>947</v>
      </c>
      <c r="H154" s="73">
        <f>INT((G154*Valores!$C$2*100)+0.5)/100</f>
        <v>6513.66</v>
      </c>
      <c r="I154" s="112">
        <v>0</v>
      </c>
      <c r="J154" s="75">
        <f>INT((I154*Valores!$C$2*100)+0.5)/100</f>
        <v>0</v>
      </c>
      <c r="K154" s="102">
        <v>0</v>
      </c>
      <c r="L154" s="75">
        <f>INT((K154*Valores!$C$2*100)+0.5)/100</f>
        <v>0</v>
      </c>
      <c r="M154" s="100">
        <v>0</v>
      </c>
      <c r="N154" s="75">
        <f>INT((M154*Valores!$C$2*100)+0.5)/100</f>
        <v>0</v>
      </c>
      <c r="O154" s="75">
        <f t="shared" si="25"/>
        <v>1570.0935000000002</v>
      </c>
      <c r="P154" s="75">
        <f t="shared" si="26"/>
        <v>0</v>
      </c>
      <c r="Q154" s="101">
        <f>Valores!$C$20</f>
        <v>4231.82</v>
      </c>
      <c r="R154" s="101">
        <f>Valores!$D$4</f>
        <v>3076.62</v>
      </c>
      <c r="S154" s="78">
        <f>Valores!$C$27</f>
        <v>2957.66</v>
      </c>
      <c r="T154" s="78">
        <f>Valores!$C$41</f>
        <v>1112.8399999999999</v>
      </c>
      <c r="U154" s="101">
        <f>Valores!$C$23</f>
        <v>2840.79</v>
      </c>
      <c r="V154" s="75">
        <f t="shared" si="23"/>
        <v>2840.79</v>
      </c>
      <c r="W154" s="75">
        <v>0</v>
      </c>
      <c r="X154" s="75">
        <v>0</v>
      </c>
      <c r="Y154" s="79">
        <v>0</v>
      </c>
      <c r="Z154" s="75">
        <f>Y154*Valores!$C$2</f>
        <v>0</v>
      </c>
      <c r="AA154" s="75">
        <v>0</v>
      </c>
      <c r="AB154" s="80">
        <f>Valores!$C$29</f>
        <v>166.15</v>
      </c>
      <c r="AC154" s="75">
        <f t="shared" si="29"/>
        <v>0</v>
      </c>
      <c r="AD154" s="75">
        <f>Valores!$C$30</f>
        <v>166.15</v>
      </c>
      <c r="AE154" s="79">
        <v>0</v>
      </c>
      <c r="AF154" s="75">
        <f>INT(((AE154*Valores!$C$2)*100)+0.5)/100</f>
        <v>0</v>
      </c>
      <c r="AG154" s="75">
        <f>Valores!$C$58</f>
        <v>337.97</v>
      </c>
      <c r="AH154" s="75">
        <f>Valores!$C$60</f>
        <v>96.56</v>
      </c>
      <c r="AI154" s="114">
        <f t="shared" si="30"/>
        <v>23070.313500000004</v>
      </c>
      <c r="AJ154" s="101">
        <f>Valores!$C$35</f>
        <v>666.25</v>
      </c>
      <c r="AK154" s="78">
        <f>Valores!$C$7</f>
        <v>0</v>
      </c>
      <c r="AL154" s="78">
        <f>Valores!$C$81</f>
        <v>1500</v>
      </c>
      <c r="AM154" s="80">
        <f>Valores!$C$51</f>
        <v>141.62</v>
      </c>
      <c r="AN154" s="82">
        <f t="shared" si="31"/>
        <v>2166.25</v>
      </c>
      <c r="AO154" s="61">
        <f>AI154*-Valores!$C$65</f>
        <v>-2999.1407550000008</v>
      </c>
      <c r="AP154" s="61">
        <f>AI154*-Valores!$C$66</f>
        <v>-115.35156750000002</v>
      </c>
      <c r="AQ154" s="77">
        <f>AI154*-Valores!$C$67</f>
        <v>-1038.1641075000002</v>
      </c>
      <c r="AR154" s="77">
        <f>AI154*-Valores!$C$68</f>
        <v>-622.89846450000005</v>
      </c>
      <c r="AS154" s="77">
        <f>AI154*-Valores!$C$69</f>
        <v>-69.210940500000007</v>
      </c>
      <c r="AT154" s="81">
        <f t="shared" si="27"/>
        <v>21083.907070000001</v>
      </c>
      <c r="AU154" s="81">
        <f t="shared" si="28"/>
        <v>21429.961772499999</v>
      </c>
      <c r="AV154" s="77">
        <f>AI154*Valores!$C$71</f>
        <v>3691.2501600000005</v>
      </c>
      <c r="AW154" s="77">
        <f>AI154*Valores!$C$72</f>
        <v>1038.1641075000002</v>
      </c>
      <c r="AX154" s="77">
        <f>AI154*Valores!$C$73</f>
        <v>230.70313500000003</v>
      </c>
      <c r="AY154" s="77">
        <f>AI154*Valores!$C$75</f>
        <v>807.46097250000025</v>
      </c>
      <c r="AZ154" s="77">
        <f>AI154*Valores!$C$76</f>
        <v>138.42188100000001</v>
      </c>
      <c r="BA154" s="77">
        <f t="shared" si="32"/>
        <v>1245.7969290000003</v>
      </c>
      <c r="BB154" s="51"/>
      <c r="BC154" s="85">
        <v>22</v>
      </c>
      <c r="BD154" s="27" t="s">
        <v>4</v>
      </c>
    </row>
    <row r="155" spans="1:56" s="27" customFormat="1" ht="11.25" customHeight="1" x14ac:dyDescent="0.2">
      <c r="A155" s="51">
        <v>154</v>
      </c>
      <c r="B155" s="51"/>
      <c r="C155" s="27" t="s">
        <v>448</v>
      </c>
      <c r="E155" s="27">
        <f t="shared" si="24"/>
        <v>31</v>
      </c>
      <c r="F155" s="71" t="s">
        <v>449</v>
      </c>
      <c r="G155" s="72">
        <v>1800</v>
      </c>
      <c r="H155" s="73">
        <f>INT((G155*Valores!$C$2*100)+0.5)/100</f>
        <v>12380.76</v>
      </c>
      <c r="I155" s="112">
        <v>0</v>
      </c>
      <c r="J155" s="75">
        <f>INT((I155*Valores!$C$2*100)+0.5)/100</f>
        <v>0</v>
      </c>
      <c r="K155" s="102">
        <v>0</v>
      </c>
      <c r="L155" s="75">
        <f>INT((K155*Valores!$C$2*100)+0.5)/100</f>
        <v>0</v>
      </c>
      <c r="M155" s="100">
        <v>0</v>
      </c>
      <c r="N155" s="75">
        <f>INT((M155*Valores!$C$2*100)+0.5)/100</f>
        <v>0</v>
      </c>
      <c r="O155" s="75">
        <f t="shared" si="25"/>
        <v>2569.3919999999998</v>
      </c>
      <c r="P155" s="75">
        <f t="shared" si="26"/>
        <v>0</v>
      </c>
      <c r="Q155" s="101">
        <f>Valores!$C$15</f>
        <v>4424.9399999999996</v>
      </c>
      <c r="R155" s="101">
        <f>Valores!$D$4</f>
        <v>3076.62</v>
      </c>
      <c r="S155" s="101">
        <f>Valores!$C$26</f>
        <v>3208.72</v>
      </c>
      <c r="T155" s="106">
        <f>Valores!$C$43</f>
        <v>1907.73</v>
      </c>
      <c r="U155" s="75">
        <f>Valores!$C$23</f>
        <v>2840.79</v>
      </c>
      <c r="V155" s="75">
        <f t="shared" si="23"/>
        <v>2840.79</v>
      </c>
      <c r="W155" s="75">
        <v>0</v>
      </c>
      <c r="X155" s="75">
        <v>0</v>
      </c>
      <c r="Y155" s="79">
        <v>0</v>
      </c>
      <c r="Z155" s="75">
        <f>Y155*Valores!$C$2</f>
        <v>0</v>
      </c>
      <c r="AA155" s="75">
        <v>0</v>
      </c>
      <c r="AB155" s="80">
        <f>Valores!$C$29</f>
        <v>166.15</v>
      </c>
      <c r="AC155" s="75">
        <f t="shared" si="29"/>
        <v>0</v>
      </c>
      <c r="AD155" s="75">
        <f>Valores!$C$30</f>
        <v>166.15</v>
      </c>
      <c r="AE155" s="79">
        <v>0</v>
      </c>
      <c r="AF155" s="75">
        <f>INT(((AE155*Valores!$C$2)*100)+0.5)/100</f>
        <v>0</v>
      </c>
      <c r="AG155" s="75">
        <f>Valores!$C$58</f>
        <v>337.97</v>
      </c>
      <c r="AH155" s="75">
        <f>Valores!$C$60</f>
        <v>96.56</v>
      </c>
      <c r="AI155" s="114">
        <f t="shared" si="30"/>
        <v>31175.782000000007</v>
      </c>
      <c r="AJ155" s="101">
        <f>Valores!$C$35</f>
        <v>666.25</v>
      </c>
      <c r="AK155" s="78">
        <f>Valores!$C$9</f>
        <v>0</v>
      </c>
      <c r="AL155" s="78">
        <f>Valores!$C$81</f>
        <v>1500</v>
      </c>
      <c r="AM155" s="80">
        <f>Valores!$C$51</f>
        <v>141.62</v>
      </c>
      <c r="AN155" s="82">
        <f t="shared" si="31"/>
        <v>2166.25</v>
      </c>
      <c r="AO155" s="61">
        <f>AI155*-Valores!$C$65</f>
        <v>-4052.8516600000012</v>
      </c>
      <c r="AP155" s="61">
        <f>AI155*-Valores!$C$66</f>
        <v>-155.87891000000005</v>
      </c>
      <c r="AQ155" s="77">
        <f>AI155*-Valores!$C$67</f>
        <v>-1402.9101900000003</v>
      </c>
      <c r="AR155" s="77">
        <f>AI155*-Valores!$C$68</f>
        <v>-841.74611400000015</v>
      </c>
      <c r="AS155" s="77">
        <f>AI155*-Valores!$C$69</f>
        <v>-93.527346000000023</v>
      </c>
      <c r="AT155" s="81">
        <f t="shared" si="27"/>
        <v>27730.391240000008</v>
      </c>
      <c r="AU155" s="81">
        <f t="shared" si="28"/>
        <v>28198.027970000006</v>
      </c>
      <c r="AV155" s="77">
        <f>AI155*Valores!$C$71</f>
        <v>4988.1251200000015</v>
      </c>
      <c r="AW155" s="77">
        <f>AI155*Valores!$C$72</f>
        <v>1402.9101900000003</v>
      </c>
      <c r="AX155" s="77">
        <f>AI155*Valores!$C$73</f>
        <v>311.75782000000009</v>
      </c>
      <c r="AY155" s="77">
        <f>AI155*Valores!$C$75</f>
        <v>1091.1523700000002</v>
      </c>
      <c r="AZ155" s="77">
        <f>AI155*Valores!$C$76</f>
        <v>187.05469200000005</v>
      </c>
      <c r="BA155" s="77">
        <f t="shared" si="32"/>
        <v>1683.4922280000005</v>
      </c>
      <c r="BB155" s="51"/>
      <c r="BC155" s="51"/>
      <c r="BD155" s="27" t="s">
        <v>4</v>
      </c>
    </row>
    <row r="156" spans="1:56" s="27" customFormat="1" ht="11.25" customHeight="1" x14ac:dyDescent="0.2">
      <c r="A156" s="85">
        <v>155</v>
      </c>
      <c r="B156" s="85" t="s">
        <v>163</v>
      </c>
      <c r="C156" s="86" t="s">
        <v>450</v>
      </c>
      <c r="D156" s="86"/>
      <c r="E156" s="86">
        <f t="shared" si="24"/>
        <v>19</v>
      </c>
      <c r="F156" s="87" t="s">
        <v>451</v>
      </c>
      <c r="G156" s="88">
        <v>1278</v>
      </c>
      <c r="H156" s="89">
        <f>INT((G156*Valores!$C$2*100)+0.5)/100</f>
        <v>8790.34</v>
      </c>
      <c r="I156" s="103">
        <v>0</v>
      </c>
      <c r="J156" s="91">
        <f>INT((I156*Valores!$C$2*100)+0.5)/100</f>
        <v>0</v>
      </c>
      <c r="K156" s="104">
        <v>0</v>
      </c>
      <c r="L156" s="91">
        <f>INT((K156*Valores!$C$2*100)+0.5)/100</f>
        <v>0</v>
      </c>
      <c r="M156" s="105">
        <v>0</v>
      </c>
      <c r="N156" s="91">
        <f>INT((M156*Valores!$C$2*100)+0.5)/100</f>
        <v>0</v>
      </c>
      <c r="O156" s="91">
        <f t="shared" si="25"/>
        <v>1935.444</v>
      </c>
      <c r="P156" s="91">
        <f t="shared" si="26"/>
        <v>0</v>
      </c>
      <c r="Q156" s="107">
        <f>Valores!$C$15</f>
        <v>4424.9399999999996</v>
      </c>
      <c r="R156" s="107">
        <f>Valores!$D$4</f>
        <v>3076.62</v>
      </c>
      <c r="S156" s="107">
        <f>Valores!$C$26</f>
        <v>3208.72</v>
      </c>
      <c r="T156" s="108">
        <f>Valores!$C$42</f>
        <v>1271.83</v>
      </c>
      <c r="U156" s="91">
        <f>Valores!$C$23</f>
        <v>2840.79</v>
      </c>
      <c r="V156" s="91">
        <f t="shared" si="23"/>
        <v>2840.79</v>
      </c>
      <c r="W156" s="91">
        <v>0</v>
      </c>
      <c r="X156" s="91">
        <v>0</v>
      </c>
      <c r="Y156" s="95">
        <v>0</v>
      </c>
      <c r="Z156" s="91">
        <f>Y156*Valores!$C$2</f>
        <v>0</v>
      </c>
      <c r="AA156" s="91">
        <v>0</v>
      </c>
      <c r="AB156" s="96">
        <f>Valores!$C$29</f>
        <v>166.15</v>
      </c>
      <c r="AC156" s="91">
        <f t="shared" si="29"/>
        <v>0</v>
      </c>
      <c r="AD156" s="91">
        <f>Valores!$C$30</f>
        <v>166.15</v>
      </c>
      <c r="AE156" s="95">
        <v>0</v>
      </c>
      <c r="AF156" s="91">
        <f>INT(((AE156*Valores!$C$2)*100)+0.5)/100</f>
        <v>0</v>
      </c>
      <c r="AG156" s="91">
        <f>Valores!$C$58</f>
        <v>337.97</v>
      </c>
      <c r="AH156" s="91">
        <f>Valores!$C$60</f>
        <v>96.56</v>
      </c>
      <c r="AI156" s="115">
        <f t="shared" si="30"/>
        <v>26315.514000000006</v>
      </c>
      <c r="AJ156" s="107">
        <f>Valores!$C$35</f>
        <v>666.25</v>
      </c>
      <c r="AK156" s="94">
        <f>Valores!$C$8</f>
        <v>0</v>
      </c>
      <c r="AL156" s="94">
        <f>Valores!$C$81</f>
        <v>1500</v>
      </c>
      <c r="AM156" s="96">
        <f>Valores!$C$51</f>
        <v>141.62</v>
      </c>
      <c r="AN156" s="98">
        <f t="shared" si="31"/>
        <v>2166.25</v>
      </c>
      <c r="AO156" s="116">
        <f>AI156*-Valores!$C$65</f>
        <v>-3421.0168200000007</v>
      </c>
      <c r="AP156" s="116">
        <f>AI156*-Valores!$C$66</f>
        <v>-131.57757000000004</v>
      </c>
      <c r="AQ156" s="93">
        <f>AI156*-Valores!$C$67</f>
        <v>-1184.1981300000002</v>
      </c>
      <c r="AR156" s="93">
        <f>AI156*-Valores!$C$68</f>
        <v>-710.5188780000002</v>
      </c>
      <c r="AS156" s="93">
        <f>AI156*-Valores!$C$69</f>
        <v>-78.946542000000022</v>
      </c>
      <c r="AT156" s="97">
        <f t="shared" si="27"/>
        <v>23744.971480000004</v>
      </c>
      <c r="AU156" s="97">
        <f t="shared" si="28"/>
        <v>24139.704190000004</v>
      </c>
      <c r="AV156" s="93">
        <f>AI156*Valores!$C$71</f>
        <v>4210.4822400000012</v>
      </c>
      <c r="AW156" s="93">
        <f>AI156*Valores!$C$72</f>
        <v>1184.1981300000002</v>
      </c>
      <c r="AX156" s="93">
        <f>AI156*Valores!$C$73</f>
        <v>263.15514000000007</v>
      </c>
      <c r="AY156" s="93">
        <f>AI156*Valores!$C$75</f>
        <v>921.04299000000026</v>
      </c>
      <c r="AZ156" s="93">
        <f>AI156*Valores!$C$76</f>
        <v>157.89308400000004</v>
      </c>
      <c r="BA156" s="93">
        <f t="shared" si="32"/>
        <v>1421.0377560000006</v>
      </c>
      <c r="BB156" s="85"/>
      <c r="BC156" s="85">
        <v>27</v>
      </c>
      <c r="BD156" s="86" t="s">
        <v>4</v>
      </c>
    </row>
    <row r="157" spans="1:56" s="27" customFormat="1" ht="11.25" customHeight="1" x14ac:dyDescent="0.2">
      <c r="A157" s="51">
        <v>156</v>
      </c>
      <c r="B157" s="51"/>
      <c r="C157" s="27" t="s">
        <v>452</v>
      </c>
      <c r="E157" s="27">
        <f t="shared" si="24"/>
        <v>28</v>
      </c>
      <c r="F157" s="71" t="s">
        <v>453</v>
      </c>
      <c r="G157" s="72">
        <v>1214</v>
      </c>
      <c r="H157" s="73">
        <f>INT((G157*Valores!$C$2*100)+0.5)/100</f>
        <v>8350.1299999999992</v>
      </c>
      <c r="I157" s="112">
        <v>0</v>
      </c>
      <c r="J157" s="75">
        <f>INT((I157*Valores!$C$2*100)+0.5)/100</f>
        <v>0</v>
      </c>
      <c r="K157" s="102">
        <v>0</v>
      </c>
      <c r="L157" s="75">
        <f>INT((K157*Valores!$C$2*100)+0.5)/100</f>
        <v>0</v>
      </c>
      <c r="M157" s="100">
        <v>0</v>
      </c>
      <c r="N157" s="75">
        <f>INT((M157*Valores!$C$2*100)+0.5)/100</f>
        <v>0</v>
      </c>
      <c r="O157" s="75">
        <f t="shared" si="25"/>
        <v>1869.4124999999997</v>
      </c>
      <c r="P157" s="75">
        <f t="shared" si="26"/>
        <v>0</v>
      </c>
      <c r="Q157" s="101">
        <f>Valores!$C$20</f>
        <v>4231.82</v>
      </c>
      <c r="R157" s="101">
        <f>Valores!$D$4</f>
        <v>3076.62</v>
      </c>
      <c r="S157" s="75">
        <f>Valores!$C$26</f>
        <v>3208.72</v>
      </c>
      <c r="T157" s="78">
        <f>Valores!$C$42</f>
        <v>1271.83</v>
      </c>
      <c r="U157" s="75">
        <f>Valores!$C$23</f>
        <v>2840.79</v>
      </c>
      <c r="V157" s="75">
        <f t="shared" si="23"/>
        <v>2840.79</v>
      </c>
      <c r="W157" s="75">
        <v>0</v>
      </c>
      <c r="X157" s="75">
        <v>0</v>
      </c>
      <c r="Y157" s="79">
        <v>0</v>
      </c>
      <c r="Z157" s="75">
        <f>Y157*Valores!$C$2</f>
        <v>0</v>
      </c>
      <c r="AA157" s="75">
        <v>0</v>
      </c>
      <c r="AB157" s="80">
        <f>Valores!$C$29</f>
        <v>166.15</v>
      </c>
      <c r="AC157" s="75">
        <f t="shared" si="29"/>
        <v>0</v>
      </c>
      <c r="AD157" s="75">
        <f>Valores!$C$30</f>
        <v>166.15</v>
      </c>
      <c r="AE157" s="79">
        <v>0</v>
      </c>
      <c r="AF157" s="75">
        <f>INT(((AE157*Valores!$C$2)*100)+0.5)/100</f>
        <v>0</v>
      </c>
      <c r="AG157" s="75">
        <f>Valores!$C$58</f>
        <v>337.97</v>
      </c>
      <c r="AH157" s="75">
        <f>Valores!$C$60</f>
        <v>96.56</v>
      </c>
      <c r="AI157" s="114">
        <f t="shared" si="30"/>
        <v>25616.152500000007</v>
      </c>
      <c r="AJ157" s="101">
        <f>Valores!$C$35</f>
        <v>666.25</v>
      </c>
      <c r="AK157" s="78">
        <f>Valores!$C$8</f>
        <v>0</v>
      </c>
      <c r="AL157" s="78">
        <f>Valores!$C$81</f>
        <v>1500</v>
      </c>
      <c r="AM157" s="80">
        <f>Valores!$C$51</f>
        <v>141.62</v>
      </c>
      <c r="AN157" s="82">
        <f t="shared" si="31"/>
        <v>2166.25</v>
      </c>
      <c r="AO157" s="61">
        <f>AI157*-Valores!$C$65</f>
        <v>-3330.0998250000011</v>
      </c>
      <c r="AP157" s="61">
        <f>AI157*-Valores!$C$66</f>
        <v>-128.08076250000005</v>
      </c>
      <c r="AQ157" s="77">
        <f>AI157*-Valores!$C$67</f>
        <v>-1152.7268625000004</v>
      </c>
      <c r="AR157" s="77">
        <f>AI157*-Valores!$C$68</f>
        <v>-691.63611750000018</v>
      </c>
      <c r="AS157" s="77">
        <f>AI157*-Valores!$C$69</f>
        <v>-76.848457500000023</v>
      </c>
      <c r="AT157" s="81">
        <f t="shared" si="27"/>
        <v>23171.495050000005</v>
      </c>
      <c r="AU157" s="81">
        <f t="shared" si="28"/>
        <v>23555.737337500002</v>
      </c>
      <c r="AV157" s="77">
        <f>AI157*Valores!$C$71</f>
        <v>4098.5844000000016</v>
      </c>
      <c r="AW157" s="77">
        <f>AI157*Valores!$C$72</f>
        <v>1152.7268625000004</v>
      </c>
      <c r="AX157" s="77">
        <f>AI157*Valores!$C$73</f>
        <v>256.1615250000001</v>
      </c>
      <c r="AY157" s="77">
        <f>AI157*Valores!$C$75</f>
        <v>896.5653375000004</v>
      </c>
      <c r="AZ157" s="77">
        <f>AI157*Valores!$C$76</f>
        <v>153.69691500000005</v>
      </c>
      <c r="BA157" s="77">
        <f t="shared" si="32"/>
        <v>1383.2722350000006</v>
      </c>
      <c r="BB157" s="51"/>
      <c r="BC157" s="51"/>
      <c r="BD157" s="27" t="s">
        <v>4</v>
      </c>
    </row>
    <row r="158" spans="1:56" s="27" customFormat="1" ht="11.25" customHeight="1" x14ac:dyDescent="0.2">
      <c r="A158" s="51">
        <v>157</v>
      </c>
      <c r="B158" s="51"/>
      <c r="C158" s="27" t="s">
        <v>454</v>
      </c>
      <c r="E158" s="27">
        <f t="shared" si="24"/>
        <v>25</v>
      </c>
      <c r="F158" s="71" t="s">
        <v>455</v>
      </c>
      <c r="G158" s="72">
        <f>1106+78</f>
        <v>1184</v>
      </c>
      <c r="H158" s="73">
        <f>INT((G158*Valores!$C$2*100)+0.5)/100</f>
        <v>8143.79</v>
      </c>
      <c r="I158" s="112">
        <v>0</v>
      </c>
      <c r="J158" s="75">
        <f>INT((I158*Valores!$C$2*100)+0.5)/100</f>
        <v>0</v>
      </c>
      <c r="K158" s="102">
        <v>0</v>
      </c>
      <c r="L158" s="75">
        <f>INT((K158*Valores!$C$2*100)+0.5)/100</f>
        <v>0</v>
      </c>
      <c r="M158" s="100">
        <v>0</v>
      </c>
      <c r="N158" s="75">
        <f>INT((M158*Valores!$C$2*100)+0.5)/100</f>
        <v>0</v>
      </c>
      <c r="O158" s="75">
        <f t="shared" si="25"/>
        <v>1832.6624999999999</v>
      </c>
      <c r="P158" s="75">
        <f t="shared" si="26"/>
        <v>0</v>
      </c>
      <c r="Q158" s="101">
        <f>Valores!$C$20</f>
        <v>4231.82</v>
      </c>
      <c r="R158" s="101">
        <f>Valores!$D$4</f>
        <v>3076.62</v>
      </c>
      <c r="S158" s="75">
        <v>0</v>
      </c>
      <c r="T158" s="78">
        <f>Valores!$C$42</f>
        <v>1271.83</v>
      </c>
      <c r="U158" s="101">
        <f>Valores!$C$24</f>
        <v>2802.13</v>
      </c>
      <c r="V158" s="75">
        <f t="shared" si="23"/>
        <v>2802.13</v>
      </c>
      <c r="W158" s="75">
        <v>0</v>
      </c>
      <c r="X158" s="75">
        <v>0</v>
      </c>
      <c r="Y158" s="79">
        <v>0</v>
      </c>
      <c r="Z158" s="75">
        <f>Y158*Valores!$C$2</f>
        <v>0</v>
      </c>
      <c r="AA158" s="75">
        <v>0</v>
      </c>
      <c r="AB158" s="80">
        <f>Valores!$C$29</f>
        <v>166.15</v>
      </c>
      <c r="AC158" s="75">
        <f t="shared" si="29"/>
        <v>0</v>
      </c>
      <c r="AD158" s="75">
        <f>Valores!$C$30</f>
        <v>166.15</v>
      </c>
      <c r="AE158" s="79">
        <v>0</v>
      </c>
      <c r="AF158" s="75">
        <f>INT(((AE158*Valores!$C$2)*100)+0.5)/100</f>
        <v>0</v>
      </c>
      <c r="AG158" s="75">
        <f>Valores!$C$58</f>
        <v>337.97</v>
      </c>
      <c r="AH158" s="75">
        <f>Valores!$C$60</f>
        <v>96.56</v>
      </c>
      <c r="AI158" s="114">
        <f t="shared" si="30"/>
        <v>22125.682500000006</v>
      </c>
      <c r="AJ158" s="101">
        <f>Valores!$C$35</f>
        <v>666.25</v>
      </c>
      <c r="AK158" s="78">
        <f>Valores!$C$8</f>
        <v>0</v>
      </c>
      <c r="AL158" s="78">
        <f>Valores!$C$81</f>
        <v>1500</v>
      </c>
      <c r="AM158" s="80">
        <f>Valores!$C$51</f>
        <v>141.62</v>
      </c>
      <c r="AN158" s="82">
        <f t="shared" si="31"/>
        <v>2166.25</v>
      </c>
      <c r="AO158" s="61">
        <f>AI158*-Valores!$C$65</f>
        <v>-2876.338725000001</v>
      </c>
      <c r="AP158" s="61">
        <f>AI158*-Valores!$C$66</f>
        <v>-110.62841250000004</v>
      </c>
      <c r="AQ158" s="77">
        <f>AI158*-Valores!$C$67</f>
        <v>-995.65571250000028</v>
      </c>
      <c r="AR158" s="77">
        <f>AI158*-Valores!$C$68</f>
        <v>-597.39342750000014</v>
      </c>
      <c r="AS158" s="77">
        <f>AI158*-Valores!$C$69</f>
        <v>-66.377047500000018</v>
      </c>
      <c r="AT158" s="81">
        <f t="shared" si="27"/>
        <v>20309.309650000007</v>
      </c>
      <c r="AU158" s="81">
        <f t="shared" si="28"/>
        <v>20641.194887500009</v>
      </c>
      <c r="AV158" s="77">
        <f>AI158*Valores!$C$71</f>
        <v>3540.1092000000012</v>
      </c>
      <c r="AW158" s="77">
        <f>AI158*Valores!$C$72</f>
        <v>995.65571250000028</v>
      </c>
      <c r="AX158" s="77">
        <f>AI158*Valores!$C$73</f>
        <v>221.25682500000008</v>
      </c>
      <c r="AY158" s="77">
        <f>AI158*Valores!$C$75</f>
        <v>774.39888750000034</v>
      </c>
      <c r="AZ158" s="77">
        <f>AI158*Valores!$C$76</f>
        <v>132.75409500000004</v>
      </c>
      <c r="BA158" s="77">
        <f t="shared" si="32"/>
        <v>1194.7868550000003</v>
      </c>
      <c r="BB158" s="51"/>
      <c r="BC158" s="51"/>
      <c r="BD158" s="27" t="s">
        <v>8</v>
      </c>
    </row>
    <row r="159" spans="1:56" s="27" customFormat="1" ht="11.25" customHeight="1" x14ac:dyDescent="0.2">
      <c r="A159" s="51">
        <v>158</v>
      </c>
      <c r="B159" s="51"/>
      <c r="C159" s="27" t="s">
        <v>456</v>
      </c>
      <c r="E159" s="27">
        <f t="shared" si="24"/>
        <v>24</v>
      </c>
      <c r="F159" s="71" t="s">
        <v>457</v>
      </c>
      <c r="G159" s="72">
        <v>971</v>
      </c>
      <c r="H159" s="73">
        <f>INT((G159*Valores!$C$2*100)+0.5)/100</f>
        <v>6678.73</v>
      </c>
      <c r="I159" s="112">
        <v>0</v>
      </c>
      <c r="J159" s="75">
        <f>INT((I159*Valores!$C$2*100)+0.5)/100</f>
        <v>0</v>
      </c>
      <c r="K159" s="102">
        <v>0</v>
      </c>
      <c r="L159" s="75">
        <f>INT((K159*Valores!$C$2*100)+0.5)/100</f>
        <v>0</v>
      </c>
      <c r="M159" s="100">
        <v>0</v>
      </c>
      <c r="N159" s="75">
        <f>INT((M159*Valores!$C$2*100)+0.5)/100</f>
        <v>0</v>
      </c>
      <c r="O159" s="75">
        <f t="shared" si="25"/>
        <v>1594.854</v>
      </c>
      <c r="P159" s="75">
        <f t="shared" si="26"/>
        <v>0</v>
      </c>
      <c r="Q159" s="101">
        <f>Valores!$C$20</f>
        <v>4231.82</v>
      </c>
      <c r="R159" s="101">
        <f>Valores!$D$4</f>
        <v>3076.62</v>
      </c>
      <c r="S159" s="101">
        <f>Valores!$C$27</f>
        <v>2957.66</v>
      </c>
      <c r="T159" s="106">
        <f>Valores!$C$41</f>
        <v>1112.8399999999999</v>
      </c>
      <c r="U159" s="75">
        <f>Valores!$C$23</f>
        <v>2840.79</v>
      </c>
      <c r="V159" s="75">
        <f t="shared" si="23"/>
        <v>2840.79</v>
      </c>
      <c r="W159" s="75">
        <v>0</v>
      </c>
      <c r="X159" s="75">
        <v>0</v>
      </c>
      <c r="Y159" s="79">
        <v>0</v>
      </c>
      <c r="Z159" s="75">
        <f>Y159*Valores!$C$2</f>
        <v>0</v>
      </c>
      <c r="AA159" s="75">
        <v>0</v>
      </c>
      <c r="AB159" s="80">
        <f>Valores!$C$29</f>
        <v>166.15</v>
      </c>
      <c r="AC159" s="75">
        <f t="shared" si="29"/>
        <v>0</v>
      </c>
      <c r="AD159" s="75">
        <f>Valores!$C$29</f>
        <v>166.15</v>
      </c>
      <c r="AE159" s="79">
        <v>0</v>
      </c>
      <c r="AF159" s="75">
        <f>INT(((AE159*Valores!$C$2)*100)+0.5)/100</f>
        <v>0</v>
      </c>
      <c r="AG159" s="75">
        <f>Valores!$C$58</f>
        <v>337.97</v>
      </c>
      <c r="AH159" s="75">
        <f>Valores!$C$60</f>
        <v>96.56</v>
      </c>
      <c r="AI159" s="114">
        <f t="shared" si="30"/>
        <v>23260.144000000004</v>
      </c>
      <c r="AJ159" s="101">
        <f>Valores!$C$35</f>
        <v>666.25</v>
      </c>
      <c r="AK159" s="78">
        <f>Valores!$C$7</f>
        <v>0</v>
      </c>
      <c r="AL159" s="78">
        <f>Valores!$C$81</f>
        <v>1500</v>
      </c>
      <c r="AM159" s="80">
        <f>Valores!$C$53</f>
        <v>129.32</v>
      </c>
      <c r="AN159" s="82">
        <f t="shared" si="31"/>
        <v>2166.25</v>
      </c>
      <c r="AO159" s="61">
        <f>AI159*-Valores!$C$65</f>
        <v>-3023.8187200000007</v>
      </c>
      <c r="AP159" s="61">
        <f>AI159*-Valores!$C$66</f>
        <v>-116.30072000000003</v>
      </c>
      <c r="AQ159" s="77">
        <f>AI159*-Valores!$C$67</f>
        <v>-1046.7064800000001</v>
      </c>
      <c r="AR159" s="77">
        <f>AI159*-Valores!$C$68</f>
        <v>-628.02388800000006</v>
      </c>
      <c r="AS159" s="77">
        <f>AI159*-Valores!$C$69</f>
        <v>-69.780432000000019</v>
      </c>
      <c r="AT159" s="81">
        <f t="shared" si="27"/>
        <v>21239.568080000005</v>
      </c>
      <c r="AU159" s="81">
        <f t="shared" si="28"/>
        <v>21588.470240000006</v>
      </c>
      <c r="AV159" s="77">
        <f>AI159*Valores!$C$71</f>
        <v>3721.6230400000009</v>
      </c>
      <c r="AW159" s="77">
        <f>AI159*Valores!$C$72</f>
        <v>1046.7064800000001</v>
      </c>
      <c r="AX159" s="77">
        <f>AI159*Valores!$C$73</f>
        <v>232.60144000000005</v>
      </c>
      <c r="AY159" s="77">
        <f>AI159*Valores!$C$75</f>
        <v>814.10504000000026</v>
      </c>
      <c r="AZ159" s="77">
        <f>AI159*Valores!$C$76</f>
        <v>139.56086400000004</v>
      </c>
      <c r="BA159" s="77">
        <f t="shared" si="32"/>
        <v>1256.0477760000003</v>
      </c>
      <c r="BB159" s="51">
        <v>12</v>
      </c>
      <c r="BC159" s="85">
        <v>12</v>
      </c>
      <c r="BD159" s="27" t="s">
        <v>4</v>
      </c>
    </row>
    <row r="160" spans="1:56" s="27" customFormat="1" ht="11.25" customHeight="1" x14ac:dyDescent="0.2">
      <c r="A160" s="51">
        <v>159</v>
      </c>
      <c r="B160" s="51"/>
      <c r="C160" s="27" t="s">
        <v>456</v>
      </c>
      <c r="E160" s="27">
        <f t="shared" si="24"/>
        <v>35</v>
      </c>
      <c r="F160" s="71" t="s">
        <v>458</v>
      </c>
      <c r="G160" s="72">
        <v>971</v>
      </c>
      <c r="H160" s="73">
        <f>INT((G160*Valores!$C$2*100)+0.5)/100</f>
        <v>6678.73</v>
      </c>
      <c r="I160" s="112">
        <v>0</v>
      </c>
      <c r="J160" s="75">
        <f>INT((I160*Valores!$C$2*100)+0.5)/100</f>
        <v>0</v>
      </c>
      <c r="K160" s="102">
        <v>0</v>
      </c>
      <c r="L160" s="75">
        <f>INT((K160*Valores!$C$2*100)+0.5)/100</f>
        <v>0</v>
      </c>
      <c r="M160" s="100">
        <v>0</v>
      </c>
      <c r="N160" s="75">
        <f>INT((M160*Valores!$C$2*100)+0.5)/100</f>
        <v>0</v>
      </c>
      <c r="O160" s="75">
        <f t="shared" si="25"/>
        <v>2126.7794999999996</v>
      </c>
      <c r="P160" s="75">
        <f t="shared" si="26"/>
        <v>0</v>
      </c>
      <c r="Q160" s="101">
        <f>Valores!$C$20</f>
        <v>4231.82</v>
      </c>
      <c r="R160" s="101">
        <f>Valores!$D$4</f>
        <v>3076.62</v>
      </c>
      <c r="S160" s="101">
        <f>Valores!$C$27</f>
        <v>2957.66</v>
      </c>
      <c r="T160" s="106">
        <f>Valores!$C$43</f>
        <v>1907.73</v>
      </c>
      <c r="U160" s="75">
        <f>Valores!$C$23</f>
        <v>2840.79</v>
      </c>
      <c r="V160" s="75">
        <f t="shared" si="23"/>
        <v>2840.79</v>
      </c>
      <c r="W160" s="75">
        <v>0</v>
      </c>
      <c r="X160" s="75">
        <v>0</v>
      </c>
      <c r="Y160" s="74">
        <v>400</v>
      </c>
      <c r="Z160" s="75">
        <f>Y160*Valores!$C$2</f>
        <v>2751.2799999999997</v>
      </c>
      <c r="AA160" s="101">
        <f>SUM(L160,J160,H160,T160)*Valores!$C$3</f>
        <v>1287.9689999999998</v>
      </c>
      <c r="AB160" s="80">
        <f>Valores!$C$29</f>
        <v>166.15</v>
      </c>
      <c r="AC160" s="75">
        <f t="shared" si="29"/>
        <v>0</v>
      </c>
      <c r="AD160" s="75">
        <f>Valores!$C$29</f>
        <v>166.15</v>
      </c>
      <c r="AE160" s="79">
        <v>94</v>
      </c>
      <c r="AF160" s="75">
        <f>INT(((AE160*Valores!$C$2)*100)+0.5)/100</f>
        <v>646.54999999999995</v>
      </c>
      <c r="AG160" s="75">
        <f>Valores!$C$58</f>
        <v>337.97</v>
      </c>
      <c r="AH160" s="75">
        <f>Valores!$C$60</f>
        <v>96.56</v>
      </c>
      <c r="AI160" s="114">
        <f t="shared" si="30"/>
        <v>29272.758500000004</v>
      </c>
      <c r="AJ160" s="101">
        <f>Valores!$C$35</f>
        <v>666.25</v>
      </c>
      <c r="AK160" s="78">
        <f>Valores!$C$9</f>
        <v>0</v>
      </c>
      <c r="AL160" s="78">
        <f>Valores!$C$81</f>
        <v>1500</v>
      </c>
      <c r="AM160" s="80">
        <f>Valores!$C$53</f>
        <v>129.32</v>
      </c>
      <c r="AN160" s="82">
        <f t="shared" si="31"/>
        <v>2166.25</v>
      </c>
      <c r="AO160" s="61">
        <f>AI160*-Valores!$C$65</f>
        <v>-3805.4586050000007</v>
      </c>
      <c r="AP160" s="61">
        <f>AI160*-Valores!$C$66</f>
        <v>-146.36379250000002</v>
      </c>
      <c r="AQ160" s="77">
        <f>AI160*-Valores!$C$67</f>
        <v>-1317.2741325000002</v>
      </c>
      <c r="AR160" s="77">
        <f>AI160*-Valores!$C$68</f>
        <v>-790.36447950000013</v>
      </c>
      <c r="AS160" s="77">
        <f>AI160*-Valores!$C$69</f>
        <v>-87.818275500000013</v>
      </c>
      <c r="AT160" s="81">
        <f t="shared" si="27"/>
        <v>26169.911970000005</v>
      </c>
      <c r="AU160" s="81">
        <f t="shared" si="28"/>
        <v>26609.003347500002</v>
      </c>
      <c r="AV160" s="77">
        <f>AI160*Valores!$C$71</f>
        <v>4683.6413600000005</v>
      </c>
      <c r="AW160" s="77">
        <f>AI160*Valores!$C$72</f>
        <v>1317.2741325000002</v>
      </c>
      <c r="AX160" s="77">
        <f>AI160*Valores!$C$73</f>
        <v>292.72758500000003</v>
      </c>
      <c r="AY160" s="77">
        <f>AI160*Valores!$C$75</f>
        <v>1024.5465475000003</v>
      </c>
      <c r="AZ160" s="77">
        <f>AI160*Valores!$C$76</f>
        <v>175.63655100000003</v>
      </c>
      <c r="BA160" s="77">
        <f t="shared" si="32"/>
        <v>1580.7289590000003</v>
      </c>
      <c r="BB160" s="51">
        <v>12</v>
      </c>
      <c r="BC160" s="51">
        <v>18</v>
      </c>
      <c r="BD160" s="27" t="s">
        <v>4</v>
      </c>
    </row>
    <row r="161" spans="1:56" s="27" customFormat="1" ht="11.25" customHeight="1" x14ac:dyDescent="0.2">
      <c r="A161" s="85">
        <v>160</v>
      </c>
      <c r="B161" s="85" t="s">
        <v>163</v>
      </c>
      <c r="C161" s="86" t="s">
        <v>456</v>
      </c>
      <c r="D161" s="86"/>
      <c r="E161" s="86">
        <f t="shared" si="24"/>
        <v>44</v>
      </c>
      <c r="F161" s="87" t="s">
        <v>459</v>
      </c>
      <c r="G161" s="88">
        <v>971</v>
      </c>
      <c r="H161" s="89">
        <f>INT((G161*Valores!$C$2*100)+0.5)/100</f>
        <v>6678.73</v>
      </c>
      <c r="I161" s="103">
        <v>0</v>
      </c>
      <c r="J161" s="91">
        <f>INT((I161*Valores!$C$2*100)+0.5)/100</f>
        <v>0</v>
      </c>
      <c r="K161" s="104">
        <v>0</v>
      </c>
      <c r="L161" s="91">
        <f>INT((K161*Valores!$C$2*100)+0.5)/100</f>
        <v>0</v>
      </c>
      <c r="M161" s="105">
        <v>0</v>
      </c>
      <c r="N161" s="91">
        <f>INT((M161*Valores!$C$2*100)+0.5)/100</f>
        <v>0</v>
      </c>
      <c r="O161" s="91">
        <f t="shared" si="25"/>
        <v>1873.4597699999999</v>
      </c>
      <c r="P161" s="91">
        <f t="shared" si="26"/>
        <v>0</v>
      </c>
      <c r="Q161" s="107">
        <f>Valores!$C$20</f>
        <v>4231.82</v>
      </c>
      <c r="R161" s="107">
        <f>Valores!$D$4</f>
        <v>3076.62</v>
      </c>
      <c r="S161" s="107">
        <f>Valores!$C$27</f>
        <v>2957.66</v>
      </c>
      <c r="T161" s="108">
        <v>225.81</v>
      </c>
      <c r="U161" s="91">
        <f>Valores!$C$23</f>
        <v>2840.79</v>
      </c>
      <c r="V161" s="91">
        <f t="shared" si="23"/>
        <v>2840.79</v>
      </c>
      <c r="W161" s="91">
        <v>0</v>
      </c>
      <c r="X161" s="91">
        <v>0</v>
      </c>
      <c r="Y161" s="90">
        <v>399</v>
      </c>
      <c r="Z161" s="91">
        <f>Y161*Valores!$C$2</f>
        <v>2744.4017999999996</v>
      </c>
      <c r="AA161" s="107">
        <f>SUM(L161,J161,H161,T161)*Valores!$C$3</f>
        <v>1035.681</v>
      </c>
      <c r="AB161" s="96">
        <f>Valores!$C$29</f>
        <v>166.15</v>
      </c>
      <c r="AC161" s="91">
        <f t="shared" si="29"/>
        <v>0</v>
      </c>
      <c r="AD161" s="91">
        <f>Valores!$C$29</f>
        <v>166.15</v>
      </c>
      <c r="AE161" s="95">
        <v>94</v>
      </c>
      <c r="AF161" s="91">
        <f>INT(((AE161*Valores!$C$2)*100)+0.5)/100</f>
        <v>646.54999999999995</v>
      </c>
      <c r="AG161" s="91">
        <f>Valores!$C$58</f>
        <v>337.97</v>
      </c>
      <c r="AH161" s="91">
        <f>Valores!$C$60</f>
        <v>96.56</v>
      </c>
      <c r="AI161" s="115">
        <f t="shared" si="30"/>
        <v>27078.352570000006</v>
      </c>
      <c r="AJ161" s="107">
        <v>0</v>
      </c>
      <c r="AK161" s="94">
        <v>0</v>
      </c>
      <c r="AL161" s="94">
        <v>0</v>
      </c>
      <c r="AM161" s="96">
        <v>0</v>
      </c>
      <c r="AN161" s="98">
        <f t="shared" si="31"/>
        <v>0</v>
      </c>
      <c r="AO161" s="116">
        <f>AI161*-Valores!$C$65</f>
        <v>-3520.1858341000011</v>
      </c>
      <c r="AP161" s="116">
        <f>AI161*-Valores!$C$66</f>
        <v>-135.39176285000002</v>
      </c>
      <c r="AQ161" s="93">
        <f>AI161*-Valores!$C$67</f>
        <v>-1218.5258656500002</v>
      </c>
      <c r="AR161" s="93">
        <f>AI161*-Valores!$C$68</f>
        <v>-731.11551939000014</v>
      </c>
      <c r="AS161" s="93">
        <f>AI161*-Valores!$C$69</f>
        <v>-81.235057710000021</v>
      </c>
      <c r="AT161" s="97">
        <f t="shared" si="27"/>
        <v>22204.249107400006</v>
      </c>
      <c r="AU161" s="97">
        <f t="shared" si="28"/>
        <v>22610.424395950005</v>
      </c>
      <c r="AV161" s="93">
        <f>AI161*Valores!$C$71</f>
        <v>4332.5364112000007</v>
      </c>
      <c r="AW161" s="93">
        <f>AI161*Valores!$C$72</f>
        <v>1218.5258656500002</v>
      </c>
      <c r="AX161" s="93">
        <f>AI161*Valores!$C$73</f>
        <v>270.78352570000004</v>
      </c>
      <c r="AY161" s="93">
        <f>AI161*Valores!$C$75</f>
        <v>947.74233995000031</v>
      </c>
      <c r="AZ161" s="93">
        <f>AI161*Valores!$C$76</f>
        <v>162.47011542000004</v>
      </c>
      <c r="BA161" s="93">
        <f t="shared" si="32"/>
        <v>1462.2310387800005</v>
      </c>
      <c r="BB161" s="85">
        <v>12</v>
      </c>
      <c r="BC161" s="85">
        <v>18</v>
      </c>
      <c r="BD161" s="86" t="s">
        <v>8</v>
      </c>
    </row>
    <row r="162" spans="1:56" s="27" customFormat="1" ht="11.25" customHeight="1" x14ac:dyDescent="0.2">
      <c r="A162" s="51">
        <v>161</v>
      </c>
      <c r="B162" s="51"/>
      <c r="C162" s="27" t="s">
        <v>460</v>
      </c>
      <c r="E162" s="27">
        <f t="shared" si="24"/>
        <v>21</v>
      </c>
      <c r="F162" s="71" t="s">
        <v>461</v>
      </c>
      <c r="G162" s="72">
        <v>810</v>
      </c>
      <c r="H162" s="73">
        <f>INT((G162*Valores!$C$2*100)+0.5)/100</f>
        <v>5571.34</v>
      </c>
      <c r="I162" s="112">
        <v>0</v>
      </c>
      <c r="J162" s="75">
        <f>INT((I162*Valores!$C$2*100)+0.5)/100</f>
        <v>0</v>
      </c>
      <c r="K162" s="102">
        <v>0</v>
      </c>
      <c r="L162" s="75">
        <f>INT((K162*Valores!$C$2*100)+0.5)/100</f>
        <v>0</v>
      </c>
      <c r="M162" s="100">
        <v>0</v>
      </c>
      <c r="N162" s="75">
        <f>INT((M162*Valores!$C$2*100)+0.5)/100</f>
        <v>0</v>
      </c>
      <c r="O162" s="75">
        <f t="shared" si="25"/>
        <v>1422.9465000000002</v>
      </c>
      <c r="P162" s="75">
        <f t="shared" si="26"/>
        <v>0</v>
      </c>
      <c r="Q162" s="101">
        <f>Valores!$C$20</f>
        <v>4231.82</v>
      </c>
      <c r="R162" s="101">
        <f>Valores!$D$4</f>
        <v>3076.62</v>
      </c>
      <c r="S162" s="101">
        <f>Valores!$C$27</f>
        <v>2957.66</v>
      </c>
      <c r="T162" s="106">
        <f>Valores!$C$41</f>
        <v>1112.8399999999999</v>
      </c>
      <c r="U162" s="101">
        <f>Valores!$C$24</f>
        <v>2802.13</v>
      </c>
      <c r="V162" s="75">
        <f t="shared" si="23"/>
        <v>2802.13</v>
      </c>
      <c r="W162" s="75">
        <v>0</v>
      </c>
      <c r="X162" s="75">
        <v>0</v>
      </c>
      <c r="Y162" s="79">
        <v>0</v>
      </c>
      <c r="Z162" s="75">
        <f>Y162*Valores!$C$2</f>
        <v>0</v>
      </c>
      <c r="AA162" s="75">
        <v>0</v>
      </c>
      <c r="AB162" s="80">
        <f>Valores!$C$29</f>
        <v>166.15</v>
      </c>
      <c r="AC162" s="75">
        <f t="shared" si="29"/>
        <v>0</v>
      </c>
      <c r="AD162" s="75">
        <f>Valores!$C$30</f>
        <v>166.15</v>
      </c>
      <c r="AE162" s="79">
        <v>0</v>
      </c>
      <c r="AF162" s="75">
        <f>INT(((AE162*Valores!$C$2)*100)+0.5)/100</f>
        <v>0</v>
      </c>
      <c r="AG162" s="75">
        <f>Valores!$C$58</f>
        <v>337.97</v>
      </c>
      <c r="AH162" s="75">
        <f>Valores!$C$60</f>
        <v>96.56</v>
      </c>
      <c r="AI162" s="114">
        <f t="shared" si="30"/>
        <v>21942.186500000007</v>
      </c>
      <c r="AJ162" s="101">
        <f>Valores!$C$35</f>
        <v>666.25</v>
      </c>
      <c r="AK162" s="78">
        <f>Valores!$C$7</f>
        <v>0</v>
      </c>
      <c r="AL162" s="78">
        <f>Valores!$C$81</f>
        <v>1500</v>
      </c>
      <c r="AM162" s="80">
        <f>Valores!$C$51</f>
        <v>141.62</v>
      </c>
      <c r="AN162" s="82">
        <f t="shared" si="31"/>
        <v>2166.25</v>
      </c>
      <c r="AO162" s="61">
        <f>AI162*-Valores!$C$65</f>
        <v>-2852.484245000001</v>
      </c>
      <c r="AP162" s="61">
        <f>AI162*-Valores!$C$66</f>
        <v>-109.71093250000004</v>
      </c>
      <c r="AQ162" s="77">
        <f>AI162*-Valores!$C$67</f>
        <v>-987.39839250000023</v>
      </c>
      <c r="AR162" s="77">
        <f>AI162*-Valores!$C$68</f>
        <v>-592.43903550000016</v>
      </c>
      <c r="AS162" s="77">
        <f>AI162*-Valores!$C$69</f>
        <v>-65.826559500000016</v>
      </c>
      <c r="AT162" s="81">
        <f t="shared" si="27"/>
        <v>20158.84293000001</v>
      </c>
      <c r="AU162" s="81">
        <f t="shared" si="28"/>
        <v>20487.975727500008</v>
      </c>
      <c r="AV162" s="77">
        <f>AI162*Valores!$C$71</f>
        <v>3510.7498400000013</v>
      </c>
      <c r="AW162" s="77">
        <f>AI162*Valores!$C$72</f>
        <v>987.39839250000023</v>
      </c>
      <c r="AX162" s="77">
        <f>AI162*Valores!$C$73</f>
        <v>219.42186500000008</v>
      </c>
      <c r="AY162" s="77">
        <f>AI162*Valores!$C$75</f>
        <v>767.97652750000032</v>
      </c>
      <c r="AZ162" s="77">
        <f>AI162*Valores!$C$76</f>
        <v>131.65311900000003</v>
      </c>
      <c r="BA162" s="77">
        <f t="shared" si="32"/>
        <v>1184.8780710000005</v>
      </c>
      <c r="BB162" s="51"/>
      <c r="BC162" s="51"/>
      <c r="BD162" s="27" t="s">
        <v>4</v>
      </c>
    </row>
    <row r="163" spans="1:56" s="27" customFormat="1" ht="11.25" customHeight="1" x14ac:dyDescent="0.2">
      <c r="A163" s="51">
        <v>162</v>
      </c>
      <c r="B163" s="51"/>
      <c r="C163" s="27" t="s">
        <v>462</v>
      </c>
      <c r="E163" s="27">
        <f t="shared" si="24"/>
        <v>9</v>
      </c>
      <c r="F163" s="71" t="s">
        <v>463</v>
      </c>
      <c r="G163" s="72">
        <v>1065</v>
      </c>
      <c r="H163" s="73">
        <f>INT((G163*Valores!$C$2*100)+0.5)/100</f>
        <v>7325.28</v>
      </c>
      <c r="I163" s="112">
        <v>0</v>
      </c>
      <c r="J163" s="75">
        <f>INT((I163*Valores!$C$2*100)+0.5)/100</f>
        <v>0</v>
      </c>
      <c r="K163" s="102">
        <v>0</v>
      </c>
      <c r="L163" s="75">
        <f>INT((K163*Valores!$C$2*100)+0.5)/100</f>
        <v>0</v>
      </c>
      <c r="M163" s="100">
        <v>0</v>
      </c>
      <c r="N163" s="75">
        <f>INT((M163*Valores!$C$2*100)+0.5)/100</f>
        <v>0</v>
      </c>
      <c r="O163" s="75">
        <f t="shared" si="25"/>
        <v>1691.8364999999999</v>
      </c>
      <c r="P163" s="75">
        <f t="shared" si="26"/>
        <v>0</v>
      </c>
      <c r="Q163" s="101">
        <f>Valores!$C$20</f>
        <v>4231.82</v>
      </c>
      <c r="R163" s="101">
        <f>Valores!$D$4</f>
        <v>3076.62</v>
      </c>
      <c r="S163" s="78">
        <f>Valores!$C$27</f>
        <v>2957.66</v>
      </c>
      <c r="T163" s="78">
        <f>Valores!$C$41</f>
        <v>1112.8399999999999</v>
      </c>
      <c r="U163" s="101">
        <f>Valores!$C$23</f>
        <v>2840.79</v>
      </c>
      <c r="V163" s="75">
        <f t="shared" si="23"/>
        <v>2840.79</v>
      </c>
      <c r="W163" s="75">
        <v>0</v>
      </c>
      <c r="X163" s="75">
        <v>0</v>
      </c>
      <c r="Y163" s="79">
        <v>0</v>
      </c>
      <c r="Z163" s="75">
        <f>Y163*Valores!$C$2</f>
        <v>0</v>
      </c>
      <c r="AA163" s="75">
        <v>0</v>
      </c>
      <c r="AB163" s="80">
        <f>Valores!$C$29</f>
        <v>166.15</v>
      </c>
      <c r="AC163" s="75">
        <f t="shared" si="29"/>
        <v>0</v>
      </c>
      <c r="AD163" s="75">
        <f>Valores!$C$30</f>
        <v>166.15</v>
      </c>
      <c r="AE163" s="79">
        <v>0</v>
      </c>
      <c r="AF163" s="75">
        <f>INT(((AE163*Valores!$C$2)*100)+0.5)/100</f>
        <v>0</v>
      </c>
      <c r="AG163" s="75">
        <f>Valores!$C$58</f>
        <v>337.97</v>
      </c>
      <c r="AH163" s="75">
        <f>Valores!$C$60</f>
        <v>96.56</v>
      </c>
      <c r="AI163" s="114">
        <f t="shared" si="30"/>
        <v>24003.676500000005</v>
      </c>
      <c r="AJ163" s="101">
        <f>Valores!$C$35</f>
        <v>666.25</v>
      </c>
      <c r="AK163" s="78">
        <f>Valores!$C$7</f>
        <v>0</v>
      </c>
      <c r="AL163" s="78">
        <f>Valores!$C$81</f>
        <v>1500</v>
      </c>
      <c r="AM163" s="80">
        <f>Valores!$C$51</f>
        <v>141.62</v>
      </c>
      <c r="AN163" s="82">
        <f t="shared" si="31"/>
        <v>2166.25</v>
      </c>
      <c r="AO163" s="61">
        <f>AI163*-Valores!$C$65</f>
        <v>-3120.4779450000005</v>
      </c>
      <c r="AP163" s="61">
        <f>AI163*-Valores!$C$66</f>
        <v>-120.01838250000003</v>
      </c>
      <c r="AQ163" s="77">
        <f>AI163*-Valores!$C$67</f>
        <v>-1080.1654425000002</v>
      </c>
      <c r="AR163" s="77">
        <f>AI163*-Valores!$C$68</f>
        <v>-648.09926550000012</v>
      </c>
      <c r="AS163" s="77">
        <f>AI163*-Valores!$C$69</f>
        <v>-72.011029500000021</v>
      </c>
      <c r="AT163" s="81">
        <f t="shared" si="27"/>
        <v>21849.264730000003</v>
      </c>
      <c r="AU163" s="81">
        <f t="shared" si="28"/>
        <v>22209.319877500002</v>
      </c>
      <c r="AV163" s="77">
        <f>AI163*Valores!$C$71</f>
        <v>3840.588240000001</v>
      </c>
      <c r="AW163" s="77">
        <f>AI163*Valores!$C$72</f>
        <v>1080.1654425000002</v>
      </c>
      <c r="AX163" s="77">
        <f>AI163*Valores!$C$73</f>
        <v>240.03676500000006</v>
      </c>
      <c r="AY163" s="77">
        <f>AI163*Valores!$C$75</f>
        <v>840.12867750000021</v>
      </c>
      <c r="AZ163" s="77">
        <f>AI163*Valores!$C$76</f>
        <v>144.02205900000004</v>
      </c>
      <c r="BA163" s="77">
        <f t="shared" si="32"/>
        <v>1296.1985310000005</v>
      </c>
      <c r="BB163" s="51"/>
      <c r="BC163" s="51">
        <v>27</v>
      </c>
      <c r="BD163" s="27" t="s">
        <v>4</v>
      </c>
    </row>
    <row r="164" spans="1:56" s="27" customFormat="1" ht="11.25" customHeight="1" x14ac:dyDescent="0.2">
      <c r="A164" s="51">
        <v>163</v>
      </c>
      <c r="B164" s="51"/>
      <c r="C164" s="27" t="s">
        <v>462</v>
      </c>
      <c r="E164" s="27">
        <f t="shared" si="24"/>
        <v>33</v>
      </c>
      <c r="F164" s="71" t="s">
        <v>464</v>
      </c>
      <c r="G164" s="72">
        <v>1065</v>
      </c>
      <c r="H164" s="73">
        <f>INT((G164*Valores!$C$2*100)+0.5)/100</f>
        <v>7325.28</v>
      </c>
      <c r="I164" s="112">
        <v>0</v>
      </c>
      <c r="J164" s="75">
        <f>INT((I164*Valores!$C$2*100)+0.5)/100</f>
        <v>0</v>
      </c>
      <c r="K164" s="102">
        <v>0</v>
      </c>
      <c r="L164" s="75">
        <f>INT((K164*Valores!$C$2*100)+0.5)/100</f>
        <v>0</v>
      </c>
      <c r="M164" s="100">
        <v>0</v>
      </c>
      <c r="N164" s="75">
        <f>INT((M164*Valores!$C$2*100)+0.5)/100</f>
        <v>0</v>
      </c>
      <c r="O164" s="75">
        <f t="shared" si="25"/>
        <v>1691.8364999999999</v>
      </c>
      <c r="P164" s="75">
        <f t="shared" si="26"/>
        <v>0</v>
      </c>
      <c r="Q164" s="101">
        <f>Valores!$C$20</f>
        <v>4231.82</v>
      </c>
      <c r="R164" s="101">
        <f>Valores!$D$4</f>
        <v>3076.62</v>
      </c>
      <c r="S164" s="78">
        <f>Valores!$C$27</f>
        <v>2957.66</v>
      </c>
      <c r="T164" s="117">
        <f>Valores!$C$41</f>
        <v>1112.8399999999999</v>
      </c>
      <c r="U164" s="75">
        <f>Valores!$C$23</f>
        <v>2840.79</v>
      </c>
      <c r="V164" s="75">
        <f t="shared" si="23"/>
        <v>2840.79</v>
      </c>
      <c r="W164" s="75">
        <v>0</v>
      </c>
      <c r="X164" s="75">
        <v>0</v>
      </c>
      <c r="Y164" s="79">
        <v>0</v>
      </c>
      <c r="Z164" s="75">
        <f>Y164*Valores!$C$2</f>
        <v>0</v>
      </c>
      <c r="AA164" s="75">
        <v>0</v>
      </c>
      <c r="AB164" s="80">
        <f>Valores!$C$29</f>
        <v>166.15</v>
      </c>
      <c r="AC164" s="75">
        <f t="shared" si="29"/>
        <v>0</v>
      </c>
      <c r="AD164" s="75">
        <f>Valores!$C$30</f>
        <v>166.15</v>
      </c>
      <c r="AE164" s="79">
        <v>94</v>
      </c>
      <c r="AF164" s="75">
        <f>INT(((AE164*Valores!$C$2)*100)+0.5)/100</f>
        <v>646.54999999999995</v>
      </c>
      <c r="AG164" s="75">
        <f>Valores!$C$58</f>
        <v>337.97</v>
      </c>
      <c r="AH164" s="75">
        <f>Valores!$C$60</f>
        <v>96.56</v>
      </c>
      <c r="AI164" s="114">
        <f t="shared" si="30"/>
        <v>24650.226500000004</v>
      </c>
      <c r="AJ164" s="101">
        <f>Valores!$C$35</f>
        <v>666.25</v>
      </c>
      <c r="AK164" s="78">
        <f>Valores!$C$7</f>
        <v>0</v>
      </c>
      <c r="AL164" s="78">
        <f>Valores!$C$81</f>
        <v>1500</v>
      </c>
      <c r="AM164" s="80">
        <f>Valores!$C$51</f>
        <v>141.62</v>
      </c>
      <c r="AN164" s="82">
        <f t="shared" si="31"/>
        <v>2166.25</v>
      </c>
      <c r="AO164" s="61">
        <f>AI164*-Valores!$C$65</f>
        <v>-3204.5294450000006</v>
      </c>
      <c r="AP164" s="61">
        <f>AI164*-Valores!$C$66</f>
        <v>-123.25113250000003</v>
      </c>
      <c r="AQ164" s="77">
        <f>AI164*-Valores!$C$67</f>
        <v>-1109.2601925000001</v>
      </c>
      <c r="AR164" s="77">
        <f>AI164*-Valores!$C$68</f>
        <v>-665.55611550000015</v>
      </c>
      <c r="AS164" s="77">
        <f>AI164*-Valores!$C$69</f>
        <v>-73.950679500000021</v>
      </c>
      <c r="AT164" s="81">
        <f t="shared" si="27"/>
        <v>22379.435730000001</v>
      </c>
      <c r="AU164" s="81">
        <f t="shared" si="28"/>
        <v>22749.189127500002</v>
      </c>
      <c r="AV164" s="77">
        <f>AI164*Valores!$C$71</f>
        <v>3944.0362400000008</v>
      </c>
      <c r="AW164" s="77">
        <f>AI164*Valores!$C$72</f>
        <v>1109.2601925000001</v>
      </c>
      <c r="AX164" s="77">
        <f>AI164*Valores!$C$73</f>
        <v>246.50226500000005</v>
      </c>
      <c r="AY164" s="77">
        <f>AI164*Valores!$C$75</f>
        <v>862.75792750000028</v>
      </c>
      <c r="AZ164" s="77">
        <f>AI164*Valores!$C$76</f>
        <v>147.90135900000004</v>
      </c>
      <c r="BA164" s="77">
        <f t="shared" si="32"/>
        <v>1331.1122310000003</v>
      </c>
      <c r="BB164" s="51"/>
      <c r="BC164" s="85">
        <v>27</v>
      </c>
      <c r="BD164" s="27" t="s">
        <v>4</v>
      </c>
    </row>
    <row r="165" spans="1:56" s="27" customFormat="1" ht="11.25" customHeight="1" x14ac:dyDescent="0.2">
      <c r="A165" s="51">
        <v>164</v>
      </c>
      <c r="B165" s="51"/>
      <c r="C165" s="27" t="s">
        <v>465</v>
      </c>
      <c r="E165" s="27">
        <f t="shared" si="24"/>
        <v>30</v>
      </c>
      <c r="F165" s="71" t="s">
        <v>466</v>
      </c>
      <c r="G165" s="72">
        <v>98</v>
      </c>
      <c r="H165" s="73">
        <f>INT((G165*Valores!$C$2*100)+0.5)/100</f>
        <v>674.06</v>
      </c>
      <c r="I165" s="112">
        <v>2686</v>
      </c>
      <c r="J165" s="75">
        <f>INT((I165*Valores!$C$2*100)+0.5)/100</f>
        <v>18474.849999999999</v>
      </c>
      <c r="K165" s="102">
        <v>0</v>
      </c>
      <c r="L165" s="75">
        <f>INT((K165*Valores!$C$2*100)+0.5)/100</f>
        <v>0</v>
      </c>
      <c r="M165" s="100">
        <v>0</v>
      </c>
      <c r="N165" s="75">
        <f>INT((M165*Valores!$C$2*100)+0.5)/100</f>
        <v>0</v>
      </c>
      <c r="O165" s="75">
        <f t="shared" si="25"/>
        <v>4306.8254999999999</v>
      </c>
      <c r="P165" s="75">
        <f t="shared" si="26"/>
        <v>0</v>
      </c>
      <c r="Q165" s="106">
        <f>Valores!$C$15</f>
        <v>4424.9399999999996</v>
      </c>
      <c r="R165" s="101">
        <f>Valores!$D$4</f>
        <v>3076.62</v>
      </c>
      <c r="S165" s="101">
        <f>Valores!$C$26</f>
        <v>3208.72</v>
      </c>
      <c r="T165" s="106">
        <f>Valores!$C$43</f>
        <v>1907.73</v>
      </c>
      <c r="U165" s="75">
        <f>Valores!$C$23</f>
        <v>2840.79</v>
      </c>
      <c r="V165" s="75">
        <f t="shared" si="23"/>
        <v>2840.79</v>
      </c>
      <c r="W165" s="75">
        <v>0</v>
      </c>
      <c r="X165" s="75">
        <v>0</v>
      </c>
      <c r="Y165" s="74">
        <v>700</v>
      </c>
      <c r="Z165" s="75">
        <f>Y165*Valores!$C$2</f>
        <v>4814.74</v>
      </c>
      <c r="AA165" s="101">
        <f>SUM(L165,J165,H165,T165)*Valores!$C$3</f>
        <v>3158.4959999999996</v>
      </c>
      <c r="AB165" s="80">
        <f>Valores!$C$29</f>
        <v>166.15</v>
      </c>
      <c r="AC165" s="75">
        <f t="shared" si="29"/>
        <v>0</v>
      </c>
      <c r="AD165" s="75">
        <f>Valores!$C$30</f>
        <v>166.15</v>
      </c>
      <c r="AE165" s="79">
        <v>94</v>
      </c>
      <c r="AF165" s="75">
        <f>INT(((AE165*Valores!$C$2)*100)+0.5)/100</f>
        <v>646.54999999999995</v>
      </c>
      <c r="AG165" s="75">
        <f>Valores!$C$58</f>
        <v>337.97</v>
      </c>
      <c r="AH165" s="75">
        <f>Valores!$C$60</f>
        <v>96.56</v>
      </c>
      <c r="AI165" s="114">
        <f t="shared" si="30"/>
        <v>48301.1515</v>
      </c>
      <c r="AJ165" s="101">
        <f>Valores!$C$35</f>
        <v>666.25</v>
      </c>
      <c r="AK165" s="78">
        <f>Valores!$C$9</f>
        <v>0</v>
      </c>
      <c r="AL165" s="78">
        <f>Valores!$C$83</f>
        <v>3000</v>
      </c>
      <c r="AM165" s="80">
        <v>224.5</v>
      </c>
      <c r="AN165" s="82">
        <f t="shared" si="31"/>
        <v>3666.25</v>
      </c>
      <c r="AO165" s="61">
        <f>AI165*-Valores!$C$65</f>
        <v>-6279.1496950000001</v>
      </c>
      <c r="AP165" s="61">
        <f>AI165*-Valores!$C$66</f>
        <v>-241.50575750000002</v>
      </c>
      <c r="AQ165" s="77">
        <f>AI165*-Valores!$C$67</f>
        <v>-2173.5518174999997</v>
      </c>
      <c r="AR165" s="77">
        <f>AI165*-Valores!$C$68</f>
        <v>-1304.1310905</v>
      </c>
      <c r="AS165" s="77">
        <f>AI165*-Valores!$C$69</f>
        <v>-144.90345450000001</v>
      </c>
      <c r="AT165" s="81">
        <f t="shared" si="27"/>
        <v>43273.194229999994</v>
      </c>
      <c r="AU165" s="81">
        <f t="shared" si="28"/>
        <v>43997.711502499995</v>
      </c>
      <c r="AV165" s="77">
        <f>AI165*Valores!$C$71</f>
        <v>7728.1842400000005</v>
      </c>
      <c r="AW165" s="77">
        <f>AI165*Valores!$C$72</f>
        <v>2173.5518174999997</v>
      </c>
      <c r="AX165" s="77">
        <f>AI165*Valores!$C$73</f>
        <v>483.01151500000003</v>
      </c>
      <c r="AY165" s="77">
        <f>AI165*Valores!$C$75</f>
        <v>1690.5403025000001</v>
      </c>
      <c r="AZ165" s="77">
        <f>AI165*Valores!$C$76</f>
        <v>289.80690900000002</v>
      </c>
      <c r="BA165" s="77">
        <f t="shared" si="32"/>
        <v>2608.2621810000001</v>
      </c>
      <c r="BB165" s="51"/>
      <c r="BC165" s="51">
        <v>45</v>
      </c>
      <c r="BD165" s="27" t="s">
        <v>4</v>
      </c>
    </row>
    <row r="166" spans="1:56" s="27" customFormat="1" ht="11.25" customHeight="1" x14ac:dyDescent="0.2">
      <c r="A166" s="85">
        <v>165</v>
      </c>
      <c r="B166" s="85" t="s">
        <v>163</v>
      </c>
      <c r="C166" s="86" t="s">
        <v>467</v>
      </c>
      <c r="D166" s="86"/>
      <c r="E166" s="86">
        <f t="shared" si="24"/>
        <v>30</v>
      </c>
      <c r="F166" s="87" t="s">
        <v>468</v>
      </c>
      <c r="G166" s="88">
        <v>93</v>
      </c>
      <c r="H166" s="89">
        <f>INT((G166*Valores!$C$2*100)+0.5)/100</f>
        <v>639.66999999999996</v>
      </c>
      <c r="I166" s="90">
        <v>2547</v>
      </c>
      <c r="J166" s="91">
        <f>INT((I166*Valores!$C$2*100)+0.5)/100</f>
        <v>17518.78</v>
      </c>
      <c r="K166" s="104">
        <v>0</v>
      </c>
      <c r="L166" s="91">
        <f>INT((K166*Valores!$C$2*100)+0.5)/100</f>
        <v>0</v>
      </c>
      <c r="M166" s="105">
        <v>0</v>
      </c>
      <c r="N166" s="91">
        <f>INT((M166*Valores!$C$2*100)+0.5)/100</f>
        <v>0</v>
      </c>
      <c r="O166" s="91">
        <f t="shared" si="25"/>
        <v>4158.2564999999995</v>
      </c>
      <c r="P166" s="91">
        <f t="shared" si="26"/>
        <v>0</v>
      </c>
      <c r="Q166" s="108">
        <f>Valores!$C$20</f>
        <v>4231.82</v>
      </c>
      <c r="R166" s="107">
        <f>Valores!$D$4</f>
        <v>3076.62</v>
      </c>
      <c r="S166" s="107">
        <f>Valores!$C$26</f>
        <v>3208.72</v>
      </c>
      <c r="T166" s="108">
        <f>Valores!$C$43</f>
        <v>1907.73</v>
      </c>
      <c r="U166" s="91">
        <f>Valores!$C$23</f>
        <v>2840.79</v>
      </c>
      <c r="V166" s="91">
        <f t="shared" si="23"/>
        <v>2840.79</v>
      </c>
      <c r="W166" s="91">
        <v>0</v>
      </c>
      <c r="X166" s="91">
        <v>0</v>
      </c>
      <c r="Y166" s="90">
        <v>700</v>
      </c>
      <c r="Z166" s="91">
        <f>Y166*Valores!$C$2</f>
        <v>4814.74</v>
      </c>
      <c r="AA166" s="107">
        <f>SUM(L166,J166,H166,T166)*Valores!$C$3</f>
        <v>3009.9269999999992</v>
      </c>
      <c r="AB166" s="96">
        <f>Valores!$C$29</f>
        <v>166.15</v>
      </c>
      <c r="AC166" s="91">
        <f t="shared" si="29"/>
        <v>0</v>
      </c>
      <c r="AD166" s="91">
        <f>Valores!$C$30</f>
        <v>166.15</v>
      </c>
      <c r="AE166" s="95">
        <v>94</v>
      </c>
      <c r="AF166" s="91">
        <f>INT(((AE166*Valores!$C$2)*100)+0.5)/100</f>
        <v>646.54999999999995</v>
      </c>
      <c r="AG166" s="91">
        <f>Valores!$C$58</f>
        <v>337.97</v>
      </c>
      <c r="AH166" s="91">
        <f>Valores!$C$60</f>
        <v>96.56</v>
      </c>
      <c r="AI166" s="115">
        <f t="shared" si="30"/>
        <v>46820.433499999999</v>
      </c>
      <c r="AJ166" s="107">
        <f>Valores!$C$35</f>
        <v>666.25</v>
      </c>
      <c r="AK166" s="94">
        <f>Valores!$C$9</f>
        <v>0</v>
      </c>
      <c r="AL166" s="94">
        <f>Valores!$C$83</f>
        <v>3000</v>
      </c>
      <c r="AM166" s="96">
        <v>224.5</v>
      </c>
      <c r="AN166" s="98">
        <f t="shared" si="31"/>
        <v>3666.25</v>
      </c>
      <c r="AO166" s="116">
        <f>AI166*-Valores!$C$65</f>
        <v>-6086.6563550000001</v>
      </c>
      <c r="AP166" s="116">
        <f>AI166*-Valores!$C$66</f>
        <v>-234.10216750000001</v>
      </c>
      <c r="AQ166" s="93">
        <f>AI166*-Valores!$C$67</f>
        <v>-2106.9195074999998</v>
      </c>
      <c r="AR166" s="93">
        <f>AI166*-Valores!$C$68</f>
        <v>-1264.1517045000001</v>
      </c>
      <c r="AS166" s="93">
        <f>AI166*-Valores!$C$69</f>
        <v>-140.46130049999999</v>
      </c>
      <c r="AT166" s="97">
        <f t="shared" si="27"/>
        <v>42059.005469999996</v>
      </c>
      <c r="AU166" s="97">
        <f t="shared" si="28"/>
        <v>42761.3119725</v>
      </c>
      <c r="AV166" s="93">
        <f>AI166*Valores!$C$71</f>
        <v>7491.2693600000002</v>
      </c>
      <c r="AW166" s="93">
        <f>AI166*Valores!$C$72</f>
        <v>2106.9195074999998</v>
      </c>
      <c r="AX166" s="93">
        <f>AI166*Valores!$C$73</f>
        <v>468.20433500000001</v>
      </c>
      <c r="AY166" s="93">
        <f>AI166*Valores!$C$75</f>
        <v>1638.7151725000001</v>
      </c>
      <c r="AZ166" s="93">
        <f>AI166*Valores!$C$76</f>
        <v>280.92260099999999</v>
      </c>
      <c r="BA166" s="93">
        <f t="shared" si="32"/>
        <v>2528.3034090000001</v>
      </c>
      <c r="BB166" s="85"/>
      <c r="BC166" s="85">
        <v>45</v>
      </c>
      <c r="BD166" s="86" t="s">
        <v>4</v>
      </c>
    </row>
    <row r="167" spans="1:56" s="27" customFormat="1" ht="11.25" customHeight="1" x14ac:dyDescent="0.2">
      <c r="A167" s="51">
        <v>166</v>
      </c>
      <c r="B167" s="51"/>
      <c r="C167" s="27" t="s">
        <v>469</v>
      </c>
      <c r="E167" s="27">
        <f t="shared" si="24"/>
        <v>30</v>
      </c>
      <c r="F167" s="71" t="s">
        <v>470</v>
      </c>
      <c r="G167" s="72">
        <v>89</v>
      </c>
      <c r="H167" s="73">
        <f>INT((G167*Valores!$C$2*100)+0.5)/100</f>
        <v>612.16</v>
      </c>
      <c r="I167" s="112">
        <v>2251</v>
      </c>
      <c r="J167" s="75">
        <f>INT((I167*Valores!$C$2*100)+0.5)/100</f>
        <v>15482.83</v>
      </c>
      <c r="K167" s="102">
        <v>0</v>
      </c>
      <c r="L167" s="75">
        <f>INT((K167*Valores!$C$2*100)+0.5)/100</f>
        <v>0</v>
      </c>
      <c r="M167" s="100">
        <v>0</v>
      </c>
      <c r="N167" s="75">
        <f>INT((M167*Valores!$C$2*100)+0.5)/100</f>
        <v>0</v>
      </c>
      <c r="O167" s="75">
        <f t="shared" si="25"/>
        <v>3848.7374999999997</v>
      </c>
      <c r="P167" s="75">
        <f t="shared" si="26"/>
        <v>0</v>
      </c>
      <c r="Q167" s="106">
        <f>Valores!$C$20</f>
        <v>4231.82</v>
      </c>
      <c r="R167" s="101">
        <f>Valores!$D$4</f>
        <v>3076.62</v>
      </c>
      <c r="S167" s="101">
        <f>Valores!$C$26</f>
        <v>3208.72</v>
      </c>
      <c r="T167" s="106">
        <f>Valores!$C$43</f>
        <v>1907.73</v>
      </c>
      <c r="U167" s="75">
        <f>Valores!$C$23</f>
        <v>2840.79</v>
      </c>
      <c r="V167" s="75">
        <f t="shared" si="23"/>
        <v>2840.79</v>
      </c>
      <c r="W167" s="75">
        <v>0</v>
      </c>
      <c r="X167" s="75">
        <v>0</v>
      </c>
      <c r="Y167" s="74">
        <v>700</v>
      </c>
      <c r="Z167" s="75">
        <f>Y167*Valores!$C$2</f>
        <v>4814.74</v>
      </c>
      <c r="AA167" s="101">
        <f>SUM(L167,J167,H167,T167)*Valores!$C$3</f>
        <v>2700.4079999999999</v>
      </c>
      <c r="AB167" s="80">
        <f>Valores!$C$29</f>
        <v>166.15</v>
      </c>
      <c r="AC167" s="75">
        <f t="shared" si="29"/>
        <v>0</v>
      </c>
      <c r="AD167" s="75">
        <f>Valores!$C$30</f>
        <v>166.15</v>
      </c>
      <c r="AE167" s="79">
        <v>94</v>
      </c>
      <c r="AF167" s="75">
        <f>INT(((AE167*Valores!$C$2)*100)+0.5)/100</f>
        <v>646.54999999999995</v>
      </c>
      <c r="AG167" s="75">
        <f>Valores!$C$58</f>
        <v>337.97</v>
      </c>
      <c r="AH167" s="75">
        <f>Valores!$C$60</f>
        <v>96.56</v>
      </c>
      <c r="AI167" s="114">
        <f t="shared" si="30"/>
        <v>44137.935500000007</v>
      </c>
      <c r="AJ167" s="101">
        <f>Valores!$C$35</f>
        <v>666.25</v>
      </c>
      <c r="AK167" s="78">
        <f>Valores!$C$9</f>
        <v>0</v>
      </c>
      <c r="AL167" s="78">
        <f>Valores!$C$83</f>
        <v>3000</v>
      </c>
      <c r="AM167" s="80">
        <v>224.5</v>
      </c>
      <c r="AN167" s="82">
        <f t="shared" si="31"/>
        <v>3666.25</v>
      </c>
      <c r="AO167" s="61">
        <f>AI167*-Valores!$C$65</f>
        <v>-5737.9316150000013</v>
      </c>
      <c r="AP167" s="61">
        <f>AI167*-Valores!$C$66</f>
        <v>-220.68967750000004</v>
      </c>
      <c r="AQ167" s="77">
        <f>AI167*-Valores!$C$67</f>
        <v>-1986.2070975000001</v>
      </c>
      <c r="AR167" s="77">
        <f>AI167*-Valores!$C$68</f>
        <v>-1191.7242585000001</v>
      </c>
      <c r="AS167" s="77">
        <f>AI167*-Valores!$C$69</f>
        <v>-132.41380650000002</v>
      </c>
      <c r="AT167" s="81">
        <f t="shared" si="27"/>
        <v>39859.357110000004</v>
      </c>
      <c r="AU167" s="81">
        <f t="shared" si="28"/>
        <v>40521.426142500008</v>
      </c>
      <c r="AV167" s="77">
        <f>AI167*Valores!$C$71</f>
        <v>7062.0696800000014</v>
      </c>
      <c r="AW167" s="77">
        <f>AI167*Valores!$C$72</f>
        <v>1986.2070975000001</v>
      </c>
      <c r="AX167" s="77">
        <f>AI167*Valores!$C$73</f>
        <v>441.37935500000009</v>
      </c>
      <c r="AY167" s="77">
        <f>AI167*Valores!$C$75</f>
        <v>1544.8277425000003</v>
      </c>
      <c r="AZ167" s="77">
        <f>AI167*Valores!$C$76</f>
        <v>264.82761300000004</v>
      </c>
      <c r="BA167" s="77">
        <f t="shared" si="32"/>
        <v>2383.4485170000007</v>
      </c>
      <c r="BB167" s="51"/>
      <c r="BC167" s="51">
        <v>45</v>
      </c>
      <c r="BD167" s="27" t="s">
        <v>4</v>
      </c>
    </row>
    <row r="168" spans="1:56" s="27" customFormat="1" ht="11.25" customHeight="1" x14ac:dyDescent="0.2">
      <c r="A168" s="51">
        <v>167</v>
      </c>
      <c r="B168" s="51"/>
      <c r="C168" s="27" t="s">
        <v>471</v>
      </c>
      <c r="E168" s="27">
        <f t="shared" si="24"/>
        <v>31</v>
      </c>
      <c r="F168" s="71" t="s">
        <v>472</v>
      </c>
      <c r="G168" s="72">
        <v>83</v>
      </c>
      <c r="H168" s="73">
        <f>INT((G168*Valores!$C$2*100)+0.5)/100</f>
        <v>570.89</v>
      </c>
      <c r="I168" s="112">
        <v>2352</v>
      </c>
      <c r="J168" s="75">
        <f>INT((I168*Valores!$C$2*100)+0.5)/100</f>
        <v>16177.53</v>
      </c>
      <c r="K168" s="102">
        <v>0</v>
      </c>
      <c r="L168" s="75">
        <f>INT((K168*Valores!$C$2*100)+0.5)/100</f>
        <v>0</v>
      </c>
      <c r="M168" s="100">
        <v>0</v>
      </c>
      <c r="N168" s="75">
        <f>INT((M168*Valores!$C$2*100)+0.5)/100</f>
        <v>0</v>
      </c>
      <c r="O168" s="75">
        <f t="shared" si="25"/>
        <v>3946.7520000000004</v>
      </c>
      <c r="P168" s="75">
        <f t="shared" si="26"/>
        <v>0</v>
      </c>
      <c r="Q168" s="101">
        <f>Valores!$C$20</f>
        <v>4231.82</v>
      </c>
      <c r="R168" s="101">
        <f>Valores!$D$4</f>
        <v>3076.62</v>
      </c>
      <c r="S168" s="75">
        <v>0</v>
      </c>
      <c r="T168" s="78">
        <f>Valores!$C$43</f>
        <v>1907.73</v>
      </c>
      <c r="U168" s="75">
        <f>Valores!$C$23</f>
        <v>2840.79</v>
      </c>
      <c r="V168" s="75">
        <f t="shared" si="23"/>
        <v>2840.79</v>
      </c>
      <c r="W168" s="75">
        <v>0</v>
      </c>
      <c r="X168" s="75">
        <v>0</v>
      </c>
      <c r="Y168" s="74">
        <v>700</v>
      </c>
      <c r="Z168" s="75">
        <f>Y168*Valores!$C$2</f>
        <v>4814.74</v>
      </c>
      <c r="AA168" s="101">
        <f>SUM(L168,J168,H168,T168)*Valores!$C$3</f>
        <v>2798.4225000000001</v>
      </c>
      <c r="AB168" s="80">
        <f>Valores!$C$29</f>
        <v>166.15</v>
      </c>
      <c r="AC168" s="75">
        <f t="shared" si="29"/>
        <v>0</v>
      </c>
      <c r="AD168" s="75">
        <f>Valores!$C$30</f>
        <v>166.15</v>
      </c>
      <c r="AE168" s="79">
        <v>94</v>
      </c>
      <c r="AF168" s="75">
        <f>INT(((AE168*Valores!$C$2)*100)+0.5)/100</f>
        <v>646.54999999999995</v>
      </c>
      <c r="AG168" s="75">
        <f>Valores!$C$58</f>
        <v>337.97</v>
      </c>
      <c r="AH168" s="75">
        <f>Valores!$C$60</f>
        <v>96.56</v>
      </c>
      <c r="AI168" s="114">
        <f t="shared" si="30"/>
        <v>41778.674500000008</v>
      </c>
      <c r="AJ168" s="101">
        <f>Valores!$C$35</f>
        <v>666.25</v>
      </c>
      <c r="AK168" s="78">
        <f>Valores!$C$9</f>
        <v>0</v>
      </c>
      <c r="AL168" s="78">
        <f>Valores!$C$83</f>
        <v>3000</v>
      </c>
      <c r="AM168" s="80">
        <v>0</v>
      </c>
      <c r="AN168" s="82">
        <f t="shared" si="31"/>
        <v>3666.25</v>
      </c>
      <c r="AO168" s="61">
        <f>AI168*-Valores!$C$65</f>
        <v>-5431.2276850000017</v>
      </c>
      <c r="AP168" s="61">
        <f>AI168*-Valores!$C$66</f>
        <v>-208.89337250000005</v>
      </c>
      <c r="AQ168" s="77">
        <f>AI168*-Valores!$C$67</f>
        <v>-1880.0403525000004</v>
      </c>
      <c r="AR168" s="77">
        <f>AI168*-Valores!$C$68</f>
        <v>-1128.0242115000003</v>
      </c>
      <c r="AS168" s="77">
        <f>AI168*-Valores!$C$69</f>
        <v>-125.33602350000002</v>
      </c>
      <c r="AT168" s="81">
        <f t="shared" si="27"/>
        <v>37924.763090000008</v>
      </c>
      <c r="AU168" s="81">
        <f t="shared" si="28"/>
        <v>38551.443207500008</v>
      </c>
      <c r="AV168" s="77">
        <f>AI168*Valores!$C$71</f>
        <v>6684.5879200000018</v>
      </c>
      <c r="AW168" s="77">
        <f>AI168*Valores!$C$72</f>
        <v>1880.0403525000004</v>
      </c>
      <c r="AX168" s="77">
        <f>AI168*Valores!$C$73</f>
        <v>417.78674500000011</v>
      </c>
      <c r="AY168" s="77">
        <f>AI168*Valores!$C$75</f>
        <v>1462.2536075000005</v>
      </c>
      <c r="AZ168" s="77">
        <f>AI168*Valores!$C$76</f>
        <v>250.67204700000005</v>
      </c>
      <c r="BA168" s="77">
        <f t="shared" si="32"/>
        <v>2256.0484230000006</v>
      </c>
      <c r="BB168" s="51"/>
      <c r="BC168" s="51">
        <v>45</v>
      </c>
      <c r="BD168" s="27" t="s">
        <v>8</v>
      </c>
    </row>
    <row r="169" spans="1:56" s="27" customFormat="1" ht="11.25" customHeight="1" x14ac:dyDescent="0.2">
      <c r="A169" s="51">
        <v>168</v>
      </c>
      <c r="B169" s="51"/>
      <c r="C169" s="27" t="s">
        <v>473</v>
      </c>
      <c r="E169" s="27">
        <f t="shared" si="24"/>
        <v>31</v>
      </c>
      <c r="F169" s="71" t="s">
        <v>474</v>
      </c>
      <c r="G169" s="72">
        <v>83</v>
      </c>
      <c r="H169" s="73">
        <f>INT((G169*Valores!$C$2*100)+0.5)/100</f>
        <v>570.89</v>
      </c>
      <c r="I169" s="112">
        <v>2092</v>
      </c>
      <c r="J169" s="75">
        <f>INT((I169*Valores!$C$2*100)+0.5)/100</f>
        <v>14389.19</v>
      </c>
      <c r="K169" s="102">
        <v>0</v>
      </c>
      <c r="L169" s="75">
        <f>INT((K169*Valores!$C$2*100)+0.5)/100</f>
        <v>0</v>
      </c>
      <c r="M169" s="100">
        <v>0</v>
      </c>
      <c r="N169" s="75">
        <f>INT((M169*Valores!$C$2*100)+0.5)/100</f>
        <v>0</v>
      </c>
      <c r="O169" s="75">
        <f t="shared" si="25"/>
        <v>3678.5009999999997</v>
      </c>
      <c r="P169" s="75">
        <f t="shared" si="26"/>
        <v>0</v>
      </c>
      <c r="Q169" s="101">
        <f>Valores!$C$20</f>
        <v>4231.82</v>
      </c>
      <c r="R169" s="101">
        <f>Valores!$D$4</f>
        <v>3076.62</v>
      </c>
      <c r="S169" s="75">
        <v>0</v>
      </c>
      <c r="T169" s="78">
        <f>Valores!$C$43</f>
        <v>1907.73</v>
      </c>
      <c r="U169" s="75">
        <f>Valores!$C$23</f>
        <v>2840.79</v>
      </c>
      <c r="V169" s="75">
        <f t="shared" si="23"/>
        <v>2840.79</v>
      </c>
      <c r="W169" s="75">
        <v>0</v>
      </c>
      <c r="X169" s="75">
        <v>0</v>
      </c>
      <c r="Y169" s="74">
        <v>700</v>
      </c>
      <c r="Z169" s="75">
        <f>Y169*Valores!$C$2</f>
        <v>4814.74</v>
      </c>
      <c r="AA169" s="101">
        <f>SUM(L169,J169,H169,T169)*Valores!$C$3</f>
        <v>2530.1714999999999</v>
      </c>
      <c r="AB169" s="80">
        <f>Valores!$C$29</f>
        <v>166.15</v>
      </c>
      <c r="AC169" s="75">
        <f t="shared" si="29"/>
        <v>0</v>
      </c>
      <c r="AD169" s="75">
        <f>Valores!$C$30</f>
        <v>166.15</v>
      </c>
      <c r="AE169" s="79">
        <v>94</v>
      </c>
      <c r="AF169" s="75">
        <f>INT(((AE169*Valores!$C$2)*100)+0.5)/100</f>
        <v>646.54999999999995</v>
      </c>
      <c r="AG169" s="75">
        <f>Valores!$C$58</f>
        <v>337.97</v>
      </c>
      <c r="AH169" s="75">
        <f>Valores!$C$60</f>
        <v>96.56</v>
      </c>
      <c r="AI169" s="114">
        <f t="shared" si="30"/>
        <v>39453.832500000004</v>
      </c>
      <c r="AJ169" s="101">
        <f>Valores!$C$35</f>
        <v>666.25</v>
      </c>
      <c r="AK169" s="78">
        <f>Valores!$C$9</f>
        <v>0</v>
      </c>
      <c r="AL169" s="78">
        <f>Valores!$C$83</f>
        <v>3000</v>
      </c>
      <c r="AM169" s="80">
        <v>0</v>
      </c>
      <c r="AN169" s="82">
        <f t="shared" si="31"/>
        <v>3666.25</v>
      </c>
      <c r="AO169" s="61">
        <f>AI169*-Valores!$C$65</f>
        <v>-5128.9982250000003</v>
      </c>
      <c r="AP169" s="61">
        <f>AI169*-Valores!$C$66</f>
        <v>-197.26916250000002</v>
      </c>
      <c r="AQ169" s="77">
        <f>AI169*-Valores!$C$67</f>
        <v>-1775.4224625000002</v>
      </c>
      <c r="AR169" s="77">
        <f>AI169*-Valores!$C$68</f>
        <v>-1065.2534775000001</v>
      </c>
      <c r="AS169" s="77">
        <f>AI169*-Valores!$C$69</f>
        <v>-118.36149750000001</v>
      </c>
      <c r="AT169" s="81">
        <f t="shared" si="27"/>
        <v>36018.392650000002</v>
      </c>
      <c r="AU169" s="81">
        <f t="shared" si="28"/>
        <v>36610.200137499996</v>
      </c>
      <c r="AV169" s="77">
        <f>AI169*Valores!$C$71</f>
        <v>6312.6132000000007</v>
      </c>
      <c r="AW169" s="77">
        <f>AI169*Valores!$C$72</f>
        <v>1775.4224625000002</v>
      </c>
      <c r="AX169" s="77">
        <f>AI169*Valores!$C$73</f>
        <v>394.53832500000004</v>
      </c>
      <c r="AY169" s="77">
        <f>AI169*Valores!$C$75</f>
        <v>1380.8841375000002</v>
      </c>
      <c r="AZ169" s="77">
        <f>AI169*Valores!$C$76</f>
        <v>236.72299500000003</v>
      </c>
      <c r="BA169" s="77">
        <f t="shared" si="32"/>
        <v>2130.5069550000003</v>
      </c>
      <c r="BB169" s="51"/>
      <c r="BC169" s="85">
        <v>45</v>
      </c>
      <c r="BD169" s="27" t="s">
        <v>8</v>
      </c>
    </row>
    <row r="170" spans="1:56" s="27" customFormat="1" ht="11.25" customHeight="1" x14ac:dyDescent="0.2">
      <c r="A170" s="51">
        <v>169</v>
      </c>
      <c r="B170" s="51"/>
      <c r="C170" s="27" t="s">
        <v>475</v>
      </c>
      <c r="E170" s="27">
        <f t="shared" si="24"/>
        <v>31</v>
      </c>
      <c r="F170" s="71" t="s">
        <v>476</v>
      </c>
      <c r="G170" s="72">
        <v>82</v>
      </c>
      <c r="H170" s="73">
        <f>INT((G170*Valores!$C$2*100)+0.5)/100</f>
        <v>564.01</v>
      </c>
      <c r="I170" s="112">
        <v>1941</v>
      </c>
      <c r="J170" s="75">
        <f>INT((I170*Valores!$C$2*100)+0.5)/100</f>
        <v>13350.59</v>
      </c>
      <c r="K170" s="102">
        <v>0</v>
      </c>
      <c r="L170" s="75">
        <f>INT((K170*Valores!$C$2*100)+0.5)/100</f>
        <v>0</v>
      </c>
      <c r="M170" s="100">
        <v>0</v>
      </c>
      <c r="N170" s="75">
        <f>INT((M170*Valores!$C$2*100)+0.5)/100</f>
        <v>0</v>
      </c>
      <c r="O170" s="75">
        <f t="shared" si="25"/>
        <v>3521.6790000000001</v>
      </c>
      <c r="P170" s="75">
        <f t="shared" si="26"/>
        <v>0</v>
      </c>
      <c r="Q170" s="101">
        <f>Valores!$C$20</f>
        <v>4231.82</v>
      </c>
      <c r="R170" s="101">
        <f>Valores!$D$4</f>
        <v>3076.62</v>
      </c>
      <c r="S170" s="75">
        <v>0</v>
      </c>
      <c r="T170" s="78">
        <f>Valores!$C$43</f>
        <v>1907.73</v>
      </c>
      <c r="U170" s="75">
        <f>Valores!$C$23</f>
        <v>2840.79</v>
      </c>
      <c r="V170" s="75">
        <f t="shared" si="23"/>
        <v>2840.79</v>
      </c>
      <c r="W170" s="75">
        <v>0</v>
      </c>
      <c r="X170" s="75">
        <v>0</v>
      </c>
      <c r="Y170" s="74">
        <v>700</v>
      </c>
      <c r="Z170" s="75">
        <f>Y170*Valores!$C$2</f>
        <v>4814.74</v>
      </c>
      <c r="AA170" s="101">
        <f>SUM(L170,J170,H170,T170)*Valores!$C$3</f>
        <v>2373.3494999999998</v>
      </c>
      <c r="AB170" s="80">
        <f>Valores!$C$29</f>
        <v>166.15</v>
      </c>
      <c r="AC170" s="75">
        <f t="shared" si="29"/>
        <v>0</v>
      </c>
      <c r="AD170" s="75">
        <f>Valores!$C$30</f>
        <v>166.15</v>
      </c>
      <c r="AE170" s="79">
        <v>94</v>
      </c>
      <c r="AF170" s="75">
        <f>INT(((AE170*Valores!$C$2)*100)+0.5)/100</f>
        <v>646.54999999999995</v>
      </c>
      <c r="AG170" s="75">
        <f>Valores!$C$58</f>
        <v>337.97</v>
      </c>
      <c r="AH170" s="75">
        <f>Valores!$C$60</f>
        <v>96.56</v>
      </c>
      <c r="AI170" s="114">
        <f t="shared" si="30"/>
        <v>38094.708500000008</v>
      </c>
      <c r="AJ170" s="101">
        <f>Valores!$C$35</f>
        <v>666.25</v>
      </c>
      <c r="AK170" s="78">
        <f>Valores!$C$9</f>
        <v>0</v>
      </c>
      <c r="AL170" s="78">
        <f>Valores!$C$83</f>
        <v>3000</v>
      </c>
      <c r="AM170" s="80">
        <v>0</v>
      </c>
      <c r="AN170" s="82">
        <f t="shared" si="31"/>
        <v>3666.25</v>
      </c>
      <c r="AO170" s="61">
        <f>AI170*-Valores!$C$65</f>
        <v>-4952.3121050000009</v>
      </c>
      <c r="AP170" s="61">
        <f>AI170*-Valores!$C$66</f>
        <v>-190.47354250000004</v>
      </c>
      <c r="AQ170" s="77">
        <f>AI170*-Valores!$C$67</f>
        <v>-1714.2618825000002</v>
      </c>
      <c r="AR170" s="77">
        <f>AI170*-Valores!$C$68</f>
        <v>-1028.5571295000002</v>
      </c>
      <c r="AS170" s="77">
        <f>AI170*-Valores!$C$69</f>
        <v>-114.28412550000003</v>
      </c>
      <c r="AT170" s="81">
        <f t="shared" si="27"/>
        <v>34903.910969999997</v>
      </c>
      <c r="AU170" s="81">
        <f t="shared" si="28"/>
        <v>35475.331597500008</v>
      </c>
      <c r="AV170" s="77">
        <f>AI170*Valores!$C$71</f>
        <v>6095.1533600000012</v>
      </c>
      <c r="AW170" s="77">
        <f>AI170*Valores!$C$72</f>
        <v>1714.2618825000002</v>
      </c>
      <c r="AX170" s="77">
        <f>AI170*Valores!$C$73</f>
        <v>380.94708500000007</v>
      </c>
      <c r="AY170" s="77">
        <f>AI170*Valores!$C$75</f>
        <v>1333.3147975000004</v>
      </c>
      <c r="AZ170" s="77">
        <f>AI170*Valores!$C$76</f>
        <v>228.56825100000006</v>
      </c>
      <c r="BA170" s="77">
        <f t="shared" si="32"/>
        <v>2057.1142590000004</v>
      </c>
      <c r="BB170" s="51"/>
      <c r="BC170" s="51">
        <v>45</v>
      </c>
      <c r="BD170" s="27" t="s">
        <v>8</v>
      </c>
    </row>
    <row r="171" spans="1:56" s="27" customFormat="1" ht="11.25" customHeight="1" x14ac:dyDescent="0.2">
      <c r="A171" s="85">
        <v>170</v>
      </c>
      <c r="B171" s="85" t="s">
        <v>163</v>
      </c>
      <c r="C171" s="86" t="s">
        <v>477</v>
      </c>
      <c r="D171" s="86"/>
      <c r="E171" s="86">
        <f t="shared" si="24"/>
        <v>30</v>
      </c>
      <c r="F171" s="87" t="s">
        <v>478</v>
      </c>
      <c r="G171" s="88">
        <v>79</v>
      </c>
      <c r="H171" s="89">
        <f>INT((G171*Valores!$C$2*100)+0.5)/100</f>
        <v>543.38</v>
      </c>
      <c r="I171" s="103">
        <v>2161</v>
      </c>
      <c r="J171" s="91">
        <f>INT((I171*Valores!$C$2*100)+0.5)/100</f>
        <v>14863.79</v>
      </c>
      <c r="K171" s="104">
        <v>0</v>
      </c>
      <c r="L171" s="91">
        <f>INT((K171*Valores!$C$2*100)+0.5)/100</f>
        <v>0</v>
      </c>
      <c r="M171" s="105">
        <v>0</v>
      </c>
      <c r="N171" s="91">
        <f>INT((M171*Valores!$C$2*100)+0.5)/100</f>
        <v>0</v>
      </c>
      <c r="O171" s="91">
        <f t="shared" si="25"/>
        <v>3745.5645</v>
      </c>
      <c r="P171" s="91">
        <f t="shared" si="26"/>
        <v>0</v>
      </c>
      <c r="Q171" s="107">
        <f>Valores!$C$20</f>
        <v>4231.82</v>
      </c>
      <c r="R171" s="107">
        <f>Valores!$D$4</f>
        <v>3076.62</v>
      </c>
      <c r="S171" s="91">
        <v>0</v>
      </c>
      <c r="T171" s="94">
        <f>Valores!$C$43</f>
        <v>1907.73</v>
      </c>
      <c r="U171" s="91">
        <f>Valores!$C$23</f>
        <v>2840.79</v>
      </c>
      <c r="V171" s="91">
        <f t="shared" si="23"/>
        <v>2840.79</v>
      </c>
      <c r="W171" s="91">
        <v>0</v>
      </c>
      <c r="X171" s="91">
        <v>0</v>
      </c>
      <c r="Y171" s="90">
        <v>700</v>
      </c>
      <c r="Z171" s="91">
        <f>Y171*Valores!$C$2</f>
        <v>4814.74</v>
      </c>
      <c r="AA171" s="107">
        <f>SUM(L171,J171,H171,T171)*Valores!$C$3</f>
        <v>2597.2350000000001</v>
      </c>
      <c r="AB171" s="96">
        <f>Valores!$C$29</f>
        <v>166.15</v>
      </c>
      <c r="AC171" s="91">
        <f t="shared" si="29"/>
        <v>0</v>
      </c>
      <c r="AD171" s="91">
        <f>Valores!$C$30</f>
        <v>166.15</v>
      </c>
      <c r="AE171" s="95">
        <v>94</v>
      </c>
      <c r="AF171" s="91">
        <f>INT(((AE171*Valores!$C$2)*100)+0.5)/100</f>
        <v>646.54999999999995</v>
      </c>
      <c r="AG171" s="91">
        <f>Valores!$C$58</f>
        <v>337.97</v>
      </c>
      <c r="AH171" s="91">
        <f>Valores!$C$60</f>
        <v>96.56</v>
      </c>
      <c r="AI171" s="115">
        <f t="shared" si="30"/>
        <v>40035.049500000008</v>
      </c>
      <c r="AJ171" s="107">
        <f>Valores!$C$35</f>
        <v>666.25</v>
      </c>
      <c r="AK171" s="94">
        <f>Valores!$C$9</f>
        <v>0</v>
      </c>
      <c r="AL171" s="94">
        <f>Valores!$C$83</f>
        <v>3000</v>
      </c>
      <c r="AM171" s="96">
        <v>0</v>
      </c>
      <c r="AN171" s="98">
        <f t="shared" si="31"/>
        <v>3666.25</v>
      </c>
      <c r="AO171" s="116">
        <f>AI171*-Valores!$C$65</f>
        <v>-5204.5564350000013</v>
      </c>
      <c r="AP171" s="116">
        <f>AI171*-Valores!$C$66</f>
        <v>-200.17524750000004</v>
      </c>
      <c r="AQ171" s="93">
        <f>AI171*-Valores!$C$67</f>
        <v>-1801.5772275000004</v>
      </c>
      <c r="AR171" s="93">
        <f>AI171*-Valores!$C$68</f>
        <v>-1080.9463365000001</v>
      </c>
      <c r="AS171" s="93">
        <f>AI171*-Valores!$C$69</f>
        <v>-120.10514850000003</v>
      </c>
      <c r="AT171" s="97">
        <f t="shared" si="27"/>
        <v>36494.990590000009</v>
      </c>
      <c r="AU171" s="97">
        <f t="shared" si="28"/>
        <v>37095.51633250001</v>
      </c>
      <c r="AV171" s="93">
        <f>AI171*Valores!$C$71</f>
        <v>6405.6079200000013</v>
      </c>
      <c r="AW171" s="93">
        <f>AI171*Valores!$C$72</f>
        <v>1801.5772275000004</v>
      </c>
      <c r="AX171" s="93">
        <f>AI171*Valores!$C$73</f>
        <v>400.35049500000008</v>
      </c>
      <c r="AY171" s="93">
        <f>AI171*Valores!$C$75</f>
        <v>1401.2267325000005</v>
      </c>
      <c r="AZ171" s="93">
        <f>AI171*Valores!$C$76</f>
        <v>240.21029700000005</v>
      </c>
      <c r="BA171" s="93">
        <f t="shared" si="32"/>
        <v>2161.8926730000007</v>
      </c>
      <c r="BB171" s="85"/>
      <c r="BC171" s="85">
        <v>45</v>
      </c>
      <c r="BD171" s="86" t="s">
        <v>8</v>
      </c>
    </row>
    <row r="172" spans="1:56" s="27" customFormat="1" ht="11.25" customHeight="1" x14ac:dyDescent="0.2">
      <c r="A172" s="51">
        <v>171</v>
      </c>
      <c r="B172" s="51"/>
      <c r="C172" s="27" t="s">
        <v>479</v>
      </c>
      <c r="E172" s="27">
        <f t="shared" si="24"/>
        <v>28</v>
      </c>
      <c r="F172" s="71" t="s">
        <v>480</v>
      </c>
      <c r="G172" s="72">
        <v>98</v>
      </c>
      <c r="H172" s="73">
        <f>INT((G172*Valores!$C$2*100)+0.5)/100</f>
        <v>674.06</v>
      </c>
      <c r="I172" s="112">
        <v>2686</v>
      </c>
      <c r="J172" s="75">
        <f>INT((I172*Valores!$C$2*100)+0.5)/100</f>
        <v>18474.849999999999</v>
      </c>
      <c r="K172" s="102">
        <v>0</v>
      </c>
      <c r="L172" s="75">
        <f>INT((K172*Valores!$C$2*100)+0.5)/100</f>
        <v>0</v>
      </c>
      <c r="M172" s="100">
        <v>0</v>
      </c>
      <c r="N172" s="75">
        <f>INT((M172*Valores!$C$2*100)+0.5)/100</f>
        <v>0</v>
      </c>
      <c r="O172" s="75">
        <f t="shared" si="25"/>
        <v>4306.8254999999999</v>
      </c>
      <c r="P172" s="75">
        <f t="shared" si="26"/>
        <v>0</v>
      </c>
      <c r="Q172" s="75">
        <f>Valores!$C$20</f>
        <v>4231.82</v>
      </c>
      <c r="R172" s="101">
        <f>Valores!$D$4</f>
        <v>3076.62</v>
      </c>
      <c r="S172" s="75">
        <v>0</v>
      </c>
      <c r="T172" s="78">
        <f>Valores!$C$43</f>
        <v>1907.73</v>
      </c>
      <c r="U172" s="75">
        <f>Valores!$C$23</f>
        <v>2840.79</v>
      </c>
      <c r="V172" s="75">
        <f t="shared" si="23"/>
        <v>2840.79</v>
      </c>
      <c r="W172" s="75">
        <v>0</v>
      </c>
      <c r="X172" s="75">
        <v>0</v>
      </c>
      <c r="Y172" s="74">
        <v>700</v>
      </c>
      <c r="Z172" s="75">
        <f>Y172*Valores!$C$2</f>
        <v>4814.74</v>
      </c>
      <c r="AA172" s="101">
        <f>SUM(L172,J172,H172,T172)*Valores!$C$3</f>
        <v>3158.4959999999996</v>
      </c>
      <c r="AB172" s="80">
        <f>Valores!$C$29</f>
        <v>166.15</v>
      </c>
      <c r="AC172" s="75">
        <f t="shared" si="29"/>
        <v>0</v>
      </c>
      <c r="AD172" s="75">
        <f>Valores!$C$30</f>
        <v>166.15</v>
      </c>
      <c r="AE172" s="79">
        <v>0</v>
      </c>
      <c r="AF172" s="75">
        <f>INT(((AE172*Valores!$C$2)*100)+0.5)/100</f>
        <v>0</v>
      </c>
      <c r="AG172" s="75">
        <f>Valores!$C$58</f>
        <v>337.97</v>
      </c>
      <c r="AH172" s="75">
        <f>Valores!$C$60</f>
        <v>96.56</v>
      </c>
      <c r="AI172" s="114">
        <f t="shared" si="30"/>
        <v>44252.761500000001</v>
      </c>
      <c r="AJ172" s="101">
        <f>Valores!$C$35</f>
        <v>666.25</v>
      </c>
      <c r="AK172" s="78">
        <f>Valores!$C$9</f>
        <v>0</v>
      </c>
      <c r="AL172" s="78">
        <f>Valores!$C$83</f>
        <v>3000</v>
      </c>
      <c r="AM172" s="80">
        <v>0</v>
      </c>
      <c r="AN172" s="82">
        <f t="shared" si="31"/>
        <v>3666.25</v>
      </c>
      <c r="AO172" s="61">
        <f>AI172*-Valores!$C$65</f>
        <v>-5752.8589950000005</v>
      </c>
      <c r="AP172" s="61">
        <f>AI172*-Valores!$C$66</f>
        <v>-221.26380750000001</v>
      </c>
      <c r="AQ172" s="77">
        <f>AI172*-Valores!$C$67</f>
        <v>-1991.3742674999999</v>
      </c>
      <c r="AR172" s="77">
        <f>AI172*-Valores!$C$68</f>
        <v>-1194.8245605</v>
      </c>
      <c r="AS172" s="77">
        <f>AI172*-Valores!$C$69</f>
        <v>-132.7582845</v>
      </c>
      <c r="AT172" s="81">
        <f t="shared" si="27"/>
        <v>39953.514429999996</v>
      </c>
      <c r="AU172" s="81">
        <f t="shared" si="28"/>
        <v>40617.305852500001</v>
      </c>
      <c r="AV172" s="77">
        <f>AI172*Valores!$C$71</f>
        <v>7080.4418400000004</v>
      </c>
      <c r="AW172" s="77">
        <f>AI172*Valores!$C$72</f>
        <v>1991.3742674999999</v>
      </c>
      <c r="AX172" s="77">
        <f>AI172*Valores!$C$73</f>
        <v>442.52761500000003</v>
      </c>
      <c r="AY172" s="77">
        <f>AI172*Valores!$C$75</f>
        <v>1548.8466525000001</v>
      </c>
      <c r="AZ172" s="77">
        <f>AI172*Valores!$C$76</f>
        <v>265.516569</v>
      </c>
      <c r="BA172" s="77">
        <f t="shared" si="32"/>
        <v>2389.6491210000004</v>
      </c>
      <c r="BB172" s="51"/>
      <c r="BC172" s="51"/>
      <c r="BD172" s="27" t="s">
        <v>8</v>
      </c>
    </row>
    <row r="173" spans="1:56" s="27" customFormat="1" ht="11.25" customHeight="1" x14ac:dyDescent="0.2">
      <c r="A173" s="51">
        <v>172</v>
      </c>
      <c r="B173" s="51"/>
      <c r="C173" s="27" t="s">
        <v>481</v>
      </c>
      <c r="E173" s="27">
        <f t="shared" si="24"/>
        <v>28</v>
      </c>
      <c r="F173" s="71" t="s">
        <v>482</v>
      </c>
      <c r="G173" s="72">
        <v>93</v>
      </c>
      <c r="H173" s="73">
        <f>INT((G173*Valores!$C$2*100)+0.5)/100</f>
        <v>639.66999999999996</v>
      </c>
      <c r="I173" s="112">
        <v>2547</v>
      </c>
      <c r="J173" s="75">
        <f>INT((I173*Valores!$C$2*100)+0.5)/100</f>
        <v>17518.78</v>
      </c>
      <c r="K173" s="102">
        <v>0</v>
      </c>
      <c r="L173" s="75">
        <f>INT((K173*Valores!$C$2*100)+0.5)/100</f>
        <v>0</v>
      </c>
      <c r="M173" s="100">
        <v>0</v>
      </c>
      <c r="N173" s="75">
        <f>INT((M173*Valores!$C$2*100)+0.5)/100</f>
        <v>0</v>
      </c>
      <c r="O173" s="75">
        <f t="shared" si="25"/>
        <v>4158.2564999999995</v>
      </c>
      <c r="P173" s="75">
        <f t="shared" si="26"/>
        <v>0</v>
      </c>
      <c r="Q173" s="106">
        <f>Valores!$C$20</f>
        <v>4231.82</v>
      </c>
      <c r="R173" s="101">
        <f>Valores!$D$4</f>
        <v>3076.62</v>
      </c>
      <c r="S173" s="75">
        <v>0</v>
      </c>
      <c r="T173" s="78">
        <f>Valores!$C$43</f>
        <v>1907.73</v>
      </c>
      <c r="U173" s="75">
        <f>Valores!$C$23</f>
        <v>2840.79</v>
      </c>
      <c r="V173" s="75">
        <f t="shared" si="23"/>
        <v>2840.79</v>
      </c>
      <c r="W173" s="75">
        <v>0</v>
      </c>
      <c r="X173" s="75">
        <v>0</v>
      </c>
      <c r="Y173" s="74">
        <v>700</v>
      </c>
      <c r="Z173" s="75">
        <f>Y173*Valores!$C$2</f>
        <v>4814.74</v>
      </c>
      <c r="AA173" s="101">
        <f>SUM(L173,J173,H173,T173)*Valores!$C$3</f>
        <v>3009.9269999999992</v>
      </c>
      <c r="AB173" s="80">
        <f>Valores!$C$29</f>
        <v>166.15</v>
      </c>
      <c r="AC173" s="75">
        <f t="shared" si="29"/>
        <v>0</v>
      </c>
      <c r="AD173" s="75">
        <f>Valores!$C$30</f>
        <v>166.15</v>
      </c>
      <c r="AE173" s="79">
        <v>0</v>
      </c>
      <c r="AF173" s="75">
        <f>INT(((AE173*Valores!$C$2)*100)+0.5)/100</f>
        <v>0</v>
      </c>
      <c r="AG173" s="75">
        <f>Valores!$C$58</f>
        <v>337.97</v>
      </c>
      <c r="AH173" s="75">
        <f>Valores!$C$60</f>
        <v>96.56</v>
      </c>
      <c r="AI173" s="114">
        <f t="shared" si="30"/>
        <v>42965.163499999995</v>
      </c>
      <c r="AJ173" s="101">
        <f>Valores!$C$35</f>
        <v>666.25</v>
      </c>
      <c r="AK173" s="78">
        <f>Valores!$C$9</f>
        <v>0</v>
      </c>
      <c r="AL173" s="78">
        <f>Valores!$C$83</f>
        <v>3000</v>
      </c>
      <c r="AM173" s="80">
        <v>0</v>
      </c>
      <c r="AN173" s="82">
        <f t="shared" si="31"/>
        <v>3666.25</v>
      </c>
      <c r="AO173" s="61">
        <f>AI173*-Valores!$C$65</f>
        <v>-5585.4712549999995</v>
      </c>
      <c r="AP173" s="61">
        <f>AI173*-Valores!$C$66</f>
        <v>-214.82581749999997</v>
      </c>
      <c r="AQ173" s="77">
        <f>AI173*-Valores!$C$67</f>
        <v>-1933.4323574999996</v>
      </c>
      <c r="AR173" s="77">
        <f>AI173*-Valores!$C$68</f>
        <v>-1160.0594144999998</v>
      </c>
      <c r="AS173" s="77">
        <f>AI173*-Valores!$C$69</f>
        <v>-128.89549049999999</v>
      </c>
      <c r="AT173" s="81">
        <f t="shared" si="27"/>
        <v>38897.684069999996</v>
      </c>
      <c r="AU173" s="81">
        <f t="shared" si="28"/>
        <v>39542.161522499999</v>
      </c>
      <c r="AV173" s="77">
        <f>AI173*Valores!$C$71</f>
        <v>6874.4261599999991</v>
      </c>
      <c r="AW173" s="77">
        <f>AI173*Valores!$C$72</f>
        <v>1933.4323574999996</v>
      </c>
      <c r="AX173" s="77">
        <f>AI173*Valores!$C$73</f>
        <v>429.65163499999994</v>
      </c>
      <c r="AY173" s="77">
        <f>AI173*Valores!$C$75</f>
        <v>1503.7807224999999</v>
      </c>
      <c r="AZ173" s="77">
        <f>AI173*Valores!$C$76</f>
        <v>257.79098099999999</v>
      </c>
      <c r="BA173" s="77">
        <f t="shared" si="32"/>
        <v>2320.118829</v>
      </c>
      <c r="BB173" s="51"/>
      <c r="BC173" s="51"/>
      <c r="BD173" s="27" t="s">
        <v>4</v>
      </c>
    </row>
    <row r="174" spans="1:56" s="27" customFormat="1" ht="11.25" customHeight="1" x14ac:dyDescent="0.2">
      <c r="A174" s="51">
        <v>173</v>
      </c>
      <c r="B174" s="51"/>
      <c r="C174" s="27" t="s">
        <v>483</v>
      </c>
      <c r="E174" s="27">
        <f t="shared" si="24"/>
        <v>27</v>
      </c>
      <c r="F174" s="71" t="s">
        <v>484</v>
      </c>
      <c r="G174" s="72">
        <v>1278</v>
      </c>
      <c r="H174" s="73">
        <f>INT((G174*Valores!$C$2*100)+0.5)/100</f>
        <v>8790.34</v>
      </c>
      <c r="I174" s="112">
        <v>0</v>
      </c>
      <c r="J174" s="75">
        <f>INT((I174*Valores!$C$2*100)+0.5)/100</f>
        <v>0</v>
      </c>
      <c r="K174" s="102">
        <v>0</v>
      </c>
      <c r="L174" s="75">
        <f>INT((K174*Valores!$C$2*100)+0.5)/100</f>
        <v>0</v>
      </c>
      <c r="M174" s="100">
        <v>0</v>
      </c>
      <c r="N174" s="75">
        <f>INT((M174*Valores!$C$2*100)+0.5)/100</f>
        <v>0</v>
      </c>
      <c r="O174" s="75">
        <f t="shared" si="25"/>
        <v>2959.386</v>
      </c>
      <c r="P174" s="75">
        <f t="shared" si="26"/>
        <v>0</v>
      </c>
      <c r="Q174" s="101">
        <f>Valores!$C$20</f>
        <v>4231.82</v>
      </c>
      <c r="R174" s="101">
        <f>Valores!$D$4</f>
        <v>3076.62</v>
      </c>
      <c r="S174" s="75">
        <v>0</v>
      </c>
      <c r="T174" s="78">
        <f>Valores!$C$43</f>
        <v>1907.73</v>
      </c>
      <c r="U174" s="75">
        <f>Valores!$C$23</f>
        <v>2840.79</v>
      </c>
      <c r="V174" s="75">
        <f t="shared" ref="V174:V237" si="33">U174*(1+$J$2)</f>
        <v>2840.79</v>
      </c>
      <c r="W174" s="75">
        <v>0</v>
      </c>
      <c r="X174" s="75">
        <v>0</v>
      </c>
      <c r="Y174" s="74">
        <v>900</v>
      </c>
      <c r="Z174" s="75">
        <f>Y174*Valores!$C$2</f>
        <v>6190.38</v>
      </c>
      <c r="AA174" s="101">
        <f>SUM(L174,J174,H174,T174)*Valores!$C$3</f>
        <v>1604.7104999999999</v>
      </c>
      <c r="AB174" s="80">
        <f>Valores!$C$29</f>
        <v>166.15</v>
      </c>
      <c r="AC174" s="75">
        <f t="shared" si="29"/>
        <v>0</v>
      </c>
      <c r="AD174" s="75">
        <f>Valores!$C$30</f>
        <v>166.15</v>
      </c>
      <c r="AE174" s="79">
        <v>94</v>
      </c>
      <c r="AF174" s="75">
        <f>INT(((AE174*Valores!$C$2)*100)+0.5)/100</f>
        <v>646.54999999999995</v>
      </c>
      <c r="AG174" s="75">
        <f>Valores!$C$58</f>
        <v>337.97</v>
      </c>
      <c r="AH174" s="75">
        <f>Valores!$C$60</f>
        <v>96.56</v>
      </c>
      <c r="AI174" s="114">
        <f t="shared" si="30"/>
        <v>33015.156500000005</v>
      </c>
      <c r="AJ174" s="101">
        <f>Valores!$C$35</f>
        <v>666.25</v>
      </c>
      <c r="AK174" s="78">
        <f>Valores!$C$9</f>
        <v>0</v>
      </c>
      <c r="AL174" s="78">
        <f>Valores!$C$83</f>
        <v>3000</v>
      </c>
      <c r="AM174" s="80">
        <f>Valores!$C$50</f>
        <v>283.24</v>
      </c>
      <c r="AN174" s="82">
        <f t="shared" si="31"/>
        <v>3666.25</v>
      </c>
      <c r="AO174" s="61">
        <f>AI174*-Valores!$C$65</f>
        <v>-4291.9703450000006</v>
      </c>
      <c r="AP174" s="61">
        <f>AI174*-Valores!$C$66</f>
        <v>-165.07578250000003</v>
      </c>
      <c r="AQ174" s="77">
        <f>AI174*-Valores!$C$67</f>
        <v>-1485.6820425000001</v>
      </c>
      <c r="AR174" s="77">
        <f>AI174*-Valores!$C$68</f>
        <v>-891.40922550000016</v>
      </c>
      <c r="AS174" s="77">
        <f>AI174*-Valores!$C$69</f>
        <v>-99.04546950000001</v>
      </c>
      <c r="AT174" s="81">
        <f t="shared" si="27"/>
        <v>30738.67833000001</v>
      </c>
      <c r="AU174" s="81">
        <f t="shared" si="28"/>
        <v>31233.905677500006</v>
      </c>
      <c r="AV174" s="77">
        <f>AI174*Valores!$C$71</f>
        <v>5282.425040000001</v>
      </c>
      <c r="AW174" s="77">
        <f>AI174*Valores!$C$72</f>
        <v>1485.6820425000001</v>
      </c>
      <c r="AX174" s="77">
        <f>AI174*Valores!$C$73</f>
        <v>330.15156500000006</v>
      </c>
      <c r="AY174" s="77">
        <f>AI174*Valores!$C$75</f>
        <v>1155.5304775000002</v>
      </c>
      <c r="AZ174" s="77">
        <f>AI174*Valores!$C$76</f>
        <v>198.09093900000002</v>
      </c>
      <c r="BA174" s="77">
        <f t="shared" si="32"/>
        <v>1782.8184510000003</v>
      </c>
      <c r="BB174" s="51"/>
      <c r="BC174" s="85">
        <v>36</v>
      </c>
      <c r="BD174" s="27" t="s">
        <v>4</v>
      </c>
    </row>
    <row r="175" spans="1:56" s="27" customFormat="1" ht="11.25" customHeight="1" x14ac:dyDescent="0.2">
      <c r="A175" s="51">
        <v>174</v>
      </c>
      <c r="B175" s="51"/>
      <c r="C175" s="27" t="s">
        <v>485</v>
      </c>
      <c r="E175" s="27">
        <f t="shared" si="24"/>
        <v>27</v>
      </c>
      <c r="F175" s="71" t="s">
        <v>486</v>
      </c>
      <c r="G175" s="72">
        <v>217</v>
      </c>
      <c r="H175" s="73">
        <f>INT((G175*Valores!$C$2*100)+0.5)/100</f>
        <v>1492.57</v>
      </c>
      <c r="I175" s="112">
        <f>2245</f>
        <v>2245</v>
      </c>
      <c r="J175" s="75">
        <f>INT((I175*Valores!$C$2*100)+0.5)/100</f>
        <v>15441.56</v>
      </c>
      <c r="K175" s="102">
        <v>0</v>
      </c>
      <c r="L175" s="75">
        <f>INT((K175*Valores!$C$2*100)+0.5)/100</f>
        <v>0</v>
      </c>
      <c r="M175" s="100">
        <v>1300</v>
      </c>
      <c r="N175" s="75">
        <f>INT((M175*Valores!$C$2*100)+0.5)/100</f>
        <v>8941.66</v>
      </c>
      <c r="O175" s="75">
        <f t="shared" si="25"/>
        <v>4593.6464999999998</v>
      </c>
      <c r="P175" s="75">
        <f t="shared" si="26"/>
        <v>0</v>
      </c>
      <c r="Q175" s="101">
        <f>Valores!$C$16</f>
        <v>4450.7</v>
      </c>
      <c r="R175" s="101">
        <f>Valores!$D$4</f>
        <v>3076.62</v>
      </c>
      <c r="S175" s="101">
        <f>Valores!$C$26</f>
        <v>3208.72</v>
      </c>
      <c r="T175" s="106">
        <f>Valores!$C$43</f>
        <v>1907.73</v>
      </c>
      <c r="U175" s="75">
        <f>Valores!$C$23</f>
        <v>2840.79</v>
      </c>
      <c r="V175" s="75">
        <f t="shared" si="33"/>
        <v>2840.79</v>
      </c>
      <c r="W175" s="75">
        <v>0</v>
      </c>
      <c r="X175" s="75">
        <v>0</v>
      </c>
      <c r="Y175" s="79">
        <v>0</v>
      </c>
      <c r="Z175" s="75">
        <f>Y175*Valores!$C$2</f>
        <v>0</v>
      </c>
      <c r="AA175" s="75">
        <v>0</v>
      </c>
      <c r="AB175" s="80">
        <f>Valores!$C$29</f>
        <v>166.15</v>
      </c>
      <c r="AC175" s="75">
        <f t="shared" si="29"/>
        <v>0</v>
      </c>
      <c r="AD175" s="75">
        <f>Valores!$C$30</f>
        <v>166.15</v>
      </c>
      <c r="AE175" s="79">
        <v>0</v>
      </c>
      <c r="AF175" s="75">
        <f>INT(((AE175*Valores!$C$2)*100)+0.5)/100</f>
        <v>0</v>
      </c>
      <c r="AG175" s="75">
        <f>Valores!$C$58</f>
        <v>337.97</v>
      </c>
      <c r="AH175" s="75">
        <f>Valores!$C$60</f>
        <v>96.56</v>
      </c>
      <c r="AI175" s="114">
        <f t="shared" si="30"/>
        <v>46720.82650000001</v>
      </c>
      <c r="AJ175" s="101">
        <f>Valores!$C$35</f>
        <v>666.25</v>
      </c>
      <c r="AK175" s="78">
        <f>Valores!$C$9</f>
        <v>0</v>
      </c>
      <c r="AL175" s="78">
        <f>Valores!$C$83</f>
        <v>3000</v>
      </c>
      <c r="AM175" s="80">
        <f>Valores!$C$50</f>
        <v>283.24</v>
      </c>
      <c r="AN175" s="82">
        <f t="shared" si="31"/>
        <v>3666.25</v>
      </c>
      <c r="AO175" s="61">
        <f>AI175*-Valores!$C$65</f>
        <v>-6073.7074450000018</v>
      </c>
      <c r="AP175" s="61">
        <f>AI175*-Valores!$C$66</f>
        <v>-233.60413250000005</v>
      </c>
      <c r="AQ175" s="77">
        <f>AI175*-Valores!$C$67</f>
        <v>-2102.4371925000005</v>
      </c>
      <c r="AR175" s="77">
        <f>AI175*-Valores!$C$68</f>
        <v>-1261.4623155000002</v>
      </c>
      <c r="AS175" s="77">
        <f>AI175*-Valores!$C$69</f>
        <v>-140.16247950000005</v>
      </c>
      <c r="AT175" s="81">
        <f t="shared" si="27"/>
        <v>41977.327730000012</v>
      </c>
      <c r="AU175" s="81">
        <f t="shared" si="28"/>
        <v>42678.14012750001</v>
      </c>
      <c r="AV175" s="77">
        <f>AI175*Valores!$C$71</f>
        <v>7475.3322400000015</v>
      </c>
      <c r="AW175" s="77">
        <f>AI175*Valores!$C$72</f>
        <v>2102.4371925000005</v>
      </c>
      <c r="AX175" s="77">
        <f>AI175*Valores!$C$73</f>
        <v>467.2082650000001</v>
      </c>
      <c r="AY175" s="77">
        <f>AI175*Valores!$C$75</f>
        <v>1635.2289275000005</v>
      </c>
      <c r="AZ175" s="77">
        <f>AI175*Valores!$C$76</f>
        <v>280.32495900000009</v>
      </c>
      <c r="BA175" s="77">
        <f t="shared" si="32"/>
        <v>2522.9246310000008</v>
      </c>
      <c r="BB175" s="51"/>
      <c r="BC175" s="51">
        <v>45</v>
      </c>
      <c r="BD175" s="27" t="s">
        <v>4</v>
      </c>
    </row>
    <row r="176" spans="1:56" s="27" customFormat="1" ht="11.25" customHeight="1" x14ac:dyDescent="0.2">
      <c r="A176" s="85">
        <v>175</v>
      </c>
      <c r="B176" s="85" t="s">
        <v>163</v>
      </c>
      <c r="C176" s="86" t="s">
        <v>487</v>
      </c>
      <c r="D176" s="86"/>
      <c r="E176" s="86">
        <f t="shared" si="24"/>
        <v>27</v>
      </c>
      <c r="F176" s="87" t="s">
        <v>488</v>
      </c>
      <c r="G176" s="88">
        <v>185</v>
      </c>
      <c r="H176" s="89">
        <f>INT((G176*Valores!$C$2*100)+0.5)/100</f>
        <v>1272.47</v>
      </c>
      <c r="I176" s="103">
        <f>1835</f>
        <v>1835</v>
      </c>
      <c r="J176" s="91">
        <f>INT((I176*Valores!$C$2*100)+0.5)/100</f>
        <v>12621.5</v>
      </c>
      <c r="K176" s="104">
        <v>0</v>
      </c>
      <c r="L176" s="91">
        <f>INT((K176*Valores!$C$2*100)+0.5)/100</f>
        <v>0</v>
      </c>
      <c r="M176" s="105">
        <v>1300</v>
      </c>
      <c r="N176" s="91">
        <f>INT((M176*Valores!$C$2*100)+0.5)/100</f>
        <v>8941.66</v>
      </c>
      <c r="O176" s="91">
        <f t="shared" si="25"/>
        <v>4137.6224999999995</v>
      </c>
      <c r="P176" s="91">
        <f t="shared" si="26"/>
        <v>0</v>
      </c>
      <c r="Q176" s="107">
        <f>Valores!$C$16</f>
        <v>4450.7</v>
      </c>
      <c r="R176" s="107">
        <f>Valores!$D$4</f>
        <v>3076.62</v>
      </c>
      <c r="S176" s="107">
        <f>Valores!$C$26</f>
        <v>3208.72</v>
      </c>
      <c r="T176" s="108">
        <f>Valores!$C$43</f>
        <v>1907.73</v>
      </c>
      <c r="U176" s="91">
        <f>Valores!$C$23</f>
        <v>2840.79</v>
      </c>
      <c r="V176" s="91">
        <f t="shared" si="33"/>
        <v>2840.79</v>
      </c>
      <c r="W176" s="91">
        <v>0</v>
      </c>
      <c r="X176" s="91">
        <v>0</v>
      </c>
      <c r="Y176" s="95">
        <v>0</v>
      </c>
      <c r="Z176" s="91">
        <f>Y176*Valores!$C$2</f>
        <v>0</v>
      </c>
      <c r="AA176" s="91">
        <v>0</v>
      </c>
      <c r="AB176" s="96">
        <f>Valores!$C$29</f>
        <v>166.15</v>
      </c>
      <c r="AC176" s="91">
        <f t="shared" si="29"/>
        <v>0</v>
      </c>
      <c r="AD176" s="91">
        <f>Valores!$C$30</f>
        <v>166.15</v>
      </c>
      <c r="AE176" s="95">
        <v>0</v>
      </c>
      <c r="AF176" s="91">
        <f>INT(((AE176*Valores!$C$2)*100)+0.5)/100</f>
        <v>0</v>
      </c>
      <c r="AG176" s="91">
        <f>Valores!$C$58</f>
        <v>337.97</v>
      </c>
      <c r="AH176" s="91">
        <f>Valores!$C$60</f>
        <v>96.56</v>
      </c>
      <c r="AI176" s="115">
        <f t="shared" si="30"/>
        <v>43224.642500000002</v>
      </c>
      <c r="AJ176" s="107">
        <f>Valores!$C$35</f>
        <v>666.25</v>
      </c>
      <c r="AK176" s="94">
        <f>Valores!$C$9</f>
        <v>0</v>
      </c>
      <c r="AL176" s="94">
        <f>Valores!$C$83</f>
        <v>3000</v>
      </c>
      <c r="AM176" s="96">
        <f>Valores!$C$50</f>
        <v>283.24</v>
      </c>
      <c r="AN176" s="98">
        <f t="shared" si="31"/>
        <v>3666.25</v>
      </c>
      <c r="AO176" s="116">
        <f>AI176*-Valores!$C$65</f>
        <v>-5619.2035250000008</v>
      </c>
      <c r="AP176" s="116">
        <f>AI176*-Valores!$C$66</f>
        <v>-216.12321250000002</v>
      </c>
      <c r="AQ176" s="93">
        <f>AI176*-Valores!$C$67</f>
        <v>-1945.1089125000001</v>
      </c>
      <c r="AR176" s="93">
        <f>AI176*-Valores!$C$68</f>
        <v>-1167.0653475000001</v>
      </c>
      <c r="AS176" s="93">
        <f>AI176*-Valores!$C$69</f>
        <v>-129.67392750000002</v>
      </c>
      <c r="AT176" s="97">
        <f t="shared" si="27"/>
        <v>39110.456850000002</v>
      </c>
      <c r="AU176" s="97">
        <f t="shared" si="28"/>
        <v>39758.826487500002</v>
      </c>
      <c r="AV176" s="93">
        <f>AI176*Valores!$C$71</f>
        <v>6915.9428000000007</v>
      </c>
      <c r="AW176" s="93">
        <f>AI176*Valores!$C$72</f>
        <v>1945.1089125000001</v>
      </c>
      <c r="AX176" s="93">
        <f>AI176*Valores!$C$73</f>
        <v>432.24642500000004</v>
      </c>
      <c r="AY176" s="93">
        <f>AI176*Valores!$C$75</f>
        <v>1512.8624875000003</v>
      </c>
      <c r="AZ176" s="93">
        <f>AI176*Valores!$C$76</f>
        <v>259.34785500000004</v>
      </c>
      <c r="BA176" s="93">
        <f t="shared" si="32"/>
        <v>2334.1306950000003</v>
      </c>
      <c r="BB176" s="85"/>
      <c r="BC176" s="85">
        <v>45</v>
      </c>
      <c r="BD176" s="86" t="s">
        <v>4</v>
      </c>
    </row>
    <row r="177" spans="1:56" s="27" customFormat="1" ht="11.25" customHeight="1" x14ac:dyDescent="0.2">
      <c r="A177" s="51">
        <v>176</v>
      </c>
      <c r="B177" s="51"/>
      <c r="C177" s="27" t="s">
        <v>489</v>
      </c>
      <c r="E177" s="27">
        <f t="shared" si="24"/>
        <v>27</v>
      </c>
      <c r="F177" s="71" t="s">
        <v>490</v>
      </c>
      <c r="G177" s="72">
        <v>160</v>
      </c>
      <c r="H177" s="73">
        <f>INT((G177*Valores!$C$2*100)+0.5)/100</f>
        <v>1100.51</v>
      </c>
      <c r="I177" s="112">
        <f>1484</f>
        <v>1484</v>
      </c>
      <c r="J177" s="75">
        <f>INT((I177*Valores!$C$2*100)+0.5)/100</f>
        <v>10207.25</v>
      </c>
      <c r="K177" s="102">
        <v>0</v>
      </c>
      <c r="L177" s="75">
        <f>INT((K177*Valores!$C$2*100)+0.5)/100</f>
        <v>0</v>
      </c>
      <c r="M177" s="100">
        <v>1300</v>
      </c>
      <c r="N177" s="75">
        <f>INT((M177*Valores!$C$2*100)+0.5)/100</f>
        <v>8941.66</v>
      </c>
      <c r="O177" s="75">
        <f t="shared" si="25"/>
        <v>3749.6909999999998</v>
      </c>
      <c r="P177" s="75">
        <f t="shared" si="26"/>
        <v>0</v>
      </c>
      <c r="Q177" s="101">
        <f>Valores!$C$16</f>
        <v>4450.7</v>
      </c>
      <c r="R177" s="101">
        <f>Valores!$D$4</f>
        <v>3076.62</v>
      </c>
      <c r="S177" s="101">
        <f>Valores!$C$26</f>
        <v>3208.72</v>
      </c>
      <c r="T177" s="106">
        <f>Valores!$C$43</f>
        <v>1907.73</v>
      </c>
      <c r="U177" s="75">
        <f>Valores!$C$23</f>
        <v>2840.79</v>
      </c>
      <c r="V177" s="75">
        <f t="shared" si="33"/>
        <v>2840.79</v>
      </c>
      <c r="W177" s="75">
        <v>0</v>
      </c>
      <c r="X177" s="75">
        <v>0</v>
      </c>
      <c r="Y177" s="79">
        <v>0</v>
      </c>
      <c r="Z177" s="75">
        <f>Y177*Valores!$C$2</f>
        <v>0</v>
      </c>
      <c r="AA177" s="75">
        <v>0</v>
      </c>
      <c r="AB177" s="80">
        <f>Valores!$C$29</f>
        <v>166.15</v>
      </c>
      <c r="AC177" s="75">
        <f t="shared" si="29"/>
        <v>0</v>
      </c>
      <c r="AD177" s="75">
        <f>Valores!$C$30</f>
        <v>166.15</v>
      </c>
      <c r="AE177" s="79">
        <v>0</v>
      </c>
      <c r="AF177" s="75">
        <f>INT(((AE177*Valores!$C$2)*100)+0.5)/100</f>
        <v>0</v>
      </c>
      <c r="AG177" s="75">
        <f>Valores!$C$58</f>
        <v>337.97</v>
      </c>
      <c r="AH177" s="75">
        <f>Valores!$C$60</f>
        <v>96.56</v>
      </c>
      <c r="AI177" s="114">
        <f t="shared" si="30"/>
        <v>40250.501000000004</v>
      </c>
      <c r="AJ177" s="101">
        <f>Valores!$C$35</f>
        <v>666.25</v>
      </c>
      <c r="AK177" s="78">
        <f>Valores!$C$9</f>
        <v>0</v>
      </c>
      <c r="AL177" s="78">
        <f>Valores!$C$83</f>
        <v>3000</v>
      </c>
      <c r="AM177" s="80">
        <f>Valores!$C$50</f>
        <v>283.24</v>
      </c>
      <c r="AN177" s="82">
        <f t="shared" si="31"/>
        <v>3666.25</v>
      </c>
      <c r="AO177" s="61">
        <f>AI177*-Valores!$C$65</f>
        <v>-5232.5651300000009</v>
      </c>
      <c r="AP177" s="61">
        <f>AI177*-Valores!$C$66</f>
        <v>-201.25250500000001</v>
      </c>
      <c r="AQ177" s="77">
        <f>AI177*-Valores!$C$67</f>
        <v>-1811.272545</v>
      </c>
      <c r="AR177" s="77">
        <f>AI177*-Valores!$C$68</f>
        <v>-1086.7635270000001</v>
      </c>
      <c r="AS177" s="77">
        <f>AI177*-Valores!$C$69</f>
        <v>-120.75150300000001</v>
      </c>
      <c r="AT177" s="81">
        <f t="shared" si="27"/>
        <v>36671.660820000005</v>
      </c>
      <c r="AU177" s="81">
        <f t="shared" si="28"/>
        <v>37275.418335000002</v>
      </c>
      <c r="AV177" s="77">
        <f>AI177*Valores!$C$71</f>
        <v>6440.0801600000004</v>
      </c>
      <c r="AW177" s="77">
        <f>AI177*Valores!$C$72</f>
        <v>1811.272545</v>
      </c>
      <c r="AX177" s="77">
        <f>AI177*Valores!$C$73</f>
        <v>402.50501000000003</v>
      </c>
      <c r="AY177" s="77">
        <f>AI177*Valores!$C$75</f>
        <v>1408.7675350000002</v>
      </c>
      <c r="AZ177" s="77">
        <f>AI177*Valores!$C$76</f>
        <v>241.50300600000003</v>
      </c>
      <c r="BA177" s="77">
        <f t="shared" si="32"/>
        <v>2173.5270540000001</v>
      </c>
      <c r="BB177" s="51"/>
      <c r="BC177" s="51">
        <v>45</v>
      </c>
      <c r="BD177" s="27" t="s">
        <v>4</v>
      </c>
    </row>
    <row r="178" spans="1:56" s="27" customFormat="1" ht="11.25" customHeight="1" x14ac:dyDescent="0.2">
      <c r="A178" s="51">
        <v>177</v>
      </c>
      <c r="B178" s="51"/>
      <c r="C178" s="27" t="s">
        <v>491</v>
      </c>
      <c r="E178" s="27">
        <f t="shared" si="24"/>
        <v>29</v>
      </c>
      <c r="F178" s="71" t="s">
        <v>492</v>
      </c>
      <c r="G178" s="72">
        <v>178</v>
      </c>
      <c r="H178" s="73">
        <f>INT((G178*Valores!$C$2*100)+0.5)/100</f>
        <v>1224.32</v>
      </c>
      <c r="I178" s="112">
        <f>1842</f>
        <v>1842</v>
      </c>
      <c r="J178" s="75">
        <f>INT((I178*Valores!$C$2*100)+0.5)/100</f>
        <v>12669.64</v>
      </c>
      <c r="K178" s="102">
        <v>0</v>
      </c>
      <c r="L178" s="75">
        <f>INT((K178*Valores!$C$2*100)+0.5)/100</f>
        <v>0</v>
      </c>
      <c r="M178" s="100">
        <v>1300</v>
      </c>
      <c r="N178" s="75">
        <f>INT((M178*Valores!$C$2*100)+0.5)/100</f>
        <v>8941.66</v>
      </c>
      <c r="O178" s="75">
        <f t="shared" si="25"/>
        <v>4137.6210000000001</v>
      </c>
      <c r="P178" s="75">
        <f t="shared" si="26"/>
        <v>0</v>
      </c>
      <c r="Q178" s="101">
        <f>Valores!$C$16</f>
        <v>4450.7</v>
      </c>
      <c r="R178" s="101">
        <f>Valores!$D$4</f>
        <v>3076.62</v>
      </c>
      <c r="S178" s="75">
        <f>Valores!$C$26</f>
        <v>3208.72</v>
      </c>
      <c r="T178" s="78">
        <f>Valores!$C$43</f>
        <v>1907.73</v>
      </c>
      <c r="U178" s="75">
        <f>Valores!$C$23</f>
        <v>2840.79</v>
      </c>
      <c r="V178" s="75">
        <f t="shared" si="33"/>
        <v>2840.79</v>
      </c>
      <c r="W178" s="75">
        <v>0</v>
      </c>
      <c r="X178" s="75">
        <v>0</v>
      </c>
      <c r="Y178" s="79">
        <v>0</v>
      </c>
      <c r="Z178" s="75">
        <f>Y178*Valores!$C$2</f>
        <v>0</v>
      </c>
      <c r="AA178" s="75">
        <v>0</v>
      </c>
      <c r="AB178" s="80">
        <f>Valores!$C$29</f>
        <v>166.15</v>
      </c>
      <c r="AC178" s="75">
        <f t="shared" si="29"/>
        <v>0</v>
      </c>
      <c r="AD178" s="75">
        <f>Valores!$C$30</f>
        <v>166.15</v>
      </c>
      <c r="AE178" s="79">
        <v>0</v>
      </c>
      <c r="AF178" s="75">
        <f>INT(((AE178*Valores!$C$2)*100)+0.5)/100</f>
        <v>0</v>
      </c>
      <c r="AG178" s="75">
        <f>Valores!$C$58</f>
        <v>337.97</v>
      </c>
      <c r="AH178" s="75">
        <f>Valores!$C$60</f>
        <v>96.56</v>
      </c>
      <c r="AI178" s="114">
        <f t="shared" si="30"/>
        <v>43224.631000000008</v>
      </c>
      <c r="AJ178" s="101">
        <f>Valores!$C$35</f>
        <v>666.25</v>
      </c>
      <c r="AK178" s="78">
        <f>Valores!$C$9</f>
        <v>0</v>
      </c>
      <c r="AL178" s="78">
        <f>Valores!$C$83</f>
        <v>3000</v>
      </c>
      <c r="AM178" s="80">
        <f>Valores!$C$50</f>
        <v>283.24</v>
      </c>
      <c r="AN178" s="82">
        <f t="shared" si="31"/>
        <v>3666.25</v>
      </c>
      <c r="AO178" s="61">
        <f>AI178*-Valores!$C$65</f>
        <v>-5619.2020300000013</v>
      </c>
      <c r="AP178" s="61">
        <f>AI178*-Valores!$C$66</f>
        <v>-216.12315500000005</v>
      </c>
      <c r="AQ178" s="77">
        <f>AI178*-Valores!$C$67</f>
        <v>-1945.1083950000002</v>
      </c>
      <c r="AR178" s="77">
        <f>AI178*-Valores!$C$68</f>
        <v>-1167.0650370000003</v>
      </c>
      <c r="AS178" s="77">
        <f>AI178*-Valores!$C$69</f>
        <v>-129.67389300000002</v>
      </c>
      <c r="AT178" s="81">
        <f t="shared" si="27"/>
        <v>39110.447420000004</v>
      </c>
      <c r="AU178" s="81">
        <f t="shared" si="28"/>
        <v>39758.816885000007</v>
      </c>
      <c r="AV178" s="77">
        <f>AI178*Valores!$C$71</f>
        <v>6915.9409600000017</v>
      </c>
      <c r="AW178" s="77">
        <f>AI178*Valores!$C$72</f>
        <v>1945.1083950000002</v>
      </c>
      <c r="AX178" s="77">
        <f>AI178*Valores!$C$73</f>
        <v>432.24631000000011</v>
      </c>
      <c r="AY178" s="77">
        <f>AI178*Valores!$C$75</f>
        <v>1512.8620850000004</v>
      </c>
      <c r="AZ178" s="77">
        <f>AI178*Valores!$C$76</f>
        <v>259.34778600000004</v>
      </c>
      <c r="BA178" s="77">
        <f t="shared" si="32"/>
        <v>2334.1300740000006</v>
      </c>
      <c r="BB178" s="51"/>
      <c r="BC178" s="51">
        <v>45</v>
      </c>
      <c r="BD178" s="27" t="s">
        <v>4</v>
      </c>
    </row>
    <row r="179" spans="1:56" s="27" customFormat="1" ht="11.25" customHeight="1" x14ac:dyDescent="0.2">
      <c r="A179" s="51">
        <v>178</v>
      </c>
      <c r="B179" s="51"/>
      <c r="C179" s="27" t="s">
        <v>493</v>
      </c>
      <c r="E179" s="27">
        <f t="shared" si="24"/>
        <v>28</v>
      </c>
      <c r="F179" s="71" t="s">
        <v>494</v>
      </c>
      <c r="G179" s="72">
        <v>1278</v>
      </c>
      <c r="H179" s="73">
        <f>INT((G179*Valores!$C$2*100)+0.5)/100</f>
        <v>8790.34</v>
      </c>
      <c r="I179" s="112">
        <v>0</v>
      </c>
      <c r="J179" s="75">
        <f>INT((I179*Valores!$C$2*100)+0.5)/100</f>
        <v>0</v>
      </c>
      <c r="K179" s="102">
        <v>0</v>
      </c>
      <c r="L179" s="75">
        <f>INT((K179*Valores!$C$2*100)+0.5)/100</f>
        <v>0</v>
      </c>
      <c r="M179" s="100">
        <v>1200</v>
      </c>
      <c r="N179" s="75">
        <f>INT((M179*Valores!$C$2*100)+0.5)/100</f>
        <v>8253.84</v>
      </c>
      <c r="O179" s="75">
        <f t="shared" si="25"/>
        <v>3268.9050000000002</v>
      </c>
      <c r="P179" s="75">
        <f t="shared" si="26"/>
        <v>0</v>
      </c>
      <c r="Q179" s="101">
        <f>Valores!$C$20</f>
        <v>4231.82</v>
      </c>
      <c r="R179" s="101">
        <f>Valores!$D$4</f>
        <v>3076.62</v>
      </c>
      <c r="S179" s="101">
        <f>Valores!$C$26</f>
        <v>3208.72</v>
      </c>
      <c r="T179" s="106">
        <f>Valores!$C$43</f>
        <v>1907.73</v>
      </c>
      <c r="U179" s="75">
        <f>Valores!$C$23</f>
        <v>2840.79</v>
      </c>
      <c r="V179" s="75">
        <f t="shared" si="33"/>
        <v>2840.79</v>
      </c>
      <c r="W179" s="75">
        <v>0</v>
      </c>
      <c r="X179" s="75">
        <v>0</v>
      </c>
      <c r="Y179" s="79">
        <v>0</v>
      </c>
      <c r="Z179" s="75">
        <f>Y179*Valores!$C$2</f>
        <v>0</v>
      </c>
      <c r="AA179" s="75">
        <v>0</v>
      </c>
      <c r="AB179" s="80">
        <f>Valores!$C$29</f>
        <v>166.15</v>
      </c>
      <c r="AC179" s="75">
        <f t="shared" si="29"/>
        <v>0</v>
      </c>
      <c r="AD179" s="75">
        <f>Valores!$C$30</f>
        <v>166.15</v>
      </c>
      <c r="AE179" s="79">
        <v>0</v>
      </c>
      <c r="AF179" s="75">
        <f>INT(((AE179*Valores!$C$2)*100)+0.5)/100</f>
        <v>0</v>
      </c>
      <c r="AG179" s="75">
        <f>Valores!$C$58</f>
        <v>337.97</v>
      </c>
      <c r="AH179" s="75">
        <f>Valores!$C$60</f>
        <v>96.56</v>
      </c>
      <c r="AI179" s="114">
        <f t="shared" si="30"/>
        <v>36345.595000000001</v>
      </c>
      <c r="AJ179" s="101">
        <f>Valores!$C$35</f>
        <v>666.25</v>
      </c>
      <c r="AK179" s="78">
        <f>Valores!$C$9</f>
        <v>0</v>
      </c>
      <c r="AL179" s="78">
        <f>Valores!$C$83</f>
        <v>3000</v>
      </c>
      <c r="AM179" s="80">
        <f>Valores!$C$50</f>
        <v>283.24</v>
      </c>
      <c r="AN179" s="82">
        <f t="shared" si="31"/>
        <v>3666.25</v>
      </c>
      <c r="AO179" s="61">
        <f>AI179*-Valores!$C$65</f>
        <v>-4724.9273499999999</v>
      </c>
      <c r="AP179" s="61">
        <f>AI179*-Valores!$C$66</f>
        <v>-181.72797500000001</v>
      </c>
      <c r="AQ179" s="77">
        <f>AI179*-Valores!$C$67</f>
        <v>-1635.5517749999999</v>
      </c>
      <c r="AR179" s="77">
        <f>AI179*-Valores!$C$68</f>
        <v>-981.33106499999997</v>
      </c>
      <c r="AS179" s="77">
        <f>AI179*-Valores!$C$69</f>
        <v>-109.03678500000001</v>
      </c>
      <c r="AT179" s="81">
        <f t="shared" si="27"/>
        <v>33469.637900000002</v>
      </c>
      <c r="AU179" s="81">
        <f t="shared" si="28"/>
        <v>34014.821825000006</v>
      </c>
      <c r="AV179" s="77">
        <f>AI179*Valores!$C$71</f>
        <v>5815.2952000000005</v>
      </c>
      <c r="AW179" s="77">
        <f>AI179*Valores!$C$72</f>
        <v>1635.5517749999999</v>
      </c>
      <c r="AX179" s="77">
        <f>AI179*Valores!$C$73</f>
        <v>363.45595000000003</v>
      </c>
      <c r="AY179" s="77">
        <f>AI179*Valores!$C$75</f>
        <v>1272.0958250000001</v>
      </c>
      <c r="AZ179" s="77">
        <f>AI179*Valores!$C$76</f>
        <v>218.07357000000002</v>
      </c>
      <c r="BA179" s="77">
        <f t="shared" si="32"/>
        <v>1962.6621300000002</v>
      </c>
      <c r="BB179" s="51"/>
      <c r="BC179" s="85"/>
      <c r="BD179" s="27" t="s">
        <v>4</v>
      </c>
    </row>
    <row r="180" spans="1:56" s="27" customFormat="1" ht="11.25" customHeight="1" x14ac:dyDescent="0.2">
      <c r="A180" s="51">
        <v>179</v>
      </c>
      <c r="B180" s="51"/>
      <c r="C180" s="27" t="s">
        <v>495</v>
      </c>
      <c r="E180" s="27">
        <f t="shared" si="24"/>
        <v>29</v>
      </c>
      <c r="F180" s="71" t="s">
        <v>496</v>
      </c>
      <c r="G180" s="72">
        <v>971</v>
      </c>
      <c r="H180" s="73">
        <f>INT((G180*Valores!$C$2*100)+0.5)/100</f>
        <v>6678.73</v>
      </c>
      <c r="I180" s="112">
        <v>0</v>
      </c>
      <c r="J180" s="75">
        <f>INT((I180*Valores!$C$2*100)+0.5)/100</f>
        <v>0</v>
      </c>
      <c r="K180" s="102">
        <v>0</v>
      </c>
      <c r="L180" s="75">
        <f>INT((K180*Valores!$C$2*100)+0.5)/100</f>
        <v>0</v>
      </c>
      <c r="M180" s="100">
        <v>660</v>
      </c>
      <c r="N180" s="75">
        <f>INT((M180*Valores!$C$2*100)+0.5)/100</f>
        <v>4539.6099999999997</v>
      </c>
      <c r="O180" s="75">
        <f t="shared" si="25"/>
        <v>2395.029</v>
      </c>
      <c r="P180" s="75">
        <f t="shared" si="26"/>
        <v>0</v>
      </c>
      <c r="Q180" s="101">
        <f>Valores!$C$20</f>
        <v>4231.82</v>
      </c>
      <c r="R180" s="101">
        <f>Valores!$D$4</f>
        <v>3076.62</v>
      </c>
      <c r="S180" s="101">
        <f>Valores!$C$26</f>
        <v>3208.72</v>
      </c>
      <c r="T180" s="106">
        <f>Valores!$C$43</f>
        <v>1907.73</v>
      </c>
      <c r="U180" s="75">
        <f>Valores!$C$23</f>
        <v>2840.79</v>
      </c>
      <c r="V180" s="75">
        <f t="shared" si="33"/>
        <v>2840.79</v>
      </c>
      <c r="W180" s="75">
        <v>0</v>
      </c>
      <c r="X180" s="75">
        <v>0</v>
      </c>
      <c r="Y180" s="79">
        <v>0</v>
      </c>
      <c r="Z180" s="75">
        <f>Y180*Valores!$C$2</f>
        <v>0</v>
      </c>
      <c r="AA180" s="75">
        <v>0</v>
      </c>
      <c r="AB180" s="80">
        <f>Valores!$C$29</f>
        <v>166.15</v>
      </c>
      <c r="AC180" s="75">
        <f t="shared" si="29"/>
        <v>0</v>
      </c>
      <c r="AD180" s="75">
        <f>Valores!$C$30</f>
        <v>166.15</v>
      </c>
      <c r="AE180" s="79">
        <v>0</v>
      </c>
      <c r="AF180" s="75">
        <f>INT(((AE180*Valores!$C$2)*100)+0.5)/100</f>
        <v>0</v>
      </c>
      <c r="AG180" s="75">
        <f>Valores!$C$58</f>
        <v>337.97</v>
      </c>
      <c r="AH180" s="75">
        <f>Valores!$C$60</f>
        <v>96.56</v>
      </c>
      <c r="AI180" s="114">
        <f t="shared" si="30"/>
        <v>29645.879000000004</v>
      </c>
      <c r="AJ180" s="101">
        <f>Valores!$C$35</f>
        <v>666.25</v>
      </c>
      <c r="AK180" s="78">
        <f>Valores!$C$9</f>
        <v>0</v>
      </c>
      <c r="AL180" s="78">
        <f>Valores!$C$83</f>
        <v>3000</v>
      </c>
      <c r="AM180" s="80">
        <f>Valores!$C$50</f>
        <v>283.24</v>
      </c>
      <c r="AN180" s="82">
        <f t="shared" si="31"/>
        <v>3666.25</v>
      </c>
      <c r="AO180" s="61">
        <f>AI180*-Valores!$C$65</f>
        <v>-3853.9642700000009</v>
      </c>
      <c r="AP180" s="61">
        <f>AI180*-Valores!$C$66</f>
        <v>-148.22939500000004</v>
      </c>
      <c r="AQ180" s="77">
        <f>AI180*-Valores!$C$67</f>
        <v>-1334.0645550000002</v>
      </c>
      <c r="AR180" s="77">
        <f>AI180*-Valores!$C$68</f>
        <v>-800.43873300000007</v>
      </c>
      <c r="AS180" s="77">
        <f>AI180*-Valores!$C$69</f>
        <v>-88.937637000000009</v>
      </c>
      <c r="AT180" s="81">
        <f t="shared" si="27"/>
        <v>27975.870779999997</v>
      </c>
      <c r="AU180" s="81">
        <f t="shared" si="28"/>
        <v>28420.558965</v>
      </c>
      <c r="AV180" s="77">
        <f>AI180*Valores!$C$71</f>
        <v>4743.3406400000013</v>
      </c>
      <c r="AW180" s="77">
        <f>AI180*Valores!$C$72</f>
        <v>1334.0645550000002</v>
      </c>
      <c r="AX180" s="77">
        <f>AI180*Valores!$C$73</f>
        <v>296.45879000000008</v>
      </c>
      <c r="AY180" s="77">
        <f>AI180*Valores!$C$75</f>
        <v>1037.6057650000002</v>
      </c>
      <c r="AZ180" s="77">
        <f>AI180*Valores!$C$76</f>
        <v>177.87527400000002</v>
      </c>
      <c r="BA180" s="77">
        <f t="shared" si="32"/>
        <v>1600.8774660000004</v>
      </c>
      <c r="BB180" s="51"/>
      <c r="BC180" s="51">
        <v>18</v>
      </c>
      <c r="BD180" s="27" t="s">
        <v>4</v>
      </c>
    </row>
    <row r="181" spans="1:56" s="27" customFormat="1" ht="11.25" customHeight="1" x14ac:dyDescent="0.2">
      <c r="A181" s="85">
        <v>180</v>
      </c>
      <c r="B181" s="85" t="s">
        <v>163</v>
      </c>
      <c r="C181" s="86" t="s">
        <v>497</v>
      </c>
      <c r="D181" s="86"/>
      <c r="E181" s="86">
        <f t="shared" si="24"/>
        <v>22</v>
      </c>
      <c r="F181" s="87" t="s">
        <v>498</v>
      </c>
      <c r="G181" s="88">
        <v>213</v>
      </c>
      <c r="H181" s="89">
        <f>INT((G181*Valores!$C$2*100)+0.5)/100</f>
        <v>1465.06</v>
      </c>
      <c r="I181" s="103">
        <f>1835</f>
        <v>1835</v>
      </c>
      <c r="J181" s="91">
        <f>INT((I181*Valores!$C$2*100)+0.5)/100</f>
        <v>12621.5</v>
      </c>
      <c r="K181" s="104">
        <v>0</v>
      </c>
      <c r="L181" s="91">
        <f>INT((K181*Valores!$C$2*100)+0.5)/100</f>
        <v>0</v>
      </c>
      <c r="M181" s="105">
        <v>1300</v>
      </c>
      <c r="N181" s="91">
        <f>INT((M181*Valores!$C$2*100)+0.5)/100</f>
        <v>8941.66</v>
      </c>
      <c r="O181" s="91">
        <f t="shared" si="25"/>
        <v>4166.5110000000004</v>
      </c>
      <c r="P181" s="91">
        <f t="shared" si="26"/>
        <v>0</v>
      </c>
      <c r="Q181" s="107">
        <f>Valores!$C$16</f>
        <v>4450.7</v>
      </c>
      <c r="R181" s="107">
        <f>Valores!$D$4</f>
        <v>3076.62</v>
      </c>
      <c r="S181" s="107">
        <f>Valores!$C$26</f>
        <v>3208.72</v>
      </c>
      <c r="T181" s="108">
        <f>Valores!$C$43</f>
        <v>1907.73</v>
      </c>
      <c r="U181" s="91">
        <f>Valores!$C$23</f>
        <v>2840.79</v>
      </c>
      <c r="V181" s="91">
        <f t="shared" si="33"/>
        <v>2840.79</v>
      </c>
      <c r="W181" s="91">
        <v>0</v>
      </c>
      <c r="X181" s="91">
        <v>0</v>
      </c>
      <c r="Y181" s="95">
        <v>0</v>
      </c>
      <c r="Z181" s="91">
        <f>Y181*Valores!$C$2</f>
        <v>0</v>
      </c>
      <c r="AA181" s="91">
        <v>0</v>
      </c>
      <c r="AB181" s="96">
        <f>Valores!$C$29</f>
        <v>166.15</v>
      </c>
      <c r="AC181" s="91">
        <f t="shared" si="29"/>
        <v>0</v>
      </c>
      <c r="AD181" s="91">
        <f>Valores!$C$30</f>
        <v>166.15</v>
      </c>
      <c r="AE181" s="95">
        <v>0</v>
      </c>
      <c r="AF181" s="91">
        <f>INT(((AE181*Valores!$C$2)*100)+0.5)/100</f>
        <v>0</v>
      </c>
      <c r="AG181" s="91">
        <f>Valores!$C$58</f>
        <v>337.97</v>
      </c>
      <c r="AH181" s="91">
        <f>Valores!$C$60</f>
        <v>96.56</v>
      </c>
      <c r="AI181" s="115">
        <f t="shared" si="30"/>
        <v>43446.121000000006</v>
      </c>
      <c r="AJ181" s="107">
        <f>Valores!$C$35</f>
        <v>666.25</v>
      </c>
      <c r="AK181" s="94">
        <f>Valores!$C$9</f>
        <v>0</v>
      </c>
      <c r="AL181" s="94">
        <f>Valores!$C$83</f>
        <v>3000</v>
      </c>
      <c r="AM181" s="96">
        <f>Valores!$C$50</f>
        <v>283.24</v>
      </c>
      <c r="AN181" s="98">
        <f t="shared" si="31"/>
        <v>3666.25</v>
      </c>
      <c r="AO181" s="116">
        <f>AI181*-Valores!$C$65</f>
        <v>-5647.9957300000015</v>
      </c>
      <c r="AP181" s="116">
        <f>AI181*-Valores!$C$66</f>
        <v>-217.23060500000003</v>
      </c>
      <c r="AQ181" s="93">
        <f>AI181*-Valores!$C$67</f>
        <v>-1955.0754450000002</v>
      </c>
      <c r="AR181" s="93">
        <f>AI181*-Valores!$C$68</f>
        <v>-1173.0452670000002</v>
      </c>
      <c r="AS181" s="93">
        <f>AI181*-Valores!$C$69</f>
        <v>-130.33836300000002</v>
      </c>
      <c r="AT181" s="97">
        <f t="shared" si="27"/>
        <v>39292.069220000005</v>
      </c>
      <c r="AU181" s="97">
        <f t="shared" si="28"/>
        <v>39943.761035000003</v>
      </c>
      <c r="AV181" s="93">
        <f>AI181*Valores!$C$71</f>
        <v>6951.3793600000008</v>
      </c>
      <c r="AW181" s="93">
        <f>AI181*Valores!$C$72</f>
        <v>1955.0754450000002</v>
      </c>
      <c r="AX181" s="93">
        <f>AI181*Valores!$C$73</f>
        <v>434.46121000000005</v>
      </c>
      <c r="AY181" s="93">
        <f>AI181*Valores!$C$75</f>
        <v>1520.6142350000005</v>
      </c>
      <c r="AZ181" s="93">
        <f>AI181*Valores!$C$76</f>
        <v>260.67672600000003</v>
      </c>
      <c r="BA181" s="93">
        <f t="shared" si="32"/>
        <v>2346.0905340000008</v>
      </c>
      <c r="BB181" s="85"/>
      <c r="BC181" s="85">
        <v>45</v>
      </c>
      <c r="BD181" s="86" t="s">
        <v>4</v>
      </c>
    </row>
    <row r="182" spans="1:56" s="27" customFormat="1" ht="11.25" customHeight="1" x14ac:dyDescent="0.2">
      <c r="A182" s="51">
        <v>181</v>
      </c>
      <c r="B182" s="51"/>
      <c r="C182" s="27" t="s">
        <v>499</v>
      </c>
      <c r="E182" s="27">
        <f t="shared" si="24"/>
        <v>26</v>
      </c>
      <c r="F182" s="71" t="s">
        <v>500</v>
      </c>
      <c r="G182" s="72">
        <v>185</v>
      </c>
      <c r="H182" s="73">
        <f>INT((G182*Valores!$C$2*100)+0.5)/100</f>
        <v>1272.47</v>
      </c>
      <c r="I182" s="112">
        <f>1835</f>
        <v>1835</v>
      </c>
      <c r="J182" s="75">
        <f>INT((I182*Valores!$C$2*100)+0.5)/100</f>
        <v>12621.5</v>
      </c>
      <c r="K182" s="102">
        <v>0</v>
      </c>
      <c r="L182" s="75">
        <f>INT((K182*Valores!$C$2*100)+0.5)/100</f>
        <v>0</v>
      </c>
      <c r="M182" s="100">
        <v>1300</v>
      </c>
      <c r="N182" s="75">
        <f>INT((M182*Valores!$C$2*100)+0.5)/100</f>
        <v>8941.66</v>
      </c>
      <c r="O182" s="75">
        <f t="shared" si="25"/>
        <v>4137.6224999999995</v>
      </c>
      <c r="P182" s="75">
        <f t="shared" si="26"/>
        <v>0</v>
      </c>
      <c r="Q182" s="101">
        <f>Valores!$C$16</f>
        <v>4450.7</v>
      </c>
      <c r="R182" s="101">
        <f>Valores!$D$4</f>
        <v>3076.62</v>
      </c>
      <c r="S182" s="101">
        <f>Valores!$C$26</f>
        <v>3208.72</v>
      </c>
      <c r="T182" s="106">
        <f>Valores!$C$43</f>
        <v>1907.73</v>
      </c>
      <c r="U182" s="75">
        <f>Valores!$C$23</f>
        <v>2840.79</v>
      </c>
      <c r="V182" s="75">
        <f t="shared" si="33"/>
        <v>2840.79</v>
      </c>
      <c r="W182" s="75">
        <v>0</v>
      </c>
      <c r="X182" s="75">
        <v>0</v>
      </c>
      <c r="Y182" s="79">
        <v>0</v>
      </c>
      <c r="Z182" s="75">
        <f>Y182*Valores!$C$2</f>
        <v>0</v>
      </c>
      <c r="AA182" s="75">
        <v>0</v>
      </c>
      <c r="AB182" s="80">
        <f>Valores!$C$29</f>
        <v>166.15</v>
      </c>
      <c r="AC182" s="75">
        <f t="shared" si="29"/>
        <v>0</v>
      </c>
      <c r="AD182" s="75">
        <f>Valores!$C$30</f>
        <v>166.15</v>
      </c>
      <c r="AE182" s="79">
        <v>0</v>
      </c>
      <c r="AF182" s="75">
        <f>INT(((AE182*Valores!$C$2)*100)+0.5)/100</f>
        <v>0</v>
      </c>
      <c r="AG182" s="75">
        <f>Valores!$C$58</f>
        <v>337.97</v>
      </c>
      <c r="AH182" s="75">
        <f>Valores!$C$60</f>
        <v>96.56</v>
      </c>
      <c r="AI182" s="114">
        <f t="shared" si="30"/>
        <v>43224.642500000002</v>
      </c>
      <c r="AJ182" s="101">
        <f>Valores!$C$35</f>
        <v>666.25</v>
      </c>
      <c r="AK182" s="78">
        <f>Valores!$C$9</f>
        <v>0</v>
      </c>
      <c r="AL182" s="78">
        <f>Valores!$C$83</f>
        <v>3000</v>
      </c>
      <c r="AM182" s="80">
        <f>Valores!$C$50</f>
        <v>283.24</v>
      </c>
      <c r="AN182" s="82">
        <f t="shared" si="31"/>
        <v>3666.25</v>
      </c>
      <c r="AO182" s="61">
        <f>AI182*-Valores!$C$65</f>
        <v>-5619.2035250000008</v>
      </c>
      <c r="AP182" s="61">
        <f>AI182*-Valores!$C$66</f>
        <v>-216.12321250000002</v>
      </c>
      <c r="AQ182" s="77">
        <f>AI182*-Valores!$C$67</f>
        <v>-1945.1089125000001</v>
      </c>
      <c r="AR182" s="77">
        <f>AI182*-Valores!$C$68</f>
        <v>-1167.0653475000001</v>
      </c>
      <c r="AS182" s="77">
        <f>AI182*-Valores!$C$69</f>
        <v>-129.67392750000002</v>
      </c>
      <c r="AT182" s="81">
        <f t="shared" si="27"/>
        <v>39110.456850000002</v>
      </c>
      <c r="AU182" s="81">
        <f t="shared" si="28"/>
        <v>39758.826487500002</v>
      </c>
      <c r="AV182" s="77">
        <f>AI182*Valores!$C$71</f>
        <v>6915.9428000000007</v>
      </c>
      <c r="AW182" s="77">
        <f>AI182*Valores!$C$72</f>
        <v>1945.1089125000001</v>
      </c>
      <c r="AX182" s="77">
        <f>AI182*Valores!$C$73</f>
        <v>432.24642500000004</v>
      </c>
      <c r="AY182" s="77">
        <f>AI182*Valores!$C$75</f>
        <v>1512.8624875000003</v>
      </c>
      <c r="AZ182" s="77">
        <f>AI182*Valores!$C$76</f>
        <v>259.34785500000004</v>
      </c>
      <c r="BA182" s="77">
        <f t="shared" si="32"/>
        <v>2334.1306950000003</v>
      </c>
      <c r="BB182" s="51"/>
      <c r="BC182" s="51">
        <v>45</v>
      </c>
      <c r="BD182" s="27" t="s">
        <v>4</v>
      </c>
    </row>
    <row r="183" spans="1:56" s="27" customFormat="1" ht="11.25" customHeight="1" x14ac:dyDescent="0.2">
      <c r="A183" s="51">
        <v>182</v>
      </c>
      <c r="B183" s="51"/>
      <c r="C183" s="27" t="s">
        <v>501</v>
      </c>
      <c r="E183" s="27">
        <f t="shared" si="24"/>
        <v>26</v>
      </c>
      <c r="F183" s="71" t="s">
        <v>502</v>
      </c>
      <c r="G183" s="72">
        <v>160</v>
      </c>
      <c r="H183" s="73">
        <f>INT((G183*Valores!$C$2*100)+0.5)/100</f>
        <v>1100.51</v>
      </c>
      <c r="I183" s="112">
        <f>1484</f>
        <v>1484</v>
      </c>
      <c r="J183" s="75">
        <f>INT((I183*Valores!$C$2*100)+0.5)/100</f>
        <v>10207.25</v>
      </c>
      <c r="K183" s="102">
        <v>0</v>
      </c>
      <c r="L183" s="75">
        <f>INT((K183*Valores!$C$2*100)+0.5)/100</f>
        <v>0</v>
      </c>
      <c r="M183" s="100">
        <v>1300</v>
      </c>
      <c r="N183" s="75">
        <f>INT((M183*Valores!$C$2*100)+0.5)/100</f>
        <v>8941.66</v>
      </c>
      <c r="O183" s="75">
        <f t="shared" si="25"/>
        <v>3749.6909999999998</v>
      </c>
      <c r="P183" s="75">
        <f t="shared" si="26"/>
        <v>0</v>
      </c>
      <c r="Q183" s="101">
        <f>Valores!$C$16</f>
        <v>4450.7</v>
      </c>
      <c r="R183" s="101">
        <f>Valores!$D$4</f>
        <v>3076.62</v>
      </c>
      <c r="S183" s="75">
        <f>Valores!$C$26</f>
        <v>3208.72</v>
      </c>
      <c r="T183" s="78">
        <f>Valores!$C$43</f>
        <v>1907.73</v>
      </c>
      <c r="U183" s="75">
        <f>Valores!$C$23</f>
        <v>2840.79</v>
      </c>
      <c r="V183" s="75">
        <f t="shared" si="33"/>
        <v>2840.79</v>
      </c>
      <c r="W183" s="75">
        <v>0</v>
      </c>
      <c r="X183" s="75">
        <v>0</v>
      </c>
      <c r="Y183" s="79">
        <v>0</v>
      </c>
      <c r="Z183" s="75">
        <f>Y183*Valores!$C$2</f>
        <v>0</v>
      </c>
      <c r="AA183" s="75">
        <v>0</v>
      </c>
      <c r="AB183" s="80">
        <f>Valores!$C$29</f>
        <v>166.15</v>
      </c>
      <c r="AC183" s="75">
        <f t="shared" si="29"/>
        <v>0</v>
      </c>
      <c r="AD183" s="75">
        <f>Valores!$C$30</f>
        <v>166.15</v>
      </c>
      <c r="AE183" s="79">
        <v>0</v>
      </c>
      <c r="AF183" s="75">
        <f>INT(((AE183*Valores!$C$2)*100)+0.5)/100</f>
        <v>0</v>
      </c>
      <c r="AG183" s="75">
        <f>Valores!$C$58</f>
        <v>337.97</v>
      </c>
      <c r="AH183" s="75">
        <f>Valores!$C$60</f>
        <v>96.56</v>
      </c>
      <c r="AI183" s="114">
        <f t="shared" si="30"/>
        <v>40250.501000000004</v>
      </c>
      <c r="AJ183" s="101">
        <f>Valores!$C$35</f>
        <v>666.25</v>
      </c>
      <c r="AK183" s="78">
        <f>Valores!$C$9</f>
        <v>0</v>
      </c>
      <c r="AL183" s="78">
        <f>Valores!$C$83</f>
        <v>3000</v>
      </c>
      <c r="AM183" s="80">
        <f>Valores!$C$50</f>
        <v>283.24</v>
      </c>
      <c r="AN183" s="82">
        <f t="shared" si="31"/>
        <v>3666.25</v>
      </c>
      <c r="AO183" s="61">
        <f>AI183*-Valores!$C$65</f>
        <v>-5232.5651300000009</v>
      </c>
      <c r="AP183" s="61">
        <f>AI183*-Valores!$C$66</f>
        <v>-201.25250500000001</v>
      </c>
      <c r="AQ183" s="77">
        <f>AI183*-Valores!$C$67</f>
        <v>-1811.272545</v>
      </c>
      <c r="AR183" s="77">
        <f>AI183*-Valores!$C$68</f>
        <v>-1086.7635270000001</v>
      </c>
      <c r="AS183" s="77">
        <f>AI183*-Valores!$C$69</f>
        <v>-120.75150300000001</v>
      </c>
      <c r="AT183" s="81">
        <f t="shared" si="27"/>
        <v>36671.660820000005</v>
      </c>
      <c r="AU183" s="81">
        <f t="shared" si="28"/>
        <v>37275.418335000002</v>
      </c>
      <c r="AV183" s="77">
        <f>AI183*Valores!$C$71</f>
        <v>6440.0801600000004</v>
      </c>
      <c r="AW183" s="77">
        <f>AI183*Valores!$C$72</f>
        <v>1811.272545</v>
      </c>
      <c r="AX183" s="77">
        <f>AI183*Valores!$C$73</f>
        <v>402.50501000000003</v>
      </c>
      <c r="AY183" s="77">
        <f>AI183*Valores!$C$75</f>
        <v>1408.7675350000002</v>
      </c>
      <c r="AZ183" s="77">
        <f>AI183*Valores!$C$76</f>
        <v>241.50300600000003</v>
      </c>
      <c r="BA183" s="77">
        <f t="shared" si="32"/>
        <v>2173.5270540000001</v>
      </c>
      <c r="BB183" s="51"/>
      <c r="BC183" s="51">
        <v>45</v>
      </c>
      <c r="BD183" s="27" t="s">
        <v>4</v>
      </c>
    </row>
    <row r="184" spans="1:56" s="27" customFormat="1" ht="11.25" customHeight="1" x14ac:dyDescent="0.2">
      <c r="A184" s="51">
        <v>183</v>
      </c>
      <c r="B184" s="51"/>
      <c r="C184" s="27" t="s">
        <v>503</v>
      </c>
      <c r="E184" s="27">
        <f t="shared" si="24"/>
        <v>22</v>
      </c>
      <c r="F184" s="71" t="s">
        <v>504</v>
      </c>
      <c r="G184" s="72">
        <v>1278</v>
      </c>
      <c r="H184" s="73">
        <f>INT((G184*Valores!$C$2*100)+0.5)/100</f>
        <v>8790.34</v>
      </c>
      <c r="I184" s="112">
        <v>0</v>
      </c>
      <c r="J184" s="75">
        <f>INT((I184*Valores!$C$2*100)+0.5)/100</f>
        <v>0</v>
      </c>
      <c r="K184" s="102">
        <v>0</v>
      </c>
      <c r="L184" s="75">
        <f>INT((K184*Valores!$C$2*100)+0.5)/100</f>
        <v>0</v>
      </c>
      <c r="M184" s="100">
        <v>1200</v>
      </c>
      <c r="N184" s="75">
        <f>INT((M184*Valores!$C$2*100)+0.5)/100</f>
        <v>8253.84</v>
      </c>
      <c r="O184" s="75">
        <f t="shared" si="25"/>
        <v>3268.9050000000002</v>
      </c>
      <c r="P184" s="75">
        <f t="shared" si="26"/>
        <v>0</v>
      </c>
      <c r="Q184" s="101">
        <f>Valores!$C$20</f>
        <v>4231.82</v>
      </c>
      <c r="R184" s="101">
        <f>Valores!$D$4</f>
        <v>3076.62</v>
      </c>
      <c r="S184" s="101">
        <f>Valores!$C$26</f>
        <v>3208.72</v>
      </c>
      <c r="T184" s="106">
        <f>Valores!$C$43</f>
        <v>1907.73</v>
      </c>
      <c r="U184" s="75">
        <f>Valores!$C$23</f>
        <v>2840.79</v>
      </c>
      <c r="V184" s="75">
        <f t="shared" si="33"/>
        <v>2840.79</v>
      </c>
      <c r="W184" s="75">
        <v>0</v>
      </c>
      <c r="X184" s="75">
        <v>0</v>
      </c>
      <c r="Y184" s="79">
        <v>0</v>
      </c>
      <c r="Z184" s="75">
        <f>Y184*Valores!$C$2</f>
        <v>0</v>
      </c>
      <c r="AA184" s="75">
        <v>0</v>
      </c>
      <c r="AB184" s="80">
        <f>Valores!$C$29</f>
        <v>166.15</v>
      </c>
      <c r="AC184" s="75">
        <f t="shared" si="29"/>
        <v>0</v>
      </c>
      <c r="AD184" s="75">
        <f>Valores!$C$30</f>
        <v>166.15</v>
      </c>
      <c r="AE184" s="79">
        <v>0</v>
      </c>
      <c r="AF184" s="75">
        <f>INT(((AE184*Valores!$C$2)*100)+0.5)/100</f>
        <v>0</v>
      </c>
      <c r="AG184" s="75">
        <f>Valores!$C$58</f>
        <v>337.97</v>
      </c>
      <c r="AH184" s="75">
        <f>Valores!$C$60</f>
        <v>96.56</v>
      </c>
      <c r="AI184" s="114">
        <f t="shared" si="30"/>
        <v>36345.595000000001</v>
      </c>
      <c r="AJ184" s="101">
        <f>Valores!$C$35</f>
        <v>666.25</v>
      </c>
      <c r="AK184" s="78">
        <f>Valores!$C$9</f>
        <v>0</v>
      </c>
      <c r="AL184" s="78">
        <f>Valores!$C$83</f>
        <v>3000</v>
      </c>
      <c r="AM184" s="80">
        <f>Valores!$C$50</f>
        <v>283.24</v>
      </c>
      <c r="AN184" s="82">
        <f t="shared" si="31"/>
        <v>3666.25</v>
      </c>
      <c r="AO184" s="61">
        <f>AI184*-Valores!$C$65</f>
        <v>-4724.9273499999999</v>
      </c>
      <c r="AP184" s="61">
        <f>AI184*-Valores!$C$66</f>
        <v>-181.72797500000001</v>
      </c>
      <c r="AQ184" s="77">
        <f>AI184*-Valores!$C$67</f>
        <v>-1635.5517749999999</v>
      </c>
      <c r="AR184" s="77">
        <f>AI184*-Valores!$C$68</f>
        <v>-981.33106499999997</v>
      </c>
      <c r="AS184" s="77">
        <f>AI184*-Valores!$C$69</f>
        <v>-109.03678500000001</v>
      </c>
      <c r="AT184" s="81">
        <f t="shared" si="27"/>
        <v>33469.637900000002</v>
      </c>
      <c r="AU184" s="81">
        <f t="shared" si="28"/>
        <v>34014.821825000006</v>
      </c>
      <c r="AV184" s="77">
        <f>AI184*Valores!$C$71</f>
        <v>5815.2952000000005</v>
      </c>
      <c r="AW184" s="77">
        <f>AI184*Valores!$C$72</f>
        <v>1635.5517749999999</v>
      </c>
      <c r="AX184" s="77">
        <f>AI184*Valores!$C$73</f>
        <v>363.45595000000003</v>
      </c>
      <c r="AY184" s="77">
        <f>AI184*Valores!$C$75</f>
        <v>1272.0958250000001</v>
      </c>
      <c r="AZ184" s="77">
        <f>AI184*Valores!$C$76</f>
        <v>218.07357000000002</v>
      </c>
      <c r="BA184" s="77">
        <f t="shared" si="32"/>
        <v>1962.6621300000002</v>
      </c>
      <c r="BB184" s="51"/>
      <c r="BC184" s="85"/>
      <c r="BD184" s="27" t="s">
        <v>4</v>
      </c>
    </row>
    <row r="185" spans="1:56" s="27" customFormat="1" ht="11.25" customHeight="1" x14ac:dyDescent="0.2">
      <c r="A185" s="51">
        <v>184</v>
      </c>
      <c r="B185" s="51"/>
      <c r="C185" s="27" t="s">
        <v>505</v>
      </c>
      <c r="E185" s="27">
        <f t="shared" si="24"/>
        <v>28</v>
      </c>
      <c r="F185" s="71" t="s">
        <v>506</v>
      </c>
      <c r="G185" s="72">
        <v>971</v>
      </c>
      <c r="H185" s="73">
        <f>INT((G185*Valores!$C$2*100)+0.5)/100</f>
        <v>6678.73</v>
      </c>
      <c r="I185" s="112">
        <v>0</v>
      </c>
      <c r="J185" s="75">
        <f>INT((I185*Valores!$C$2*100)+0.5)/100</f>
        <v>0</v>
      </c>
      <c r="K185" s="102">
        <v>0</v>
      </c>
      <c r="L185" s="75">
        <f>INT((K185*Valores!$C$2*100)+0.5)/100</f>
        <v>0</v>
      </c>
      <c r="M185" s="100">
        <v>660</v>
      </c>
      <c r="N185" s="75">
        <f>INT((M185*Valores!$C$2*100)+0.5)/100</f>
        <v>4539.6099999999997</v>
      </c>
      <c r="O185" s="75">
        <f t="shared" si="25"/>
        <v>2395.029</v>
      </c>
      <c r="P185" s="75">
        <f t="shared" si="26"/>
        <v>0</v>
      </c>
      <c r="Q185" s="101">
        <f>Valores!$C$20</f>
        <v>4231.82</v>
      </c>
      <c r="R185" s="101">
        <f>Valores!$D$4</f>
        <v>3076.62</v>
      </c>
      <c r="S185" s="101">
        <f>Valores!$C$27</f>
        <v>2957.66</v>
      </c>
      <c r="T185" s="106">
        <f>Valores!$C$43</f>
        <v>1907.73</v>
      </c>
      <c r="U185" s="75">
        <f>Valores!$C$23</f>
        <v>2840.79</v>
      </c>
      <c r="V185" s="75">
        <f t="shared" si="33"/>
        <v>2840.79</v>
      </c>
      <c r="W185" s="75">
        <v>0</v>
      </c>
      <c r="X185" s="75">
        <v>0</v>
      </c>
      <c r="Y185" s="79">
        <v>0</v>
      </c>
      <c r="Z185" s="75">
        <f>Y185*Valores!$C$2</f>
        <v>0</v>
      </c>
      <c r="AA185" s="75">
        <v>0</v>
      </c>
      <c r="AB185" s="80">
        <f>Valores!$C$29</f>
        <v>166.15</v>
      </c>
      <c r="AC185" s="75">
        <f t="shared" si="29"/>
        <v>0</v>
      </c>
      <c r="AD185" s="75">
        <f>Valores!$C$30</f>
        <v>166.15</v>
      </c>
      <c r="AE185" s="79">
        <v>0</v>
      </c>
      <c r="AF185" s="75">
        <f>INT(((AE185*Valores!$C$2)*100)+0.5)/100</f>
        <v>0</v>
      </c>
      <c r="AG185" s="75">
        <f>Valores!$C$58</f>
        <v>337.97</v>
      </c>
      <c r="AH185" s="75">
        <f>Valores!$C$60</f>
        <v>96.56</v>
      </c>
      <c r="AI185" s="114">
        <f t="shared" si="30"/>
        <v>29394.819000000003</v>
      </c>
      <c r="AJ185" s="101">
        <f>Valores!$C$35</f>
        <v>666.25</v>
      </c>
      <c r="AK185" s="78">
        <f>Valores!$C$9</f>
        <v>0</v>
      </c>
      <c r="AL185" s="78">
        <f>Valores!$C$83</f>
        <v>3000</v>
      </c>
      <c r="AM185" s="80">
        <f>Valores!$C$52</f>
        <v>283.24</v>
      </c>
      <c r="AN185" s="82">
        <f t="shared" si="31"/>
        <v>3666.25</v>
      </c>
      <c r="AO185" s="61">
        <f>AI185*-Valores!$C$65</f>
        <v>-3821.3264700000004</v>
      </c>
      <c r="AP185" s="61">
        <f>AI185*-Valores!$C$66</f>
        <v>-146.97409500000001</v>
      </c>
      <c r="AQ185" s="77">
        <f>AI185*-Valores!$C$67</f>
        <v>-1322.7668550000001</v>
      </c>
      <c r="AR185" s="77">
        <f>AI185*-Valores!$C$68</f>
        <v>-793.66011300000002</v>
      </c>
      <c r="AS185" s="77">
        <f>AI185*-Valores!$C$69</f>
        <v>-88.184457000000009</v>
      </c>
      <c r="AT185" s="81">
        <f t="shared" si="27"/>
        <v>27770.001580000004</v>
      </c>
      <c r="AU185" s="81">
        <f t="shared" si="28"/>
        <v>28210.923865000004</v>
      </c>
      <c r="AV185" s="77">
        <f>AI185*Valores!$C$71</f>
        <v>4703.1710400000002</v>
      </c>
      <c r="AW185" s="77">
        <f>AI185*Valores!$C$72</f>
        <v>1322.7668550000001</v>
      </c>
      <c r="AX185" s="77">
        <f>AI185*Valores!$C$73</f>
        <v>293.94819000000001</v>
      </c>
      <c r="AY185" s="77">
        <f>AI185*Valores!$C$75</f>
        <v>1028.8186650000002</v>
      </c>
      <c r="AZ185" s="77">
        <f>AI185*Valores!$C$76</f>
        <v>176.36891400000002</v>
      </c>
      <c r="BA185" s="77">
        <f t="shared" si="32"/>
        <v>1587.3202260000003</v>
      </c>
      <c r="BB185" s="51"/>
      <c r="BC185" s="51">
        <v>18</v>
      </c>
      <c r="BD185" s="27" t="s">
        <v>4</v>
      </c>
    </row>
    <row r="186" spans="1:56" s="27" customFormat="1" ht="11.25" customHeight="1" x14ac:dyDescent="0.2">
      <c r="A186" s="85">
        <v>185</v>
      </c>
      <c r="B186" s="85" t="s">
        <v>163</v>
      </c>
      <c r="C186" s="86" t="s">
        <v>507</v>
      </c>
      <c r="D186" s="86"/>
      <c r="E186" s="86">
        <f t="shared" si="24"/>
        <v>23</v>
      </c>
      <c r="F186" s="87" t="s">
        <v>508</v>
      </c>
      <c r="G186" s="88">
        <v>179</v>
      </c>
      <c r="H186" s="89">
        <f>INT((G186*Valores!$C$2*100)+0.5)/100</f>
        <v>1231.2</v>
      </c>
      <c r="I186" s="103">
        <f>1323</f>
        <v>1323</v>
      </c>
      <c r="J186" s="91">
        <f>INT((I186*Valores!$C$2*100)+0.5)/100</f>
        <v>9099.86</v>
      </c>
      <c r="K186" s="104">
        <v>0</v>
      </c>
      <c r="L186" s="91">
        <f>INT((K186*Valores!$C$2*100)+0.5)/100</f>
        <v>0</v>
      </c>
      <c r="M186" s="105">
        <v>1300</v>
      </c>
      <c r="N186" s="91">
        <f>INT((M186*Valores!$C$2*100)+0.5)/100</f>
        <v>8941.66</v>
      </c>
      <c r="O186" s="91">
        <f t="shared" si="25"/>
        <v>3603.1860000000001</v>
      </c>
      <c r="P186" s="91">
        <f t="shared" si="26"/>
        <v>0</v>
      </c>
      <c r="Q186" s="107">
        <f>Valores!$C$16</f>
        <v>4450.7</v>
      </c>
      <c r="R186" s="107">
        <f>Valores!$D$4</f>
        <v>3076.62</v>
      </c>
      <c r="S186" s="107">
        <f>Valores!$C$26</f>
        <v>3208.72</v>
      </c>
      <c r="T186" s="108">
        <f>Valores!$C$43</f>
        <v>1907.73</v>
      </c>
      <c r="U186" s="91">
        <f>Valores!$C$23</f>
        <v>2840.79</v>
      </c>
      <c r="V186" s="91">
        <f t="shared" si="33"/>
        <v>2840.79</v>
      </c>
      <c r="W186" s="91">
        <v>0</v>
      </c>
      <c r="X186" s="91">
        <v>0</v>
      </c>
      <c r="Y186" s="95">
        <v>0</v>
      </c>
      <c r="Z186" s="91">
        <f>Y186*Valores!$C$2</f>
        <v>0</v>
      </c>
      <c r="AA186" s="91">
        <v>0</v>
      </c>
      <c r="AB186" s="96">
        <f>Valores!$C$29</f>
        <v>166.15</v>
      </c>
      <c r="AC186" s="91">
        <f t="shared" si="29"/>
        <v>0</v>
      </c>
      <c r="AD186" s="91">
        <f>Valores!$C$30</f>
        <v>166.15</v>
      </c>
      <c r="AE186" s="95">
        <v>0</v>
      </c>
      <c r="AF186" s="91">
        <f>INT(((AE186*Valores!$C$2)*100)+0.5)/100</f>
        <v>0</v>
      </c>
      <c r="AG186" s="91">
        <f>Valores!$C$58</f>
        <v>337.97</v>
      </c>
      <c r="AH186" s="91">
        <f>Valores!$C$60</f>
        <v>96.56</v>
      </c>
      <c r="AI186" s="115">
        <f t="shared" si="30"/>
        <v>39127.296000000009</v>
      </c>
      <c r="AJ186" s="107">
        <f>Valores!$C$35</f>
        <v>666.25</v>
      </c>
      <c r="AK186" s="94">
        <f>Valores!$C$9</f>
        <v>0</v>
      </c>
      <c r="AL186" s="94">
        <f>Valores!$C$83</f>
        <v>3000</v>
      </c>
      <c r="AM186" s="96">
        <v>0</v>
      </c>
      <c r="AN186" s="98">
        <f t="shared" si="31"/>
        <v>3666.25</v>
      </c>
      <c r="AO186" s="116">
        <f>AI186*-Valores!$C$65</f>
        <v>-5086.5484800000013</v>
      </c>
      <c r="AP186" s="116">
        <f>AI186*-Valores!$C$66</f>
        <v>-195.63648000000006</v>
      </c>
      <c r="AQ186" s="93">
        <f>AI186*-Valores!$C$67</f>
        <v>-1760.7283200000004</v>
      </c>
      <c r="AR186" s="93">
        <f>AI186*-Valores!$C$68</f>
        <v>-1056.4369920000001</v>
      </c>
      <c r="AS186" s="93">
        <f>AI186*-Valores!$C$69</f>
        <v>-117.38188800000003</v>
      </c>
      <c r="AT186" s="97">
        <f t="shared" si="27"/>
        <v>35750.632720000009</v>
      </c>
      <c r="AU186" s="97">
        <f t="shared" si="28"/>
        <v>36337.542159999997</v>
      </c>
      <c r="AV186" s="93">
        <f>AI186*Valores!$C$71</f>
        <v>6260.367360000002</v>
      </c>
      <c r="AW186" s="93">
        <f>AI186*Valores!$C$72</f>
        <v>1760.7283200000004</v>
      </c>
      <c r="AX186" s="93">
        <f>AI186*Valores!$C$73</f>
        <v>391.27296000000013</v>
      </c>
      <c r="AY186" s="93">
        <f>AI186*Valores!$C$75</f>
        <v>1369.4553600000004</v>
      </c>
      <c r="AZ186" s="93">
        <f>AI186*Valores!$C$76</f>
        <v>234.76377600000006</v>
      </c>
      <c r="BA186" s="93">
        <f t="shared" si="32"/>
        <v>2112.8739840000007</v>
      </c>
      <c r="BB186" s="85"/>
      <c r="BC186" s="85">
        <v>45</v>
      </c>
      <c r="BD186" s="86" t="s">
        <v>4</v>
      </c>
    </row>
    <row r="187" spans="1:56" s="27" customFormat="1" ht="11.25" customHeight="1" x14ac:dyDescent="0.2">
      <c r="A187" s="51">
        <v>186</v>
      </c>
      <c r="B187" s="51"/>
      <c r="C187" s="27" t="s">
        <v>509</v>
      </c>
      <c r="E187" s="27">
        <f t="shared" si="24"/>
        <v>26</v>
      </c>
      <c r="F187" s="71" t="s">
        <v>510</v>
      </c>
      <c r="G187" s="72">
        <v>64</v>
      </c>
      <c r="H187" s="73">
        <f>INT((G187*Valores!$C$2*100)+0.5)/100</f>
        <v>440.2</v>
      </c>
      <c r="I187" s="112">
        <v>1354</v>
      </c>
      <c r="J187" s="75">
        <f>INT((I187*Valores!$C$2*100)+0.5)/100</f>
        <v>9313.08</v>
      </c>
      <c r="K187" s="102">
        <v>0</v>
      </c>
      <c r="L187" s="75">
        <f>INT((K187*Valores!$C$2*100)+0.5)/100</f>
        <v>0</v>
      </c>
      <c r="M187" s="100">
        <v>1200</v>
      </c>
      <c r="N187" s="75">
        <f>INT((M187*Valores!$C$2*100)+0.5)/100</f>
        <v>8253.84</v>
      </c>
      <c r="O187" s="75">
        <f t="shared" si="25"/>
        <v>3407.5470000000005</v>
      </c>
      <c r="P187" s="75">
        <f t="shared" si="26"/>
        <v>0</v>
      </c>
      <c r="Q187" s="101">
        <f>Valores!$C$20</f>
        <v>4231.82</v>
      </c>
      <c r="R187" s="101">
        <f>Valores!$D$4</f>
        <v>3076.62</v>
      </c>
      <c r="S187" s="75">
        <v>0</v>
      </c>
      <c r="T187" s="78">
        <f>Valores!$C$43</f>
        <v>1907.73</v>
      </c>
      <c r="U187" s="101">
        <f>Valores!$C$24</f>
        <v>2802.13</v>
      </c>
      <c r="V187" s="75">
        <f t="shared" si="33"/>
        <v>2802.13</v>
      </c>
      <c r="W187" s="75">
        <v>0</v>
      </c>
      <c r="X187" s="75">
        <v>0</v>
      </c>
      <c r="Y187" s="79">
        <v>0</v>
      </c>
      <c r="Z187" s="75">
        <f>Y187*Valores!$C$2</f>
        <v>0</v>
      </c>
      <c r="AA187" s="75">
        <v>0</v>
      </c>
      <c r="AB187" s="80">
        <f>Valores!$C$29</f>
        <v>166.15</v>
      </c>
      <c r="AC187" s="75">
        <f t="shared" si="29"/>
        <v>0</v>
      </c>
      <c r="AD187" s="75">
        <f>Valores!$C$30</f>
        <v>166.15</v>
      </c>
      <c r="AE187" s="79">
        <v>0</v>
      </c>
      <c r="AF187" s="75">
        <f>INT(((AE187*Valores!$C$2)*100)+0.5)/100</f>
        <v>0</v>
      </c>
      <c r="AG187" s="75">
        <f>Valores!$C$58</f>
        <v>337.97</v>
      </c>
      <c r="AH187" s="75">
        <f>Valores!$C$60</f>
        <v>96.56</v>
      </c>
      <c r="AI187" s="114">
        <f t="shared" si="30"/>
        <v>34199.797000000006</v>
      </c>
      <c r="AJ187" s="101">
        <f>Valores!$C$35</f>
        <v>666.25</v>
      </c>
      <c r="AK187" s="78">
        <f>Valores!$C$9</f>
        <v>0</v>
      </c>
      <c r="AL187" s="78">
        <f>Valores!$C$83</f>
        <v>3000</v>
      </c>
      <c r="AM187" s="80">
        <v>0</v>
      </c>
      <c r="AN187" s="82">
        <f t="shared" si="31"/>
        <v>3666.25</v>
      </c>
      <c r="AO187" s="61">
        <f>AI187*-Valores!$C$65</f>
        <v>-4445.9736100000009</v>
      </c>
      <c r="AP187" s="61">
        <f>AI187*-Valores!$C$66</f>
        <v>-170.99898500000003</v>
      </c>
      <c r="AQ187" s="77">
        <f>AI187*-Valores!$C$67</f>
        <v>-1538.9908650000002</v>
      </c>
      <c r="AR187" s="77">
        <f>AI187*-Valores!$C$68</f>
        <v>-923.39451900000017</v>
      </c>
      <c r="AS187" s="77">
        <f>AI187*-Valores!$C$69</f>
        <v>-102.59939100000003</v>
      </c>
      <c r="AT187" s="81">
        <f t="shared" si="27"/>
        <v>31710.083540000007</v>
      </c>
      <c r="AU187" s="81">
        <f t="shared" si="28"/>
        <v>32223.080495000006</v>
      </c>
      <c r="AV187" s="77">
        <f>AI187*Valores!$C$71</f>
        <v>5471.9675200000011</v>
      </c>
      <c r="AW187" s="77">
        <f>AI187*Valores!$C$72</f>
        <v>1538.9908650000002</v>
      </c>
      <c r="AX187" s="77">
        <f>AI187*Valores!$C$73</f>
        <v>341.99797000000007</v>
      </c>
      <c r="AY187" s="77">
        <f>AI187*Valores!$C$75</f>
        <v>1196.9928950000003</v>
      </c>
      <c r="AZ187" s="77">
        <f>AI187*Valores!$C$76</f>
        <v>205.19878200000005</v>
      </c>
      <c r="BA187" s="77">
        <f t="shared" si="32"/>
        <v>1846.7890380000006</v>
      </c>
      <c r="BB187" s="51"/>
      <c r="BC187" s="51">
        <v>30</v>
      </c>
      <c r="BD187" s="27" t="s">
        <v>8</v>
      </c>
    </row>
    <row r="188" spans="1:56" s="27" customFormat="1" ht="11.25" customHeight="1" x14ac:dyDescent="0.2">
      <c r="A188" s="51">
        <v>187</v>
      </c>
      <c r="B188" s="51"/>
      <c r="C188" s="27" t="s">
        <v>511</v>
      </c>
      <c r="E188" s="27">
        <f t="shared" si="24"/>
        <v>26</v>
      </c>
      <c r="F188" s="71" t="s">
        <v>512</v>
      </c>
      <c r="G188" s="72">
        <v>55</v>
      </c>
      <c r="H188" s="73">
        <f>INT((G188*Valores!$C$2*100)+0.5)/100</f>
        <v>378.3</v>
      </c>
      <c r="I188" s="112">
        <v>1279</v>
      </c>
      <c r="J188" s="75">
        <f>INT((I188*Valores!$C$2*100)+0.5)/100</f>
        <v>8797.2199999999993</v>
      </c>
      <c r="K188" s="102">
        <v>0</v>
      </c>
      <c r="L188" s="75">
        <f>INT((K188*Valores!$C$2*100)+0.5)/100</f>
        <v>0</v>
      </c>
      <c r="M188" s="100">
        <v>1200</v>
      </c>
      <c r="N188" s="75">
        <f>INT((M188*Valores!$C$2*100)+0.5)/100</f>
        <v>8253.84</v>
      </c>
      <c r="O188" s="75">
        <f t="shared" si="25"/>
        <v>3326.6820000000002</v>
      </c>
      <c r="P188" s="75">
        <f t="shared" si="26"/>
        <v>0</v>
      </c>
      <c r="Q188" s="101">
        <f>Valores!$C$20</f>
        <v>4231.82</v>
      </c>
      <c r="R188" s="101">
        <f>Valores!$D$4</f>
        <v>3076.62</v>
      </c>
      <c r="S188" s="75">
        <v>0</v>
      </c>
      <c r="T188" s="78">
        <f>Valores!$C$43</f>
        <v>1907.73</v>
      </c>
      <c r="U188" s="75">
        <f>Valores!$C$23</f>
        <v>2840.79</v>
      </c>
      <c r="V188" s="75">
        <f t="shared" si="33"/>
        <v>2840.79</v>
      </c>
      <c r="W188" s="75">
        <v>0</v>
      </c>
      <c r="X188" s="75">
        <v>0</v>
      </c>
      <c r="Y188" s="79">
        <v>0</v>
      </c>
      <c r="Z188" s="75">
        <f>Y188*Valores!$C$2</f>
        <v>0</v>
      </c>
      <c r="AA188" s="75">
        <v>0</v>
      </c>
      <c r="AB188" s="80">
        <f>Valores!$C$29</f>
        <v>166.15</v>
      </c>
      <c r="AC188" s="75">
        <f t="shared" si="29"/>
        <v>0</v>
      </c>
      <c r="AD188" s="75">
        <f>Valores!$C$30</f>
        <v>166.15</v>
      </c>
      <c r="AE188" s="79">
        <v>0</v>
      </c>
      <c r="AF188" s="75">
        <f>INT(((AE188*Valores!$C$2)*100)+0.5)/100</f>
        <v>0</v>
      </c>
      <c r="AG188" s="75">
        <f>Valores!$C$58</f>
        <v>337.97</v>
      </c>
      <c r="AH188" s="75">
        <f>Valores!$C$60</f>
        <v>96.56</v>
      </c>
      <c r="AI188" s="114">
        <f t="shared" si="30"/>
        <v>33579.832000000002</v>
      </c>
      <c r="AJ188" s="101">
        <f>Valores!$C$35</f>
        <v>666.25</v>
      </c>
      <c r="AK188" s="78">
        <f>Valores!$C$9</f>
        <v>0</v>
      </c>
      <c r="AL188" s="78">
        <f>Valores!$C$83</f>
        <v>3000</v>
      </c>
      <c r="AM188" s="80">
        <v>0</v>
      </c>
      <c r="AN188" s="82">
        <f t="shared" si="31"/>
        <v>3666.25</v>
      </c>
      <c r="AO188" s="61">
        <f>AI188*-Valores!$C$65</f>
        <v>-4365.3781600000002</v>
      </c>
      <c r="AP188" s="61">
        <f>AI188*-Valores!$C$66</f>
        <v>-167.89916000000002</v>
      </c>
      <c r="AQ188" s="77">
        <f>AI188*-Valores!$C$67</f>
        <v>-1511.0924400000001</v>
      </c>
      <c r="AR188" s="77">
        <f>AI188*-Valores!$C$68</f>
        <v>-906.65546400000005</v>
      </c>
      <c r="AS188" s="77">
        <f>AI188*-Valores!$C$69</f>
        <v>-100.739496</v>
      </c>
      <c r="AT188" s="81">
        <f t="shared" si="27"/>
        <v>31201.712240000001</v>
      </c>
      <c r="AU188" s="81">
        <f t="shared" si="28"/>
        <v>31705.40972</v>
      </c>
      <c r="AV188" s="77">
        <f>AI188*Valores!$C$71</f>
        <v>5372.7731200000007</v>
      </c>
      <c r="AW188" s="77">
        <f>AI188*Valores!$C$72</f>
        <v>1511.0924400000001</v>
      </c>
      <c r="AX188" s="77">
        <f>AI188*Valores!$C$73</f>
        <v>335.79832000000005</v>
      </c>
      <c r="AY188" s="77">
        <f>AI188*Valores!$C$75</f>
        <v>1175.2941200000002</v>
      </c>
      <c r="AZ188" s="77">
        <f>AI188*Valores!$C$76</f>
        <v>201.47899200000001</v>
      </c>
      <c r="BA188" s="77">
        <f t="shared" si="32"/>
        <v>1813.3109280000001</v>
      </c>
      <c r="BB188" s="51"/>
      <c r="BC188" s="51">
        <v>30</v>
      </c>
      <c r="BD188" s="27" t="s">
        <v>8</v>
      </c>
    </row>
    <row r="189" spans="1:56" s="27" customFormat="1" ht="11.25" customHeight="1" x14ac:dyDescent="0.2">
      <c r="A189" s="51">
        <v>188</v>
      </c>
      <c r="B189" s="51"/>
      <c r="C189" s="27" t="s">
        <v>513</v>
      </c>
      <c r="E189" s="27">
        <f t="shared" si="24"/>
        <v>24</v>
      </c>
      <c r="F189" s="71" t="s">
        <v>514</v>
      </c>
      <c r="G189" s="72">
        <v>1027</v>
      </c>
      <c r="H189" s="73">
        <f>INT((G189*Valores!$C$2*100)+0.5)/100</f>
        <v>7063.91</v>
      </c>
      <c r="I189" s="112">
        <v>0</v>
      </c>
      <c r="J189" s="75">
        <f>INT((I189*Valores!$C$2*100)+0.5)/100</f>
        <v>0</v>
      </c>
      <c r="K189" s="102">
        <v>0</v>
      </c>
      <c r="L189" s="75">
        <f>INT((K189*Valores!$C$2*100)+0.5)/100</f>
        <v>0</v>
      </c>
      <c r="M189" s="100">
        <v>1200</v>
      </c>
      <c r="N189" s="75">
        <f>INT((M189*Valores!$C$2*100)+0.5)/100</f>
        <v>8253.84</v>
      </c>
      <c r="O189" s="75">
        <f t="shared" si="25"/>
        <v>3004.1415000000002</v>
      </c>
      <c r="P189" s="75">
        <f t="shared" si="26"/>
        <v>0</v>
      </c>
      <c r="Q189" s="101">
        <f>Valores!$C$20</f>
        <v>4231.82</v>
      </c>
      <c r="R189" s="101">
        <f>Valores!$D$4</f>
        <v>3076.62</v>
      </c>
      <c r="S189" s="75">
        <v>0</v>
      </c>
      <c r="T189" s="78">
        <f>Valores!$C$43</f>
        <v>1907.73</v>
      </c>
      <c r="U189" s="101">
        <f>Valores!$C$24</f>
        <v>2802.13</v>
      </c>
      <c r="V189" s="75">
        <f t="shared" si="33"/>
        <v>2802.13</v>
      </c>
      <c r="W189" s="75">
        <v>0</v>
      </c>
      <c r="X189" s="75">
        <v>0</v>
      </c>
      <c r="Y189" s="79">
        <v>0</v>
      </c>
      <c r="Z189" s="75">
        <f>Y189*Valores!$C$2</f>
        <v>0</v>
      </c>
      <c r="AA189" s="75">
        <v>0</v>
      </c>
      <c r="AB189" s="80">
        <f>Valores!$C$29</f>
        <v>166.15</v>
      </c>
      <c r="AC189" s="75">
        <f t="shared" si="29"/>
        <v>0</v>
      </c>
      <c r="AD189" s="75">
        <f>Valores!$C$30</f>
        <v>166.15</v>
      </c>
      <c r="AE189" s="79">
        <v>0</v>
      </c>
      <c r="AF189" s="75">
        <f>INT(((AE189*Valores!$C$2)*100)+0.5)/100</f>
        <v>0</v>
      </c>
      <c r="AG189" s="75">
        <f>Valores!$C$58</f>
        <v>337.97</v>
      </c>
      <c r="AH189" s="75">
        <f>Valores!$C$60</f>
        <v>96.56</v>
      </c>
      <c r="AI189" s="114">
        <f t="shared" si="30"/>
        <v>31107.021500000006</v>
      </c>
      <c r="AJ189" s="101">
        <f>Valores!$C$35</f>
        <v>666.25</v>
      </c>
      <c r="AK189" s="78">
        <f>Valores!$C$9</f>
        <v>0</v>
      </c>
      <c r="AL189" s="78">
        <f>Valores!$C$83</f>
        <v>3000</v>
      </c>
      <c r="AM189" s="80">
        <v>0</v>
      </c>
      <c r="AN189" s="82">
        <f t="shared" si="31"/>
        <v>3666.25</v>
      </c>
      <c r="AO189" s="61">
        <f>AI189*-Valores!$C$65</f>
        <v>-4043.9127950000011</v>
      </c>
      <c r="AP189" s="61">
        <f>AI189*-Valores!$C$66</f>
        <v>-155.53510750000004</v>
      </c>
      <c r="AQ189" s="77">
        <f>AI189*-Valores!$C$67</f>
        <v>-1399.8159675000002</v>
      </c>
      <c r="AR189" s="77">
        <f>AI189*-Valores!$C$68</f>
        <v>-839.88958050000019</v>
      </c>
      <c r="AS189" s="77">
        <f>AI189*-Valores!$C$69</f>
        <v>-93.32106450000002</v>
      </c>
      <c r="AT189" s="81">
        <f t="shared" si="27"/>
        <v>29174.007630000004</v>
      </c>
      <c r="AU189" s="81">
        <f t="shared" si="28"/>
        <v>29640.612952500003</v>
      </c>
      <c r="AV189" s="77">
        <f>AI189*Valores!$C$71</f>
        <v>4977.1234400000012</v>
      </c>
      <c r="AW189" s="77">
        <f>AI189*Valores!$C$72</f>
        <v>1399.8159675000002</v>
      </c>
      <c r="AX189" s="77">
        <f>AI189*Valores!$C$73</f>
        <v>311.07021500000008</v>
      </c>
      <c r="AY189" s="77">
        <f>AI189*Valores!$C$75</f>
        <v>1088.7457525000002</v>
      </c>
      <c r="AZ189" s="77">
        <f>AI189*Valores!$C$76</f>
        <v>186.64212900000004</v>
      </c>
      <c r="BA189" s="77">
        <f t="shared" si="32"/>
        <v>1679.7791610000004</v>
      </c>
      <c r="BB189" s="51"/>
      <c r="BC189" s="85">
        <v>30</v>
      </c>
      <c r="BD189" s="27" t="s">
        <v>8</v>
      </c>
    </row>
    <row r="190" spans="1:56" s="27" customFormat="1" ht="11.25" customHeight="1" x14ac:dyDescent="0.2">
      <c r="A190" s="51">
        <v>189</v>
      </c>
      <c r="B190" s="51"/>
      <c r="C190" s="27" t="s">
        <v>515</v>
      </c>
      <c r="E190" s="27">
        <f t="shared" si="24"/>
        <v>24</v>
      </c>
      <c r="F190" s="71" t="s">
        <v>516</v>
      </c>
      <c r="G190" s="72">
        <v>1278</v>
      </c>
      <c r="H190" s="73">
        <f>INT((G190*Valores!$C$2*100)+0.5)/100</f>
        <v>8790.34</v>
      </c>
      <c r="I190" s="112">
        <v>0</v>
      </c>
      <c r="J190" s="75">
        <f>INT((I190*Valores!$C$2*100)+0.5)/100</f>
        <v>0</v>
      </c>
      <c r="K190" s="102">
        <v>0</v>
      </c>
      <c r="L190" s="75">
        <f>INT((K190*Valores!$C$2*100)+0.5)/100</f>
        <v>0</v>
      </c>
      <c r="M190" s="100">
        <v>1200</v>
      </c>
      <c r="N190" s="75">
        <f>INT((M190*Valores!$C$2*100)+0.5)/100</f>
        <v>8253.84</v>
      </c>
      <c r="O190" s="75">
        <f t="shared" si="25"/>
        <v>3268.9050000000002</v>
      </c>
      <c r="P190" s="75">
        <f t="shared" si="26"/>
        <v>0</v>
      </c>
      <c r="Q190" s="101">
        <f>Valores!$C$20</f>
        <v>4231.82</v>
      </c>
      <c r="R190" s="101">
        <f>Valores!$D$4</f>
        <v>3076.62</v>
      </c>
      <c r="S190" s="101">
        <f>Valores!$C$26</f>
        <v>3208.72</v>
      </c>
      <c r="T190" s="106">
        <f>Valores!$C$43</f>
        <v>1907.73</v>
      </c>
      <c r="U190" s="75">
        <f>Valores!$C$23</f>
        <v>2840.79</v>
      </c>
      <c r="V190" s="75">
        <f t="shared" si="33"/>
        <v>2840.79</v>
      </c>
      <c r="W190" s="75">
        <v>0</v>
      </c>
      <c r="X190" s="75">
        <v>0</v>
      </c>
      <c r="Y190" s="79">
        <v>0</v>
      </c>
      <c r="Z190" s="75">
        <f>Y190*Valores!$C$2</f>
        <v>0</v>
      </c>
      <c r="AA190" s="75">
        <v>0</v>
      </c>
      <c r="AB190" s="80">
        <f>Valores!$C$29</f>
        <v>166.15</v>
      </c>
      <c r="AC190" s="75">
        <f t="shared" si="29"/>
        <v>0</v>
      </c>
      <c r="AD190" s="75">
        <f>Valores!$C$30</f>
        <v>166.15</v>
      </c>
      <c r="AE190" s="79">
        <v>0</v>
      </c>
      <c r="AF190" s="75">
        <f>INT(((AE190*Valores!$C$2)*100)+0.5)/100</f>
        <v>0</v>
      </c>
      <c r="AG190" s="75">
        <f>Valores!$C$58</f>
        <v>337.97</v>
      </c>
      <c r="AH190" s="75">
        <f>Valores!$C$60</f>
        <v>96.56</v>
      </c>
      <c r="AI190" s="114">
        <f t="shared" si="30"/>
        <v>36345.595000000001</v>
      </c>
      <c r="AJ190" s="101">
        <f>Valores!$C$35</f>
        <v>666.25</v>
      </c>
      <c r="AK190" s="78">
        <f>Valores!$C$9</f>
        <v>0</v>
      </c>
      <c r="AL190" s="78">
        <f>Valores!$C$83</f>
        <v>3000</v>
      </c>
      <c r="AM190" s="80">
        <f>Valores!$C$50</f>
        <v>283.24</v>
      </c>
      <c r="AN190" s="82">
        <f t="shared" si="31"/>
        <v>3666.25</v>
      </c>
      <c r="AO190" s="61">
        <f>AI190*-Valores!$C$65</f>
        <v>-4724.9273499999999</v>
      </c>
      <c r="AP190" s="61">
        <f>AI190*-Valores!$C$66</f>
        <v>-181.72797500000001</v>
      </c>
      <c r="AQ190" s="77">
        <f>AI190*-Valores!$C$67</f>
        <v>-1635.5517749999999</v>
      </c>
      <c r="AR190" s="77">
        <f>AI190*-Valores!$C$68</f>
        <v>-981.33106499999997</v>
      </c>
      <c r="AS190" s="77">
        <f>AI190*-Valores!$C$69</f>
        <v>-109.03678500000001</v>
      </c>
      <c r="AT190" s="81">
        <f t="shared" si="27"/>
        <v>33469.637900000002</v>
      </c>
      <c r="AU190" s="81">
        <f t="shared" si="28"/>
        <v>34014.821825000006</v>
      </c>
      <c r="AV190" s="77">
        <f>AI190*Valores!$C$71</f>
        <v>5815.2952000000005</v>
      </c>
      <c r="AW190" s="77">
        <f>AI190*Valores!$C$72</f>
        <v>1635.5517749999999</v>
      </c>
      <c r="AX190" s="77">
        <f>AI190*Valores!$C$73</f>
        <v>363.45595000000003</v>
      </c>
      <c r="AY190" s="77">
        <f>AI190*Valores!$C$75</f>
        <v>1272.0958250000001</v>
      </c>
      <c r="AZ190" s="77">
        <f>AI190*Valores!$C$76</f>
        <v>218.07357000000002</v>
      </c>
      <c r="BA190" s="77">
        <f t="shared" si="32"/>
        <v>1962.6621300000002</v>
      </c>
      <c r="BB190" s="51"/>
      <c r="BC190" s="51">
        <v>36</v>
      </c>
      <c r="BD190" s="27" t="s">
        <v>4</v>
      </c>
    </row>
    <row r="191" spans="1:56" s="27" customFormat="1" ht="11.25" customHeight="1" x14ac:dyDescent="0.2">
      <c r="A191" s="85">
        <v>190</v>
      </c>
      <c r="B191" s="85" t="s">
        <v>163</v>
      </c>
      <c r="C191" s="86" t="s">
        <v>517</v>
      </c>
      <c r="D191" s="86"/>
      <c r="E191" s="86">
        <f t="shared" si="24"/>
        <v>38</v>
      </c>
      <c r="F191" s="87" t="s">
        <v>518</v>
      </c>
      <c r="G191" s="88">
        <v>1065</v>
      </c>
      <c r="H191" s="89">
        <f>INT((G191*Valores!$C$2*100)+0.5)/100</f>
        <v>7325.28</v>
      </c>
      <c r="I191" s="103">
        <v>0</v>
      </c>
      <c r="J191" s="91">
        <f>INT((I191*Valores!$C$2*100)+0.5)/100</f>
        <v>0</v>
      </c>
      <c r="K191" s="104">
        <v>0</v>
      </c>
      <c r="L191" s="91">
        <f>INT((K191*Valores!$C$2*100)+0.5)/100</f>
        <v>0</v>
      </c>
      <c r="M191" s="105">
        <v>600</v>
      </c>
      <c r="N191" s="91">
        <f>INT((M191*Valores!$C$2*100)+0.5)/100</f>
        <v>4126.92</v>
      </c>
      <c r="O191" s="91">
        <f t="shared" si="25"/>
        <v>2430.1080000000002</v>
      </c>
      <c r="P191" s="91">
        <f t="shared" si="26"/>
        <v>0</v>
      </c>
      <c r="Q191" s="107">
        <f>Valores!$C$20</f>
        <v>4231.82</v>
      </c>
      <c r="R191" s="107">
        <f>Valores!$D$4</f>
        <v>3076.62</v>
      </c>
      <c r="S191" s="91">
        <v>0</v>
      </c>
      <c r="T191" s="94">
        <f>Valores!$C$43</f>
        <v>1907.73</v>
      </c>
      <c r="U191" s="91">
        <f>Valores!$C$23</f>
        <v>2840.79</v>
      </c>
      <c r="V191" s="91">
        <f t="shared" si="33"/>
        <v>2840.79</v>
      </c>
      <c r="W191" s="91">
        <v>0</v>
      </c>
      <c r="X191" s="91">
        <v>0</v>
      </c>
      <c r="Y191" s="95">
        <v>0</v>
      </c>
      <c r="Z191" s="91">
        <f>Y191*Valores!$C$2</f>
        <v>0</v>
      </c>
      <c r="AA191" s="91">
        <v>0</v>
      </c>
      <c r="AB191" s="96">
        <f>Valores!$C$29</f>
        <v>166.15</v>
      </c>
      <c r="AC191" s="91">
        <f t="shared" si="29"/>
        <v>0</v>
      </c>
      <c r="AD191" s="91">
        <f>Valores!$C$30</f>
        <v>166.15</v>
      </c>
      <c r="AE191" s="95">
        <v>0</v>
      </c>
      <c r="AF191" s="91">
        <f>INT(((AE191*Valores!$C$2)*100)+0.5)/100</f>
        <v>0</v>
      </c>
      <c r="AG191" s="91">
        <f>Valores!$C$58</f>
        <v>337.97</v>
      </c>
      <c r="AH191" s="91">
        <f>Valores!$C$60</f>
        <v>96.56</v>
      </c>
      <c r="AI191" s="115">
        <f t="shared" si="30"/>
        <v>26706.098000000005</v>
      </c>
      <c r="AJ191" s="107">
        <f>Valores!$C$35</f>
        <v>666.25</v>
      </c>
      <c r="AK191" s="94">
        <f>Valores!$C$9</f>
        <v>0</v>
      </c>
      <c r="AL191" s="94">
        <f>Valores!$C$83</f>
        <v>3000</v>
      </c>
      <c r="AM191" s="96">
        <f>Valores!$C$50</f>
        <v>283.24</v>
      </c>
      <c r="AN191" s="98">
        <f t="shared" si="31"/>
        <v>3666.25</v>
      </c>
      <c r="AO191" s="116">
        <f>AI191*-Valores!$C$65</f>
        <v>-3471.7927400000008</v>
      </c>
      <c r="AP191" s="116">
        <f>AI191*-Valores!$C$66</f>
        <v>-133.53049000000004</v>
      </c>
      <c r="AQ191" s="93">
        <f>AI191*-Valores!$C$67</f>
        <v>-1201.7744100000002</v>
      </c>
      <c r="AR191" s="93">
        <f>AI191*-Valores!$C$68</f>
        <v>-721.06464600000015</v>
      </c>
      <c r="AS191" s="93">
        <f>AI191*-Valores!$C$69</f>
        <v>-80.11829400000002</v>
      </c>
      <c r="AT191" s="97">
        <f t="shared" si="27"/>
        <v>25565.250360000002</v>
      </c>
      <c r="AU191" s="97">
        <f t="shared" si="28"/>
        <v>25965.841830000005</v>
      </c>
      <c r="AV191" s="93">
        <f>AI191*Valores!$C$71</f>
        <v>4272.9756800000014</v>
      </c>
      <c r="AW191" s="93">
        <f>AI191*Valores!$C$72</f>
        <v>1201.7744100000002</v>
      </c>
      <c r="AX191" s="93">
        <f>AI191*Valores!$C$73</f>
        <v>267.06098000000009</v>
      </c>
      <c r="AY191" s="93">
        <f>AI191*Valores!$C$75</f>
        <v>934.71343000000024</v>
      </c>
      <c r="AZ191" s="93">
        <f>AI191*Valores!$C$76</f>
        <v>160.23658800000004</v>
      </c>
      <c r="BA191" s="93">
        <f t="shared" si="32"/>
        <v>1442.1292920000005</v>
      </c>
      <c r="BB191" s="85"/>
      <c r="BC191" s="85"/>
      <c r="BD191" s="86" t="s">
        <v>4</v>
      </c>
    </row>
    <row r="192" spans="1:56" s="27" customFormat="1" ht="11.25" customHeight="1" x14ac:dyDescent="0.2">
      <c r="A192" s="51">
        <v>191</v>
      </c>
      <c r="B192" s="51"/>
      <c r="C192" s="27" t="s">
        <v>519</v>
      </c>
      <c r="E192" s="27">
        <f t="shared" si="24"/>
        <v>26</v>
      </c>
      <c r="F192" s="71" t="s">
        <v>520</v>
      </c>
      <c r="G192" s="72">
        <v>971</v>
      </c>
      <c r="H192" s="73">
        <f>INT((G192*Valores!$C$2*100)+0.5)/100</f>
        <v>6678.73</v>
      </c>
      <c r="I192" s="112">
        <v>0</v>
      </c>
      <c r="J192" s="75">
        <f>INT((I192*Valores!$C$2*100)+0.5)/100</f>
        <v>0</v>
      </c>
      <c r="K192" s="102">
        <v>0</v>
      </c>
      <c r="L192" s="75">
        <f>INT((K192*Valores!$C$2*100)+0.5)/100</f>
        <v>0</v>
      </c>
      <c r="M192" s="100">
        <v>660</v>
      </c>
      <c r="N192" s="75">
        <f>INT((M192*Valores!$C$2*100)+0.5)/100</f>
        <v>4539.6099999999997</v>
      </c>
      <c r="O192" s="75">
        <f t="shared" si="25"/>
        <v>2299.6440000000002</v>
      </c>
      <c r="P192" s="75">
        <f t="shared" si="26"/>
        <v>0</v>
      </c>
      <c r="Q192" s="101">
        <f>Valores!$C$20</f>
        <v>4231.82</v>
      </c>
      <c r="R192" s="101">
        <f>Valores!$D$4</f>
        <v>3076.62</v>
      </c>
      <c r="S192" s="101">
        <f>Valores!$C$27</f>
        <v>2957.66</v>
      </c>
      <c r="T192" s="106">
        <f>Valores!$C$42</f>
        <v>1271.83</v>
      </c>
      <c r="U192" s="75">
        <f>Valores!$C$23</f>
        <v>2840.79</v>
      </c>
      <c r="V192" s="75">
        <f t="shared" si="33"/>
        <v>2840.79</v>
      </c>
      <c r="W192" s="75">
        <v>0</v>
      </c>
      <c r="X192" s="75">
        <v>0</v>
      </c>
      <c r="Y192" s="79">
        <v>0</v>
      </c>
      <c r="Z192" s="75">
        <f>Y192*Valores!$C$2</f>
        <v>0</v>
      </c>
      <c r="AA192" s="75">
        <v>0</v>
      </c>
      <c r="AB192" s="80">
        <f>Valores!$C$29</f>
        <v>166.15</v>
      </c>
      <c r="AC192" s="75">
        <f t="shared" si="29"/>
        <v>0</v>
      </c>
      <c r="AD192" s="75">
        <f>Valores!$C$30</f>
        <v>166.15</v>
      </c>
      <c r="AE192" s="79">
        <v>0</v>
      </c>
      <c r="AF192" s="75">
        <f>INT(((AE192*Valores!$C$2)*100)+0.5)/100</f>
        <v>0</v>
      </c>
      <c r="AG192" s="75">
        <f>Valores!$C$58</f>
        <v>337.97</v>
      </c>
      <c r="AH192" s="75">
        <f>Valores!$C$60</f>
        <v>96.56</v>
      </c>
      <c r="AI192" s="114">
        <f t="shared" si="30"/>
        <v>28663.534000000003</v>
      </c>
      <c r="AJ192" s="101">
        <f>Valores!$C$35</f>
        <v>666.25</v>
      </c>
      <c r="AK192" s="78">
        <f>Valores!$C$8</f>
        <v>0</v>
      </c>
      <c r="AL192" s="78">
        <f>Valores!$C$81</f>
        <v>1500</v>
      </c>
      <c r="AM192" s="80">
        <v>0</v>
      </c>
      <c r="AN192" s="82">
        <f t="shared" si="31"/>
        <v>2166.25</v>
      </c>
      <c r="AO192" s="61">
        <f>AI192*-Valores!$C$65</f>
        <v>-3726.2594200000008</v>
      </c>
      <c r="AP192" s="61">
        <f>AI192*-Valores!$C$66</f>
        <v>-143.31767000000002</v>
      </c>
      <c r="AQ192" s="77">
        <f>AI192*-Valores!$C$67</f>
        <v>-1289.8590300000001</v>
      </c>
      <c r="AR192" s="77">
        <f>AI192*-Valores!$C$68</f>
        <v>-773.91541800000005</v>
      </c>
      <c r="AS192" s="77">
        <f>AI192*-Valores!$C$69</f>
        <v>-85.99060200000001</v>
      </c>
      <c r="AT192" s="81">
        <f t="shared" si="27"/>
        <v>25670.347880000001</v>
      </c>
      <c r="AU192" s="81">
        <f t="shared" si="28"/>
        <v>26100.300889999999</v>
      </c>
      <c r="AV192" s="77">
        <f>AI192*Valores!$C$71</f>
        <v>4586.1654400000007</v>
      </c>
      <c r="AW192" s="77">
        <f>AI192*Valores!$C$72</f>
        <v>1289.8590300000001</v>
      </c>
      <c r="AX192" s="77">
        <f>AI192*Valores!$C$73</f>
        <v>286.63534000000004</v>
      </c>
      <c r="AY192" s="77">
        <f>AI192*Valores!$C$75</f>
        <v>1003.2236900000003</v>
      </c>
      <c r="AZ192" s="77">
        <f>AI192*Valores!$C$76</f>
        <v>171.98120400000002</v>
      </c>
      <c r="BA192" s="77">
        <f t="shared" si="32"/>
        <v>1547.8308360000003</v>
      </c>
      <c r="BB192" s="51"/>
      <c r="BC192" s="51">
        <v>18</v>
      </c>
      <c r="BD192" s="27" t="s">
        <v>4</v>
      </c>
    </row>
    <row r="193" spans="1:56" s="27" customFormat="1" ht="11.25" customHeight="1" x14ac:dyDescent="0.2">
      <c r="A193" s="51">
        <v>192</v>
      </c>
      <c r="B193" s="51"/>
      <c r="C193" s="27" t="s">
        <v>521</v>
      </c>
      <c r="D193" s="27">
        <v>1</v>
      </c>
      <c r="E193" s="27">
        <f t="shared" si="24"/>
        <v>36</v>
      </c>
      <c r="F193" s="71" t="str">
        <f t="shared" ref="F193:F228" si="34">CONCATENATE("Hora Cátedra Enseñanza Superior ",D193," hs")</f>
        <v>Hora Cátedra Enseñanza Superior 1 hs</v>
      </c>
      <c r="G193" s="72">
        <f t="shared" ref="G193:G228" si="35">99*D193</f>
        <v>99</v>
      </c>
      <c r="H193" s="73">
        <f>INT((G193*Valores!$C$2*100)+0.5)/100</f>
        <v>680.94</v>
      </c>
      <c r="I193" s="112">
        <v>0</v>
      </c>
      <c r="J193" s="75">
        <f>INT((I193*Valores!$C$2*100)+0.5)/100</f>
        <v>0</v>
      </c>
      <c r="K193" s="102">
        <v>0</v>
      </c>
      <c r="L193" s="75">
        <f>INT((K193*Valores!$C$2*100)+0.5)/100</f>
        <v>0</v>
      </c>
      <c r="M193" s="100">
        <v>0</v>
      </c>
      <c r="N193" s="75">
        <f>INT((M193*Valores!$C$2*100)+0.5)/100</f>
        <v>0</v>
      </c>
      <c r="O193" s="75">
        <f t="shared" si="25"/>
        <v>118.87950000000001</v>
      </c>
      <c r="P193" s="75">
        <f t="shared" si="26"/>
        <v>0</v>
      </c>
      <c r="Q193" s="101">
        <f>Valores!$C$14*D193</f>
        <v>166.13</v>
      </c>
      <c r="R193" s="101">
        <f>IF(D193&lt;15,(Valores!$E$4*D193),Valores!$D$4)</f>
        <v>205.10999999999999</v>
      </c>
      <c r="S193" s="75">
        <v>0</v>
      </c>
      <c r="T193" s="78">
        <f>IF(Valores!$C$45*D193&gt;Valores!$C$43,Valores!$C$43,Valores!$C$45*D193)</f>
        <v>53.01</v>
      </c>
      <c r="U193" s="101">
        <f>Valores!$C$22*D193</f>
        <v>58.58</v>
      </c>
      <c r="V193" s="75">
        <f t="shared" si="33"/>
        <v>58.58</v>
      </c>
      <c r="W193" s="75">
        <v>0</v>
      </c>
      <c r="X193" s="75">
        <v>0</v>
      </c>
      <c r="Y193" s="118">
        <v>0</v>
      </c>
      <c r="Z193" s="75">
        <f>Y193*Valores!$C$2</f>
        <v>0</v>
      </c>
      <c r="AA193" s="75">
        <v>0</v>
      </c>
      <c r="AB193" s="80">
        <f>IF((Valores!$C$32)*D193&gt;Valores!$F$32,Valores!$F$32,(Valores!$C$32)*D193)</f>
        <v>6.66</v>
      </c>
      <c r="AC193" s="75">
        <f t="shared" si="29"/>
        <v>0</v>
      </c>
      <c r="AD193" s="75">
        <f>IF(Valores!$C$33*D193&gt;Valores!$F$33,Valores!$F$33,Valores!$C$33*D193)</f>
        <v>5.54</v>
      </c>
      <c r="AE193" s="79">
        <v>0</v>
      </c>
      <c r="AF193" s="75">
        <f>INT(((AE193*Valores!$C$2)*100)+0.5)/100</f>
        <v>0</v>
      </c>
      <c r="AG193" s="75">
        <f>IF(Valores!$D$58*'Escala Docente'!D193&gt;Valores!$F$58,Valores!$F$58,Valores!$D$58*'Escala Docente'!D193)</f>
        <v>22.53</v>
      </c>
      <c r="AH193" s="75">
        <f>IF(Valores!$D$60*D193&gt;Valores!$F$60,Valores!$F$60,Valores!$D$60*D193)</f>
        <v>6.44</v>
      </c>
      <c r="AI193" s="114">
        <f t="shared" si="30"/>
        <v>1323.8195000000001</v>
      </c>
      <c r="AJ193" s="101">
        <f>IF(Valores!$C$36*D193&gt;Valores!$F$36,Valores!$F$36,Valores!$C$36*D193)</f>
        <v>44.42</v>
      </c>
      <c r="AK193" s="78">
        <f>IF(Valores!$C$11*D193&gt;Valores!$F$11,Valores!$F$11,Valores!$C$11*D193)</f>
        <v>0</v>
      </c>
      <c r="AL193" s="78">
        <f>IF(Valores!$C$84*D193&gt;Valores!$C$83,Valores!$C$83,Valores!$C$84*D193)</f>
        <v>75</v>
      </c>
      <c r="AM193" s="80">
        <f>IF(Valores!$C$56*D193&gt;Valores!$F$56,Valores!$F$56,Valores!$C$56*D193)</f>
        <v>11.8</v>
      </c>
      <c r="AN193" s="82">
        <f t="shared" si="31"/>
        <v>119.42</v>
      </c>
      <c r="AO193" s="61">
        <f>AI193*-Valores!$C$65</f>
        <v>-172.09653500000002</v>
      </c>
      <c r="AP193" s="61">
        <f>AI193*-Valores!$C$66</f>
        <v>-6.6190975000000005</v>
      </c>
      <c r="AQ193" s="77">
        <f>AI193*-Valores!$C$67</f>
        <v>-59.571877499999999</v>
      </c>
      <c r="AR193" s="77">
        <f>AI193*-Valores!$C$68</f>
        <v>-35.743126500000002</v>
      </c>
      <c r="AS193" s="77">
        <f>AI193*-Valores!$C$69</f>
        <v>-3.9714585000000002</v>
      </c>
      <c r="AT193" s="81">
        <f t="shared" si="27"/>
        <v>1204.95199</v>
      </c>
      <c r="AU193" s="81">
        <f t="shared" si="28"/>
        <v>1224.8092825000001</v>
      </c>
      <c r="AV193" s="77">
        <f>AI193*Valores!$C$71</f>
        <v>211.81112000000002</v>
      </c>
      <c r="AW193" s="77">
        <f>AI193*Valores!$C$72</f>
        <v>59.571877499999999</v>
      </c>
      <c r="AX193" s="77">
        <f>AI193*Valores!$C$73</f>
        <v>13.238195000000001</v>
      </c>
      <c r="AY193" s="77">
        <f>AI193*Valores!$C$75</f>
        <v>46.333682500000009</v>
      </c>
      <c r="AZ193" s="77">
        <f>AI193*Valores!$C$76</f>
        <v>7.9429170000000004</v>
      </c>
      <c r="BA193" s="77">
        <f t="shared" si="32"/>
        <v>71.486253000000005</v>
      </c>
      <c r="BB193" s="51"/>
      <c r="BC193" s="51">
        <f t="shared" ref="BC193:BC224" si="36">4*D193</f>
        <v>4</v>
      </c>
      <c r="BD193" s="27" t="s">
        <v>4</v>
      </c>
    </row>
    <row r="194" spans="1:56" s="27" customFormat="1" ht="11.25" customHeight="1" x14ac:dyDescent="0.2">
      <c r="A194" s="51">
        <v>193</v>
      </c>
      <c r="B194" s="51"/>
      <c r="C194" s="27" t="s">
        <v>521</v>
      </c>
      <c r="D194" s="27">
        <v>2</v>
      </c>
      <c r="E194" s="27">
        <f t="shared" si="24"/>
        <v>36</v>
      </c>
      <c r="F194" s="71" t="str">
        <f t="shared" si="34"/>
        <v>Hora Cátedra Enseñanza Superior 2 hs</v>
      </c>
      <c r="G194" s="72">
        <f t="shared" si="35"/>
        <v>198</v>
      </c>
      <c r="H194" s="73">
        <f>INT((G194*Valores!$C$2*100)+0.5)/100</f>
        <v>1361.88</v>
      </c>
      <c r="I194" s="112">
        <v>0</v>
      </c>
      <c r="J194" s="75">
        <f>INT((I194*Valores!$C$2*100)+0.5)/100</f>
        <v>0</v>
      </c>
      <c r="K194" s="102">
        <v>0</v>
      </c>
      <c r="L194" s="75">
        <f>INT((K194*Valores!$C$2*100)+0.5)/100</f>
        <v>0</v>
      </c>
      <c r="M194" s="100">
        <v>0</v>
      </c>
      <c r="N194" s="75">
        <f>INT((M194*Valores!$C$2*100)+0.5)/100</f>
        <v>0</v>
      </c>
      <c r="O194" s="75">
        <f t="shared" si="25"/>
        <v>237.75900000000001</v>
      </c>
      <c r="P194" s="75">
        <f t="shared" si="26"/>
        <v>0</v>
      </c>
      <c r="Q194" s="101">
        <f>Valores!$C$14*D194</f>
        <v>332.26</v>
      </c>
      <c r="R194" s="101">
        <f>IF(D194&lt;15,(Valores!$E$4*D194),Valores!$D$4)</f>
        <v>410.21999999999997</v>
      </c>
      <c r="S194" s="75">
        <v>0</v>
      </c>
      <c r="T194" s="78">
        <f>IF(Valores!$C$45*D194&gt;Valores!$C$43,Valores!$C$43,Valores!$C$45*D194)</f>
        <v>106.02</v>
      </c>
      <c r="U194" s="101">
        <f>Valores!$C$22*D194</f>
        <v>117.16</v>
      </c>
      <c r="V194" s="75">
        <f t="shared" si="33"/>
        <v>117.16</v>
      </c>
      <c r="W194" s="75">
        <v>0</v>
      </c>
      <c r="X194" s="75">
        <v>0</v>
      </c>
      <c r="Y194" s="118">
        <v>0</v>
      </c>
      <c r="Z194" s="75">
        <f>Y194*Valores!$C$2</f>
        <v>0</v>
      </c>
      <c r="AA194" s="75">
        <v>0</v>
      </c>
      <c r="AB194" s="80">
        <f>IF((Valores!$C$32)*D194&gt;Valores!$F$32,Valores!$F$32,(Valores!$C$32)*D194)</f>
        <v>13.32</v>
      </c>
      <c r="AC194" s="75">
        <f t="shared" si="29"/>
        <v>0</v>
      </c>
      <c r="AD194" s="75">
        <f>IF(Valores!$C$33*D194&gt;Valores!$F$33,Valores!$F$33,Valores!$C$33*D194)</f>
        <v>11.08</v>
      </c>
      <c r="AE194" s="79">
        <v>0</v>
      </c>
      <c r="AF194" s="75">
        <f>INT(((AE194*Valores!$C$2)*100)+0.5)/100</f>
        <v>0</v>
      </c>
      <c r="AG194" s="75">
        <f>IF(Valores!$D$58*'Escala Docente'!D194&gt;Valores!$F$58,Valores!$F$58,Valores!$D$58*'Escala Docente'!D194)</f>
        <v>45.06</v>
      </c>
      <c r="AH194" s="75">
        <f>IF(Valores!$D$60*D194&gt;Valores!$F$60,Valores!$F$60,Valores!$D$60*D194)</f>
        <v>12.88</v>
      </c>
      <c r="AI194" s="114">
        <f t="shared" si="30"/>
        <v>2647.6390000000001</v>
      </c>
      <c r="AJ194" s="101">
        <f>IF(Valores!$C$36*D194&gt;Valores!$F$36,Valores!$F$36,Valores!$C$36*D194)</f>
        <v>88.84</v>
      </c>
      <c r="AK194" s="78">
        <f>IF(Valores!$C$11*D194&gt;Valores!$F$11,Valores!$F$11,Valores!$C$11*D194)</f>
        <v>0</v>
      </c>
      <c r="AL194" s="78">
        <f>IF(Valores!$C$84*D194&gt;Valores!$C$83,Valores!$C$83,Valores!$C$84*D194)</f>
        <v>150</v>
      </c>
      <c r="AM194" s="80">
        <f>IF(Valores!$C$56*D194&gt;Valores!$F$56,Valores!$F$56,Valores!$C$56*D194)</f>
        <v>23.6</v>
      </c>
      <c r="AN194" s="82">
        <f t="shared" si="31"/>
        <v>238.84</v>
      </c>
      <c r="AO194" s="61">
        <f>AI194*-Valores!$C$65</f>
        <v>-344.19307000000003</v>
      </c>
      <c r="AP194" s="61">
        <f>AI194*-Valores!$C$66</f>
        <v>-13.238195000000001</v>
      </c>
      <c r="AQ194" s="77">
        <f>AI194*-Valores!$C$67</f>
        <v>-119.143755</v>
      </c>
      <c r="AR194" s="77">
        <f>AI194*-Valores!$C$68</f>
        <v>-71.486253000000005</v>
      </c>
      <c r="AS194" s="77">
        <f>AI194*-Valores!$C$69</f>
        <v>-7.9429170000000004</v>
      </c>
      <c r="AT194" s="81">
        <f t="shared" si="27"/>
        <v>2409.90398</v>
      </c>
      <c r="AU194" s="81">
        <f t="shared" si="28"/>
        <v>2449.6185650000002</v>
      </c>
      <c r="AV194" s="77">
        <f>AI194*Valores!$C$71</f>
        <v>423.62224000000003</v>
      </c>
      <c r="AW194" s="77">
        <f>AI194*Valores!$C$72</f>
        <v>119.143755</v>
      </c>
      <c r="AX194" s="77">
        <f>AI194*Valores!$C$73</f>
        <v>26.476390000000002</v>
      </c>
      <c r="AY194" s="77">
        <f>AI194*Valores!$C$75</f>
        <v>92.667365000000018</v>
      </c>
      <c r="AZ194" s="77">
        <f>AI194*Valores!$C$76</f>
        <v>15.885834000000001</v>
      </c>
      <c r="BA194" s="77">
        <f t="shared" si="32"/>
        <v>142.97250600000001</v>
      </c>
      <c r="BB194" s="51"/>
      <c r="BC194" s="85">
        <f t="shared" si="36"/>
        <v>8</v>
      </c>
      <c r="BD194" s="27" t="s">
        <v>4</v>
      </c>
    </row>
    <row r="195" spans="1:56" s="27" customFormat="1" ht="11.25" customHeight="1" x14ac:dyDescent="0.2">
      <c r="A195" s="51">
        <v>194</v>
      </c>
      <c r="B195" s="51"/>
      <c r="C195" s="27" t="s">
        <v>521</v>
      </c>
      <c r="D195" s="27">
        <v>3</v>
      </c>
      <c r="E195" s="27">
        <f t="shared" si="24"/>
        <v>36</v>
      </c>
      <c r="F195" s="71" t="str">
        <f t="shared" si="34"/>
        <v>Hora Cátedra Enseñanza Superior 3 hs</v>
      </c>
      <c r="G195" s="72">
        <f t="shared" si="35"/>
        <v>297</v>
      </c>
      <c r="H195" s="73">
        <f>INT((G195*Valores!$C$2*100)+0.5)/100</f>
        <v>2042.83</v>
      </c>
      <c r="I195" s="112">
        <v>0</v>
      </c>
      <c r="J195" s="75">
        <f>INT((I195*Valores!$C$2*100)+0.5)/100</f>
        <v>0</v>
      </c>
      <c r="K195" s="102">
        <v>0</v>
      </c>
      <c r="L195" s="75">
        <f>INT((K195*Valores!$C$2*100)+0.5)/100</f>
        <v>0</v>
      </c>
      <c r="M195" s="100">
        <v>0</v>
      </c>
      <c r="N195" s="75">
        <f>INT((M195*Valores!$C$2*100)+0.5)/100</f>
        <v>0</v>
      </c>
      <c r="O195" s="75">
        <f t="shared" si="25"/>
        <v>356.64</v>
      </c>
      <c r="P195" s="75">
        <f t="shared" si="26"/>
        <v>0</v>
      </c>
      <c r="Q195" s="101">
        <f>Valores!$C$14*D195</f>
        <v>498.39</v>
      </c>
      <c r="R195" s="101">
        <f>IF(D195&lt;15,(Valores!$E$4*D195),Valores!$D$4)</f>
        <v>615.32999999999993</v>
      </c>
      <c r="S195" s="75">
        <v>0</v>
      </c>
      <c r="T195" s="78">
        <f>IF(Valores!$C$45*D195&gt;Valores!$C$43,Valores!$C$43,Valores!$C$45*D195)</f>
        <v>159.03</v>
      </c>
      <c r="U195" s="101">
        <f>Valores!$C$22*D195</f>
        <v>175.74</v>
      </c>
      <c r="V195" s="75">
        <f t="shared" si="33"/>
        <v>175.74</v>
      </c>
      <c r="W195" s="75">
        <v>0</v>
      </c>
      <c r="X195" s="75">
        <v>0</v>
      </c>
      <c r="Y195" s="118">
        <v>0</v>
      </c>
      <c r="Z195" s="75">
        <f>Y195*Valores!$C$2</f>
        <v>0</v>
      </c>
      <c r="AA195" s="75">
        <v>0</v>
      </c>
      <c r="AB195" s="80">
        <f>IF((Valores!$C$32)*D195&gt;Valores!$F$32,Valores!$F$32,(Valores!$C$32)*D195)</f>
        <v>19.98</v>
      </c>
      <c r="AC195" s="75">
        <f t="shared" si="29"/>
        <v>0</v>
      </c>
      <c r="AD195" s="75">
        <f>IF(Valores!$C$33*D195&gt;Valores!$F$33,Valores!$F$33,Valores!$C$33*D195)</f>
        <v>16.62</v>
      </c>
      <c r="AE195" s="79">
        <v>0</v>
      </c>
      <c r="AF195" s="75">
        <f>INT(((AE195*Valores!$C$2)*100)+0.5)/100</f>
        <v>0</v>
      </c>
      <c r="AG195" s="75">
        <f>IF(Valores!$D$58*'Escala Docente'!D195&gt;Valores!$F$58,Valores!$F$58,Valores!$D$58*'Escala Docente'!D195)</f>
        <v>67.59</v>
      </c>
      <c r="AH195" s="75">
        <f>IF(Valores!$D$60*D195&gt;Valores!$F$60,Valores!$F$60,Valores!$D$60*D195)</f>
        <v>19.32</v>
      </c>
      <c r="AI195" s="114">
        <f t="shared" si="30"/>
        <v>3971.47</v>
      </c>
      <c r="AJ195" s="101">
        <f>IF(Valores!$C$36*D195&gt;Valores!$F$36,Valores!$F$36,Valores!$C$36*D195)</f>
        <v>133.26</v>
      </c>
      <c r="AK195" s="78">
        <f>IF(Valores!$C$11*D195&gt;Valores!$F$11,Valores!$F$11,Valores!$C$11*D195)</f>
        <v>0</v>
      </c>
      <c r="AL195" s="78">
        <f>IF(Valores!$C$84*D195&gt;Valores!$C$83,Valores!$C$83,Valores!$C$84*D195)</f>
        <v>225</v>
      </c>
      <c r="AM195" s="80">
        <f>IF(Valores!$C$56*D195&gt;Valores!$F$56,Valores!$F$56,Valores!$C$56*D195)</f>
        <v>35.400000000000006</v>
      </c>
      <c r="AN195" s="82">
        <f t="shared" si="31"/>
        <v>358.26</v>
      </c>
      <c r="AO195" s="61">
        <f>AI195*-Valores!$C$65</f>
        <v>-516.29110000000003</v>
      </c>
      <c r="AP195" s="61">
        <f>AI195*-Valores!$C$66</f>
        <v>-19.85735</v>
      </c>
      <c r="AQ195" s="77">
        <f>AI195*-Valores!$C$67</f>
        <v>-178.71614999999997</v>
      </c>
      <c r="AR195" s="77">
        <f>AI195*-Valores!$C$68</f>
        <v>-107.22968999999999</v>
      </c>
      <c r="AS195" s="77">
        <f>AI195*-Valores!$C$69</f>
        <v>-11.91441</v>
      </c>
      <c r="AT195" s="81">
        <f t="shared" si="27"/>
        <v>3614.8653999999992</v>
      </c>
      <c r="AU195" s="81">
        <f t="shared" si="28"/>
        <v>3674.4374499999994</v>
      </c>
      <c r="AV195" s="77">
        <f>AI195*Valores!$C$71</f>
        <v>635.43520000000001</v>
      </c>
      <c r="AW195" s="77">
        <f>AI195*Valores!$C$72</f>
        <v>178.71614999999997</v>
      </c>
      <c r="AX195" s="77">
        <f>AI195*Valores!$C$73</f>
        <v>39.714700000000001</v>
      </c>
      <c r="AY195" s="77">
        <f>AI195*Valores!$C$75</f>
        <v>139.00145000000001</v>
      </c>
      <c r="AZ195" s="77">
        <f>AI195*Valores!$C$76</f>
        <v>23.82882</v>
      </c>
      <c r="BA195" s="77">
        <f t="shared" si="32"/>
        <v>214.45938000000001</v>
      </c>
      <c r="BB195" s="51"/>
      <c r="BC195" s="51">
        <f t="shared" si="36"/>
        <v>12</v>
      </c>
      <c r="BD195" s="27" t="s">
        <v>4</v>
      </c>
    </row>
    <row r="196" spans="1:56" s="27" customFormat="1" ht="11.25" customHeight="1" x14ac:dyDescent="0.2">
      <c r="A196" s="85">
        <v>195</v>
      </c>
      <c r="B196" s="85" t="s">
        <v>163</v>
      </c>
      <c r="C196" s="86" t="s">
        <v>521</v>
      </c>
      <c r="D196" s="86">
        <v>4</v>
      </c>
      <c r="E196" s="86">
        <f t="shared" si="24"/>
        <v>36</v>
      </c>
      <c r="F196" s="87" t="str">
        <f t="shared" si="34"/>
        <v>Hora Cátedra Enseñanza Superior 4 hs</v>
      </c>
      <c r="G196" s="88">
        <f t="shared" si="35"/>
        <v>396</v>
      </c>
      <c r="H196" s="89">
        <f>INT((G196*Valores!$C$2*100)+0.5)/100</f>
        <v>2723.77</v>
      </c>
      <c r="I196" s="103">
        <v>0</v>
      </c>
      <c r="J196" s="91">
        <f>INT((I196*Valores!$C$2*100)+0.5)/100</f>
        <v>0</v>
      </c>
      <c r="K196" s="104">
        <v>0</v>
      </c>
      <c r="L196" s="91">
        <f>INT((K196*Valores!$C$2*100)+0.5)/100</f>
        <v>0</v>
      </c>
      <c r="M196" s="105">
        <v>0</v>
      </c>
      <c r="N196" s="91">
        <f>INT((M196*Valores!$C$2*100)+0.5)/100</f>
        <v>0</v>
      </c>
      <c r="O196" s="91">
        <f t="shared" si="25"/>
        <v>475.51949999999999</v>
      </c>
      <c r="P196" s="91">
        <f t="shared" si="26"/>
        <v>0</v>
      </c>
      <c r="Q196" s="107">
        <f>Valores!$C$14*D196</f>
        <v>664.52</v>
      </c>
      <c r="R196" s="107">
        <f>IF(D196&lt;15,(Valores!$E$4*D196),Valores!$D$4)</f>
        <v>820.43999999999994</v>
      </c>
      <c r="S196" s="91">
        <v>0</v>
      </c>
      <c r="T196" s="94">
        <f>IF(Valores!$C$45*D196&gt;Valores!$C$43,Valores!$C$43,Valores!$C$45*D196)</f>
        <v>212.04</v>
      </c>
      <c r="U196" s="107">
        <f>Valores!$C$22*D196</f>
        <v>234.32</v>
      </c>
      <c r="V196" s="91">
        <f t="shared" si="33"/>
        <v>234.32</v>
      </c>
      <c r="W196" s="91">
        <v>0</v>
      </c>
      <c r="X196" s="91">
        <v>0</v>
      </c>
      <c r="Y196" s="119">
        <v>0</v>
      </c>
      <c r="Z196" s="91">
        <f>Y196*Valores!$C$2</f>
        <v>0</v>
      </c>
      <c r="AA196" s="91">
        <v>0</v>
      </c>
      <c r="AB196" s="96">
        <f>IF((Valores!$C$32)*D196&gt;Valores!$F$32,Valores!$F$32,(Valores!$C$32)*D196)</f>
        <v>26.64</v>
      </c>
      <c r="AC196" s="91">
        <f t="shared" si="29"/>
        <v>0</v>
      </c>
      <c r="AD196" s="91">
        <f>IF(Valores!$C$33*D196&gt;Valores!$F$33,Valores!$F$33,Valores!$C$33*D196)</f>
        <v>22.16</v>
      </c>
      <c r="AE196" s="95">
        <v>0</v>
      </c>
      <c r="AF196" s="91">
        <f>INT(((AE196*Valores!$C$2)*100)+0.5)/100</f>
        <v>0</v>
      </c>
      <c r="AG196" s="91">
        <f>IF(Valores!$D$58*'Escala Docente'!D196&gt;Valores!$F$58,Valores!$F$58,Valores!$D$58*'Escala Docente'!D196)</f>
        <v>90.12</v>
      </c>
      <c r="AH196" s="91">
        <f>IF(Valores!$D$60*D196&gt;Valores!$F$60,Valores!$F$60,Valores!$D$60*D196)</f>
        <v>25.76</v>
      </c>
      <c r="AI196" s="115">
        <f t="shared" si="30"/>
        <v>5295.2894999999999</v>
      </c>
      <c r="AJ196" s="107">
        <f>IF(Valores!$C$36*D196&gt;Valores!$F$36,Valores!$F$36,Valores!$C$36*D196)</f>
        <v>177.68</v>
      </c>
      <c r="AK196" s="94">
        <f>IF(Valores!$C$11*D196&gt;Valores!$F$11,Valores!$F$11,Valores!$C$11*D196)</f>
        <v>0</v>
      </c>
      <c r="AL196" s="78">
        <f>IF(Valores!$C$84*D196&gt;Valores!$C$83,Valores!$C$83,Valores!$C$84*D196)</f>
        <v>300</v>
      </c>
      <c r="AM196" s="96">
        <f>IF(Valores!$C$56*D196&gt;Valores!$F$56,Valores!$F$56,Valores!$C$56*D196)</f>
        <v>47.2</v>
      </c>
      <c r="AN196" s="98">
        <f t="shared" si="31"/>
        <v>477.68</v>
      </c>
      <c r="AO196" s="116">
        <f>AI196*-Valores!$C$65</f>
        <v>-688.38763500000005</v>
      </c>
      <c r="AP196" s="116">
        <f>AI196*-Valores!$C$66</f>
        <v>-26.476447499999999</v>
      </c>
      <c r="AQ196" s="93">
        <f>AI196*-Valores!$C$67</f>
        <v>-238.2880275</v>
      </c>
      <c r="AR196" s="93">
        <f>AI196*-Valores!$C$68</f>
        <v>-142.97281649999999</v>
      </c>
      <c r="AS196" s="93">
        <f>AI196*-Valores!$C$69</f>
        <v>-15.885868499999999</v>
      </c>
      <c r="AT196" s="97">
        <f t="shared" si="27"/>
        <v>4819.8173900000002</v>
      </c>
      <c r="AU196" s="97">
        <f t="shared" si="28"/>
        <v>4899.2467325000007</v>
      </c>
      <c r="AV196" s="93">
        <f>AI196*Valores!$C$71</f>
        <v>847.24631999999997</v>
      </c>
      <c r="AW196" s="93">
        <f>AI196*Valores!$C$72</f>
        <v>238.2880275</v>
      </c>
      <c r="AX196" s="93">
        <f>AI196*Valores!$C$73</f>
        <v>52.952894999999998</v>
      </c>
      <c r="AY196" s="93">
        <f>AI196*Valores!$C$75</f>
        <v>185.33513250000001</v>
      </c>
      <c r="AZ196" s="93">
        <f>AI196*Valores!$C$76</f>
        <v>31.771736999999998</v>
      </c>
      <c r="BA196" s="93">
        <f t="shared" si="32"/>
        <v>285.94563300000004</v>
      </c>
      <c r="BB196" s="85"/>
      <c r="BC196" s="85">
        <f t="shared" si="36"/>
        <v>16</v>
      </c>
      <c r="BD196" s="86" t="s">
        <v>4</v>
      </c>
    </row>
    <row r="197" spans="1:56" s="27" customFormat="1" ht="11.25" customHeight="1" x14ac:dyDescent="0.2">
      <c r="A197" s="51">
        <v>196</v>
      </c>
      <c r="B197" s="51"/>
      <c r="C197" s="27" t="s">
        <v>521</v>
      </c>
      <c r="D197" s="27">
        <v>5</v>
      </c>
      <c r="E197" s="27">
        <f t="shared" si="24"/>
        <v>36</v>
      </c>
      <c r="F197" s="71" t="str">
        <f t="shared" si="34"/>
        <v>Hora Cátedra Enseñanza Superior 5 hs</v>
      </c>
      <c r="G197" s="72">
        <f t="shared" si="35"/>
        <v>495</v>
      </c>
      <c r="H197" s="73">
        <f>INT((G197*Valores!$C$2*100)+0.5)/100</f>
        <v>3404.71</v>
      </c>
      <c r="I197" s="112">
        <v>0</v>
      </c>
      <c r="J197" s="75">
        <f>INT((I197*Valores!$C$2*100)+0.5)/100</f>
        <v>0</v>
      </c>
      <c r="K197" s="102">
        <v>0</v>
      </c>
      <c r="L197" s="75">
        <f>INT((K197*Valores!$C$2*100)+0.5)/100</f>
        <v>0</v>
      </c>
      <c r="M197" s="100">
        <v>0</v>
      </c>
      <c r="N197" s="75">
        <f>INT((M197*Valores!$C$2*100)+0.5)/100</f>
        <v>0</v>
      </c>
      <c r="O197" s="75">
        <f t="shared" si="25"/>
        <v>594.399</v>
      </c>
      <c r="P197" s="75">
        <f t="shared" si="26"/>
        <v>0</v>
      </c>
      <c r="Q197" s="101">
        <f>Valores!$C$14*D197</f>
        <v>830.65</v>
      </c>
      <c r="R197" s="101">
        <f>IF(D197&lt;15,(Valores!$E$4*D197),Valores!$D$4)</f>
        <v>1025.55</v>
      </c>
      <c r="S197" s="75">
        <v>0</v>
      </c>
      <c r="T197" s="78">
        <f>IF(Valores!$C$45*D197&gt;Valores!$C$43,Valores!$C$43,Valores!$C$45*D197)</f>
        <v>265.05</v>
      </c>
      <c r="U197" s="101">
        <f>Valores!$C$22*D197</f>
        <v>292.89999999999998</v>
      </c>
      <c r="V197" s="75">
        <f t="shared" si="33"/>
        <v>292.89999999999998</v>
      </c>
      <c r="W197" s="75">
        <v>0</v>
      </c>
      <c r="X197" s="75">
        <v>0</v>
      </c>
      <c r="Y197" s="118">
        <v>0</v>
      </c>
      <c r="Z197" s="75">
        <f>Y197*Valores!$C$2</f>
        <v>0</v>
      </c>
      <c r="AA197" s="75">
        <v>0</v>
      </c>
      <c r="AB197" s="80">
        <f>IF((Valores!$C$32)*D197&gt;Valores!$F$32,Valores!$F$32,(Valores!$C$32)*D197)</f>
        <v>33.299999999999997</v>
      </c>
      <c r="AC197" s="75">
        <f t="shared" si="29"/>
        <v>0</v>
      </c>
      <c r="AD197" s="75">
        <f>IF(Valores!$C$33*D197&gt;Valores!$F$33,Valores!$F$33,Valores!$C$33*D197)</f>
        <v>27.7</v>
      </c>
      <c r="AE197" s="79">
        <v>0</v>
      </c>
      <c r="AF197" s="75">
        <f>INT(((AE197*Valores!$C$2)*100)+0.5)/100</f>
        <v>0</v>
      </c>
      <c r="AG197" s="75">
        <f>IF(Valores!$D$58*'Escala Docente'!D197&gt;Valores!$F$58,Valores!$F$58,Valores!$D$58*'Escala Docente'!D197)</f>
        <v>112.65</v>
      </c>
      <c r="AH197" s="75">
        <f>IF(Valores!$D$60*D197&gt;Valores!$F$60,Valores!$F$60,Valores!$D$60*D197)</f>
        <v>32.200000000000003</v>
      </c>
      <c r="AI197" s="114">
        <f t="shared" si="30"/>
        <v>6619.1089999999995</v>
      </c>
      <c r="AJ197" s="101">
        <f>IF(Valores!$C$36*D197&gt;Valores!$F$36,Valores!$F$36,Valores!$C$36*D197)</f>
        <v>222.10000000000002</v>
      </c>
      <c r="AK197" s="78">
        <f>IF(Valores!$C$11*D197&gt;Valores!$F$11,Valores!$F$11,Valores!$C$11*D197)</f>
        <v>0</v>
      </c>
      <c r="AL197" s="78">
        <f>IF(Valores!$C$84*D197&gt;Valores!$C$83,Valores!$C$83,Valores!$C$84*D197)</f>
        <v>375</v>
      </c>
      <c r="AM197" s="80">
        <f>IF(Valores!$C$56*D197&gt;Valores!$F$56,Valores!$F$56,Valores!$C$56*D197)</f>
        <v>59</v>
      </c>
      <c r="AN197" s="82">
        <f t="shared" si="31"/>
        <v>597.1</v>
      </c>
      <c r="AO197" s="61">
        <f>AI197*-Valores!$C$65</f>
        <v>-860.48416999999995</v>
      </c>
      <c r="AP197" s="61">
        <f>AI197*-Valores!$C$66</f>
        <v>-33.095545000000001</v>
      </c>
      <c r="AQ197" s="77">
        <f>AI197*-Valores!$C$67</f>
        <v>-297.85990499999997</v>
      </c>
      <c r="AR197" s="77">
        <f>AI197*-Valores!$C$68</f>
        <v>-178.71594299999998</v>
      </c>
      <c r="AS197" s="77">
        <f>AI197*-Valores!$C$69</f>
        <v>-19.857326999999998</v>
      </c>
      <c r="AT197" s="81">
        <f t="shared" si="27"/>
        <v>6024.7693799999997</v>
      </c>
      <c r="AU197" s="81">
        <f t="shared" si="28"/>
        <v>6124.0560150000001</v>
      </c>
      <c r="AV197" s="77">
        <f>AI197*Valores!$C$71</f>
        <v>1059.05744</v>
      </c>
      <c r="AW197" s="77">
        <f>AI197*Valores!$C$72</f>
        <v>297.85990499999997</v>
      </c>
      <c r="AX197" s="77">
        <f>AI197*Valores!$C$73</f>
        <v>66.191090000000003</v>
      </c>
      <c r="AY197" s="77">
        <f>AI197*Valores!$C$75</f>
        <v>231.668815</v>
      </c>
      <c r="AZ197" s="77">
        <f>AI197*Valores!$C$76</f>
        <v>39.714653999999996</v>
      </c>
      <c r="BA197" s="77">
        <f t="shared" si="32"/>
        <v>357.43188600000002</v>
      </c>
      <c r="BB197" s="51"/>
      <c r="BC197" s="51">
        <f t="shared" si="36"/>
        <v>20</v>
      </c>
      <c r="BD197" s="27" t="s">
        <v>4</v>
      </c>
    </row>
    <row r="198" spans="1:56" s="27" customFormat="1" ht="11.25" customHeight="1" x14ac:dyDescent="0.2">
      <c r="A198" s="51">
        <v>197</v>
      </c>
      <c r="B198" s="51"/>
      <c r="C198" s="27" t="s">
        <v>521</v>
      </c>
      <c r="D198" s="27">
        <v>6</v>
      </c>
      <c r="E198" s="27">
        <f t="shared" si="24"/>
        <v>36</v>
      </c>
      <c r="F198" s="71" t="str">
        <f t="shared" si="34"/>
        <v>Hora Cátedra Enseñanza Superior 6 hs</v>
      </c>
      <c r="G198" s="72">
        <f t="shared" si="35"/>
        <v>594</v>
      </c>
      <c r="H198" s="73">
        <f>INT((G198*Valores!$C$2*100)+0.5)/100</f>
        <v>4085.65</v>
      </c>
      <c r="I198" s="112">
        <v>0</v>
      </c>
      <c r="J198" s="75">
        <f>INT((I198*Valores!$C$2*100)+0.5)/100</f>
        <v>0</v>
      </c>
      <c r="K198" s="102">
        <v>0</v>
      </c>
      <c r="L198" s="75">
        <f>INT((K198*Valores!$C$2*100)+0.5)/100</f>
        <v>0</v>
      </c>
      <c r="M198" s="100">
        <v>0</v>
      </c>
      <c r="N198" s="75">
        <f>INT((M198*Valores!$C$2*100)+0.5)/100</f>
        <v>0</v>
      </c>
      <c r="O198" s="75">
        <f t="shared" si="25"/>
        <v>713.27850000000001</v>
      </c>
      <c r="P198" s="75">
        <f t="shared" si="26"/>
        <v>0</v>
      </c>
      <c r="Q198" s="101">
        <f>Valores!$C$14*D198</f>
        <v>996.78</v>
      </c>
      <c r="R198" s="101">
        <f>IF(D198&lt;15,(Valores!$E$4*D198),Valores!$D$4)</f>
        <v>1230.6599999999999</v>
      </c>
      <c r="S198" s="75">
        <v>0</v>
      </c>
      <c r="T198" s="78">
        <f>IF(Valores!$C$45*D198&gt;Valores!$C$43,Valores!$C$43,Valores!$C$45*D198)</f>
        <v>318.06</v>
      </c>
      <c r="U198" s="101">
        <f>Valores!$C$22*D198</f>
        <v>351.48</v>
      </c>
      <c r="V198" s="75">
        <f t="shared" si="33"/>
        <v>351.48</v>
      </c>
      <c r="W198" s="75">
        <v>0</v>
      </c>
      <c r="X198" s="75">
        <v>0</v>
      </c>
      <c r="Y198" s="118">
        <v>0</v>
      </c>
      <c r="Z198" s="75">
        <f>Y198*Valores!$C$2</f>
        <v>0</v>
      </c>
      <c r="AA198" s="75">
        <v>0</v>
      </c>
      <c r="AB198" s="80">
        <f>IF((Valores!$C$32)*D198&gt;Valores!$F$32,Valores!$F$32,(Valores!$C$32)*D198)</f>
        <v>39.96</v>
      </c>
      <c r="AC198" s="75">
        <f t="shared" si="29"/>
        <v>0</v>
      </c>
      <c r="AD198" s="75">
        <f>IF(Valores!$C$33*D198&gt;Valores!$F$33,Valores!$F$33,Valores!$C$33*D198)</f>
        <v>33.24</v>
      </c>
      <c r="AE198" s="79">
        <v>0</v>
      </c>
      <c r="AF198" s="75">
        <f>INT(((AE198*Valores!$C$2)*100)+0.5)/100</f>
        <v>0</v>
      </c>
      <c r="AG198" s="75">
        <f>IF(Valores!$D$58*'Escala Docente'!D198&gt;Valores!$F$58,Valores!$F$58,Valores!$D$58*'Escala Docente'!D198)</f>
        <v>135.18</v>
      </c>
      <c r="AH198" s="75">
        <f>IF(Valores!$D$60*D198&gt;Valores!$F$60,Valores!$F$60,Valores!$D$60*D198)</f>
        <v>38.64</v>
      </c>
      <c r="AI198" s="114">
        <f t="shared" si="30"/>
        <v>7942.9285000000009</v>
      </c>
      <c r="AJ198" s="101">
        <f>IF(Valores!$C$36*D198&gt;Valores!$F$36,Valores!$F$36,Valores!$C$36*D198)</f>
        <v>266.52</v>
      </c>
      <c r="AK198" s="78">
        <f>IF(Valores!$C$11*D198&gt;Valores!$F$11,Valores!$F$11,Valores!$C$11*D198)</f>
        <v>0</v>
      </c>
      <c r="AL198" s="78">
        <f>IF(Valores!$C$84*D198&gt;Valores!$C$83,Valores!$C$83,Valores!$C$84*D198)</f>
        <v>450</v>
      </c>
      <c r="AM198" s="80">
        <f>IF(Valores!$C$56*D198&gt;Valores!$F$56,Valores!$F$56,Valores!$C$56*D198)</f>
        <v>70.800000000000011</v>
      </c>
      <c r="AN198" s="82">
        <f t="shared" si="31"/>
        <v>716.52</v>
      </c>
      <c r="AO198" s="61">
        <f>AI198*-Valores!$C$65</f>
        <v>-1032.5807050000001</v>
      </c>
      <c r="AP198" s="61">
        <f>AI198*-Valores!$C$66</f>
        <v>-39.714642500000004</v>
      </c>
      <c r="AQ198" s="77">
        <f>AI198*-Valores!$C$67</f>
        <v>-357.43178250000005</v>
      </c>
      <c r="AR198" s="77">
        <f>AI198*-Valores!$C$68</f>
        <v>-214.45906950000003</v>
      </c>
      <c r="AS198" s="77">
        <f>AI198*-Valores!$C$69</f>
        <v>-23.828785500000002</v>
      </c>
      <c r="AT198" s="81">
        <f t="shared" si="27"/>
        <v>7229.7213700000011</v>
      </c>
      <c r="AU198" s="81">
        <f t="shared" si="28"/>
        <v>7348.8652975000005</v>
      </c>
      <c r="AV198" s="77">
        <f>AI198*Valores!$C$71</f>
        <v>1270.8685600000001</v>
      </c>
      <c r="AW198" s="77">
        <f>AI198*Valores!$C$72</f>
        <v>357.43178250000005</v>
      </c>
      <c r="AX198" s="77">
        <f>AI198*Valores!$C$73</f>
        <v>79.429285000000007</v>
      </c>
      <c r="AY198" s="77">
        <f>AI198*Valores!$C$75</f>
        <v>278.00249750000006</v>
      </c>
      <c r="AZ198" s="77">
        <f>AI198*Valores!$C$76</f>
        <v>47.657571000000004</v>
      </c>
      <c r="BA198" s="77">
        <f t="shared" si="32"/>
        <v>428.91813900000011</v>
      </c>
      <c r="BB198" s="51"/>
      <c r="BC198" s="51">
        <f t="shared" si="36"/>
        <v>24</v>
      </c>
      <c r="BD198" s="27" t="s">
        <v>4</v>
      </c>
    </row>
    <row r="199" spans="1:56" s="27" customFormat="1" ht="11.25" customHeight="1" x14ac:dyDescent="0.2">
      <c r="A199" s="51">
        <v>198</v>
      </c>
      <c r="B199" s="51"/>
      <c r="C199" s="27" t="s">
        <v>521</v>
      </c>
      <c r="D199" s="27">
        <v>7</v>
      </c>
      <c r="E199" s="27">
        <f t="shared" ref="E199:E262" si="37">LEN(F199)</f>
        <v>36</v>
      </c>
      <c r="F199" s="71" t="str">
        <f t="shared" si="34"/>
        <v>Hora Cátedra Enseñanza Superior 7 hs</v>
      </c>
      <c r="G199" s="72">
        <f t="shared" si="35"/>
        <v>693</v>
      </c>
      <c r="H199" s="73">
        <f>INT((G199*Valores!$C$2*100)+0.5)/100</f>
        <v>4766.59</v>
      </c>
      <c r="I199" s="112">
        <v>0</v>
      </c>
      <c r="J199" s="75">
        <f>INT((I199*Valores!$C$2*100)+0.5)/100</f>
        <v>0</v>
      </c>
      <c r="K199" s="102">
        <v>0</v>
      </c>
      <c r="L199" s="75">
        <f>INT((K199*Valores!$C$2*100)+0.5)/100</f>
        <v>0</v>
      </c>
      <c r="M199" s="100">
        <v>0</v>
      </c>
      <c r="N199" s="75">
        <f>INT((M199*Valores!$C$2*100)+0.5)/100</f>
        <v>0</v>
      </c>
      <c r="O199" s="75">
        <f t="shared" ref="O199:O262" si="38">IF($J$2=0,IF(C199&lt;&gt;"13-930",(SUM(H199,J199,L199,N199,Z199,U199,T199)*$O$2),0),0)</f>
        <v>832.15800000000002</v>
      </c>
      <c r="P199" s="75">
        <f t="shared" ref="P199:P262" si="39">SUM(H199,J199,L199,N199,Z199,T199)*$J$2</f>
        <v>0</v>
      </c>
      <c r="Q199" s="101">
        <f>Valores!$C$14*D199</f>
        <v>1162.9099999999999</v>
      </c>
      <c r="R199" s="101">
        <f>IF(D199&lt;15,(Valores!$E$4*D199),Valores!$D$4)</f>
        <v>1435.77</v>
      </c>
      <c r="S199" s="75">
        <v>0</v>
      </c>
      <c r="T199" s="78">
        <f>IF(Valores!$C$45*D199&gt;Valores!$C$43,Valores!$C$43,Valores!$C$45*D199)</f>
        <v>371.07</v>
      </c>
      <c r="U199" s="101">
        <f>Valores!$C$22*D199</f>
        <v>410.06</v>
      </c>
      <c r="V199" s="75">
        <f t="shared" si="33"/>
        <v>410.06</v>
      </c>
      <c r="W199" s="75">
        <v>0</v>
      </c>
      <c r="X199" s="75">
        <v>0</v>
      </c>
      <c r="Y199" s="118">
        <v>0</v>
      </c>
      <c r="Z199" s="75">
        <f>Y199*Valores!$C$2</f>
        <v>0</v>
      </c>
      <c r="AA199" s="75">
        <v>0</v>
      </c>
      <c r="AB199" s="80">
        <f>IF((Valores!$C$32)*D199&gt;Valores!$F$32,Valores!$F$32,(Valores!$C$32)*D199)</f>
        <v>46.620000000000005</v>
      </c>
      <c r="AC199" s="75">
        <f t="shared" si="29"/>
        <v>0</v>
      </c>
      <c r="AD199" s="75">
        <f>IF(Valores!$C$33*D199&gt;Valores!$F$33,Valores!$F$33,Valores!$C$33*D199)</f>
        <v>38.78</v>
      </c>
      <c r="AE199" s="79">
        <v>0</v>
      </c>
      <c r="AF199" s="75">
        <f>INT(((AE199*Valores!$C$2)*100)+0.5)/100</f>
        <v>0</v>
      </c>
      <c r="AG199" s="75">
        <f>IF(Valores!$D$58*'Escala Docente'!D199&gt;Valores!$F$58,Valores!$F$58,Valores!$D$58*'Escala Docente'!D199)</f>
        <v>157.71</v>
      </c>
      <c r="AH199" s="75">
        <f>IF(Valores!$D$60*D199&gt;Valores!$F$60,Valores!$F$60,Valores!$D$60*D199)</f>
        <v>45.080000000000005</v>
      </c>
      <c r="AI199" s="114">
        <f t="shared" si="30"/>
        <v>9266.7479999999996</v>
      </c>
      <c r="AJ199" s="101">
        <f>IF(Valores!$C$36*D199&gt;Valores!$F$36,Valores!$F$36,Valores!$C$36*D199)</f>
        <v>310.94</v>
      </c>
      <c r="AK199" s="78">
        <f>IF(Valores!$C$11*D199&gt;Valores!$F$11,Valores!$F$11,Valores!$C$11*D199)</f>
        <v>0</v>
      </c>
      <c r="AL199" s="78">
        <f>IF(Valores!$C$84*D199&gt;Valores!$C$83,Valores!$C$83,Valores!$C$84*D199)</f>
        <v>525</v>
      </c>
      <c r="AM199" s="80">
        <f>IF(Valores!$C$56*D199&gt;Valores!$F$56,Valores!$F$56,Valores!$C$56*D199)</f>
        <v>82.600000000000009</v>
      </c>
      <c r="AN199" s="82">
        <f t="shared" si="31"/>
        <v>835.94</v>
      </c>
      <c r="AO199" s="61">
        <f>AI199*-Valores!$C$65</f>
        <v>-1204.67724</v>
      </c>
      <c r="AP199" s="61">
        <f>AI199*-Valores!$C$66</f>
        <v>-46.333739999999999</v>
      </c>
      <c r="AQ199" s="77">
        <f>AI199*-Valores!$C$67</f>
        <v>-417.00365999999997</v>
      </c>
      <c r="AR199" s="77">
        <f>AI199*-Valores!$C$68</f>
        <v>-250.20219599999999</v>
      </c>
      <c r="AS199" s="77">
        <f>AI199*-Valores!$C$69</f>
        <v>-27.800243999999999</v>
      </c>
      <c r="AT199" s="81">
        <f t="shared" ref="AT199:AT262" si="40">AI199+AN199+AP199+AQ199+AO199</f>
        <v>8434.6733600000007</v>
      </c>
      <c r="AU199" s="81">
        <f t="shared" ref="AU199:AU262" si="41">AI199+AN199+AP199+AR199+AO199+AS199</f>
        <v>8573.6745800000008</v>
      </c>
      <c r="AV199" s="77">
        <f>AI199*Valores!$C$71</f>
        <v>1482.67968</v>
      </c>
      <c r="AW199" s="77">
        <f>AI199*Valores!$C$72</f>
        <v>417.00365999999997</v>
      </c>
      <c r="AX199" s="77">
        <f>AI199*Valores!$C$73</f>
        <v>92.667479999999998</v>
      </c>
      <c r="AY199" s="77">
        <f>AI199*Valores!$C$75</f>
        <v>324.33618000000001</v>
      </c>
      <c r="AZ199" s="77">
        <f>AI199*Valores!$C$76</f>
        <v>55.600487999999999</v>
      </c>
      <c r="BA199" s="77">
        <f t="shared" si="32"/>
        <v>500.40439200000003</v>
      </c>
      <c r="BB199" s="51"/>
      <c r="BC199" s="85">
        <f t="shared" si="36"/>
        <v>28</v>
      </c>
      <c r="BD199" s="27" t="s">
        <v>4</v>
      </c>
    </row>
    <row r="200" spans="1:56" s="27" customFormat="1" ht="11.25" customHeight="1" x14ac:dyDescent="0.2">
      <c r="A200" s="51">
        <v>199</v>
      </c>
      <c r="B200" s="51"/>
      <c r="C200" s="27" t="s">
        <v>521</v>
      </c>
      <c r="D200" s="27">
        <v>8</v>
      </c>
      <c r="E200" s="27">
        <f t="shared" si="37"/>
        <v>36</v>
      </c>
      <c r="F200" s="71" t="str">
        <f t="shared" si="34"/>
        <v>Hora Cátedra Enseñanza Superior 8 hs</v>
      </c>
      <c r="G200" s="72">
        <f t="shared" si="35"/>
        <v>792</v>
      </c>
      <c r="H200" s="73">
        <f>INT((G200*Valores!$C$2*100)+0.5)/100</f>
        <v>5447.53</v>
      </c>
      <c r="I200" s="112">
        <v>0</v>
      </c>
      <c r="J200" s="75">
        <f>INT((I200*Valores!$C$2*100)+0.5)/100</f>
        <v>0</v>
      </c>
      <c r="K200" s="102">
        <v>0</v>
      </c>
      <c r="L200" s="75">
        <f>INT((K200*Valores!$C$2*100)+0.5)/100</f>
        <v>0</v>
      </c>
      <c r="M200" s="100">
        <v>0</v>
      </c>
      <c r="N200" s="75">
        <f>INT((M200*Valores!$C$2*100)+0.5)/100</f>
        <v>0</v>
      </c>
      <c r="O200" s="75">
        <f t="shared" si="38"/>
        <v>951.03749999999991</v>
      </c>
      <c r="P200" s="75">
        <f t="shared" si="39"/>
        <v>0</v>
      </c>
      <c r="Q200" s="101">
        <f>Valores!$C$14*D200</f>
        <v>1329.04</v>
      </c>
      <c r="R200" s="101">
        <f>IF(D200&lt;15,(Valores!$E$4*D200),Valores!$D$4)</f>
        <v>1640.8799999999999</v>
      </c>
      <c r="S200" s="75">
        <v>0</v>
      </c>
      <c r="T200" s="78">
        <f>IF(Valores!$C$45*D200&gt;Valores!$C$43,Valores!$C$43,Valores!$C$45*D200)</f>
        <v>424.08</v>
      </c>
      <c r="U200" s="101">
        <f>Valores!$C$22*D200</f>
        <v>468.64</v>
      </c>
      <c r="V200" s="75">
        <f t="shared" si="33"/>
        <v>468.64</v>
      </c>
      <c r="W200" s="75">
        <v>0</v>
      </c>
      <c r="X200" s="75">
        <v>0</v>
      </c>
      <c r="Y200" s="118">
        <v>0</v>
      </c>
      <c r="Z200" s="75">
        <f>Y200*Valores!$C$2</f>
        <v>0</v>
      </c>
      <c r="AA200" s="75">
        <v>0</v>
      </c>
      <c r="AB200" s="80">
        <f>IF((Valores!$C$32)*D200&gt;Valores!$F$32,Valores!$F$32,(Valores!$C$32)*D200)</f>
        <v>53.28</v>
      </c>
      <c r="AC200" s="75">
        <f t="shared" ref="AC200:AC263" si="42">SUM(H200,J200,L200,Z200,T200)*$H$3/100</f>
        <v>0</v>
      </c>
      <c r="AD200" s="75">
        <f>IF(Valores!$C$33*D200&gt;Valores!$F$33,Valores!$F$33,Valores!$C$33*D200)</f>
        <v>44.32</v>
      </c>
      <c r="AE200" s="79">
        <v>0</v>
      </c>
      <c r="AF200" s="75">
        <f>INT(((AE200*Valores!$C$2)*100)+0.5)/100</f>
        <v>0</v>
      </c>
      <c r="AG200" s="75">
        <f>IF(Valores!$D$58*'Escala Docente'!D200&gt;Valores!$F$58,Valores!$F$58,Valores!$D$58*'Escala Docente'!D200)</f>
        <v>180.24</v>
      </c>
      <c r="AH200" s="75">
        <f>IF(Valores!$D$60*D200&gt;Valores!$F$60,Valores!$F$60,Valores!$D$60*D200)</f>
        <v>51.52</v>
      </c>
      <c r="AI200" s="114">
        <f t="shared" ref="AI200:AI263" si="43">SUM(H200,J200,L200,N200,O200,P200,Q200,R200,S200,V200,W200,X200,Z200,AA200,AB200,AC200,AD200,AF200,T200,AG200,AH200)</f>
        <v>10590.567499999999</v>
      </c>
      <c r="AJ200" s="101">
        <f>IF(Valores!$C$36*D200&gt;Valores!$F$36,Valores!$F$36,Valores!$C$36*D200)</f>
        <v>355.36</v>
      </c>
      <c r="AK200" s="78">
        <f>IF(Valores!$C$11*D200&gt;Valores!$F$11,Valores!$F$11,Valores!$C$11*D200)</f>
        <v>0</v>
      </c>
      <c r="AL200" s="78">
        <f>IF(Valores!$C$84*D200&gt;Valores!$C$83,Valores!$C$83,Valores!$C$84*D200)</f>
        <v>600</v>
      </c>
      <c r="AM200" s="80">
        <f>IF(Valores!$C$56*D200&gt;Valores!$F$56,Valores!$F$56,Valores!$C$56*D200)</f>
        <v>94.4</v>
      </c>
      <c r="AN200" s="82">
        <f t="shared" ref="AN200:AN263" si="44">IF($H$4="SI",SUM(AJ200:AL200,AM200),SUM(AJ200:AL200))</f>
        <v>955.36</v>
      </c>
      <c r="AO200" s="61">
        <f>AI200*-Valores!$C$65</f>
        <v>-1376.7737749999999</v>
      </c>
      <c r="AP200" s="61">
        <f>AI200*-Valores!$C$66</f>
        <v>-52.952837499999994</v>
      </c>
      <c r="AQ200" s="77">
        <f>AI200*-Valores!$C$67</f>
        <v>-476.57553749999994</v>
      </c>
      <c r="AR200" s="77">
        <f>AI200*-Valores!$C$68</f>
        <v>-285.94532249999997</v>
      </c>
      <c r="AS200" s="77">
        <f>AI200*-Valores!$C$69</f>
        <v>-31.7717025</v>
      </c>
      <c r="AT200" s="81">
        <f t="shared" si="40"/>
        <v>9639.6253499999984</v>
      </c>
      <c r="AU200" s="81">
        <f t="shared" si="41"/>
        <v>9798.4838624999993</v>
      </c>
      <c r="AV200" s="77">
        <f>AI200*Valores!$C$71</f>
        <v>1694.4907999999998</v>
      </c>
      <c r="AW200" s="77">
        <f>AI200*Valores!$C$72</f>
        <v>476.57553749999994</v>
      </c>
      <c r="AX200" s="77">
        <f>AI200*Valores!$C$73</f>
        <v>105.90567499999999</v>
      </c>
      <c r="AY200" s="77">
        <f>AI200*Valores!$C$75</f>
        <v>370.66986250000002</v>
      </c>
      <c r="AZ200" s="77">
        <f>AI200*Valores!$C$76</f>
        <v>63.543405</v>
      </c>
      <c r="BA200" s="77">
        <f t="shared" si="32"/>
        <v>571.89064499999995</v>
      </c>
      <c r="BB200" s="51"/>
      <c r="BC200" s="51">
        <f t="shared" si="36"/>
        <v>32</v>
      </c>
      <c r="BD200" s="27" t="s">
        <v>4</v>
      </c>
    </row>
    <row r="201" spans="1:56" s="27" customFormat="1" ht="11.25" customHeight="1" x14ac:dyDescent="0.2">
      <c r="A201" s="85">
        <v>200</v>
      </c>
      <c r="B201" s="85" t="s">
        <v>163</v>
      </c>
      <c r="C201" s="86" t="s">
        <v>521</v>
      </c>
      <c r="D201" s="86">
        <v>9</v>
      </c>
      <c r="E201" s="86">
        <f t="shared" si="37"/>
        <v>36</v>
      </c>
      <c r="F201" s="87" t="str">
        <f t="shared" si="34"/>
        <v>Hora Cátedra Enseñanza Superior 9 hs</v>
      </c>
      <c r="G201" s="88">
        <f t="shared" si="35"/>
        <v>891</v>
      </c>
      <c r="H201" s="89">
        <f>INT((G201*Valores!$C$2*100)+0.5)/100</f>
        <v>6128.48</v>
      </c>
      <c r="I201" s="103">
        <v>0</v>
      </c>
      <c r="J201" s="91">
        <f>INT((I201*Valores!$C$2*100)+0.5)/100</f>
        <v>0</v>
      </c>
      <c r="K201" s="104">
        <v>0</v>
      </c>
      <c r="L201" s="91">
        <f>INT((K201*Valores!$C$2*100)+0.5)/100</f>
        <v>0</v>
      </c>
      <c r="M201" s="105">
        <v>0</v>
      </c>
      <c r="N201" s="91">
        <f>INT((M201*Valores!$C$2*100)+0.5)/100</f>
        <v>0</v>
      </c>
      <c r="O201" s="91">
        <f t="shared" si="38"/>
        <v>1069.9185</v>
      </c>
      <c r="P201" s="91">
        <f t="shared" si="39"/>
        <v>0</v>
      </c>
      <c r="Q201" s="107">
        <f>Valores!$C$14*D201</f>
        <v>1495.17</v>
      </c>
      <c r="R201" s="107">
        <f>IF(D201&lt;15,(Valores!$E$4*D201),Valores!$D$4)</f>
        <v>1845.9899999999998</v>
      </c>
      <c r="S201" s="91">
        <v>0</v>
      </c>
      <c r="T201" s="94">
        <f>IF(Valores!$C$45*D201&gt;Valores!$C$43,Valores!$C$43,Valores!$C$45*D201)</f>
        <v>477.09</v>
      </c>
      <c r="U201" s="107">
        <f>Valores!$C$22*D201</f>
        <v>527.22</v>
      </c>
      <c r="V201" s="91">
        <f t="shared" si="33"/>
        <v>527.22</v>
      </c>
      <c r="W201" s="91">
        <v>0</v>
      </c>
      <c r="X201" s="91">
        <v>0</v>
      </c>
      <c r="Y201" s="119">
        <v>0</v>
      </c>
      <c r="Z201" s="91">
        <f>Y201*Valores!$C$2</f>
        <v>0</v>
      </c>
      <c r="AA201" s="91">
        <v>0</v>
      </c>
      <c r="AB201" s="96">
        <f>IF((Valores!$C$32)*D201&gt;Valores!$F$32,Valores!$F$32,(Valores!$C$32)*D201)</f>
        <v>59.94</v>
      </c>
      <c r="AC201" s="91">
        <f t="shared" si="42"/>
        <v>0</v>
      </c>
      <c r="AD201" s="91">
        <f>IF(Valores!$C$33*D201&gt;Valores!$F$33,Valores!$F$33,Valores!$C$33*D201)</f>
        <v>49.86</v>
      </c>
      <c r="AE201" s="95">
        <v>0</v>
      </c>
      <c r="AF201" s="91">
        <f>INT(((AE201*Valores!$C$2)*100)+0.5)/100</f>
        <v>0</v>
      </c>
      <c r="AG201" s="91">
        <f>IF(Valores!$D$58*'Escala Docente'!D201&gt;Valores!$F$58,Valores!$F$58,Valores!$D$58*'Escala Docente'!D201)</f>
        <v>202.77</v>
      </c>
      <c r="AH201" s="91">
        <f>IF(Valores!$D$60*D201&gt;Valores!$F$60,Valores!$F$60,Valores!$D$60*D201)</f>
        <v>57.96</v>
      </c>
      <c r="AI201" s="115">
        <f t="shared" si="43"/>
        <v>11914.398499999999</v>
      </c>
      <c r="AJ201" s="107">
        <f>IF(Valores!$C$36*D201&gt;Valores!$F$36,Valores!$F$36,Valores!$C$36*D201)</f>
        <v>399.78000000000003</v>
      </c>
      <c r="AK201" s="94">
        <f>IF(Valores!$C$11*D201&gt;Valores!$F$11,Valores!$F$11,Valores!$C$11*D201)</f>
        <v>0</v>
      </c>
      <c r="AL201" s="94">
        <f>IF(Valores!$C$84*D201&gt;Valores!$C$83,Valores!$C$83,Valores!$C$84*D201)</f>
        <v>675</v>
      </c>
      <c r="AM201" s="96">
        <f>IF(Valores!$C$56*D201&gt;Valores!$F$56,Valores!$F$56,Valores!$C$56*D201)</f>
        <v>106.2</v>
      </c>
      <c r="AN201" s="98">
        <f t="shared" si="44"/>
        <v>1074.78</v>
      </c>
      <c r="AO201" s="116">
        <f>AI201*-Valores!$C$65</f>
        <v>-1548.871805</v>
      </c>
      <c r="AP201" s="116">
        <f>AI201*-Valores!$C$66</f>
        <v>-59.5719925</v>
      </c>
      <c r="AQ201" s="93">
        <f>AI201*-Valores!$C$67</f>
        <v>-536.14793249999991</v>
      </c>
      <c r="AR201" s="93">
        <f>AI201*-Valores!$C$68</f>
        <v>-321.6887595</v>
      </c>
      <c r="AS201" s="93">
        <f>AI201*-Valores!$C$69</f>
        <v>-35.743195499999999</v>
      </c>
      <c r="AT201" s="97">
        <f t="shared" si="40"/>
        <v>10844.58677</v>
      </c>
      <c r="AU201" s="97">
        <f t="shared" si="41"/>
        <v>11023.3027475</v>
      </c>
      <c r="AV201" s="93">
        <f>AI201*Valores!$C$71</f>
        <v>1906.30376</v>
      </c>
      <c r="AW201" s="93">
        <f>AI201*Valores!$C$72</f>
        <v>536.14793249999991</v>
      </c>
      <c r="AX201" s="93">
        <f>AI201*Valores!$C$73</f>
        <v>119.143985</v>
      </c>
      <c r="AY201" s="93">
        <f>AI201*Valores!$C$75</f>
        <v>417.00394750000004</v>
      </c>
      <c r="AZ201" s="93">
        <f>AI201*Valores!$C$76</f>
        <v>71.486390999999998</v>
      </c>
      <c r="BA201" s="93">
        <f t="shared" ref="BA201:BA264" si="45">AI201*5.4/100</f>
        <v>643.37751900000001</v>
      </c>
      <c r="BB201" s="85"/>
      <c r="BC201" s="85">
        <f t="shared" si="36"/>
        <v>36</v>
      </c>
      <c r="BD201" s="86" t="s">
        <v>4</v>
      </c>
    </row>
    <row r="202" spans="1:56" s="27" customFormat="1" ht="11.25" customHeight="1" x14ac:dyDescent="0.2">
      <c r="A202" s="51">
        <v>201</v>
      </c>
      <c r="B202" s="51"/>
      <c r="C202" s="27" t="s">
        <v>521</v>
      </c>
      <c r="D202" s="27">
        <v>10</v>
      </c>
      <c r="E202" s="27">
        <f t="shared" si="37"/>
        <v>37</v>
      </c>
      <c r="F202" s="71" t="str">
        <f t="shared" si="34"/>
        <v>Hora Cátedra Enseñanza Superior 10 hs</v>
      </c>
      <c r="G202" s="72">
        <f t="shared" si="35"/>
        <v>990</v>
      </c>
      <c r="H202" s="73">
        <f>INT((G202*Valores!$C$2*100)+0.5)/100</f>
        <v>6809.42</v>
      </c>
      <c r="I202" s="112">
        <v>0</v>
      </c>
      <c r="J202" s="75">
        <f>INT((I202*Valores!$C$2*100)+0.5)/100</f>
        <v>0</v>
      </c>
      <c r="K202" s="102">
        <v>0</v>
      </c>
      <c r="L202" s="75">
        <f>INT((K202*Valores!$C$2*100)+0.5)/100</f>
        <v>0</v>
      </c>
      <c r="M202" s="100">
        <v>0</v>
      </c>
      <c r="N202" s="75">
        <f>INT((M202*Valores!$C$2*100)+0.5)/100</f>
        <v>0</v>
      </c>
      <c r="O202" s="75">
        <f t="shared" si="38"/>
        <v>1188.798</v>
      </c>
      <c r="P202" s="75">
        <f t="shared" si="39"/>
        <v>0</v>
      </c>
      <c r="Q202" s="101">
        <f>Valores!$C$14*D202</f>
        <v>1661.3</v>
      </c>
      <c r="R202" s="101">
        <f>IF(D202&lt;15,(Valores!$E$4*D202),Valores!$D$4)</f>
        <v>2051.1</v>
      </c>
      <c r="S202" s="75">
        <v>0</v>
      </c>
      <c r="T202" s="78">
        <f>IF(Valores!$C$45*D202&gt;Valores!$C$43,Valores!$C$43,Valores!$C$45*D202)</f>
        <v>530.1</v>
      </c>
      <c r="U202" s="101">
        <f>Valores!$C$22*D202</f>
        <v>585.79999999999995</v>
      </c>
      <c r="V202" s="75">
        <f t="shared" si="33"/>
        <v>585.79999999999995</v>
      </c>
      <c r="W202" s="75">
        <v>0</v>
      </c>
      <c r="X202" s="75">
        <v>0</v>
      </c>
      <c r="Y202" s="118">
        <v>0</v>
      </c>
      <c r="Z202" s="75">
        <f>Y202*Valores!$C$2</f>
        <v>0</v>
      </c>
      <c r="AA202" s="75">
        <v>0</v>
      </c>
      <c r="AB202" s="80">
        <f>IF((Valores!$C$32)*D202&gt;Valores!$F$32,Valores!$F$32,(Valores!$C$32)*D202)</f>
        <v>66.599999999999994</v>
      </c>
      <c r="AC202" s="75">
        <f t="shared" si="42"/>
        <v>0</v>
      </c>
      <c r="AD202" s="75">
        <f>IF(Valores!$C$33*D202&gt;Valores!$F$33,Valores!$F$33,Valores!$C$33*D202)</f>
        <v>55.4</v>
      </c>
      <c r="AE202" s="79">
        <v>0</v>
      </c>
      <c r="AF202" s="75">
        <f>INT(((AE202*Valores!$C$2)*100)+0.5)/100</f>
        <v>0</v>
      </c>
      <c r="AG202" s="75">
        <f>IF(Valores!$D$58*'Escala Docente'!D202&gt;Valores!$F$58,Valores!$F$58,Valores!$D$58*'Escala Docente'!D202)</f>
        <v>225.3</v>
      </c>
      <c r="AH202" s="75">
        <f>IF(Valores!$D$60*D202&gt;Valores!$F$60,Valores!$F$60,Valores!$D$60*D202)</f>
        <v>64.400000000000006</v>
      </c>
      <c r="AI202" s="114">
        <f t="shared" si="43"/>
        <v>13238.217999999999</v>
      </c>
      <c r="AJ202" s="101">
        <f>IF(Valores!$C$36*D202&gt;Valores!$F$36,Valores!$F$36,Valores!$C$36*D202)</f>
        <v>444.20000000000005</v>
      </c>
      <c r="AK202" s="78">
        <f>IF(Valores!$C$11*D202&gt;Valores!$F$11,Valores!$F$11,Valores!$C$11*D202)</f>
        <v>0</v>
      </c>
      <c r="AL202" s="78">
        <f>IF(Valores!$C$84*D202&gt;Valores!$C$83,Valores!$C$83,Valores!$C$84*D202)</f>
        <v>750</v>
      </c>
      <c r="AM202" s="80">
        <f>IF(Valores!$C$56*D202&gt;Valores!$F$56,Valores!$F$56,Valores!$C$56*D202)</f>
        <v>118</v>
      </c>
      <c r="AN202" s="82">
        <f t="shared" si="44"/>
        <v>1194.2</v>
      </c>
      <c r="AO202" s="61">
        <f>AI202*-Valores!$C$65</f>
        <v>-1720.9683399999999</v>
      </c>
      <c r="AP202" s="61">
        <f>AI202*-Valores!$C$66</f>
        <v>-66.191090000000003</v>
      </c>
      <c r="AQ202" s="77">
        <f>AI202*-Valores!$C$67</f>
        <v>-595.71980999999994</v>
      </c>
      <c r="AR202" s="77">
        <f>AI202*-Valores!$C$68</f>
        <v>-357.43188599999996</v>
      </c>
      <c r="AS202" s="77">
        <f>AI202*-Valores!$C$69</f>
        <v>-39.714653999999996</v>
      </c>
      <c r="AT202" s="81">
        <f t="shared" si="40"/>
        <v>12049.538759999999</v>
      </c>
      <c r="AU202" s="81">
        <f t="shared" si="41"/>
        <v>12248.11203</v>
      </c>
      <c r="AV202" s="77">
        <f>AI202*Valores!$C$71</f>
        <v>2118.1148800000001</v>
      </c>
      <c r="AW202" s="77">
        <f>AI202*Valores!$C$72</f>
        <v>595.71980999999994</v>
      </c>
      <c r="AX202" s="77">
        <f>AI202*Valores!$C$73</f>
        <v>132.38218000000001</v>
      </c>
      <c r="AY202" s="77">
        <f>AI202*Valores!$C$75</f>
        <v>463.33762999999999</v>
      </c>
      <c r="AZ202" s="77">
        <f>AI202*Valores!$C$76</f>
        <v>79.429307999999992</v>
      </c>
      <c r="BA202" s="77">
        <f t="shared" si="45"/>
        <v>714.86377200000004</v>
      </c>
      <c r="BB202" s="51"/>
      <c r="BC202" s="51">
        <f t="shared" si="36"/>
        <v>40</v>
      </c>
      <c r="BD202" s="27" t="s">
        <v>4</v>
      </c>
    </row>
    <row r="203" spans="1:56" s="27" customFormat="1" ht="11.25" customHeight="1" x14ac:dyDescent="0.2">
      <c r="A203" s="51">
        <v>202</v>
      </c>
      <c r="B203" s="51"/>
      <c r="C203" s="27" t="s">
        <v>521</v>
      </c>
      <c r="D203" s="27">
        <v>11</v>
      </c>
      <c r="E203" s="27">
        <f t="shared" si="37"/>
        <v>37</v>
      </c>
      <c r="F203" s="71" t="str">
        <f t="shared" si="34"/>
        <v>Hora Cátedra Enseñanza Superior 11 hs</v>
      </c>
      <c r="G203" s="72">
        <f t="shared" si="35"/>
        <v>1089</v>
      </c>
      <c r="H203" s="73">
        <f>INT((G203*Valores!$C$2*100)+0.5)/100</f>
        <v>7490.36</v>
      </c>
      <c r="I203" s="112">
        <v>0</v>
      </c>
      <c r="J203" s="75">
        <f>INT((I203*Valores!$C$2*100)+0.5)/100</f>
        <v>0</v>
      </c>
      <c r="K203" s="102">
        <v>0</v>
      </c>
      <c r="L203" s="75">
        <f>INT((K203*Valores!$C$2*100)+0.5)/100</f>
        <v>0</v>
      </c>
      <c r="M203" s="100">
        <v>0</v>
      </c>
      <c r="N203" s="75">
        <f>INT((M203*Valores!$C$2*100)+0.5)/100</f>
        <v>0</v>
      </c>
      <c r="O203" s="75">
        <f t="shared" si="38"/>
        <v>1307.6775</v>
      </c>
      <c r="P203" s="75">
        <f t="shared" si="39"/>
        <v>0</v>
      </c>
      <c r="Q203" s="101">
        <f>Valores!$C$14*D203</f>
        <v>1827.4299999999998</v>
      </c>
      <c r="R203" s="101">
        <f>IF(D203&lt;15,(Valores!$E$4*D203),Valores!$D$4)</f>
        <v>2256.21</v>
      </c>
      <c r="S203" s="75">
        <v>0</v>
      </c>
      <c r="T203" s="78">
        <f>IF(Valores!$C$45*D203&gt;Valores!$C$43,Valores!$C$43,Valores!$C$45*D203)</f>
        <v>583.11</v>
      </c>
      <c r="U203" s="101">
        <f>Valores!$C$22*D203</f>
        <v>644.38</v>
      </c>
      <c r="V203" s="75">
        <f t="shared" si="33"/>
        <v>644.38</v>
      </c>
      <c r="W203" s="75">
        <v>0</v>
      </c>
      <c r="X203" s="75">
        <v>0</v>
      </c>
      <c r="Y203" s="118">
        <v>0</v>
      </c>
      <c r="Z203" s="75">
        <f>Y203*Valores!$C$2</f>
        <v>0</v>
      </c>
      <c r="AA203" s="75">
        <v>0</v>
      </c>
      <c r="AB203" s="80">
        <f>IF((Valores!$C$32)*D203&gt;Valores!$F$32,Valores!$F$32,(Valores!$C$32)*D203)</f>
        <v>73.260000000000005</v>
      </c>
      <c r="AC203" s="75">
        <f t="shared" si="42"/>
        <v>0</v>
      </c>
      <c r="AD203" s="75">
        <f>IF(Valores!$C$33*D203&gt;Valores!$F$33,Valores!$F$33,Valores!$C$33*D203)</f>
        <v>60.94</v>
      </c>
      <c r="AE203" s="79">
        <v>0</v>
      </c>
      <c r="AF203" s="75">
        <f>INT(((AE203*Valores!$C$2)*100)+0.5)/100</f>
        <v>0</v>
      </c>
      <c r="AG203" s="75">
        <f>IF(Valores!$D$58*'Escala Docente'!D203&gt;Valores!$F$58,Valores!$F$58,Valores!$D$58*'Escala Docente'!D203)</f>
        <v>247.83</v>
      </c>
      <c r="AH203" s="75">
        <f>IF(Valores!$D$60*D203&gt;Valores!$F$60,Valores!$F$60,Valores!$D$60*D203)</f>
        <v>70.84</v>
      </c>
      <c r="AI203" s="114">
        <f t="shared" si="43"/>
        <v>14562.037500000002</v>
      </c>
      <c r="AJ203" s="101">
        <f>IF(Valores!$C$36*D203&gt;Valores!$F$36,Valores!$F$36,Valores!$C$36*D203)</f>
        <v>488.62</v>
      </c>
      <c r="AK203" s="78">
        <f>IF(Valores!$C$11*D203&gt;Valores!$F$11,Valores!$F$11,Valores!$C$11*D203)</f>
        <v>0</v>
      </c>
      <c r="AL203" s="78">
        <f>IF(Valores!$C$84*D203&gt;Valores!$C$83,Valores!$C$83,Valores!$C$84*D203)</f>
        <v>825</v>
      </c>
      <c r="AM203" s="80">
        <f>IF(Valores!$C$56*D203&gt;Valores!$F$56,Valores!$F$56,Valores!$C$56*D203)</f>
        <v>129.80000000000001</v>
      </c>
      <c r="AN203" s="82">
        <f t="shared" si="44"/>
        <v>1313.62</v>
      </c>
      <c r="AO203" s="61">
        <f>AI203*-Valores!$C$65</f>
        <v>-1893.0648750000003</v>
      </c>
      <c r="AP203" s="61">
        <f>AI203*-Valores!$C$66</f>
        <v>-72.810187500000012</v>
      </c>
      <c r="AQ203" s="77">
        <f>AI203*-Valores!$C$67</f>
        <v>-655.29168750000008</v>
      </c>
      <c r="AR203" s="77">
        <f>AI203*-Valores!$C$68</f>
        <v>-393.17501250000004</v>
      </c>
      <c r="AS203" s="77">
        <f>AI203*-Valores!$C$69</f>
        <v>-43.686112500000007</v>
      </c>
      <c r="AT203" s="81">
        <f t="shared" si="40"/>
        <v>13254.490750000001</v>
      </c>
      <c r="AU203" s="81">
        <f t="shared" si="41"/>
        <v>13472.921312500002</v>
      </c>
      <c r="AV203" s="77">
        <f>AI203*Valores!$C$71</f>
        <v>2329.9260000000004</v>
      </c>
      <c r="AW203" s="77">
        <f>AI203*Valores!$C$72</f>
        <v>655.29168750000008</v>
      </c>
      <c r="AX203" s="77">
        <f>AI203*Valores!$C$73</f>
        <v>145.62037500000002</v>
      </c>
      <c r="AY203" s="77">
        <f>AI203*Valores!$C$75</f>
        <v>509.67131250000011</v>
      </c>
      <c r="AZ203" s="77">
        <f>AI203*Valores!$C$76</f>
        <v>87.372225000000014</v>
      </c>
      <c r="BA203" s="77">
        <f t="shared" si="45"/>
        <v>786.35002500000019</v>
      </c>
      <c r="BB203" s="51"/>
      <c r="BC203" s="51">
        <f t="shared" si="36"/>
        <v>44</v>
      </c>
      <c r="BD203" s="27" t="s">
        <v>4</v>
      </c>
    </row>
    <row r="204" spans="1:56" s="27" customFormat="1" ht="11.25" customHeight="1" x14ac:dyDescent="0.2">
      <c r="A204" s="51">
        <v>203</v>
      </c>
      <c r="B204" s="51"/>
      <c r="C204" s="27" t="s">
        <v>521</v>
      </c>
      <c r="D204" s="27">
        <v>12</v>
      </c>
      <c r="E204" s="27">
        <f t="shared" si="37"/>
        <v>37</v>
      </c>
      <c r="F204" s="71" t="str">
        <f t="shared" si="34"/>
        <v>Hora Cátedra Enseñanza Superior 12 hs</v>
      </c>
      <c r="G204" s="72">
        <f t="shared" si="35"/>
        <v>1188</v>
      </c>
      <c r="H204" s="73">
        <f>INT((G204*Valores!$C$2*100)+0.5)/100</f>
        <v>8171.3</v>
      </c>
      <c r="I204" s="112">
        <v>0</v>
      </c>
      <c r="J204" s="75">
        <f>INT((I204*Valores!$C$2*100)+0.5)/100</f>
        <v>0</v>
      </c>
      <c r="K204" s="102">
        <v>0</v>
      </c>
      <c r="L204" s="75">
        <f>INT((K204*Valores!$C$2*100)+0.5)/100</f>
        <v>0</v>
      </c>
      <c r="M204" s="100">
        <v>0</v>
      </c>
      <c r="N204" s="75">
        <f>INT((M204*Valores!$C$2*100)+0.5)/100</f>
        <v>0</v>
      </c>
      <c r="O204" s="75">
        <f t="shared" si="38"/>
        <v>1426.557</v>
      </c>
      <c r="P204" s="75">
        <f t="shared" si="39"/>
        <v>0</v>
      </c>
      <c r="Q204" s="101">
        <f>Valores!$C$14*D204</f>
        <v>1993.56</v>
      </c>
      <c r="R204" s="101">
        <f>IF(D204&lt;15,(Valores!$E$4*D204),Valores!$D$4)</f>
        <v>2461.3199999999997</v>
      </c>
      <c r="S204" s="75">
        <v>0</v>
      </c>
      <c r="T204" s="78">
        <f>IF(Valores!$C$45*D204&gt;Valores!$C$43,Valores!$C$43,Valores!$C$45*D204)</f>
        <v>636.12</v>
      </c>
      <c r="U204" s="101">
        <f>Valores!$C$22*D204</f>
        <v>702.96</v>
      </c>
      <c r="V204" s="75">
        <f t="shared" si="33"/>
        <v>702.96</v>
      </c>
      <c r="W204" s="75">
        <v>0</v>
      </c>
      <c r="X204" s="75">
        <v>0</v>
      </c>
      <c r="Y204" s="118">
        <v>0</v>
      </c>
      <c r="Z204" s="75">
        <f>Y204*Valores!$C$2</f>
        <v>0</v>
      </c>
      <c r="AA204" s="75">
        <v>0</v>
      </c>
      <c r="AB204" s="80">
        <f>IF((Valores!$C$32)*D204&gt;Valores!$F$32,Valores!$F$32,(Valores!$C$32)*D204)</f>
        <v>79.92</v>
      </c>
      <c r="AC204" s="75">
        <f t="shared" si="42"/>
        <v>0</v>
      </c>
      <c r="AD204" s="75">
        <f>IF(Valores!$C$33*D204&gt;Valores!$F$33,Valores!$F$33,Valores!$C$33*D204)</f>
        <v>66.48</v>
      </c>
      <c r="AE204" s="79">
        <v>0</v>
      </c>
      <c r="AF204" s="75">
        <f>INT(((AE204*Valores!$C$2)*100)+0.5)/100</f>
        <v>0</v>
      </c>
      <c r="AG204" s="75">
        <f>IF(Valores!$D$58*'Escala Docente'!D204&gt;Valores!$F$58,Valores!$F$58,Valores!$D$58*'Escala Docente'!D204)</f>
        <v>270.36</v>
      </c>
      <c r="AH204" s="75">
        <f>IF(Valores!$D$60*D204&gt;Valores!$F$60,Valores!$F$60,Valores!$D$60*D204)</f>
        <v>77.28</v>
      </c>
      <c r="AI204" s="114">
        <f t="shared" si="43"/>
        <v>15885.857000000002</v>
      </c>
      <c r="AJ204" s="101">
        <f>IF(Valores!$C$36*D204&gt;Valores!$F$36,Valores!$F$36,Valores!$C$36*D204)</f>
        <v>533.04</v>
      </c>
      <c r="AK204" s="78">
        <f>IF(Valores!$C$11*D204&gt;Valores!$F$11,Valores!$F$11,Valores!$C$11*D204)</f>
        <v>0</v>
      </c>
      <c r="AL204" s="78">
        <f>IF(Valores!$C$84*D204&gt;Valores!$C$83,Valores!$C$83,Valores!$C$84*D204)</f>
        <v>900</v>
      </c>
      <c r="AM204" s="80">
        <f>IF(Valores!$C$56*D204&gt;Valores!$F$56,Valores!$F$56,Valores!$C$56*D204)</f>
        <v>141.60000000000002</v>
      </c>
      <c r="AN204" s="82">
        <f t="shared" si="44"/>
        <v>1433.04</v>
      </c>
      <c r="AO204" s="61">
        <f>AI204*-Valores!$C$65</f>
        <v>-2065.1614100000002</v>
      </c>
      <c r="AP204" s="61">
        <f>AI204*-Valores!$C$66</f>
        <v>-79.429285000000007</v>
      </c>
      <c r="AQ204" s="77">
        <f>AI204*-Valores!$C$67</f>
        <v>-714.86356500000011</v>
      </c>
      <c r="AR204" s="77">
        <f>AI204*-Valores!$C$68</f>
        <v>-428.91813900000005</v>
      </c>
      <c r="AS204" s="77">
        <f>AI204*-Valores!$C$69</f>
        <v>-47.657571000000004</v>
      </c>
      <c r="AT204" s="81">
        <f t="shared" si="40"/>
        <v>14459.442740000002</v>
      </c>
      <c r="AU204" s="81">
        <f t="shared" si="41"/>
        <v>14697.730595000001</v>
      </c>
      <c r="AV204" s="77">
        <f>AI204*Valores!$C$71</f>
        <v>2541.7371200000002</v>
      </c>
      <c r="AW204" s="77">
        <f>AI204*Valores!$C$72</f>
        <v>714.86356500000011</v>
      </c>
      <c r="AX204" s="77">
        <f>AI204*Valores!$C$73</f>
        <v>158.85857000000001</v>
      </c>
      <c r="AY204" s="77">
        <f>AI204*Valores!$C$75</f>
        <v>556.00499500000012</v>
      </c>
      <c r="AZ204" s="77">
        <f>AI204*Valores!$C$76</f>
        <v>95.315142000000009</v>
      </c>
      <c r="BA204" s="77">
        <f t="shared" si="45"/>
        <v>857.83627800000022</v>
      </c>
      <c r="BB204" s="51"/>
      <c r="BC204" s="85">
        <f t="shared" si="36"/>
        <v>48</v>
      </c>
      <c r="BD204" s="27" t="s">
        <v>4</v>
      </c>
    </row>
    <row r="205" spans="1:56" s="27" customFormat="1" ht="11.25" customHeight="1" x14ac:dyDescent="0.2">
      <c r="A205" s="51">
        <v>204</v>
      </c>
      <c r="B205" s="51"/>
      <c r="C205" s="27" t="s">
        <v>521</v>
      </c>
      <c r="D205" s="27">
        <v>13</v>
      </c>
      <c r="E205" s="27">
        <f t="shared" si="37"/>
        <v>37</v>
      </c>
      <c r="F205" s="71" t="str">
        <f t="shared" si="34"/>
        <v>Hora Cátedra Enseñanza Superior 13 hs</v>
      </c>
      <c r="G205" s="72">
        <f t="shared" si="35"/>
        <v>1287</v>
      </c>
      <c r="H205" s="73">
        <f>INT((G205*Valores!$C$2*100)+0.5)/100</f>
        <v>8852.24</v>
      </c>
      <c r="I205" s="112">
        <v>0</v>
      </c>
      <c r="J205" s="75">
        <f>INT((I205*Valores!$C$2*100)+0.5)/100</f>
        <v>0</v>
      </c>
      <c r="K205" s="102">
        <v>0</v>
      </c>
      <c r="L205" s="75">
        <f>INT((K205*Valores!$C$2*100)+0.5)/100</f>
        <v>0</v>
      </c>
      <c r="M205" s="100">
        <v>0</v>
      </c>
      <c r="N205" s="75">
        <f>INT((M205*Valores!$C$2*100)+0.5)/100</f>
        <v>0</v>
      </c>
      <c r="O205" s="75">
        <f t="shared" si="38"/>
        <v>1545.4364999999996</v>
      </c>
      <c r="P205" s="75">
        <f t="shared" si="39"/>
        <v>0</v>
      </c>
      <c r="Q205" s="101">
        <f>Valores!$C$14*D205</f>
        <v>2159.69</v>
      </c>
      <c r="R205" s="101">
        <f>IF(D205&lt;15,(Valores!$E$4*D205),Valores!$D$4)</f>
        <v>2666.43</v>
      </c>
      <c r="S205" s="75">
        <v>0</v>
      </c>
      <c r="T205" s="78">
        <f>IF(Valores!$C$45*D205&gt;Valores!$C$43,Valores!$C$43,Valores!$C$45*D205)</f>
        <v>689.13</v>
      </c>
      <c r="U205" s="101">
        <f>Valores!$C$22*D205</f>
        <v>761.54</v>
      </c>
      <c r="V205" s="75">
        <f t="shared" si="33"/>
        <v>761.54</v>
      </c>
      <c r="W205" s="75">
        <v>0</v>
      </c>
      <c r="X205" s="75">
        <v>0</v>
      </c>
      <c r="Y205" s="118">
        <v>0</v>
      </c>
      <c r="Z205" s="75">
        <f>Y205*Valores!$C$2</f>
        <v>0</v>
      </c>
      <c r="AA205" s="75">
        <v>0</v>
      </c>
      <c r="AB205" s="80">
        <f>IF((Valores!$C$32)*D205&gt;Valores!$F$32,Valores!$F$32,(Valores!$C$32)*D205)</f>
        <v>86.58</v>
      </c>
      <c r="AC205" s="75">
        <f t="shared" si="42"/>
        <v>0</v>
      </c>
      <c r="AD205" s="75">
        <f>IF(Valores!$C$33*D205&gt;Valores!$F$33,Valores!$F$33,Valores!$C$33*D205)</f>
        <v>72.02</v>
      </c>
      <c r="AE205" s="79">
        <v>0</v>
      </c>
      <c r="AF205" s="75">
        <f>INT(((AE205*Valores!$C$2)*100)+0.5)/100</f>
        <v>0</v>
      </c>
      <c r="AG205" s="75">
        <f>IF(Valores!$D$58*'Escala Docente'!D205&gt;Valores!$F$58,Valores!$F$58,Valores!$D$58*'Escala Docente'!D205)</f>
        <v>292.89</v>
      </c>
      <c r="AH205" s="75">
        <f>IF(Valores!$D$60*D205&gt;Valores!$F$60,Valores!$F$60,Valores!$D$60*D205)</f>
        <v>83.72</v>
      </c>
      <c r="AI205" s="114">
        <f t="shared" si="43"/>
        <v>17209.676500000001</v>
      </c>
      <c r="AJ205" s="101">
        <f>IF(Valores!$C$36*D205&gt;Valores!$F$36,Valores!$F$36,Valores!$C$36*D205)</f>
        <v>577.46</v>
      </c>
      <c r="AK205" s="78">
        <f>IF(Valores!$C$11*D205&gt;Valores!$F$11,Valores!$F$11,Valores!$C$11*D205)</f>
        <v>0</v>
      </c>
      <c r="AL205" s="78">
        <f>IF(Valores!$C$84*D205&gt;Valores!$C$83,Valores!$C$83,Valores!$C$84*D205)</f>
        <v>975</v>
      </c>
      <c r="AM205" s="80">
        <f>IF(Valores!$C$56*D205&gt;Valores!$F$56,Valores!$F$56,Valores!$C$56*D205)</f>
        <v>153.4</v>
      </c>
      <c r="AN205" s="82">
        <f t="shared" si="44"/>
        <v>1552.46</v>
      </c>
      <c r="AO205" s="61">
        <f>AI205*-Valores!$C$65</f>
        <v>-2237.2579450000003</v>
      </c>
      <c r="AP205" s="61">
        <f>AI205*-Valores!$C$66</f>
        <v>-86.048382500000002</v>
      </c>
      <c r="AQ205" s="77">
        <f>AI205*-Valores!$C$67</f>
        <v>-774.43544250000002</v>
      </c>
      <c r="AR205" s="77">
        <f>AI205*-Valores!$C$68</f>
        <v>-464.66126550000001</v>
      </c>
      <c r="AS205" s="77">
        <f>AI205*-Valores!$C$69</f>
        <v>-51.629029500000009</v>
      </c>
      <c r="AT205" s="81">
        <f t="shared" si="40"/>
        <v>15664.39473</v>
      </c>
      <c r="AU205" s="81">
        <f t="shared" si="41"/>
        <v>15922.539877499999</v>
      </c>
      <c r="AV205" s="77">
        <f>AI205*Valores!$C$71</f>
        <v>2753.5482400000001</v>
      </c>
      <c r="AW205" s="77">
        <f>AI205*Valores!$C$72</f>
        <v>774.43544250000002</v>
      </c>
      <c r="AX205" s="77">
        <f>AI205*Valores!$C$73</f>
        <v>172.096765</v>
      </c>
      <c r="AY205" s="77">
        <f>AI205*Valores!$C$75</f>
        <v>602.33867750000013</v>
      </c>
      <c r="AZ205" s="77">
        <f>AI205*Valores!$C$76</f>
        <v>103.25805900000002</v>
      </c>
      <c r="BA205" s="77">
        <f t="shared" si="45"/>
        <v>929.32253100000014</v>
      </c>
      <c r="BB205" s="51"/>
      <c r="BC205" s="51">
        <f t="shared" si="36"/>
        <v>52</v>
      </c>
      <c r="BD205" s="27" t="s">
        <v>4</v>
      </c>
    </row>
    <row r="206" spans="1:56" s="27" customFormat="1" ht="11.25" customHeight="1" x14ac:dyDescent="0.2">
      <c r="A206" s="85">
        <v>205</v>
      </c>
      <c r="B206" s="85" t="s">
        <v>163</v>
      </c>
      <c r="C206" s="86" t="s">
        <v>521</v>
      </c>
      <c r="D206" s="86">
        <v>14</v>
      </c>
      <c r="E206" s="86">
        <f t="shared" si="37"/>
        <v>37</v>
      </c>
      <c r="F206" s="87" t="str">
        <f t="shared" si="34"/>
        <v>Hora Cátedra Enseñanza Superior 14 hs</v>
      </c>
      <c r="G206" s="88">
        <f t="shared" si="35"/>
        <v>1386</v>
      </c>
      <c r="H206" s="89">
        <f>INT((G206*Valores!$C$2*100)+0.5)/100</f>
        <v>9533.19</v>
      </c>
      <c r="I206" s="103">
        <v>0</v>
      </c>
      <c r="J206" s="91">
        <f>INT((I206*Valores!$C$2*100)+0.5)/100</f>
        <v>0</v>
      </c>
      <c r="K206" s="104">
        <v>0</v>
      </c>
      <c r="L206" s="91">
        <f>INT((K206*Valores!$C$2*100)+0.5)/100</f>
        <v>0</v>
      </c>
      <c r="M206" s="105">
        <v>0</v>
      </c>
      <c r="N206" s="91">
        <f>INT((M206*Valores!$C$2*100)+0.5)/100</f>
        <v>0</v>
      </c>
      <c r="O206" s="91">
        <f t="shared" si="38"/>
        <v>1664.3175000000001</v>
      </c>
      <c r="P206" s="91">
        <f t="shared" si="39"/>
        <v>0</v>
      </c>
      <c r="Q206" s="107">
        <f>Valores!$C$14*D206</f>
        <v>2325.8199999999997</v>
      </c>
      <c r="R206" s="107">
        <f>IF(D206&lt;15,(Valores!$E$4*D206),Valores!$D$4)</f>
        <v>2871.54</v>
      </c>
      <c r="S206" s="91">
        <v>0</v>
      </c>
      <c r="T206" s="94">
        <f>IF(Valores!$C$45*D206&gt;Valores!$C$43,Valores!$C$43,Valores!$C$45*D206)</f>
        <v>742.14</v>
      </c>
      <c r="U206" s="107">
        <f>Valores!$C$22*D206</f>
        <v>820.12</v>
      </c>
      <c r="V206" s="91">
        <f t="shared" si="33"/>
        <v>820.12</v>
      </c>
      <c r="W206" s="91">
        <v>0</v>
      </c>
      <c r="X206" s="91">
        <v>0</v>
      </c>
      <c r="Y206" s="119">
        <v>0</v>
      </c>
      <c r="Z206" s="91">
        <f>Y206*Valores!$C$2</f>
        <v>0</v>
      </c>
      <c r="AA206" s="91">
        <v>0</v>
      </c>
      <c r="AB206" s="96">
        <f>IF((Valores!$C$32)*D206&gt;Valores!$F$32,Valores!$F$32,(Valores!$C$32)*D206)</f>
        <v>93.240000000000009</v>
      </c>
      <c r="AC206" s="91">
        <f t="shared" si="42"/>
        <v>0</v>
      </c>
      <c r="AD206" s="91">
        <f>IF(Valores!$C$33*D206&gt;Valores!$F$33,Valores!$F$33,Valores!$C$33*D206)</f>
        <v>77.56</v>
      </c>
      <c r="AE206" s="95">
        <v>0</v>
      </c>
      <c r="AF206" s="91">
        <f>INT(((AE206*Valores!$C$2)*100)+0.5)/100</f>
        <v>0</v>
      </c>
      <c r="AG206" s="91">
        <f>IF(Valores!$D$58*'Escala Docente'!D206&gt;Valores!$F$58,Valores!$F$58,Valores!$D$58*'Escala Docente'!D206)</f>
        <v>315.42</v>
      </c>
      <c r="AH206" s="91">
        <f>IF(Valores!$D$60*D206&gt;Valores!$F$60,Valores!$F$60,Valores!$D$60*D206)</f>
        <v>90.160000000000011</v>
      </c>
      <c r="AI206" s="115">
        <f t="shared" si="43"/>
        <v>18533.5075</v>
      </c>
      <c r="AJ206" s="107">
        <f>IF(Valores!$C$36*D206&gt;Valores!$F$36,Valores!$F$36,Valores!$C$36*D206)</f>
        <v>621.88</v>
      </c>
      <c r="AK206" s="94">
        <f>IF(Valores!$C$11*D206&gt;Valores!$F$11,Valores!$F$11,Valores!$C$11*D206)</f>
        <v>0</v>
      </c>
      <c r="AL206" s="94">
        <f>IF(Valores!$C$84*D206&gt;Valores!$C$83,Valores!$C$83,Valores!$C$84*D206)</f>
        <v>1050</v>
      </c>
      <c r="AM206" s="96">
        <f>IF(Valores!$C$56*D206&gt;Valores!$F$56,Valores!$F$56,Valores!$C$56*D206)</f>
        <v>165.20000000000002</v>
      </c>
      <c r="AN206" s="98">
        <f t="shared" si="44"/>
        <v>1671.88</v>
      </c>
      <c r="AO206" s="116">
        <f>AI206*-Valores!$C$65</f>
        <v>-2409.3559749999999</v>
      </c>
      <c r="AP206" s="116">
        <f>AI206*-Valores!$C$66</f>
        <v>-92.667537499999995</v>
      </c>
      <c r="AQ206" s="93">
        <f>AI206*-Valores!$C$67</f>
        <v>-834.00783749999994</v>
      </c>
      <c r="AR206" s="93">
        <f>AI206*-Valores!$C$68</f>
        <v>-500.40470249999998</v>
      </c>
      <c r="AS206" s="93">
        <f>AI206*-Valores!$C$69</f>
        <v>-55.600522499999997</v>
      </c>
      <c r="AT206" s="97">
        <f t="shared" si="40"/>
        <v>16869.35615</v>
      </c>
      <c r="AU206" s="97">
        <f t="shared" si="41"/>
        <v>17147.3587625</v>
      </c>
      <c r="AV206" s="93">
        <f>AI206*Valores!$C$71</f>
        <v>2965.3611999999998</v>
      </c>
      <c r="AW206" s="93">
        <f>AI206*Valores!$C$72</f>
        <v>834.00783749999994</v>
      </c>
      <c r="AX206" s="93">
        <f>AI206*Valores!$C$73</f>
        <v>185.33507499999999</v>
      </c>
      <c r="AY206" s="93">
        <f>AI206*Valores!$C$75</f>
        <v>648.67276250000009</v>
      </c>
      <c r="AZ206" s="93">
        <f>AI206*Valores!$C$76</f>
        <v>111.20104499999999</v>
      </c>
      <c r="BA206" s="93">
        <f t="shared" si="45"/>
        <v>1000.8094050000001</v>
      </c>
      <c r="BB206" s="85"/>
      <c r="BC206" s="85">
        <f t="shared" si="36"/>
        <v>56</v>
      </c>
      <c r="BD206" s="86" t="s">
        <v>4</v>
      </c>
    </row>
    <row r="207" spans="1:56" s="27" customFormat="1" ht="11.25" customHeight="1" x14ac:dyDescent="0.2">
      <c r="A207" s="51">
        <v>206</v>
      </c>
      <c r="B207" s="51"/>
      <c r="C207" s="27" t="s">
        <v>521</v>
      </c>
      <c r="D207" s="27">
        <v>15</v>
      </c>
      <c r="E207" s="27">
        <f t="shared" si="37"/>
        <v>37</v>
      </c>
      <c r="F207" s="71" t="str">
        <f t="shared" si="34"/>
        <v>Hora Cátedra Enseñanza Superior 15 hs</v>
      </c>
      <c r="G207" s="72">
        <f t="shared" si="35"/>
        <v>1485</v>
      </c>
      <c r="H207" s="73">
        <f>INT((G207*Valores!$C$2*100)+0.5)/100</f>
        <v>10214.129999999999</v>
      </c>
      <c r="I207" s="112">
        <v>0</v>
      </c>
      <c r="J207" s="75">
        <f>INT((I207*Valores!$C$2*100)+0.5)/100</f>
        <v>0</v>
      </c>
      <c r="K207" s="102">
        <v>0</v>
      </c>
      <c r="L207" s="75">
        <f>INT((K207*Valores!$C$2*100)+0.5)/100</f>
        <v>0</v>
      </c>
      <c r="M207" s="100">
        <v>0</v>
      </c>
      <c r="N207" s="75">
        <f>INT((M207*Valores!$C$2*100)+0.5)/100</f>
        <v>0</v>
      </c>
      <c r="O207" s="75">
        <f t="shared" si="38"/>
        <v>1783.1969999999999</v>
      </c>
      <c r="P207" s="75">
        <f t="shared" si="39"/>
        <v>0</v>
      </c>
      <c r="Q207" s="101">
        <f>Valores!$C$14*D207</f>
        <v>2491.9499999999998</v>
      </c>
      <c r="R207" s="101">
        <f>IF(D207&lt;15,(Valores!$E$4*D207),Valores!$D$4)</f>
        <v>3076.62</v>
      </c>
      <c r="S207" s="75">
        <v>0</v>
      </c>
      <c r="T207" s="78">
        <f>IF(Valores!$C$45*D207&gt;Valores!$C$43,Valores!$C$43,Valores!$C$45*D207)</f>
        <v>795.15</v>
      </c>
      <c r="U207" s="101">
        <f>Valores!$C$22*D207</f>
        <v>878.69999999999993</v>
      </c>
      <c r="V207" s="75">
        <f t="shared" si="33"/>
        <v>878.69999999999993</v>
      </c>
      <c r="W207" s="75">
        <v>0</v>
      </c>
      <c r="X207" s="75">
        <v>0</v>
      </c>
      <c r="Y207" s="118">
        <v>0</v>
      </c>
      <c r="Z207" s="75">
        <f>Y207*Valores!$C$2</f>
        <v>0</v>
      </c>
      <c r="AA207" s="75">
        <v>0</v>
      </c>
      <c r="AB207" s="80">
        <f>IF((Valores!$C$32)*D207&gt;Valores!$F$32,Valores!$F$32,(Valores!$C$32)*D207)</f>
        <v>99.9</v>
      </c>
      <c r="AC207" s="75">
        <f t="shared" si="42"/>
        <v>0</v>
      </c>
      <c r="AD207" s="75">
        <f>IF(Valores!$C$33*D207&gt;Valores!$F$33,Valores!$F$33,Valores!$C$33*D207)</f>
        <v>83.1</v>
      </c>
      <c r="AE207" s="79">
        <v>0</v>
      </c>
      <c r="AF207" s="75">
        <f>INT(((AE207*Valores!$C$2)*100)+0.5)/100</f>
        <v>0</v>
      </c>
      <c r="AG207" s="75">
        <f>IF(Valores!$D$58*'Escala Docente'!D207&gt;Valores!$F$58,Valores!$F$58,Valores!$D$58*'Escala Docente'!D207)</f>
        <v>337.95000000000005</v>
      </c>
      <c r="AH207" s="75">
        <f>IF(Valores!$D$60*D207&gt;Valores!$F$60,Valores!$F$60,Valores!$D$60*D207)</f>
        <v>96.600000000000009</v>
      </c>
      <c r="AI207" s="114">
        <f t="shared" si="43"/>
        <v>19857.296999999999</v>
      </c>
      <c r="AJ207" s="101">
        <f>IF(Valores!$C$36*D207&gt;Valores!$F$36,Valores!$F$36,Valores!$C$36*D207)</f>
        <v>666.30000000000007</v>
      </c>
      <c r="AK207" s="78">
        <f>IF(Valores!$C$11*D207&gt;Valores!$F$11,Valores!$F$11,Valores!$C$11*D207)</f>
        <v>0</v>
      </c>
      <c r="AL207" s="78">
        <f>IF(Valores!$C$84*D207&gt;Valores!$C$83,Valores!$C$83,Valores!$C$84*D207)</f>
        <v>1125</v>
      </c>
      <c r="AM207" s="80">
        <f>IF(Valores!$C$56*D207&gt;Valores!$F$56,Valores!$F$56,Valores!$C$56*D207)</f>
        <v>177</v>
      </c>
      <c r="AN207" s="82">
        <f t="shared" si="44"/>
        <v>1791.3000000000002</v>
      </c>
      <c r="AO207" s="61">
        <f>AI207*-Valores!$C$65</f>
        <v>-2581.4486099999999</v>
      </c>
      <c r="AP207" s="61">
        <f>AI207*-Valores!$C$66</f>
        <v>-99.286484999999999</v>
      </c>
      <c r="AQ207" s="77">
        <f>AI207*-Valores!$C$67</f>
        <v>-893.57836499999996</v>
      </c>
      <c r="AR207" s="77">
        <f>AI207*-Valores!$C$68</f>
        <v>-536.147019</v>
      </c>
      <c r="AS207" s="77">
        <f>AI207*-Valores!$C$69</f>
        <v>-59.571890999999994</v>
      </c>
      <c r="AT207" s="81">
        <f t="shared" si="40"/>
        <v>18074.283539999997</v>
      </c>
      <c r="AU207" s="81">
        <f t="shared" si="41"/>
        <v>18372.142994999998</v>
      </c>
      <c r="AV207" s="77">
        <f>AI207*Valores!$C$71</f>
        <v>3177.16752</v>
      </c>
      <c r="AW207" s="77">
        <f>AI207*Valores!$C$72</f>
        <v>893.57836499999996</v>
      </c>
      <c r="AX207" s="77">
        <f>AI207*Valores!$C$73</f>
        <v>198.57297</v>
      </c>
      <c r="AY207" s="77">
        <f>AI207*Valores!$C$75</f>
        <v>695.00539500000002</v>
      </c>
      <c r="AZ207" s="77">
        <f>AI207*Valores!$C$76</f>
        <v>119.14378199999999</v>
      </c>
      <c r="BA207" s="77">
        <f t="shared" si="45"/>
        <v>1072.294038</v>
      </c>
      <c r="BB207" s="51"/>
      <c r="BC207" s="51">
        <f t="shared" si="36"/>
        <v>60</v>
      </c>
      <c r="BD207" s="27" t="s">
        <v>4</v>
      </c>
    </row>
    <row r="208" spans="1:56" s="27" customFormat="1" ht="11.25" customHeight="1" x14ac:dyDescent="0.2">
      <c r="A208" s="51">
        <v>207</v>
      </c>
      <c r="B208" s="51"/>
      <c r="C208" s="27" t="s">
        <v>521</v>
      </c>
      <c r="D208" s="27">
        <v>16</v>
      </c>
      <c r="E208" s="27">
        <f t="shared" si="37"/>
        <v>37</v>
      </c>
      <c r="F208" s="71" t="str">
        <f t="shared" si="34"/>
        <v>Hora Cátedra Enseñanza Superior 16 hs</v>
      </c>
      <c r="G208" s="72">
        <f t="shared" si="35"/>
        <v>1584</v>
      </c>
      <c r="H208" s="73">
        <f>INT((G208*Valores!$C$2*100)+0.5)/100</f>
        <v>10895.07</v>
      </c>
      <c r="I208" s="112">
        <v>0</v>
      </c>
      <c r="J208" s="75">
        <f>INT((I208*Valores!$C$2*100)+0.5)/100</f>
        <v>0</v>
      </c>
      <c r="K208" s="102">
        <v>0</v>
      </c>
      <c r="L208" s="75">
        <f>INT((K208*Valores!$C$2*100)+0.5)/100</f>
        <v>0</v>
      </c>
      <c r="M208" s="100">
        <v>0</v>
      </c>
      <c r="N208" s="75">
        <f>INT((M208*Valores!$C$2*100)+0.5)/100</f>
        <v>0</v>
      </c>
      <c r="O208" s="75">
        <f t="shared" si="38"/>
        <v>1902.0764999999999</v>
      </c>
      <c r="P208" s="75">
        <f t="shared" si="39"/>
        <v>0</v>
      </c>
      <c r="Q208" s="101">
        <f>Valores!$C$14*D208</f>
        <v>2658.08</v>
      </c>
      <c r="R208" s="101">
        <f>IF(D208&lt;15,(Valores!$E$4*D208),Valores!$D$4)</f>
        <v>3076.62</v>
      </c>
      <c r="S208" s="75">
        <v>0</v>
      </c>
      <c r="T208" s="78">
        <f>IF(Valores!$C$45*D208&gt;Valores!$C$43,Valores!$C$43,Valores!$C$45*D208)</f>
        <v>848.16</v>
      </c>
      <c r="U208" s="101">
        <f>Valores!$C$22*D208</f>
        <v>937.28</v>
      </c>
      <c r="V208" s="75">
        <f t="shared" si="33"/>
        <v>937.28</v>
      </c>
      <c r="W208" s="75">
        <v>0</v>
      </c>
      <c r="X208" s="75">
        <v>0</v>
      </c>
      <c r="Y208" s="118">
        <v>0</v>
      </c>
      <c r="Z208" s="75">
        <f>Y208*Valores!$C$2</f>
        <v>0</v>
      </c>
      <c r="AA208" s="75">
        <v>0</v>
      </c>
      <c r="AB208" s="80">
        <f>IF((Valores!$C$32)*D208&gt;Valores!$F$32,Valores!$F$32,(Valores!$C$32)*D208)</f>
        <v>106.56</v>
      </c>
      <c r="AC208" s="75">
        <f t="shared" si="42"/>
        <v>0</v>
      </c>
      <c r="AD208" s="75">
        <f>IF(Valores!$C$33*D208&gt;Valores!$F$33,Valores!$F$33,Valores!$C$33*D208)</f>
        <v>88.64</v>
      </c>
      <c r="AE208" s="79">
        <v>0</v>
      </c>
      <c r="AF208" s="75">
        <f>INT(((AE208*Valores!$C$2)*100)+0.5)/100</f>
        <v>0</v>
      </c>
      <c r="AG208" s="75">
        <f>IF(Valores!$D$58*'Escala Docente'!D208&gt;Valores!$F$58,Valores!$F$58,Valores!$D$58*'Escala Docente'!D208)</f>
        <v>360.48</v>
      </c>
      <c r="AH208" s="75">
        <f>IF(Valores!$D$60*D208&gt;Valores!$F$60,Valores!$F$60,Valores!$D$60*D208)</f>
        <v>103.04</v>
      </c>
      <c r="AI208" s="114">
        <f t="shared" si="43"/>
        <v>20976.0065</v>
      </c>
      <c r="AJ208" s="101">
        <f>IF(Valores!$C$36*D208&gt;Valores!$F$36,Valores!$F$36,Valores!$C$36*D208)</f>
        <v>710.72</v>
      </c>
      <c r="AK208" s="78">
        <f>IF(Valores!$C$11*D208&gt;Valores!$F$11,Valores!$F$11,Valores!$C$11*D208)</f>
        <v>0</v>
      </c>
      <c r="AL208" s="78">
        <f>IF(Valores!$C$84*D208&gt;Valores!$C$83,Valores!$C$83,Valores!$C$84*D208)</f>
        <v>1200</v>
      </c>
      <c r="AM208" s="80">
        <f>IF(Valores!$C$56*D208&gt;Valores!$F$56,Valores!$F$56,Valores!$C$56*D208)</f>
        <v>188.8</v>
      </c>
      <c r="AN208" s="82">
        <f t="shared" si="44"/>
        <v>1910.72</v>
      </c>
      <c r="AO208" s="61">
        <f>AI208*-Valores!$C$65</f>
        <v>-2726.8808450000001</v>
      </c>
      <c r="AP208" s="61">
        <f>AI208*-Valores!$C$66</f>
        <v>-104.8800325</v>
      </c>
      <c r="AQ208" s="77">
        <f>AI208*-Valores!$C$67</f>
        <v>-943.92029249999996</v>
      </c>
      <c r="AR208" s="77">
        <f>AI208*-Valores!$C$68</f>
        <v>-566.35217549999993</v>
      </c>
      <c r="AS208" s="77">
        <f>AI208*-Valores!$C$69</f>
        <v>-62.928019499999998</v>
      </c>
      <c r="AT208" s="81">
        <f t="shared" si="40"/>
        <v>19111.045330000001</v>
      </c>
      <c r="AU208" s="81">
        <f t="shared" si="41"/>
        <v>19425.685427500001</v>
      </c>
      <c r="AV208" s="77">
        <f>AI208*Valores!$C$71</f>
        <v>3356.16104</v>
      </c>
      <c r="AW208" s="77">
        <f>AI208*Valores!$C$72</f>
        <v>943.92029249999996</v>
      </c>
      <c r="AX208" s="77">
        <f>AI208*Valores!$C$73</f>
        <v>209.760065</v>
      </c>
      <c r="AY208" s="77">
        <f>AI208*Valores!$C$75</f>
        <v>734.16022750000002</v>
      </c>
      <c r="AZ208" s="77">
        <f>AI208*Valores!$C$76</f>
        <v>125.856039</v>
      </c>
      <c r="BA208" s="77">
        <f t="shared" si="45"/>
        <v>1132.7043510000001</v>
      </c>
      <c r="BB208" s="51"/>
      <c r="BC208" s="51">
        <f t="shared" si="36"/>
        <v>64</v>
      </c>
      <c r="BD208" s="27" t="s">
        <v>4</v>
      </c>
    </row>
    <row r="209" spans="1:56" s="27" customFormat="1" ht="11.25" customHeight="1" x14ac:dyDescent="0.2">
      <c r="A209" s="51">
        <v>208</v>
      </c>
      <c r="B209" s="51"/>
      <c r="C209" s="27" t="s">
        <v>521</v>
      </c>
      <c r="D209" s="27">
        <v>17</v>
      </c>
      <c r="E209" s="27">
        <f t="shared" si="37"/>
        <v>37</v>
      </c>
      <c r="F209" s="71" t="str">
        <f t="shared" si="34"/>
        <v>Hora Cátedra Enseñanza Superior 17 hs</v>
      </c>
      <c r="G209" s="72">
        <f t="shared" si="35"/>
        <v>1683</v>
      </c>
      <c r="H209" s="73">
        <f>INT((G209*Valores!$C$2*100)+0.5)/100</f>
        <v>11576.01</v>
      </c>
      <c r="I209" s="112">
        <v>0</v>
      </c>
      <c r="J209" s="75">
        <f>INT((I209*Valores!$C$2*100)+0.5)/100</f>
        <v>0</v>
      </c>
      <c r="K209" s="102">
        <v>0</v>
      </c>
      <c r="L209" s="75">
        <f>INT((K209*Valores!$C$2*100)+0.5)/100</f>
        <v>0</v>
      </c>
      <c r="M209" s="100">
        <v>0</v>
      </c>
      <c r="N209" s="75">
        <f>INT((M209*Valores!$C$2*100)+0.5)/100</f>
        <v>0</v>
      </c>
      <c r="O209" s="75">
        <f t="shared" si="38"/>
        <v>2020.9560000000001</v>
      </c>
      <c r="P209" s="75">
        <f t="shared" si="39"/>
        <v>0</v>
      </c>
      <c r="Q209" s="101">
        <f>Valores!$C$14*D209</f>
        <v>2824.21</v>
      </c>
      <c r="R209" s="101">
        <f>IF(D209&lt;15,(Valores!$E$4*D209),Valores!$D$4)</f>
        <v>3076.62</v>
      </c>
      <c r="S209" s="75">
        <v>0</v>
      </c>
      <c r="T209" s="78">
        <f>IF(Valores!$C$45*D209&gt;Valores!$C$43,Valores!$C$43,Valores!$C$45*D209)</f>
        <v>901.17</v>
      </c>
      <c r="U209" s="101">
        <f>Valores!$C$22*D209</f>
        <v>995.86</v>
      </c>
      <c r="V209" s="75">
        <f t="shared" si="33"/>
        <v>995.86</v>
      </c>
      <c r="W209" s="75">
        <v>0</v>
      </c>
      <c r="X209" s="75">
        <v>0</v>
      </c>
      <c r="Y209" s="118">
        <v>0</v>
      </c>
      <c r="Z209" s="75">
        <f>Y209*Valores!$C$2</f>
        <v>0</v>
      </c>
      <c r="AA209" s="75">
        <v>0</v>
      </c>
      <c r="AB209" s="80">
        <f>IF((Valores!$C$32)*D209&gt;Valores!$F$32,Valores!$F$32,(Valores!$C$32)*D209)</f>
        <v>113.22</v>
      </c>
      <c r="AC209" s="75">
        <f t="shared" si="42"/>
        <v>0</v>
      </c>
      <c r="AD209" s="75">
        <f>IF(Valores!$C$33*D209&gt;Valores!$F$33,Valores!$F$33,Valores!$C$33*D209)</f>
        <v>94.18</v>
      </c>
      <c r="AE209" s="79">
        <v>0</v>
      </c>
      <c r="AF209" s="75">
        <f>INT(((AE209*Valores!$C$2)*100)+0.5)/100</f>
        <v>0</v>
      </c>
      <c r="AG209" s="75">
        <f>IF(Valores!$D$58*'Escala Docente'!D209&gt;Valores!$F$58,Valores!$F$58,Valores!$D$58*'Escala Docente'!D209)</f>
        <v>383.01</v>
      </c>
      <c r="AH209" s="75">
        <f>IF(Valores!$D$60*D209&gt;Valores!$F$60,Valores!$F$60,Valores!$D$60*D209)</f>
        <v>109.48</v>
      </c>
      <c r="AI209" s="114">
        <f t="shared" si="43"/>
        <v>22094.715999999997</v>
      </c>
      <c r="AJ209" s="101">
        <f>IF(Valores!$C$36*D209&gt;Valores!$F$36,Valores!$F$36,Valores!$C$36*D209)</f>
        <v>755.14</v>
      </c>
      <c r="AK209" s="78">
        <f>IF(Valores!$C$11*D209&gt;Valores!$F$11,Valores!$F$11,Valores!$C$11*D209)</f>
        <v>0</v>
      </c>
      <c r="AL209" s="78">
        <f>IF(Valores!$C$84*D209&gt;Valores!$C$83,Valores!$C$83,Valores!$C$84*D209)</f>
        <v>1275</v>
      </c>
      <c r="AM209" s="80">
        <f>IF(Valores!$C$56*D209&gt;Valores!$F$56,Valores!$F$56,Valores!$C$56*D209)</f>
        <v>200.60000000000002</v>
      </c>
      <c r="AN209" s="82">
        <f t="shared" si="44"/>
        <v>2030.1399999999999</v>
      </c>
      <c r="AO209" s="61">
        <f>AI209*-Valores!$C$65</f>
        <v>-2872.3130799999994</v>
      </c>
      <c r="AP209" s="61">
        <f>AI209*-Valores!$C$66</f>
        <v>-110.47357999999998</v>
      </c>
      <c r="AQ209" s="77">
        <f>AI209*-Valores!$C$67</f>
        <v>-994.26221999999984</v>
      </c>
      <c r="AR209" s="77">
        <f>AI209*-Valores!$C$68</f>
        <v>-596.55733199999986</v>
      </c>
      <c r="AS209" s="77">
        <f>AI209*-Valores!$C$69</f>
        <v>-66.284147999999988</v>
      </c>
      <c r="AT209" s="81">
        <f t="shared" si="40"/>
        <v>20147.807119999994</v>
      </c>
      <c r="AU209" s="81">
        <f t="shared" si="41"/>
        <v>20479.227859999995</v>
      </c>
      <c r="AV209" s="77">
        <f>AI209*Valores!$C$71</f>
        <v>3535.1545599999995</v>
      </c>
      <c r="AW209" s="77">
        <f>AI209*Valores!$C$72</f>
        <v>994.26221999999984</v>
      </c>
      <c r="AX209" s="77">
        <f>AI209*Valores!$C$73</f>
        <v>220.94715999999997</v>
      </c>
      <c r="AY209" s="77">
        <f>AI209*Valores!$C$75</f>
        <v>773.3150599999999</v>
      </c>
      <c r="AZ209" s="77">
        <f>AI209*Valores!$C$76</f>
        <v>132.56829599999998</v>
      </c>
      <c r="BA209" s="77">
        <f t="shared" si="45"/>
        <v>1193.1146639999999</v>
      </c>
      <c r="BB209" s="51"/>
      <c r="BC209" s="85">
        <f t="shared" si="36"/>
        <v>68</v>
      </c>
      <c r="BD209" s="27" t="s">
        <v>4</v>
      </c>
    </row>
    <row r="210" spans="1:56" s="27" customFormat="1" ht="11.25" customHeight="1" x14ac:dyDescent="0.2">
      <c r="A210" s="51">
        <v>209</v>
      </c>
      <c r="B210" s="51"/>
      <c r="C210" s="27" t="s">
        <v>521</v>
      </c>
      <c r="D210" s="27">
        <v>18</v>
      </c>
      <c r="E210" s="27">
        <f t="shared" si="37"/>
        <v>37</v>
      </c>
      <c r="F210" s="71" t="str">
        <f t="shared" si="34"/>
        <v>Hora Cátedra Enseñanza Superior 18 hs</v>
      </c>
      <c r="G210" s="72">
        <f t="shared" si="35"/>
        <v>1782</v>
      </c>
      <c r="H210" s="73">
        <f>INT((G210*Valores!$C$2*100)+0.5)/100</f>
        <v>12256.95</v>
      </c>
      <c r="I210" s="112">
        <v>0</v>
      </c>
      <c r="J210" s="75">
        <f>INT((I210*Valores!$C$2*100)+0.5)/100</f>
        <v>0</v>
      </c>
      <c r="K210" s="102">
        <v>0</v>
      </c>
      <c r="L210" s="75">
        <f>INT((K210*Valores!$C$2*100)+0.5)/100</f>
        <v>0</v>
      </c>
      <c r="M210" s="100">
        <v>0</v>
      </c>
      <c r="N210" s="75">
        <f>INT((M210*Valores!$C$2*100)+0.5)/100</f>
        <v>0</v>
      </c>
      <c r="O210" s="75">
        <f t="shared" si="38"/>
        <v>2139.8355000000001</v>
      </c>
      <c r="P210" s="75">
        <f t="shared" si="39"/>
        <v>0</v>
      </c>
      <c r="Q210" s="101">
        <f>Valores!$C$14*D210</f>
        <v>2990.34</v>
      </c>
      <c r="R210" s="101">
        <f>IF(D210&lt;15,(Valores!$E$4*D210),Valores!$D$4)</f>
        <v>3076.62</v>
      </c>
      <c r="S210" s="75">
        <v>0</v>
      </c>
      <c r="T210" s="78">
        <f>IF(Valores!$C$45*D210&gt;Valores!$C$43,Valores!$C$43,Valores!$C$45*D210)</f>
        <v>954.18</v>
      </c>
      <c r="U210" s="101">
        <f>Valores!$C$22*D210</f>
        <v>1054.44</v>
      </c>
      <c r="V210" s="75">
        <f t="shared" si="33"/>
        <v>1054.44</v>
      </c>
      <c r="W210" s="75">
        <v>0</v>
      </c>
      <c r="X210" s="75">
        <v>0</v>
      </c>
      <c r="Y210" s="118">
        <v>0</v>
      </c>
      <c r="Z210" s="75">
        <f>Y210*Valores!$C$2</f>
        <v>0</v>
      </c>
      <c r="AA210" s="75">
        <v>0</v>
      </c>
      <c r="AB210" s="80">
        <f>IF((Valores!$C$32)*D210&gt;Valores!$F$32,Valores!$F$32,(Valores!$C$32)*D210)</f>
        <v>119.88</v>
      </c>
      <c r="AC210" s="75">
        <f t="shared" si="42"/>
        <v>0</v>
      </c>
      <c r="AD210" s="75">
        <f>IF(Valores!$C$33*D210&gt;Valores!$F$33,Valores!$F$33,Valores!$C$33*D210)</f>
        <v>99.72</v>
      </c>
      <c r="AE210" s="79">
        <v>0</v>
      </c>
      <c r="AF210" s="75">
        <f>INT(((AE210*Valores!$C$2)*100)+0.5)/100</f>
        <v>0</v>
      </c>
      <c r="AG210" s="75">
        <f>IF(Valores!$D$58*'Escala Docente'!D210&gt;Valores!$F$58,Valores!$F$58,Valores!$D$58*'Escala Docente'!D210)</f>
        <v>405.54</v>
      </c>
      <c r="AH210" s="75">
        <f>IF(Valores!$D$60*D210&gt;Valores!$F$60,Valores!$F$60,Valores!$D$60*D210)</f>
        <v>115.92</v>
      </c>
      <c r="AI210" s="114">
        <f t="shared" si="43"/>
        <v>23213.425500000001</v>
      </c>
      <c r="AJ210" s="101">
        <f>IF(Valores!$C$36*D210&gt;Valores!$F$36,Valores!$F$36,Valores!$C$36*D210)</f>
        <v>799.56000000000006</v>
      </c>
      <c r="AK210" s="78">
        <f>IF(Valores!$C$11*D210&gt;Valores!$F$11,Valores!$F$11,Valores!$C$11*D210)</f>
        <v>0</v>
      </c>
      <c r="AL210" s="78">
        <f>IF(Valores!$C$84*D210&gt;Valores!$C$83,Valores!$C$83,Valores!$C$84*D210)</f>
        <v>1350</v>
      </c>
      <c r="AM210" s="80">
        <f>IF(Valores!$C$56*D210&gt;Valores!$F$56,Valores!$F$56,Valores!$C$56*D210)</f>
        <v>212.4</v>
      </c>
      <c r="AN210" s="82">
        <f t="shared" si="44"/>
        <v>2149.56</v>
      </c>
      <c r="AO210" s="61">
        <f>AI210*-Valores!$C$65</f>
        <v>-3017.7453150000001</v>
      </c>
      <c r="AP210" s="61">
        <f>AI210*-Valores!$C$66</f>
        <v>-116.06712750000001</v>
      </c>
      <c r="AQ210" s="77">
        <f>AI210*-Valores!$C$67</f>
        <v>-1044.6041475</v>
      </c>
      <c r="AR210" s="77">
        <f>AI210*-Valores!$C$68</f>
        <v>-626.76248850000002</v>
      </c>
      <c r="AS210" s="77">
        <f>AI210*-Valores!$C$69</f>
        <v>-69.640276499999999</v>
      </c>
      <c r="AT210" s="81">
        <f t="shared" si="40"/>
        <v>21184.568910000005</v>
      </c>
      <c r="AU210" s="81">
        <f t="shared" si="41"/>
        <v>21532.770292500005</v>
      </c>
      <c r="AV210" s="77">
        <f>AI210*Valores!$C$71</f>
        <v>3714.1480800000004</v>
      </c>
      <c r="AW210" s="77">
        <f>AI210*Valores!$C$72</f>
        <v>1044.6041475</v>
      </c>
      <c r="AX210" s="77">
        <f>AI210*Valores!$C$73</f>
        <v>232.13425500000002</v>
      </c>
      <c r="AY210" s="77">
        <f>AI210*Valores!$C$75</f>
        <v>812.46989250000013</v>
      </c>
      <c r="AZ210" s="77">
        <f>AI210*Valores!$C$76</f>
        <v>139.280553</v>
      </c>
      <c r="BA210" s="77">
        <f t="shared" si="45"/>
        <v>1253.5249770000003</v>
      </c>
      <c r="BB210" s="51"/>
      <c r="BC210" s="51">
        <f t="shared" si="36"/>
        <v>72</v>
      </c>
      <c r="BD210" s="27" t="s">
        <v>4</v>
      </c>
    </row>
    <row r="211" spans="1:56" s="27" customFormat="1" ht="11.25" customHeight="1" x14ac:dyDescent="0.2">
      <c r="A211" s="85">
        <v>210</v>
      </c>
      <c r="B211" s="85" t="s">
        <v>163</v>
      </c>
      <c r="C211" s="86" t="s">
        <v>521</v>
      </c>
      <c r="D211" s="86">
        <v>19</v>
      </c>
      <c r="E211" s="86">
        <f t="shared" si="37"/>
        <v>37</v>
      </c>
      <c r="F211" s="87" t="str">
        <f t="shared" si="34"/>
        <v>Hora Cátedra Enseñanza Superior 19 hs</v>
      </c>
      <c r="G211" s="88">
        <f t="shared" si="35"/>
        <v>1881</v>
      </c>
      <c r="H211" s="89">
        <f>INT((G211*Valores!$C$2*100)+0.5)/100</f>
        <v>12937.89</v>
      </c>
      <c r="I211" s="103">
        <v>0</v>
      </c>
      <c r="J211" s="91">
        <f>INT((I211*Valores!$C$2*100)+0.5)/100</f>
        <v>0</v>
      </c>
      <c r="K211" s="104">
        <v>0</v>
      </c>
      <c r="L211" s="91">
        <f>INT((K211*Valores!$C$2*100)+0.5)/100</f>
        <v>0</v>
      </c>
      <c r="M211" s="105">
        <v>0</v>
      </c>
      <c r="N211" s="91">
        <f>INT((M211*Valores!$C$2*100)+0.5)/100</f>
        <v>0</v>
      </c>
      <c r="O211" s="91">
        <f t="shared" si="38"/>
        <v>2258.7150000000001</v>
      </c>
      <c r="P211" s="91">
        <f t="shared" si="39"/>
        <v>0</v>
      </c>
      <c r="Q211" s="107">
        <f>Valores!$C$14*D211</f>
        <v>3156.47</v>
      </c>
      <c r="R211" s="107">
        <f>IF(D211&lt;15,(Valores!$E$4*D211),Valores!$D$4)</f>
        <v>3076.62</v>
      </c>
      <c r="S211" s="91">
        <v>0</v>
      </c>
      <c r="T211" s="94">
        <f>IF(Valores!$C$45*D211&gt;Valores!$C$43,Valores!$C$43,Valores!$C$45*D211)</f>
        <v>1007.1899999999999</v>
      </c>
      <c r="U211" s="107">
        <f>Valores!$C$22*D211</f>
        <v>1113.02</v>
      </c>
      <c r="V211" s="91">
        <f t="shared" si="33"/>
        <v>1113.02</v>
      </c>
      <c r="W211" s="91">
        <v>0</v>
      </c>
      <c r="X211" s="91">
        <v>0</v>
      </c>
      <c r="Y211" s="119">
        <v>0</v>
      </c>
      <c r="Z211" s="91">
        <f>Y211*Valores!$C$2</f>
        <v>0</v>
      </c>
      <c r="AA211" s="91">
        <v>0</v>
      </c>
      <c r="AB211" s="96">
        <f>IF((Valores!$C$32)*D211&gt;Valores!$F$32,Valores!$F$32,(Valores!$C$32)*D211)</f>
        <v>126.54</v>
      </c>
      <c r="AC211" s="91">
        <f t="shared" si="42"/>
        <v>0</v>
      </c>
      <c r="AD211" s="91">
        <f>IF(Valores!$C$33*D211&gt;Valores!$F$33,Valores!$F$33,Valores!$C$33*D211)</f>
        <v>105.26</v>
      </c>
      <c r="AE211" s="95">
        <v>0</v>
      </c>
      <c r="AF211" s="91">
        <f>INT(((AE211*Valores!$C$2)*100)+0.5)/100</f>
        <v>0</v>
      </c>
      <c r="AG211" s="91">
        <f>IF(Valores!$D$58*'Escala Docente'!D211&gt;Valores!$F$58,Valores!$F$58,Valores!$D$58*'Escala Docente'!D211)</f>
        <v>428.07000000000005</v>
      </c>
      <c r="AH211" s="91">
        <f>IF(Valores!$D$60*D211&gt;Valores!$F$60,Valores!$F$60,Valores!$D$60*D211)</f>
        <v>122.36000000000001</v>
      </c>
      <c r="AI211" s="115">
        <f t="shared" si="43"/>
        <v>24332.134999999998</v>
      </c>
      <c r="AJ211" s="107">
        <f>IF(Valores!$C$36*D211&gt;Valores!$F$36,Valores!$F$36,Valores!$C$36*D211)</f>
        <v>843.98</v>
      </c>
      <c r="AK211" s="94">
        <f>IF(Valores!$C$11*D211&gt;Valores!$F$11,Valores!$F$11,Valores!$C$11*D211)</f>
        <v>0</v>
      </c>
      <c r="AL211" s="94">
        <f>IF(Valores!$C$84*D211&gt;Valores!$C$83,Valores!$C$83,Valores!$C$84*D211)</f>
        <v>1425</v>
      </c>
      <c r="AM211" s="96">
        <f>IF(Valores!$C$56*D211&gt;Valores!$F$56,Valores!$F$56,Valores!$C$56*D211)</f>
        <v>224.20000000000002</v>
      </c>
      <c r="AN211" s="98">
        <f t="shared" si="44"/>
        <v>2268.98</v>
      </c>
      <c r="AO211" s="116">
        <f>AI211*-Valores!$C$65</f>
        <v>-3163.1775499999999</v>
      </c>
      <c r="AP211" s="116">
        <f>AI211*-Valores!$C$66</f>
        <v>-121.660675</v>
      </c>
      <c r="AQ211" s="93">
        <f>AI211*-Valores!$C$67</f>
        <v>-1094.9460749999998</v>
      </c>
      <c r="AR211" s="93">
        <f>AI211*-Valores!$C$68</f>
        <v>-656.96764499999995</v>
      </c>
      <c r="AS211" s="93">
        <f>AI211*-Valores!$C$69</f>
        <v>-72.996404999999996</v>
      </c>
      <c r="AT211" s="97">
        <f t="shared" si="40"/>
        <v>22221.330699999999</v>
      </c>
      <c r="AU211" s="97">
        <f t="shared" si="41"/>
        <v>22586.312724999996</v>
      </c>
      <c r="AV211" s="93">
        <f>AI211*Valores!$C$71</f>
        <v>3893.1415999999999</v>
      </c>
      <c r="AW211" s="93">
        <f>AI211*Valores!$C$72</f>
        <v>1094.9460749999998</v>
      </c>
      <c r="AX211" s="93">
        <f>AI211*Valores!$C$73</f>
        <v>243.32135</v>
      </c>
      <c r="AY211" s="93">
        <f>AI211*Valores!$C$75</f>
        <v>851.62472500000001</v>
      </c>
      <c r="AZ211" s="93">
        <f>AI211*Valores!$C$76</f>
        <v>145.99280999999999</v>
      </c>
      <c r="BA211" s="93">
        <f t="shared" si="45"/>
        <v>1313.9352900000001</v>
      </c>
      <c r="BB211" s="85"/>
      <c r="BC211" s="85">
        <f t="shared" si="36"/>
        <v>76</v>
      </c>
      <c r="BD211" s="86" t="s">
        <v>4</v>
      </c>
    </row>
    <row r="212" spans="1:56" s="27" customFormat="1" ht="11.25" customHeight="1" x14ac:dyDescent="0.2">
      <c r="A212" s="51">
        <v>211</v>
      </c>
      <c r="B212" s="51"/>
      <c r="C212" s="27" t="s">
        <v>521</v>
      </c>
      <c r="D212" s="27">
        <v>20</v>
      </c>
      <c r="E212" s="27">
        <f t="shared" si="37"/>
        <v>37</v>
      </c>
      <c r="F212" s="71" t="str">
        <f t="shared" si="34"/>
        <v>Hora Cátedra Enseñanza Superior 20 hs</v>
      </c>
      <c r="G212" s="72">
        <f t="shared" si="35"/>
        <v>1980</v>
      </c>
      <c r="H212" s="73">
        <f>INT((G212*Valores!$C$2*100)+0.5)/100</f>
        <v>13618.84</v>
      </c>
      <c r="I212" s="112">
        <v>0</v>
      </c>
      <c r="J212" s="75">
        <f>INT((I212*Valores!$C$2*100)+0.5)/100</f>
        <v>0</v>
      </c>
      <c r="K212" s="102">
        <v>0</v>
      </c>
      <c r="L212" s="75">
        <f>INT((K212*Valores!$C$2*100)+0.5)/100</f>
        <v>0</v>
      </c>
      <c r="M212" s="100">
        <v>0</v>
      </c>
      <c r="N212" s="75">
        <f>INT((M212*Valores!$C$2*100)+0.5)/100</f>
        <v>0</v>
      </c>
      <c r="O212" s="75">
        <f t="shared" si="38"/>
        <v>2377.596</v>
      </c>
      <c r="P212" s="75">
        <f t="shared" si="39"/>
        <v>0</v>
      </c>
      <c r="Q212" s="101">
        <f>Valores!$C$14*D212</f>
        <v>3322.6</v>
      </c>
      <c r="R212" s="101">
        <f>IF(D212&lt;15,(Valores!$E$4*D212),Valores!$D$4)</f>
        <v>3076.62</v>
      </c>
      <c r="S212" s="75">
        <v>0</v>
      </c>
      <c r="T212" s="78">
        <f>IF(Valores!$C$45*D212&gt;Valores!$C$43,Valores!$C$43,Valores!$C$45*D212)</f>
        <v>1060.2</v>
      </c>
      <c r="U212" s="101">
        <f>Valores!$C$22*D212</f>
        <v>1171.5999999999999</v>
      </c>
      <c r="V212" s="75">
        <f t="shared" si="33"/>
        <v>1171.5999999999999</v>
      </c>
      <c r="W212" s="75">
        <v>0</v>
      </c>
      <c r="X212" s="75">
        <v>0</v>
      </c>
      <c r="Y212" s="118">
        <v>0</v>
      </c>
      <c r="Z212" s="75">
        <f>Y212*Valores!$C$2</f>
        <v>0</v>
      </c>
      <c r="AA212" s="75">
        <v>0</v>
      </c>
      <c r="AB212" s="80">
        <f>IF((Valores!$C$32)*D212&gt;Valores!$F$32,Valores!$F$32,(Valores!$C$32)*D212)</f>
        <v>133.19999999999999</v>
      </c>
      <c r="AC212" s="75">
        <f t="shared" si="42"/>
        <v>0</v>
      </c>
      <c r="AD212" s="75">
        <f>IF(Valores!$C$33*D212&gt;Valores!$F$33,Valores!$F$33,Valores!$C$33*D212)</f>
        <v>110.8</v>
      </c>
      <c r="AE212" s="79">
        <v>0</v>
      </c>
      <c r="AF212" s="75">
        <f>INT(((AE212*Valores!$C$2)*100)+0.5)/100</f>
        <v>0</v>
      </c>
      <c r="AG212" s="75">
        <f>IF(Valores!$D$58*'Escala Docente'!D212&gt;Valores!$F$58,Valores!$F$58,Valores!$D$58*'Escala Docente'!D212)</f>
        <v>450.6</v>
      </c>
      <c r="AH212" s="75">
        <f>IF(Valores!$D$60*D212&gt;Valores!$F$60,Valores!$F$60,Valores!$D$60*D212)</f>
        <v>128.80000000000001</v>
      </c>
      <c r="AI212" s="114">
        <f t="shared" si="43"/>
        <v>25450.855999999996</v>
      </c>
      <c r="AJ212" s="101">
        <f>IF(Valores!$C$36*D212&gt;Valores!$F$36,Valores!$F$36,Valores!$C$36*D212)</f>
        <v>888.40000000000009</v>
      </c>
      <c r="AK212" s="78">
        <f>IF(Valores!$C$11*D212&gt;Valores!$F$11,Valores!$F$11,Valores!$C$11*D212)</f>
        <v>0</v>
      </c>
      <c r="AL212" s="78">
        <f>IF(Valores!$C$84*D212&gt;Valores!$C$83,Valores!$C$83,Valores!$C$84*D212)</f>
        <v>1500</v>
      </c>
      <c r="AM212" s="80">
        <f>IF(Valores!$C$56*D212&gt;Valores!$F$56,Valores!$F$56,Valores!$C$56*D212)</f>
        <v>236</v>
      </c>
      <c r="AN212" s="82">
        <f t="shared" si="44"/>
        <v>2388.4</v>
      </c>
      <c r="AO212" s="61">
        <f>AI212*-Valores!$C$65</f>
        <v>-3308.6112799999996</v>
      </c>
      <c r="AP212" s="61">
        <f>AI212*-Valores!$C$66</f>
        <v>-127.25427999999998</v>
      </c>
      <c r="AQ212" s="77">
        <f>AI212*-Valores!$C$67</f>
        <v>-1145.2885199999998</v>
      </c>
      <c r="AR212" s="77">
        <f>AI212*-Valores!$C$68</f>
        <v>-687.17311199999983</v>
      </c>
      <c r="AS212" s="77">
        <f>AI212*-Valores!$C$69</f>
        <v>-76.352567999999991</v>
      </c>
      <c r="AT212" s="81">
        <f t="shared" si="40"/>
        <v>23258.101919999997</v>
      </c>
      <c r="AU212" s="81">
        <f t="shared" si="41"/>
        <v>23639.864759999997</v>
      </c>
      <c r="AV212" s="77">
        <f>AI212*Valores!$C$71</f>
        <v>4072.1369599999994</v>
      </c>
      <c r="AW212" s="77">
        <f>AI212*Valores!$C$72</f>
        <v>1145.2885199999998</v>
      </c>
      <c r="AX212" s="77">
        <f>AI212*Valores!$C$73</f>
        <v>254.50855999999996</v>
      </c>
      <c r="AY212" s="77">
        <f>AI212*Valores!$C$75</f>
        <v>890.77995999999996</v>
      </c>
      <c r="AZ212" s="77">
        <f>AI212*Valores!$C$76</f>
        <v>152.70513599999998</v>
      </c>
      <c r="BA212" s="77">
        <f t="shared" si="45"/>
        <v>1374.3462239999999</v>
      </c>
      <c r="BB212" s="51"/>
      <c r="BC212" s="51">
        <f t="shared" si="36"/>
        <v>80</v>
      </c>
      <c r="BD212" s="27" t="s">
        <v>4</v>
      </c>
    </row>
    <row r="213" spans="1:56" s="27" customFormat="1" ht="11.25" customHeight="1" x14ac:dyDescent="0.2">
      <c r="A213" s="51">
        <v>212</v>
      </c>
      <c r="B213" s="51"/>
      <c r="C213" s="27" t="s">
        <v>521</v>
      </c>
      <c r="D213" s="27">
        <v>21</v>
      </c>
      <c r="E213" s="27">
        <f t="shared" si="37"/>
        <v>37</v>
      </c>
      <c r="F213" s="71" t="str">
        <f t="shared" si="34"/>
        <v>Hora Cátedra Enseñanza Superior 21 hs</v>
      </c>
      <c r="G213" s="72">
        <f t="shared" si="35"/>
        <v>2079</v>
      </c>
      <c r="H213" s="73">
        <f>INT((G213*Valores!$C$2*100)+0.5)/100</f>
        <v>14299.78</v>
      </c>
      <c r="I213" s="112">
        <v>0</v>
      </c>
      <c r="J213" s="75">
        <f>INT((I213*Valores!$C$2*100)+0.5)/100</f>
        <v>0</v>
      </c>
      <c r="K213" s="102">
        <v>0</v>
      </c>
      <c r="L213" s="75">
        <f>INT((K213*Valores!$C$2*100)+0.5)/100</f>
        <v>0</v>
      </c>
      <c r="M213" s="100">
        <v>0</v>
      </c>
      <c r="N213" s="75">
        <f>INT((M213*Valores!$C$2*100)+0.5)/100</f>
        <v>0</v>
      </c>
      <c r="O213" s="75">
        <f t="shared" si="38"/>
        <v>2496.4755</v>
      </c>
      <c r="P213" s="75">
        <f t="shared" si="39"/>
        <v>0</v>
      </c>
      <c r="Q213" s="101">
        <f>Valores!$C$14*D213</f>
        <v>3488.73</v>
      </c>
      <c r="R213" s="101">
        <f>IF(D213&lt;15,(Valores!$E$4*D213),Valores!$D$4)</f>
        <v>3076.62</v>
      </c>
      <c r="S213" s="75">
        <v>0</v>
      </c>
      <c r="T213" s="78">
        <f>IF(Valores!$C$45*D213&gt;Valores!$C$43,Valores!$C$43,Valores!$C$45*D213)</f>
        <v>1113.21</v>
      </c>
      <c r="U213" s="101">
        <f>Valores!$C$22*D213</f>
        <v>1230.18</v>
      </c>
      <c r="V213" s="75">
        <f t="shared" si="33"/>
        <v>1230.18</v>
      </c>
      <c r="W213" s="75">
        <v>0</v>
      </c>
      <c r="X213" s="75">
        <v>0</v>
      </c>
      <c r="Y213" s="118">
        <v>0</v>
      </c>
      <c r="Z213" s="75">
        <f>Y213*Valores!$C$2</f>
        <v>0</v>
      </c>
      <c r="AA213" s="75">
        <v>0</v>
      </c>
      <c r="AB213" s="80">
        <f>IF((Valores!$C$32)*D213&gt;Valores!$F$32,Valores!$F$32,(Valores!$C$32)*D213)</f>
        <v>139.86000000000001</v>
      </c>
      <c r="AC213" s="75">
        <f t="shared" si="42"/>
        <v>0</v>
      </c>
      <c r="AD213" s="75">
        <f>IF(Valores!$C$33*D213&gt;Valores!$F$33,Valores!$F$33,Valores!$C$33*D213)</f>
        <v>116.34</v>
      </c>
      <c r="AE213" s="79">
        <v>0</v>
      </c>
      <c r="AF213" s="75">
        <f>INT(((AE213*Valores!$C$2)*100)+0.5)/100</f>
        <v>0</v>
      </c>
      <c r="AG213" s="75">
        <f>IF(Valores!$D$58*'Escala Docente'!D213&gt;Valores!$F$58,Valores!$F$58,Valores!$D$58*'Escala Docente'!D213)</f>
        <v>473.13</v>
      </c>
      <c r="AH213" s="75">
        <f>IF(Valores!$D$60*D213&gt;Valores!$F$60,Valores!$F$60,Valores!$D$60*D213)</f>
        <v>135.24</v>
      </c>
      <c r="AI213" s="114">
        <f t="shared" si="43"/>
        <v>26569.565500000001</v>
      </c>
      <c r="AJ213" s="101">
        <f>IF(Valores!$C$36*D213&gt;Valores!$F$36,Valores!$F$36,Valores!$C$36*D213)</f>
        <v>932.82</v>
      </c>
      <c r="AK213" s="78">
        <f>IF(Valores!$C$11*D213&gt;Valores!$F$11,Valores!$F$11,Valores!$C$11*D213)</f>
        <v>0</v>
      </c>
      <c r="AL213" s="78">
        <f>IF(Valores!$C$84*D213&gt;Valores!$C$83,Valores!$C$83,Valores!$C$84*D213)</f>
        <v>1575</v>
      </c>
      <c r="AM213" s="80">
        <f>IF(Valores!$C$56*D213&gt;Valores!$F$56,Valores!$F$56,Valores!$C$56*D213)</f>
        <v>247.8</v>
      </c>
      <c r="AN213" s="82">
        <f t="shared" si="44"/>
        <v>2507.8200000000002</v>
      </c>
      <c r="AO213" s="61">
        <f>AI213*-Valores!$C$65</f>
        <v>-3454.0435150000003</v>
      </c>
      <c r="AP213" s="61">
        <f>AI213*-Valores!$C$66</f>
        <v>-132.84782749999999</v>
      </c>
      <c r="AQ213" s="77">
        <f>AI213*-Valores!$C$67</f>
        <v>-1195.6304474999999</v>
      </c>
      <c r="AR213" s="77">
        <f>AI213*-Valores!$C$68</f>
        <v>-717.37826849999999</v>
      </c>
      <c r="AS213" s="77">
        <f>AI213*-Valores!$C$69</f>
        <v>-79.708696500000002</v>
      </c>
      <c r="AT213" s="81">
        <f t="shared" si="40"/>
        <v>24294.863709999998</v>
      </c>
      <c r="AU213" s="81">
        <f t="shared" si="41"/>
        <v>24693.407192499995</v>
      </c>
      <c r="AV213" s="77">
        <f>AI213*Valores!$C$71</f>
        <v>4251.1304799999998</v>
      </c>
      <c r="AW213" s="77">
        <f>AI213*Valores!$C$72</f>
        <v>1195.6304474999999</v>
      </c>
      <c r="AX213" s="77">
        <f>AI213*Valores!$C$73</f>
        <v>265.69565499999999</v>
      </c>
      <c r="AY213" s="77">
        <f>AI213*Valores!$C$75</f>
        <v>929.93479250000007</v>
      </c>
      <c r="AZ213" s="77">
        <f>AI213*Valores!$C$76</f>
        <v>159.417393</v>
      </c>
      <c r="BA213" s="77">
        <f t="shared" si="45"/>
        <v>1434.7565370000002</v>
      </c>
      <c r="BB213" s="51"/>
      <c r="BC213" s="51">
        <f t="shared" si="36"/>
        <v>84</v>
      </c>
      <c r="BD213" s="27" t="s">
        <v>8</v>
      </c>
    </row>
    <row r="214" spans="1:56" s="27" customFormat="1" ht="11.25" customHeight="1" x14ac:dyDescent="0.2">
      <c r="A214" s="51">
        <v>213</v>
      </c>
      <c r="B214" s="51"/>
      <c r="C214" s="27" t="s">
        <v>521</v>
      </c>
      <c r="D214" s="27">
        <v>22</v>
      </c>
      <c r="E214" s="27">
        <f t="shared" si="37"/>
        <v>37</v>
      </c>
      <c r="F214" s="71" t="str">
        <f t="shared" si="34"/>
        <v>Hora Cátedra Enseñanza Superior 22 hs</v>
      </c>
      <c r="G214" s="72">
        <f t="shared" si="35"/>
        <v>2178</v>
      </c>
      <c r="H214" s="73">
        <f>INT((G214*Valores!$C$2*100)+0.5)/100</f>
        <v>14980.72</v>
      </c>
      <c r="I214" s="112">
        <v>0</v>
      </c>
      <c r="J214" s="75">
        <f>INT((I214*Valores!$C$2*100)+0.5)/100</f>
        <v>0</v>
      </c>
      <c r="K214" s="102">
        <v>0</v>
      </c>
      <c r="L214" s="75">
        <f>INT((K214*Valores!$C$2*100)+0.5)/100</f>
        <v>0</v>
      </c>
      <c r="M214" s="100">
        <v>0</v>
      </c>
      <c r="N214" s="75">
        <f>INT((M214*Valores!$C$2*100)+0.5)/100</f>
        <v>0</v>
      </c>
      <c r="O214" s="75">
        <f t="shared" si="38"/>
        <v>2615.355</v>
      </c>
      <c r="P214" s="75">
        <f t="shared" si="39"/>
        <v>0</v>
      </c>
      <c r="Q214" s="101">
        <f>Valores!$C$14*D214</f>
        <v>3654.8599999999997</v>
      </c>
      <c r="R214" s="101">
        <f>IF(D214&lt;15,(Valores!$E$4*D214),Valores!$D$4)</f>
        <v>3076.62</v>
      </c>
      <c r="S214" s="75">
        <v>0</v>
      </c>
      <c r="T214" s="78">
        <f>IF(Valores!$C$45*D214&gt;Valores!$C$43,Valores!$C$43,Valores!$C$45*D214)</f>
        <v>1166.22</v>
      </c>
      <c r="U214" s="101">
        <f>Valores!$C$22*D214</f>
        <v>1288.76</v>
      </c>
      <c r="V214" s="75">
        <f t="shared" si="33"/>
        <v>1288.76</v>
      </c>
      <c r="W214" s="75">
        <v>0</v>
      </c>
      <c r="X214" s="75">
        <v>0</v>
      </c>
      <c r="Y214" s="118">
        <v>0</v>
      </c>
      <c r="Z214" s="75">
        <f>Y214*Valores!$C$2</f>
        <v>0</v>
      </c>
      <c r="AA214" s="75">
        <v>0</v>
      </c>
      <c r="AB214" s="80">
        <f>IF((Valores!$C$32)*D214&gt;Valores!$F$32,Valores!$F$32,(Valores!$C$32)*D214)</f>
        <v>146.52000000000001</v>
      </c>
      <c r="AC214" s="75">
        <f t="shared" si="42"/>
        <v>0</v>
      </c>
      <c r="AD214" s="75">
        <f>IF(Valores!$C$33*D214&gt;Valores!$F$33,Valores!$F$33,Valores!$C$33*D214)</f>
        <v>121.88</v>
      </c>
      <c r="AE214" s="79">
        <v>0</v>
      </c>
      <c r="AF214" s="75">
        <f>INT(((AE214*Valores!$C$2)*100)+0.5)/100</f>
        <v>0</v>
      </c>
      <c r="AG214" s="75">
        <f>IF(Valores!$D$58*'Escala Docente'!D214&gt;Valores!$F$58,Valores!$F$58,Valores!$D$58*'Escala Docente'!D214)</f>
        <v>495.66</v>
      </c>
      <c r="AH214" s="75">
        <f>IF(Valores!$D$60*D214&gt;Valores!$F$60,Valores!$F$60,Valores!$D$60*D214)</f>
        <v>141.68</v>
      </c>
      <c r="AI214" s="114">
        <f t="shared" si="43"/>
        <v>27688.275000000001</v>
      </c>
      <c r="AJ214" s="101">
        <f>IF(Valores!$C$36*D214&gt;Valores!$F$36,Valores!$F$36,Valores!$C$36*D214)</f>
        <v>977.24</v>
      </c>
      <c r="AK214" s="78">
        <f>IF(Valores!$C$11*D214&gt;Valores!$F$11,Valores!$F$11,Valores!$C$11*D214)</f>
        <v>0</v>
      </c>
      <c r="AL214" s="78">
        <f>IF(Valores!$C$84*D214&gt;Valores!$C$83,Valores!$C$83,Valores!$C$84*D214)</f>
        <v>1650</v>
      </c>
      <c r="AM214" s="80">
        <f>IF(Valores!$C$56*D214&gt;Valores!$F$56,Valores!$F$56,Valores!$C$56*D214)</f>
        <v>259.60000000000002</v>
      </c>
      <c r="AN214" s="82">
        <f t="shared" si="44"/>
        <v>2627.24</v>
      </c>
      <c r="AO214" s="61">
        <f>AI214*-Valores!$C$65</f>
        <v>-3599.4757500000005</v>
      </c>
      <c r="AP214" s="61">
        <f>AI214*-Valores!$C$66</f>
        <v>-138.44137500000002</v>
      </c>
      <c r="AQ214" s="77">
        <f>AI214*-Valores!$C$67</f>
        <v>-1245.9723750000001</v>
      </c>
      <c r="AR214" s="77">
        <f>AI214*-Valores!$C$68</f>
        <v>-747.58342500000003</v>
      </c>
      <c r="AS214" s="77">
        <f>AI214*-Valores!$C$69</f>
        <v>-83.064824999999999</v>
      </c>
      <c r="AT214" s="81">
        <f t="shared" si="40"/>
        <v>25331.625499999998</v>
      </c>
      <c r="AU214" s="81">
        <f t="shared" si="41"/>
        <v>25746.949624999997</v>
      </c>
      <c r="AV214" s="77">
        <f>AI214*Valores!$C$71</f>
        <v>4430.1240000000007</v>
      </c>
      <c r="AW214" s="77">
        <f>AI214*Valores!$C$72</f>
        <v>1245.9723750000001</v>
      </c>
      <c r="AX214" s="77">
        <f>AI214*Valores!$C$73</f>
        <v>276.88275000000004</v>
      </c>
      <c r="AY214" s="77">
        <f>AI214*Valores!$C$75</f>
        <v>969.08962500000018</v>
      </c>
      <c r="AZ214" s="77">
        <f>AI214*Valores!$C$76</f>
        <v>166.12965</v>
      </c>
      <c r="BA214" s="77">
        <f t="shared" si="45"/>
        <v>1495.1668500000003</v>
      </c>
      <c r="BB214" s="51"/>
      <c r="BC214" s="85">
        <f t="shared" si="36"/>
        <v>88</v>
      </c>
      <c r="BD214" s="27" t="s">
        <v>4</v>
      </c>
    </row>
    <row r="215" spans="1:56" s="27" customFormat="1" ht="11.25" customHeight="1" x14ac:dyDescent="0.2">
      <c r="A215" s="51">
        <v>214</v>
      </c>
      <c r="B215" s="51"/>
      <c r="C215" s="27" t="s">
        <v>521</v>
      </c>
      <c r="D215" s="27">
        <v>23</v>
      </c>
      <c r="E215" s="27">
        <f t="shared" si="37"/>
        <v>37</v>
      </c>
      <c r="F215" s="71" t="str">
        <f t="shared" si="34"/>
        <v>Hora Cátedra Enseñanza Superior 23 hs</v>
      </c>
      <c r="G215" s="72">
        <f t="shared" si="35"/>
        <v>2277</v>
      </c>
      <c r="H215" s="73">
        <f>INT((G215*Valores!$C$2*100)+0.5)/100</f>
        <v>15661.66</v>
      </c>
      <c r="I215" s="112">
        <v>0</v>
      </c>
      <c r="J215" s="75">
        <f>INT((I215*Valores!$C$2*100)+0.5)/100</f>
        <v>0</v>
      </c>
      <c r="K215" s="102">
        <v>0</v>
      </c>
      <c r="L215" s="75">
        <f>INT((K215*Valores!$C$2*100)+0.5)/100</f>
        <v>0</v>
      </c>
      <c r="M215" s="100">
        <v>0</v>
      </c>
      <c r="N215" s="75">
        <f>INT((M215*Valores!$C$2*100)+0.5)/100</f>
        <v>0</v>
      </c>
      <c r="O215" s="75">
        <f t="shared" si="38"/>
        <v>2734.2345</v>
      </c>
      <c r="P215" s="75">
        <f t="shared" si="39"/>
        <v>0</v>
      </c>
      <c r="Q215" s="101">
        <f>Valores!$C$14*D215</f>
        <v>3820.99</v>
      </c>
      <c r="R215" s="101">
        <f>IF(D215&lt;15,(Valores!$E$4*D215),Valores!$D$4)</f>
        <v>3076.62</v>
      </c>
      <c r="S215" s="75">
        <v>0</v>
      </c>
      <c r="T215" s="78">
        <f>IF(Valores!$C$45*D215&gt;Valores!$C$43,Valores!$C$43,Valores!$C$45*D215)</f>
        <v>1219.23</v>
      </c>
      <c r="U215" s="101">
        <f>Valores!$C$22*D215</f>
        <v>1347.34</v>
      </c>
      <c r="V215" s="75">
        <f t="shared" si="33"/>
        <v>1347.34</v>
      </c>
      <c r="W215" s="75">
        <v>0</v>
      </c>
      <c r="X215" s="75">
        <v>0</v>
      </c>
      <c r="Y215" s="118">
        <v>0</v>
      </c>
      <c r="Z215" s="75">
        <f>Y215*Valores!$C$2</f>
        <v>0</v>
      </c>
      <c r="AA215" s="75">
        <v>0</v>
      </c>
      <c r="AB215" s="80">
        <f>IF((Valores!$C$32)*D215&gt;Valores!$F$32,Valores!$F$32,(Valores!$C$32)*D215)</f>
        <v>153.18</v>
      </c>
      <c r="AC215" s="75">
        <f t="shared" si="42"/>
        <v>0</v>
      </c>
      <c r="AD215" s="75">
        <f>IF(Valores!$C$33*D215&gt;Valores!$F$33,Valores!$F$33,Valores!$C$33*D215)</f>
        <v>127.42</v>
      </c>
      <c r="AE215" s="79">
        <v>0</v>
      </c>
      <c r="AF215" s="75">
        <f>INT(((AE215*Valores!$C$2)*100)+0.5)/100</f>
        <v>0</v>
      </c>
      <c r="AG215" s="75">
        <f>IF(Valores!$D$58*'Escala Docente'!D215&gt;Valores!$F$58,Valores!$F$58,Valores!$D$58*'Escala Docente'!D215)</f>
        <v>518.19000000000005</v>
      </c>
      <c r="AH215" s="75">
        <f>IF(Valores!$D$60*D215&gt;Valores!$F$60,Valores!$F$60,Valores!$D$60*D215)</f>
        <v>148.12</v>
      </c>
      <c r="AI215" s="114">
        <f t="shared" si="43"/>
        <v>28806.984499999995</v>
      </c>
      <c r="AJ215" s="101">
        <f>IF(Valores!$C$36*D215&gt;Valores!$F$36,Valores!$F$36,Valores!$C$36*D215)</f>
        <v>1021.6600000000001</v>
      </c>
      <c r="AK215" s="78">
        <f>IF(Valores!$C$11*D215&gt;Valores!$F$11,Valores!$F$11,Valores!$C$11*D215)</f>
        <v>0</v>
      </c>
      <c r="AL215" s="78">
        <f>IF(Valores!$C$84*D215&gt;Valores!$C$83,Valores!$C$83,Valores!$C$84*D215)</f>
        <v>1725</v>
      </c>
      <c r="AM215" s="80">
        <f>IF(Valores!$C$56*D215&gt;Valores!$F$56,Valores!$F$56,Valores!$C$56*D215)</f>
        <v>271.40000000000003</v>
      </c>
      <c r="AN215" s="82">
        <f t="shared" si="44"/>
        <v>2746.66</v>
      </c>
      <c r="AO215" s="61">
        <f>AI215*-Valores!$C$65</f>
        <v>-3744.9079849999994</v>
      </c>
      <c r="AP215" s="61">
        <f>AI215*-Valores!$C$66</f>
        <v>-144.03492249999996</v>
      </c>
      <c r="AQ215" s="77">
        <f>AI215*-Valores!$C$67</f>
        <v>-1296.3143024999997</v>
      </c>
      <c r="AR215" s="77">
        <f>AI215*-Valores!$C$68</f>
        <v>-777.78858149999985</v>
      </c>
      <c r="AS215" s="77">
        <f>AI215*-Valores!$C$69</f>
        <v>-86.420953499999982</v>
      </c>
      <c r="AT215" s="81">
        <f t="shared" si="40"/>
        <v>26368.387289999999</v>
      </c>
      <c r="AU215" s="81">
        <f t="shared" si="41"/>
        <v>26800.492057499996</v>
      </c>
      <c r="AV215" s="77">
        <f>AI215*Valores!$C$71</f>
        <v>4609.1175199999989</v>
      </c>
      <c r="AW215" s="77">
        <f>AI215*Valores!$C$72</f>
        <v>1296.3143024999997</v>
      </c>
      <c r="AX215" s="77">
        <f>AI215*Valores!$C$73</f>
        <v>288.06984499999993</v>
      </c>
      <c r="AY215" s="77">
        <f>AI215*Valores!$C$75</f>
        <v>1008.2444575</v>
      </c>
      <c r="AZ215" s="77">
        <f>AI215*Valores!$C$76</f>
        <v>172.84190699999996</v>
      </c>
      <c r="BA215" s="77">
        <f t="shared" si="45"/>
        <v>1555.5771629999997</v>
      </c>
      <c r="BB215" s="51"/>
      <c r="BC215" s="51">
        <f t="shared" si="36"/>
        <v>92</v>
      </c>
      <c r="BD215" s="27" t="s">
        <v>8</v>
      </c>
    </row>
    <row r="216" spans="1:56" s="27" customFormat="1" ht="11.25" customHeight="1" x14ac:dyDescent="0.2">
      <c r="A216" s="85">
        <v>215</v>
      </c>
      <c r="B216" s="85" t="s">
        <v>163</v>
      </c>
      <c r="C216" s="86" t="s">
        <v>521</v>
      </c>
      <c r="D216" s="86">
        <v>24</v>
      </c>
      <c r="E216" s="86">
        <f t="shared" si="37"/>
        <v>37</v>
      </c>
      <c r="F216" s="87" t="str">
        <f t="shared" si="34"/>
        <v>Hora Cátedra Enseñanza Superior 24 hs</v>
      </c>
      <c r="G216" s="88">
        <f t="shared" si="35"/>
        <v>2376</v>
      </c>
      <c r="H216" s="89">
        <f>INT((G216*Valores!$C$2*100)+0.5)/100</f>
        <v>16342.6</v>
      </c>
      <c r="I216" s="103">
        <v>0</v>
      </c>
      <c r="J216" s="91">
        <f>INT((I216*Valores!$C$2*100)+0.5)/100</f>
        <v>0</v>
      </c>
      <c r="K216" s="104">
        <v>0</v>
      </c>
      <c r="L216" s="91">
        <f>INT((K216*Valores!$C$2*100)+0.5)/100</f>
        <v>0</v>
      </c>
      <c r="M216" s="105">
        <v>0</v>
      </c>
      <c r="N216" s="91">
        <f>INT((M216*Valores!$C$2*100)+0.5)/100</f>
        <v>0</v>
      </c>
      <c r="O216" s="91">
        <f t="shared" si="38"/>
        <v>2853.114</v>
      </c>
      <c r="P216" s="91">
        <f t="shared" si="39"/>
        <v>0</v>
      </c>
      <c r="Q216" s="107">
        <f>Valores!$C$14*D216</f>
        <v>3987.12</v>
      </c>
      <c r="R216" s="107">
        <f>IF(D216&lt;15,(Valores!$E$4*D216),Valores!$D$4)</f>
        <v>3076.62</v>
      </c>
      <c r="S216" s="91">
        <v>0</v>
      </c>
      <c r="T216" s="94">
        <f>IF(Valores!$C$45*D216&gt;Valores!$C$43,Valores!$C$43,Valores!$C$45*D216)</f>
        <v>1272.24</v>
      </c>
      <c r="U216" s="107">
        <f>Valores!$C$22*D216</f>
        <v>1405.92</v>
      </c>
      <c r="V216" s="91">
        <f t="shared" si="33"/>
        <v>1405.92</v>
      </c>
      <c r="W216" s="91">
        <v>0</v>
      </c>
      <c r="X216" s="91">
        <v>0</v>
      </c>
      <c r="Y216" s="119">
        <v>0</v>
      </c>
      <c r="Z216" s="91">
        <f>Y216*Valores!$C$2</f>
        <v>0</v>
      </c>
      <c r="AA216" s="91">
        <v>0</v>
      </c>
      <c r="AB216" s="96">
        <f>IF((Valores!$C$32)*D216&gt;Valores!$F$32,Valores!$F$32,(Valores!$C$32)*D216)</f>
        <v>159.84</v>
      </c>
      <c r="AC216" s="91">
        <f t="shared" si="42"/>
        <v>0</v>
      </c>
      <c r="AD216" s="91">
        <f>IF(Valores!$C$33*D216&gt;Valores!$F$33,Valores!$F$33,Valores!$C$33*D216)</f>
        <v>132.96</v>
      </c>
      <c r="AE216" s="95">
        <v>0</v>
      </c>
      <c r="AF216" s="91">
        <f>INT(((AE216*Valores!$C$2)*100)+0.5)/100</f>
        <v>0</v>
      </c>
      <c r="AG216" s="91">
        <f>IF(Valores!$D$58*'Escala Docente'!D216&gt;Valores!$F$58,Valores!$F$58,Valores!$D$58*'Escala Docente'!D216)</f>
        <v>540.72</v>
      </c>
      <c r="AH216" s="91">
        <f>IF(Valores!$D$60*D216&gt;Valores!$F$60,Valores!$F$60,Valores!$D$60*D216)</f>
        <v>154.56</v>
      </c>
      <c r="AI216" s="115">
        <f t="shared" si="43"/>
        <v>29925.694</v>
      </c>
      <c r="AJ216" s="107">
        <f>IF(Valores!$C$36*D216&gt;Valores!$F$36,Valores!$F$36,Valores!$C$36*D216)</f>
        <v>1066.08</v>
      </c>
      <c r="AK216" s="94">
        <f>IF(Valores!$C$11*D216&gt;Valores!$F$11,Valores!$F$11,Valores!$C$11*D216)</f>
        <v>0</v>
      </c>
      <c r="AL216" s="94">
        <f>IF(Valores!$C$84*D216&gt;Valores!$C$83,Valores!$C$83,Valores!$C$84*D216)</f>
        <v>1800</v>
      </c>
      <c r="AM216" s="96">
        <f>IF(Valores!$C$56*D216&gt;Valores!$F$56,Valores!$F$56,Valores!$C$56*D216)</f>
        <v>283.20000000000005</v>
      </c>
      <c r="AN216" s="98">
        <f t="shared" si="44"/>
        <v>2866.08</v>
      </c>
      <c r="AO216" s="116">
        <f>AI216*-Valores!$C$65</f>
        <v>-3890.34022</v>
      </c>
      <c r="AP216" s="116">
        <f>AI216*-Valores!$C$66</f>
        <v>-149.62846999999999</v>
      </c>
      <c r="AQ216" s="93">
        <f>AI216*-Valores!$C$67</f>
        <v>-1346.6562299999998</v>
      </c>
      <c r="AR216" s="93">
        <f>AI216*-Valores!$C$68</f>
        <v>-807.99373800000001</v>
      </c>
      <c r="AS216" s="93">
        <f>AI216*-Valores!$C$69</f>
        <v>-89.777082000000007</v>
      </c>
      <c r="AT216" s="97">
        <f t="shared" si="40"/>
        <v>27405.149079999996</v>
      </c>
      <c r="AU216" s="97">
        <f t="shared" si="41"/>
        <v>27854.034489999998</v>
      </c>
      <c r="AV216" s="93">
        <f>AI216*Valores!$C$71</f>
        <v>4788.1110399999998</v>
      </c>
      <c r="AW216" s="93">
        <f>AI216*Valores!$C$72</f>
        <v>1346.6562299999998</v>
      </c>
      <c r="AX216" s="93">
        <f>AI216*Valores!$C$73</f>
        <v>299.25693999999999</v>
      </c>
      <c r="AY216" s="93">
        <f>AI216*Valores!$C$75</f>
        <v>1047.3992900000001</v>
      </c>
      <c r="AZ216" s="93">
        <f>AI216*Valores!$C$76</f>
        <v>179.55416400000001</v>
      </c>
      <c r="BA216" s="93">
        <f t="shared" si="45"/>
        <v>1615.987476</v>
      </c>
      <c r="BB216" s="85"/>
      <c r="BC216" s="85">
        <f t="shared" si="36"/>
        <v>96</v>
      </c>
      <c r="BD216" s="86" t="s">
        <v>8</v>
      </c>
    </row>
    <row r="217" spans="1:56" s="27" customFormat="1" ht="11.25" customHeight="1" x14ac:dyDescent="0.2">
      <c r="A217" s="51">
        <v>216</v>
      </c>
      <c r="B217" s="51"/>
      <c r="C217" s="27" t="s">
        <v>521</v>
      </c>
      <c r="D217" s="27">
        <v>25</v>
      </c>
      <c r="E217" s="27">
        <f t="shared" si="37"/>
        <v>37</v>
      </c>
      <c r="F217" s="71" t="str">
        <f t="shared" si="34"/>
        <v>Hora Cátedra Enseñanza Superior 25 hs</v>
      </c>
      <c r="G217" s="72">
        <f t="shared" si="35"/>
        <v>2475</v>
      </c>
      <c r="H217" s="73">
        <f>INT((G217*Valores!$C$2*100)+0.5)/100</f>
        <v>17023.55</v>
      </c>
      <c r="I217" s="112">
        <v>0</v>
      </c>
      <c r="J217" s="75">
        <f>INT((I217*Valores!$C$2*100)+0.5)/100</f>
        <v>0</v>
      </c>
      <c r="K217" s="102">
        <v>0</v>
      </c>
      <c r="L217" s="75">
        <f>INT((K217*Valores!$C$2*100)+0.5)/100</f>
        <v>0</v>
      </c>
      <c r="M217" s="100">
        <v>0</v>
      </c>
      <c r="N217" s="75">
        <f>INT((M217*Valores!$C$2*100)+0.5)/100</f>
        <v>0</v>
      </c>
      <c r="O217" s="75">
        <f t="shared" si="38"/>
        <v>2971.9949999999999</v>
      </c>
      <c r="P217" s="75">
        <f t="shared" si="39"/>
        <v>0</v>
      </c>
      <c r="Q217" s="101">
        <f>Valores!$C$14*D217</f>
        <v>4153.25</v>
      </c>
      <c r="R217" s="101">
        <f>IF(D217&lt;15,(Valores!$E$4*D217),Valores!$D$4)</f>
        <v>3076.62</v>
      </c>
      <c r="S217" s="75">
        <v>0</v>
      </c>
      <c r="T217" s="78">
        <f>IF(Valores!$C$45*D217&gt;Valores!$C$43,Valores!$C$43,Valores!$C$45*D217)</f>
        <v>1325.25</v>
      </c>
      <c r="U217" s="101">
        <f>Valores!$C$22*D217</f>
        <v>1464.5</v>
      </c>
      <c r="V217" s="75">
        <f t="shared" si="33"/>
        <v>1464.5</v>
      </c>
      <c r="W217" s="75">
        <v>0</v>
      </c>
      <c r="X217" s="75">
        <v>0</v>
      </c>
      <c r="Y217" s="118">
        <v>0</v>
      </c>
      <c r="Z217" s="75">
        <f>Y217*Valores!$C$2</f>
        <v>0</v>
      </c>
      <c r="AA217" s="75">
        <v>0</v>
      </c>
      <c r="AB217" s="80">
        <f>IF((Valores!$C$32)*D217&gt;Valores!$F$32,Valores!$F$32,(Valores!$C$32)*D217)</f>
        <v>166.5</v>
      </c>
      <c r="AC217" s="75">
        <f t="shared" si="42"/>
        <v>0</v>
      </c>
      <c r="AD217" s="75">
        <f>IF(Valores!$C$33*D217&gt;Valores!$F$33,Valores!$F$33,Valores!$C$33*D217)</f>
        <v>138.5</v>
      </c>
      <c r="AE217" s="79">
        <v>0</v>
      </c>
      <c r="AF217" s="75">
        <f>INT(((AE217*Valores!$C$2)*100)+0.5)/100</f>
        <v>0</v>
      </c>
      <c r="AG217" s="75">
        <f>IF(Valores!$D$58*'Escala Docente'!D217&gt;Valores!$F$58,Valores!$F$58,Valores!$D$58*'Escala Docente'!D217)</f>
        <v>563.25</v>
      </c>
      <c r="AH217" s="75">
        <f>IF(Valores!$D$60*D217&gt;Valores!$F$60,Valores!$F$60,Valores!$D$60*D217)</f>
        <v>161</v>
      </c>
      <c r="AI217" s="114">
        <f t="shared" si="43"/>
        <v>31044.414999999997</v>
      </c>
      <c r="AJ217" s="101">
        <f>IF(Valores!$C$36*D217&gt;Valores!$F$36,Valores!$F$36,Valores!$C$36*D217)</f>
        <v>1110.5</v>
      </c>
      <c r="AK217" s="78">
        <f>IF(Valores!$C$11*D217&gt;Valores!$F$11,Valores!$F$11,Valores!$C$11*D217)</f>
        <v>0</v>
      </c>
      <c r="AL217" s="78">
        <f>IF(Valores!$C$84*D217&gt;Valores!$C$83,Valores!$C$83,Valores!$C$84*D217)</f>
        <v>1875</v>
      </c>
      <c r="AM217" s="80">
        <f>IF(Valores!$C$56*D217&gt;Valores!$F$56,Valores!$F$56,Valores!$C$56*D217)</f>
        <v>283.24</v>
      </c>
      <c r="AN217" s="82">
        <f t="shared" si="44"/>
        <v>2985.5</v>
      </c>
      <c r="AO217" s="61">
        <f>AI217*-Valores!$C$65</f>
        <v>-4035.7739499999998</v>
      </c>
      <c r="AP217" s="61">
        <f>AI217*-Valores!$C$66</f>
        <v>-155.22207499999999</v>
      </c>
      <c r="AQ217" s="77">
        <f>AI217*-Valores!$C$67</f>
        <v>-1396.9986749999998</v>
      </c>
      <c r="AR217" s="77">
        <f>AI217*-Valores!$C$68</f>
        <v>-838.19920499999989</v>
      </c>
      <c r="AS217" s="77">
        <f>AI217*-Valores!$C$69</f>
        <v>-93.133244999999988</v>
      </c>
      <c r="AT217" s="81">
        <f t="shared" si="40"/>
        <v>28441.920299999998</v>
      </c>
      <c r="AU217" s="81">
        <f t="shared" si="41"/>
        <v>28907.586524999999</v>
      </c>
      <c r="AV217" s="77">
        <f>AI217*Valores!$C$71</f>
        <v>4967.1063999999997</v>
      </c>
      <c r="AW217" s="77">
        <f>AI217*Valores!$C$72</f>
        <v>1396.9986749999998</v>
      </c>
      <c r="AX217" s="77">
        <f>AI217*Valores!$C$73</f>
        <v>310.44414999999998</v>
      </c>
      <c r="AY217" s="77">
        <f>AI217*Valores!$C$75</f>
        <v>1086.554525</v>
      </c>
      <c r="AZ217" s="77">
        <f>AI217*Valores!$C$76</f>
        <v>186.26648999999998</v>
      </c>
      <c r="BA217" s="77">
        <f t="shared" si="45"/>
        <v>1676.3984099999998</v>
      </c>
      <c r="BB217" s="51"/>
      <c r="BC217" s="51">
        <f t="shared" si="36"/>
        <v>100</v>
      </c>
      <c r="BD217" s="27" t="s">
        <v>8</v>
      </c>
    </row>
    <row r="218" spans="1:56" s="27" customFormat="1" ht="11.25" customHeight="1" x14ac:dyDescent="0.2">
      <c r="A218" s="51">
        <v>217</v>
      </c>
      <c r="B218" s="51"/>
      <c r="C218" s="27" t="s">
        <v>521</v>
      </c>
      <c r="D218" s="27">
        <v>26</v>
      </c>
      <c r="E218" s="27">
        <f t="shared" si="37"/>
        <v>37</v>
      </c>
      <c r="F218" s="71" t="str">
        <f t="shared" si="34"/>
        <v>Hora Cátedra Enseñanza Superior 26 hs</v>
      </c>
      <c r="G218" s="72">
        <f t="shared" si="35"/>
        <v>2574</v>
      </c>
      <c r="H218" s="73">
        <f>INT((G218*Valores!$C$2*100)+0.5)/100</f>
        <v>17704.490000000002</v>
      </c>
      <c r="I218" s="112">
        <v>0</v>
      </c>
      <c r="J218" s="75">
        <f>INT((I218*Valores!$C$2*100)+0.5)/100</f>
        <v>0</v>
      </c>
      <c r="K218" s="102">
        <v>0</v>
      </c>
      <c r="L218" s="75">
        <f>INT((K218*Valores!$C$2*100)+0.5)/100</f>
        <v>0</v>
      </c>
      <c r="M218" s="100">
        <v>0</v>
      </c>
      <c r="N218" s="75">
        <f>INT((M218*Valores!$C$2*100)+0.5)/100</f>
        <v>0</v>
      </c>
      <c r="O218" s="75">
        <f t="shared" si="38"/>
        <v>3090.8744999999994</v>
      </c>
      <c r="P218" s="75">
        <f t="shared" si="39"/>
        <v>0</v>
      </c>
      <c r="Q218" s="101">
        <f>Valores!$C$14*D218</f>
        <v>4319.38</v>
      </c>
      <c r="R218" s="101">
        <f>IF(D218&lt;15,(Valores!$E$4*D218),Valores!$D$4)</f>
        <v>3076.62</v>
      </c>
      <c r="S218" s="75">
        <v>0</v>
      </c>
      <c r="T218" s="78">
        <f>IF(Valores!$C$45*D218&gt;Valores!$C$43,Valores!$C$43,Valores!$C$45*D218)</f>
        <v>1378.26</v>
      </c>
      <c r="U218" s="101">
        <f>Valores!$C$22*D218</f>
        <v>1523.08</v>
      </c>
      <c r="V218" s="75">
        <f t="shared" si="33"/>
        <v>1523.08</v>
      </c>
      <c r="W218" s="75">
        <v>0</v>
      </c>
      <c r="X218" s="75">
        <v>0</v>
      </c>
      <c r="Y218" s="118">
        <v>0</v>
      </c>
      <c r="Z218" s="75">
        <f>Y218*Valores!$C$2</f>
        <v>0</v>
      </c>
      <c r="AA218" s="75">
        <v>0</v>
      </c>
      <c r="AB218" s="80">
        <f>IF((Valores!$C$32)*D218&gt;Valores!$F$32,Valores!$F$32,(Valores!$C$32)*D218)</f>
        <v>173.16</v>
      </c>
      <c r="AC218" s="75">
        <f t="shared" si="42"/>
        <v>0</v>
      </c>
      <c r="AD218" s="75">
        <f>IF(Valores!$C$33*D218&gt;Valores!$F$33,Valores!$F$33,Valores!$C$33*D218)</f>
        <v>144.04</v>
      </c>
      <c r="AE218" s="79">
        <v>0</v>
      </c>
      <c r="AF218" s="75">
        <f>INT(((AE218*Valores!$C$2)*100)+0.5)/100</f>
        <v>0</v>
      </c>
      <c r="AG218" s="75">
        <f>IF(Valores!$D$58*'Escala Docente'!D218&gt;Valores!$F$58,Valores!$F$58,Valores!$D$58*'Escala Docente'!D218)</f>
        <v>585.78</v>
      </c>
      <c r="AH218" s="75">
        <f>IF(Valores!$D$60*D218&gt;Valores!$F$60,Valores!$F$60,Valores!$D$60*D218)</f>
        <v>167.44</v>
      </c>
      <c r="AI218" s="114">
        <f t="shared" si="43"/>
        <v>32163.124499999994</v>
      </c>
      <c r="AJ218" s="101">
        <f>IF(Valores!$C$36*D218&gt;Valores!$F$36,Valores!$F$36,Valores!$C$36*D218)</f>
        <v>1154.92</v>
      </c>
      <c r="AK218" s="78">
        <f>IF(Valores!$C$11*D218&gt;Valores!$F$11,Valores!$F$11,Valores!$C$11*D218)</f>
        <v>0</v>
      </c>
      <c r="AL218" s="78">
        <f>IF(Valores!$C$84*D218&gt;Valores!$C$83,Valores!$C$83,Valores!$C$84*D218)</f>
        <v>1950</v>
      </c>
      <c r="AM218" s="80">
        <f>IF(Valores!$C$56*D218&gt;Valores!$F$56,Valores!$F$56,Valores!$C$56*D218)</f>
        <v>283.24</v>
      </c>
      <c r="AN218" s="82">
        <f t="shared" si="44"/>
        <v>3104.92</v>
      </c>
      <c r="AO218" s="61">
        <f>AI218*-Valores!$C$65</f>
        <v>-4181.2061849999991</v>
      </c>
      <c r="AP218" s="61">
        <f>AI218*-Valores!$C$66</f>
        <v>-160.81562249999999</v>
      </c>
      <c r="AQ218" s="77">
        <f>AI218*-Valores!$C$67</f>
        <v>-1447.3406024999997</v>
      </c>
      <c r="AR218" s="77">
        <f>AI218*-Valores!$C$68</f>
        <v>-868.40436149999982</v>
      </c>
      <c r="AS218" s="77">
        <f>AI218*-Valores!$C$69</f>
        <v>-96.489373499999985</v>
      </c>
      <c r="AT218" s="81">
        <f t="shared" si="40"/>
        <v>29478.682089999998</v>
      </c>
      <c r="AU218" s="81">
        <f t="shared" si="41"/>
        <v>29961.128957500001</v>
      </c>
      <c r="AV218" s="77">
        <f>AI218*Valores!$C$71</f>
        <v>5146.0999199999997</v>
      </c>
      <c r="AW218" s="77">
        <f>AI218*Valores!$C$72</f>
        <v>1447.3406024999997</v>
      </c>
      <c r="AX218" s="77">
        <f>AI218*Valores!$C$73</f>
        <v>321.63124499999998</v>
      </c>
      <c r="AY218" s="77">
        <f>AI218*Valores!$C$75</f>
        <v>1125.7093574999999</v>
      </c>
      <c r="AZ218" s="77">
        <f>AI218*Valores!$C$76</f>
        <v>192.97874699999997</v>
      </c>
      <c r="BA218" s="77">
        <f t="shared" si="45"/>
        <v>1736.8087229999999</v>
      </c>
      <c r="BB218" s="51"/>
      <c r="BC218" s="51">
        <f t="shared" si="36"/>
        <v>104</v>
      </c>
      <c r="BD218" s="27" t="s">
        <v>8</v>
      </c>
    </row>
    <row r="219" spans="1:56" s="27" customFormat="1" ht="11.25" customHeight="1" x14ac:dyDescent="0.2">
      <c r="A219" s="51">
        <v>218</v>
      </c>
      <c r="B219" s="51"/>
      <c r="C219" s="27" t="s">
        <v>521</v>
      </c>
      <c r="D219" s="27">
        <v>27</v>
      </c>
      <c r="E219" s="27">
        <f t="shared" si="37"/>
        <v>37</v>
      </c>
      <c r="F219" s="71" t="str">
        <f t="shared" si="34"/>
        <v>Hora Cátedra Enseñanza Superior 27 hs</v>
      </c>
      <c r="G219" s="72">
        <f t="shared" si="35"/>
        <v>2673</v>
      </c>
      <c r="H219" s="73">
        <f>INT((G219*Valores!$C$2*100)+0.5)/100</f>
        <v>18385.43</v>
      </c>
      <c r="I219" s="112">
        <v>0</v>
      </c>
      <c r="J219" s="75">
        <f>INT((I219*Valores!$C$2*100)+0.5)/100</f>
        <v>0</v>
      </c>
      <c r="K219" s="102">
        <v>0</v>
      </c>
      <c r="L219" s="75">
        <f>INT((K219*Valores!$C$2*100)+0.5)/100</f>
        <v>0</v>
      </c>
      <c r="M219" s="100">
        <v>0</v>
      </c>
      <c r="N219" s="75">
        <f>INT((M219*Valores!$C$2*100)+0.5)/100</f>
        <v>0</v>
      </c>
      <c r="O219" s="75">
        <f t="shared" si="38"/>
        <v>3209.7539999999999</v>
      </c>
      <c r="P219" s="75">
        <f t="shared" si="39"/>
        <v>0</v>
      </c>
      <c r="Q219" s="101">
        <f>Valores!$C$14*D219</f>
        <v>4485.51</v>
      </c>
      <c r="R219" s="101">
        <f>IF(D219&lt;15,(Valores!$E$4*D219),Valores!$D$4)</f>
        <v>3076.62</v>
      </c>
      <c r="S219" s="75">
        <v>0</v>
      </c>
      <c r="T219" s="78">
        <f>IF(Valores!$C$45*D219&gt;Valores!$C$43,Valores!$C$43,Valores!$C$45*D219)</f>
        <v>1431.27</v>
      </c>
      <c r="U219" s="78">
        <f>Valores!$C$22*D219</f>
        <v>1581.6599999999999</v>
      </c>
      <c r="V219" s="75">
        <f t="shared" si="33"/>
        <v>1581.6599999999999</v>
      </c>
      <c r="W219" s="75">
        <v>0</v>
      </c>
      <c r="X219" s="75">
        <v>0</v>
      </c>
      <c r="Y219" s="118">
        <v>0</v>
      </c>
      <c r="Z219" s="75">
        <f>Y219*Valores!$C$2</f>
        <v>0</v>
      </c>
      <c r="AA219" s="75">
        <v>0</v>
      </c>
      <c r="AB219" s="80">
        <f>IF((Valores!$C$32)*D219&gt;Valores!$F$32,Valores!$F$32,(Valores!$C$32)*D219)</f>
        <v>179.82</v>
      </c>
      <c r="AC219" s="75">
        <f t="shared" si="42"/>
        <v>0</v>
      </c>
      <c r="AD219" s="75">
        <f>IF(Valores!$C$33*D219&gt;Valores!$F$33,Valores!$F$33,Valores!$C$33*D219)</f>
        <v>149.58000000000001</v>
      </c>
      <c r="AE219" s="79">
        <v>0</v>
      </c>
      <c r="AF219" s="75">
        <f>INT(((AE219*Valores!$C$2)*100)+0.5)/100</f>
        <v>0</v>
      </c>
      <c r="AG219" s="75">
        <f>IF(Valores!$D$58*'Escala Docente'!D219&gt;Valores!$F$58,Valores!$F$58,Valores!$D$58*'Escala Docente'!D219)</f>
        <v>608.31000000000006</v>
      </c>
      <c r="AH219" s="75">
        <f>IF(Valores!$D$60*D219&gt;Valores!$F$60,Valores!$F$60,Valores!$D$60*D219)</f>
        <v>173.88000000000002</v>
      </c>
      <c r="AI219" s="114">
        <f t="shared" si="43"/>
        <v>33281.834000000003</v>
      </c>
      <c r="AJ219" s="101">
        <f>IF(Valores!$C$36*D219&gt;Valores!$F$36,Valores!$F$36,Valores!$C$36*D219)</f>
        <v>1199.3400000000001</v>
      </c>
      <c r="AK219" s="78">
        <f>IF(Valores!$C$11*D219&gt;Valores!$F$11,Valores!$F$11,Valores!$C$11*D219)</f>
        <v>0</v>
      </c>
      <c r="AL219" s="78">
        <f>IF(Valores!$C$84*D219&gt;Valores!$C$83,Valores!$C$83,Valores!$C$84*D219)</f>
        <v>2025</v>
      </c>
      <c r="AM219" s="80">
        <f>IF(Valores!$C$56*D219&gt;Valores!$F$56,Valores!$F$56,Valores!$C$56*D219)</f>
        <v>283.24</v>
      </c>
      <c r="AN219" s="82">
        <f t="shared" si="44"/>
        <v>3224.34</v>
      </c>
      <c r="AO219" s="61">
        <f>AI219*-Valores!$C$65</f>
        <v>-4326.6384200000002</v>
      </c>
      <c r="AP219" s="61">
        <f>AI219*-Valores!$C$66</f>
        <v>-166.40917000000002</v>
      </c>
      <c r="AQ219" s="77">
        <f>AI219*-Valores!$C$67</f>
        <v>-1497.68253</v>
      </c>
      <c r="AR219" s="77">
        <f>AI219*-Valores!$C$68</f>
        <v>-898.60951800000009</v>
      </c>
      <c r="AS219" s="77">
        <f>AI219*-Valores!$C$69</f>
        <v>-99.84550200000001</v>
      </c>
      <c r="AT219" s="81">
        <f t="shared" si="40"/>
        <v>30515.443880000003</v>
      </c>
      <c r="AU219" s="81">
        <f t="shared" si="41"/>
        <v>31014.671390000003</v>
      </c>
      <c r="AV219" s="77">
        <f>AI219*Valores!$C$71</f>
        <v>5325.0934400000006</v>
      </c>
      <c r="AW219" s="77">
        <f>AI219*Valores!$C$72</f>
        <v>1497.68253</v>
      </c>
      <c r="AX219" s="77">
        <f>AI219*Valores!$C$73</f>
        <v>332.81834000000003</v>
      </c>
      <c r="AY219" s="77">
        <f>AI219*Valores!$C$75</f>
        <v>1164.8641900000002</v>
      </c>
      <c r="AZ219" s="77">
        <f>AI219*Valores!$C$76</f>
        <v>199.69100400000002</v>
      </c>
      <c r="BA219" s="77">
        <f t="shared" si="45"/>
        <v>1797.2190360000002</v>
      </c>
      <c r="BB219" s="51"/>
      <c r="BC219" s="51">
        <f t="shared" si="36"/>
        <v>108</v>
      </c>
      <c r="BD219" s="27" t="s">
        <v>8</v>
      </c>
    </row>
    <row r="220" spans="1:56" s="27" customFormat="1" ht="11.25" customHeight="1" x14ac:dyDescent="0.2">
      <c r="A220" s="51">
        <v>219</v>
      </c>
      <c r="B220" s="51"/>
      <c r="C220" s="27" t="s">
        <v>521</v>
      </c>
      <c r="D220" s="27">
        <v>28</v>
      </c>
      <c r="E220" s="27">
        <f t="shared" si="37"/>
        <v>37</v>
      </c>
      <c r="F220" s="71" t="str">
        <f t="shared" si="34"/>
        <v>Hora Cátedra Enseñanza Superior 28 hs</v>
      </c>
      <c r="G220" s="72">
        <f t="shared" si="35"/>
        <v>2772</v>
      </c>
      <c r="H220" s="73">
        <f>INT((G220*Valores!$C$2*100)+0.5)/100</f>
        <v>19066.37</v>
      </c>
      <c r="I220" s="112">
        <v>0</v>
      </c>
      <c r="J220" s="75">
        <f>INT((I220*Valores!$C$2*100)+0.5)/100</f>
        <v>0</v>
      </c>
      <c r="K220" s="102">
        <v>0</v>
      </c>
      <c r="L220" s="75">
        <f>INT((K220*Valores!$C$2*100)+0.5)/100</f>
        <v>0</v>
      </c>
      <c r="M220" s="100">
        <v>0</v>
      </c>
      <c r="N220" s="75">
        <f>INT((M220*Valores!$C$2*100)+0.5)/100</f>
        <v>0</v>
      </c>
      <c r="O220" s="75">
        <f t="shared" si="38"/>
        <v>3328.6334999999999</v>
      </c>
      <c r="P220" s="75">
        <f t="shared" si="39"/>
        <v>0</v>
      </c>
      <c r="Q220" s="101">
        <f>Valores!$C$14*D220</f>
        <v>4651.6399999999994</v>
      </c>
      <c r="R220" s="101">
        <f>IF(D220&lt;15,(Valores!$E$4*D220),Valores!$D$4)</f>
        <v>3076.62</v>
      </c>
      <c r="S220" s="75">
        <v>0</v>
      </c>
      <c r="T220" s="78">
        <f>IF(Valores!$C$45*D220&gt;Valores!$C$43,Valores!$C$43,Valores!$C$45*D220)</f>
        <v>1484.28</v>
      </c>
      <c r="U220" s="101">
        <f>Valores!$C$22*D220</f>
        <v>1640.24</v>
      </c>
      <c r="V220" s="75">
        <f t="shared" si="33"/>
        <v>1640.24</v>
      </c>
      <c r="W220" s="75">
        <v>0</v>
      </c>
      <c r="X220" s="75">
        <v>0</v>
      </c>
      <c r="Y220" s="118">
        <v>0</v>
      </c>
      <c r="Z220" s="75">
        <f>Y220*Valores!$C$2</f>
        <v>0</v>
      </c>
      <c r="AA220" s="75">
        <v>0</v>
      </c>
      <c r="AB220" s="80">
        <f>IF((Valores!$C$32)*D220&gt;Valores!$F$32,Valores!$F$32,(Valores!$C$32)*D220)</f>
        <v>186.48000000000002</v>
      </c>
      <c r="AC220" s="75">
        <f t="shared" si="42"/>
        <v>0</v>
      </c>
      <c r="AD220" s="75">
        <f>IF(Valores!$C$33*D220&gt;Valores!$F$33,Valores!$F$33,Valores!$C$33*D220)</f>
        <v>155.12</v>
      </c>
      <c r="AE220" s="79">
        <v>0</v>
      </c>
      <c r="AF220" s="75">
        <f>INT(((AE220*Valores!$C$2)*100)+0.5)/100</f>
        <v>0</v>
      </c>
      <c r="AG220" s="75">
        <f>IF(Valores!$D$58*'Escala Docente'!D220&gt;Valores!$F$58,Valores!$F$58,Valores!$D$58*'Escala Docente'!D220)</f>
        <v>630.84</v>
      </c>
      <c r="AH220" s="75">
        <f>IF(Valores!$D$60*D220&gt;Valores!$F$60,Valores!$F$60,Valores!$D$60*D220)</f>
        <v>180.32000000000002</v>
      </c>
      <c r="AI220" s="114">
        <f t="shared" si="43"/>
        <v>34400.543499999992</v>
      </c>
      <c r="AJ220" s="101">
        <f>IF(Valores!$C$36*D220&gt;Valores!$F$36,Valores!$F$36,Valores!$C$36*D220)</f>
        <v>1243.76</v>
      </c>
      <c r="AK220" s="78">
        <f>IF(Valores!$C$11*D220&gt;Valores!$F$11,Valores!$F$11,Valores!$C$11*D220)</f>
        <v>0</v>
      </c>
      <c r="AL220" s="78">
        <f>IF(Valores!$C$84*D220&gt;Valores!$C$83,Valores!$C$83,Valores!$C$84*D220)</f>
        <v>2100</v>
      </c>
      <c r="AM220" s="80">
        <f>IF(Valores!$C$56*D220&gt;Valores!$F$56,Valores!$F$56,Valores!$C$56*D220)</f>
        <v>283.24</v>
      </c>
      <c r="AN220" s="82">
        <f t="shared" si="44"/>
        <v>3343.76</v>
      </c>
      <c r="AO220" s="61">
        <f>AI220*-Valores!$C$65</f>
        <v>-4472.0706549999995</v>
      </c>
      <c r="AP220" s="61">
        <f>AI220*-Valores!$C$66</f>
        <v>-172.00271749999996</v>
      </c>
      <c r="AQ220" s="77">
        <f>AI220*-Valores!$C$67</f>
        <v>-1548.0244574999997</v>
      </c>
      <c r="AR220" s="77">
        <f>AI220*-Valores!$C$68</f>
        <v>-928.8146744999998</v>
      </c>
      <c r="AS220" s="77">
        <f>AI220*-Valores!$C$69</f>
        <v>-103.20163049999998</v>
      </c>
      <c r="AT220" s="81">
        <f t="shared" si="40"/>
        <v>31552.205669999999</v>
      </c>
      <c r="AU220" s="81">
        <f t="shared" si="41"/>
        <v>32068.213822499998</v>
      </c>
      <c r="AV220" s="77">
        <f>AI220*Valores!$C$71</f>
        <v>5504.0869599999987</v>
      </c>
      <c r="AW220" s="77">
        <f>AI220*Valores!$C$72</f>
        <v>1548.0244574999997</v>
      </c>
      <c r="AX220" s="77">
        <f>AI220*Valores!$C$73</f>
        <v>344.00543499999992</v>
      </c>
      <c r="AY220" s="77">
        <f>AI220*Valores!$C$75</f>
        <v>1204.0190224999999</v>
      </c>
      <c r="AZ220" s="77">
        <f>AI220*Valores!$C$76</f>
        <v>206.40326099999996</v>
      </c>
      <c r="BA220" s="77">
        <f t="shared" si="45"/>
        <v>1857.6293489999996</v>
      </c>
      <c r="BB220" s="51"/>
      <c r="BC220" s="51">
        <f t="shared" si="36"/>
        <v>112</v>
      </c>
      <c r="BD220" s="27" t="s">
        <v>8</v>
      </c>
    </row>
    <row r="221" spans="1:56" s="27" customFormat="1" ht="11.25" customHeight="1" x14ac:dyDescent="0.2">
      <c r="A221" s="85">
        <v>220</v>
      </c>
      <c r="B221" s="85" t="s">
        <v>163</v>
      </c>
      <c r="C221" s="86" t="s">
        <v>521</v>
      </c>
      <c r="D221" s="86">
        <v>29</v>
      </c>
      <c r="E221" s="86">
        <f t="shared" si="37"/>
        <v>37</v>
      </c>
      <c r="F221" s="87" t="str">
        <f t="shared" si="34"/>
        <v>Hora Cátedra Enseñanza Superior 29 hs</v>
      </c>
      <c r="G221" s="88">
        <f t="shared" si="35"/>
        <v>2871</v>
      </c>
      <c r="H221" s="89">
        <f>INT((G221*Valores!$C$2*100)+0.5)/100</f>
        <v>19747.310000000001</v>
      </c>
      <c r="I221" s="103">
        <v>0</v>
      </c>
      <c r="J221" s="91">
        <f>INT((I221*Valores!$C$2*100)+0.5)/100</f>
        <v>0</v>
      </c>
      <c r="K221" s="104">
        <v>0</v>
      </c>
      <c r="L221" s="91">
        <f>INT((K221*Valores!$C$2*100)+0.5)/100</f>
        <v>0</v>
      </c>
      <c r="M221" s="105">
        <v>0</v>
      </c>
      <c r="N221" s="91">
        <f>INT((M221*Valores!$C$2*100)+0.5)/100</f>
        <v>0</v>
      </c>
      <c r="O221" s="91">
        <f t="shared" si="38"/>
        <v>3447.5130000000004</v>
      </c>
      <c r="P221" s="91">
        <f t="shared" si="39"/>
        <v>0</v>
      </c>
      <c r="Q221" s="107">
        <f>Valores!$C$14*D221</f>
        <v>4817.7699999999995</v>
      </c>
      <c r="R221" s="107">
        <f>IF(D221&lt;15,(Valores!$E$4*D221),Valores!$D$4)</f>
        <v>3076.62</v>
      </c>
      <c r="S221" s="91">
        <v>0</v>
      </c>
      <c r="T221" s="94">
        <f>IF(Valores!$C$45*D221&gt;Valores!$C$43,Valores!$C$43,Valores!$C$45*D221)</f>
        <v>1537.29</v>
      </c>
      <c r="U221" s="94">
        <f>Valores!$C$22*D221</f>
        <v>1698.82</v>
      </c>
      <c r="V221" s="91">
        <f t="shared" si="33"/>
        <v>1698.82</v>
      </c>
      <c r="W221" s="91">
        <v>0</v>
      </c>
      <c r="X221" s="91">
        <v>0</v>
      </c>
      <c r="Y221" s="119">
        <v>0</v>
      </c>
      <c r="Z221" s="91">
        <f>Y221*Valores!$C$2</f>
        <v>0</v>
      </c>
      <c r="AA221" s="91">
        <v>0</v>
      </c>
      <c r="AB221" s="96">
        <f>IF((Valores!$C$32)*D221&gt;Valores!$F$32,Valores!$F$32,(Valores!$C$32)*D221)</f>
        <v>193.14000000000001</v>
      </c>
      <c r="AC221" s="91">
        <f t="shared" si="42"/>
        <v>0</v>
      </c>
      <c r="AD221" s="91">
        <f>IF(Valores!$C$33*D221&gt;Valores!$F$33,Valores!$F$33,Valores!$C$33*D221)</f>
        <v>160.66</v>
      </c>
      <c r="AE221" s="95">
        <v>0</v>
      </c>
      <c r="AF221" s="91">
        <f>INT(((AE221*Valores!$C$2)*100)+0.5)/100</f>
        <v>0</v>
      </c>
      <c r="AG221" s="91">
        <f>IF(Valores!$D$58*'Escala Docente'!D221&gt;Valores!$F$58,Valores!$F$58,Valores!$D$58*'Escala Docente'!D221)</f>
        <v>653.37</v>
      </c>
      <c r="AH221" s="91">
        <f>IF(Valores!$D$60*D221&gt;Valores!$F$60,Valores!$F$60,Valores!$D$60*D221)</f>
        <v>186.76000000000002</v>
      </c>
      <c r="AI221" s="115">
        <f t="shared" si="43"/>
        <v>35519.253000000012</v>
      </c>
      <c r="AJ221" s="107">
        <f>IF(Valores!$C$36*D221&gt;Valores!$F$36,Valores!$F$36,Valores!$C$36*D221)</f>
        <v>1288.18</v>
      </c>
      <c r="AK221" s="94">
        <f>IF(Valores!$C$11*D221&gt;Valores!$F$11,Valores!$F$11,Valores!$C$11*D221)</f>
        <v>0</v>
      </c>
      <c r="AL221" s="94">
        <f>IF(Valores!$C$84*D221&gt;Valores!$C$83,Valores!$C$83,Valores!$C$84*D221)</f>
        <v>2175</v>
      </c>
      <c r="AM221" s="96">
        <f>IF(Valores!$C$56*D221&gt;Valores!$F$56,Valores!$F$56,Valores!$C$56*D221)</f>
        <v>283.24</v>
      </c>
      <c r="AN221" s="98">
        <f t="shared" si="44"/>
        <v>3463.1800000000003</v>
      </c>
      <c r="AO221" s="116">
        <f>AI221*-Valores!$C$65</f>
        <v>-4617.5028900000016</v>
      </c>
      <c r="AP221" s="116">
        <f>AI221*-Valores!$C$66</f>
        <v>-177.59626500000007</v>
      </c>
      <c r="AQ221" s="93">
        <f>AI221*-Valores!$C$67</f>
        <v>-1598.3663850000005</v>
      </c>
      <c r="AR221" s="93">
        <f>AI221*-Valores!$C$68</f>
        <v>-959.01983100000029</v>
      </c>
      <c r="AS221" s="93">
        <f>AI221*-Valores!$C$69</f>
        <v>-106.55775900000003</v>
      </c>
      <c r="AT221" s="97">
        <f t="shared" si="40"/>
        <v>32588.967460000007</v>
      </c>
      <c r="AU221" s="97">
        <f t="shared" si="41"/>
        <v>33121.756255000008</v>
      </c>
      <c r="AV221" s="93">
        <f>AI221*Valores!$C$71</f>
        <v>5683.0804800000024</v>
      </c>
      <c r="AW221" s="93">
        <f>AI221*Valores!$C$72</f>
        <v>1598.3663850000005</v>
      </c>
      <c r="AX221" s="93">
        <f>AI221*Valores!$C$73</f>
        <v>355.19253000000015</v>
      </c>
      <c r="AY221" s="93">
        <f>AI221*Valores!$C$75</f>
        <v>1243.1738550000005</v>
      </c>
      <c r="AZ221" s="93">
        <f>AI221*Valores!$C$76</f>
        <v>213.11551800000007</v>
      </c>
      <c r="BA221" s="93">
        <f t="shared" si="45"/>
        <v>1918.0396620000008</v>
      </c>
      <c r="BB221" s="85"/>
      <c r="BC221" s="85">
        <f t="shared" si="36"/>
        <v>116</v>
      </c>
      <c r="BD221" s="86" t="s">
        <v>8</v>
      </c>
    </row>
    <row r="222" spans="1:56" s="27" customFormat="1" ht="11.25" customHeight="1" x14ac:dyDescent="0.2">
      <c r="A222" s="51">
        <v>221</v>
      </c>
      <c r="B222" s="51"/>
      <c r="C222" s="27" t="s">
        <v>521</v>
      </c>
      <c r="D222" s="27">
        <v>30</v>
      </c>
      <c r="E222" s="27">
        <f t="shared" si="37"/>
        <v>37</v>
      </c>
      <c r="F222" s="71" t="str">
        <f t="shared" si="34"/>
        <v>Hora Cátedra Enseñanza Superior 30 hs</v>
      </c>
      <c r="G222" s="72">
        <f t="shared" si="35"/>
        <v>2970</v>
      </c>
      <c r="H222" s="73">
        <f>INT((G222*Valores!$C$2*100)+0.5)/100</f>
        <v>20428.25</v>
      </c>
      <c r="I222" s="112">
        <v>0</v>
      </c>
      <c r="J222" s="75">
        <f>INT((I222*Valores!$C$2*100)+0.5)/100</f>
        <v>0</v>
      </c>
      <c r="K222" s="102">
        <v>0</v>
      </c>
      <c r="L222" s="75">
        <f>INT((K222*Valores!$C$2*100)+0.5)/100</f>
        <v>0</v>
      </c>
      <c r="M222" s="100">
        <v>0</v>
      </c>
      <c r="N222" s="75">
        <f>INT((M222*Valores!$C$2*100)+0.5)/100</f>
        <v>0</v>
      </c>
      <c r="O222" s="75">
        <f t="shared" si="38"/>
        <v>3566.3924999999999</v>
      </c>
      <c r="P222" s="75">
        <f t="shared" si="39"/>
        <v>0</v>
      </c>
      <c r="Q222" s="101">
        <f>Valores!$C$14*D222</f>
        <v>4983.8999999999996</v>
      </c>
      <c r="R222" s="101">
        <f>IF(D222&lt;15,(Valores!$E$4*D222),Valores!$D$4)</f>
        <v>3076.62</v>
      </c>
      <c r="S222" s="75">
        <v>0</v>
      </c>
      <c r="T222" s="78">
        <f>IF(Valores!$C$45*D222&gt;Valores!$C$43,Valores!$C$43,Valores!$C$45*D222)</f>
        <v>1590.3</v>
      </c>
      <c r="U222" s="101">
        <f>Valores!$C$22*D222</f>
        <v>1757.3999999999999</v>
      </c>
      <c r="V222" s="75">
        <f t="shared" si="33"/>
        <v>1757.3999999999999</v>
      </c>
      <c r="W222" s="75">
        <v>0</v>
      </c>
      <c r="X222" s="75">
        <v>0</v>
      </c>
      <c r="Y222" s="118">
        <v>0</v>
      </c>
      <c r="Z222" s="75">
        <f>Y222*Valores!$C$2</f>
        <v>0</v>
      </c>
      <c r="AA222" s="75">
        <v>0</v>
      </c>
      <c r="AB222" s="80">
        <f>IF((Valores!$C$32)*D222&gt;Valores!$F$32,Valores!$F$32,(Valores!$C$32)*D222)</f>
        <v>199.8</v>
      </c>
      <c r="AC222" s="75">
        <f t="shared" si="42"/>
        <v>0</v>
      </c>
      <c r="AD222" s="75">
        <f>IF(Valores!$C$33*D222&gt;Valores!$F$33,Valores!$F$33,Valores!$C$33*D222)</f>
        <v>166.15</v>
      </c>
      <c r="AE222" s="79">
        <v>0</v>
      </c>
      <c r="AF222" s="75">
        <f>INT(((AE222*Valores!$C$2)*100)+0.5)/100</f>
        <v>0</v>
      </c>
      <c r="AG222" s="75">
        <f>IF(Valores!$D$58*'Escala Docente'!D222&gt;Valores!$F$58,Valores!$F$58,Valores!$D$58*'Escala Docente'!D222)</f>
        <v>675.90000000000009</v>
      </c>
      <c r="AH222" s="75">
        <f>IF(Valores!$D$60*D222&gt;Valores!$F$60,Valores!$F$60,Valores!$D$60*D222)</f>
        <v>193.12</v>
      </c>
      <c r="AI222" s="114">
        <f t="shared" si="43"/>
        <v>36637.832500000011</v>
      </c>
      <c r="AJ222" s="101">
        <f>IF(Valores!$C$36*D222&gt;Valores!$F$36,Valores!$F$36,Valores!$C$36*D222)</f>
        <v>1332.5</v>
      </c>
      <c r="AK222" s="78">
        <f>IF(Valores!$C$11*D222&gt;Valores!$F$11,Valores!$F$11,Valores!$C$11*D222)</f>
        <v>0</v>
      </c>
      <c r="AL222" s="78">
        <f>IF(Valores!$C$84*D222&gt;Valores!$C$83,Valores!$C$83,Valores!$C$84*D222)</f>
        <v>2250</v>
      </c>
      <c r="AM222" s="80">
        <f>IF(Valores!$C$56*D222&gt;Valores!$F$56,Valores!$F$56,Valores!$C$56*D222)</f>
        <v>283.24</v>
      </c>
      <c r="AN222" s="82">
        <f t="shared" si="44"/>
        <v>3582.5</v>
      </c>
      <c r="AO222" s="61">
        <f>AI222*-Valores!$C$65</f>
        <v>-4762.9182250000013</v>
      </c>
      <c r="AP222" s="61">
        <f>AI222*-Valores!$C$66</f>
        <v>-183.18916250000007</v>
      </c>
      <c r="AQ222" s="77">
        <f>AI222*-Valores!$C$67</f>
        <v>-1648.7024625000004</v>
      </c>
      <c r="AR222" s="77">
        <f>AI222*-Valores!$C$68</f>
        <v>-989.22147750000033</v>
      </c>
      <c r="AS222" s="77">
        <f>AI222*-Valores!$C$69</f>
        <v>-109.91349750000003</v>
      </c>
      <c r="AT222" s="81">
        <f t="shared" si="40"/>
        <v>33625.522650000014</v>
      </c>
      <c r="AU222" s="81">
        <f t="shared" si="41"/>
        <v>34175.09013750001</v>
      </c>
      <c r="AV222" s="77">
        <f>AI222*Valores!$C$71</f>
        <v>5862.0532000000021</v>
      </c>
      <c r="AW222" s="77">
        <f>AI222*Valores!$C$72</f>
        <v>1648.7024625000004</v>
      </c>
      <c r="AX222" s="77">
        <f>AI222*Valores!$C$73</f>
        <v>366.37832500000013</v>
      </c>
      <c r="AY222" s="77">
        <f>AI222*Valores!$C$75</f>
        <v>1282.3241375000005</v>
      </c>
      <c r="AZ222" s="77">
        <f>AI222*Valores!$C$76</f>
        <v>219.82699500000007</v>
      </c>
      <c r="BA222" s="77">
        <f t="shared" si="45"/>
        <v>1978.4429550000007</v>
      </c>
      <c r="BB222" s="51"/>
      <c r="BC222" s="120">
        <f t="shared" si="36"/>
        <v>120</v>
      </c>
      <c r="BD222" s="27" t="s">
        <v>8</v>
      </c>
    </row>
    <row r="223" spans="1:56" s="27" customFormat="1" ht="11.25" customHeight="1" x14ac:dyDescent="0.2">
      <c r="A223" s="51">
        <v>222</v>
      </c>
      <c r="B223" s="51"/>
      <c r="C223" s="27" t="s">
        <v>521</v>
      </c>
      <c r="D223" s="27">
        <v>31</v>
      </c>
      <c r="E223" s="27">
        <f t="shared" si="37"/>
        <v>37</v>
      </c>
      <c r="F223" s="71" t="str">
        <f t="shared" si="34"/>
        <v>Hora Cátedra Enseñanza Superior 31 hs</v>
      </c>
      <c r="G223" s="72">
        <f t="shared" si="35"/>
        <v>3069</v>
      </c>
      <c r="H223" s="73">
        <f>INT((G223*Valores!$C$2*100)+0.5)/100</f>
        <v>21109.200000000001</v>
      </c>
      <c r="I223" s="112">
        <v>0</v>
      </c>
      <c r="J223" s="75">
        <f>INT((I223*Valores!$C$2*100)+0.5)/100</f>
        <v>0</v>
      </c>
      <c r="K223" s="102">
        <v>0</v>
      </c>
      <c r="L223" s="75">
        <f>INT((K223*Valores!$C$2*100)+0.5)/100</f>
        <v>0</v>
      </c>
      <c r="M223" s="100">
        <v>0</v>
      </c>
      <c r="N223" s="75">
        <f>INT((M223*Valores!$C$2*100)+0.5)/100</f>
        <v>0</v>
      </c>
      <c r="O223" s="75">
        <f t="shared" si="38"/>
        <v>3685.2735000000002</v>
      </c>
      <c r="P223" s="75">
        <f t="shared" si="39"/>
        <v>0</v>
      </c>
      <c r="Q223" s="101">
        <f>Valores!$C$14*D223</f>
        <v>5150.03</v>
      </c>
      <c r="R223" s="101">
        <f>IF(D223&lt;15,(Valores!$E$4*D223),Valores!$D$4)</f>
        <v>3076.62</v>
      </c>
      <c r="S223" s="75">
        <v>0</v>
      </c>
      <c r="T223" s="78">
        <f>IF(Valores!$C$45*D223&gt;Valores!$C$43,Valores!$C$43,Valores!$C$45*D223)</f>
        <v>1643.31</v>
      </c>
      <c r="U223" s="78">
        <f>Valores!$C$22*D223</f>
        <v>1815.98</v>
      </c>
      <c r="V223" s="75">
        <f t="shared" si="33"/>
        <v>1815.98</v>
      </c>
      <c r="W223" s="75">
        <v>0</v>
      </c>
      <c r="X223" s="75">
        <v>0</v>
      </c>
      <c r="Y223" s="118">
        <v>0</v>
      </c>
      <c r="Z223" s="75">
        <f>Y223*Valores!$C$2</f>
        <v>0</v>
      </c>
      <c r="AA223" s="75">
        <v>0</v>
      </c>
      <c r="AB223" s="80">
        <f>IF((Valores!$C$32)*D223&gt;Valores!$F$32,Valores!$F$32,(Valores!$C$32)*D223)</f>
        <v>206.46</v>
      </c>
      <c r="AC223" s="75">
        <f t="shared" si="42"/>
        <v>0</v>
      </c>
      <c r="AD223" s="75">
        <f>IF(Valores!$C$33*D223&gt;Valores!$F$33,Valores!$F$33,Valores!$C$33*D223)</f>
        <v>166.15</v>
      </c>
      <c r="AE223" s="79">
        <v>0</v>
      </c>
      <c r="AF223" s="75">
        <f>INT(((AE223*Valores!$C$2)*100)+0.5)/100</f>
        <v>0</v>
      </c>
      <c r="AG223" s="75">
        <f>IF(Valores!$D$58*'Escala Docente'!D223&gt;Valores!$F$58,Valores!$F$58,Valores!$D$58*'Escala Docente'!D223)</f>
        <v>675.94</v>
      </c>
      <c r="AH223" s="75">
        <f>IF(Valores!$D$60*D223&gt;Valores!$F$60,Valores!$F$60,Valores!$D$60*D223)</f>
        <v>193.12</v>
      </c>
      <c r="AI223" s="114">
        <f t="shared" si="43"/>
        <v>37722.083500000008</v>
      </c>
      <c r="AJ223" s="101">
        <f>IF(Valores!$C$36*D223&gt;Valores!$F$36,Valores!$F$36,Valores!$C$36*D223)</f>
        <v>1332.5</v>
      </c>
      <c r="AK223" s="78">
        <f>IF(Valores!$C$11*D223&gt;Valores!$F$11,Valores!$F$11,Valores!$C$11*D223)</f>
        <v>0</v>
      </c>
      <c r="AL223" s="78">
        <f>IF(Valores!$C$84*D223&gt;Valores!$C$83,Valores!$C$83,Valores!$C$84*D223)</f>
        <v>2325</v>
      </c>
      <c r="AM223" s="80">
        <f>IF(Valores!$C$56*D223&gt;Valores!$F$56,Valores!$F$56,Valores!$C$56*D223)</f>
        <v>283.24</v>
      </c>
      <c r="AN223" s="82">
        <f t="shared" si="44"/>
        <v>3657.5</v>
      </c>
      <c r="AO223" s="61">
        <f>AI223*-Valores!$C$65</f>
        <v>-4903.870855000001</v>
      </c>
      <c r="AP223" s="61">
        <f>AI223*-Valores!$C$66</f>
        <v>-188.61041750000004</v>
      </c>
      <c r="AQ223" s="77">
        <f>AI223*-Valores!$C$67</f>
        <v>-1697.4937575000004</v>
      </c>
      <c r="AR223" s="77">
        <f>AI223*-Valores!$C$68</f>
        <v>-1018.4962545000002</v>
      </c>
      <c r="AS223" s="77">
        <f>AI223*-Valores!$C$69</f>
        <v>-113.16625050000003</v>
      </c>
      <c r="AT223" s="81">
        <f t="shared" si="40"/>
        <v>34589.608470000006</v>
      </c>
      <c r="AU223" s="81">
        <f t="shared" si="41"/>
        <v>35155.439722500007</v>
      </c>
      <c r="AV223" s="77">
        <f>AI223*Valores!$C$71</f>
        <v>6035.5333600000013</v>
      </c>
      <c r="AW223" s="77">
        <f>AI223*Valores!$C$72</f>
        <v>1697.4937575000004</v>
      </c>
      <c r="AX223" s="77">
        <f>AI223*Valores!$C$73</f>
        <v>377.22083500000008</v>
      </c>
      <c r="AY223" s="77">
        <f>AI223*Valores!$C$75</f>
        <v>1320.2729225000005</v>
      </c>
      <c r="AZ223" s="77">
        <f>AI223*Valores!$C$76</f>
        <v>226.33250100000006</v>
      </c>
      <c r="BA223" s="77">
        <f t="shared" si="45"/>
        <v>2036.9925090000004</v>
      </c>
      <c r="BB223" s="51"/>
      <c r="BC223" s="120">
        <f t="shared" si="36"/>
        <v>124</v>
      </c>
      <c r="BD223" s="27" t="s">
        <v>8</v>
      </c>
    </row>
    <row r="224" spans="1:56" s="27" customFormat="1" ht="11.25" customHeight="1" x14ac:dyDescent="0.2">
      <c r="A224" s="51">
        <v>223</v>
      </c>
      <c r="B224" s="51"/>
      <c r="C224" s="27" t="s">
        <v>521</v>
      </c>
      <c r="D224" s="27">
        <v>32</v>
      </c>
      <c r="E224" s="27">
        <f t="shared" si="37"/>
        <v>37</v>
      </c>
      <c r="F224" s="71" t="str">
        <f t="shared" si="34"/>
        <v>Hora Cátedra Enseñanza Superior 32 hs</v>
      </c>
      <c r="G224" s="72">
        <f t="shared" si="35"/>
        <v>3168</v>
      </c>
      <c r="H224" s="73">
        <f>INT((G224*Valores!$C$2*100)+0.5)/100</f>
        <v>21790.14</v>
      </c>
      <c r="I224" s="112">
        <v>0</v>
      </c>
      <c r="J224" s="75">
        <f>INT((I224*Valores!$C$2*100)+0.5)/100</f>
        <v>0</v>
      </c>
      <c r="K224" s="102">
        <v>0</v>
      </c>
      <c r="L224" s="75">
        <f>INT((K224*Valores!$C$2*100)+0.5)/100</f>
        <v>0</v>
      </c>
      <c r="M224" s="100">
        <v>0</v>
      </c>
      <c r="N224" s="75">
        <f>INT((M224*Valores!$C$2*100)+0.5)/100</f>
        <v>0</v>
      </c>
      <c r="O224" s="75">
        <f t="shared" si="38"/>
        <v>3804.1529999999998</v>
      </c>
      <c r="P224" s="75">
        <f t="shared" si="39"/>
        <v>0</v>
      </c>
      <c r="Q224" s="101">
        <f>Valores!$C$14*D224</f>
        <v>5316.16</v>
      </c>
      <c r="R224" s="101">
        <f>IF(D224&lt;15,(Valores!$E$4*D224),Valores!$D$4)</f>
        <v>3076.62</v>
      </c>
      <c r="S224" s="75">
        <v>0</v>
      </c>
      <c r="T224" s="78">
        <f>IF(Valores!$C$45*D224&gt;Valores!$C$43,Valores!$C$43,Valores!$C$45*D224)</f>
        <v>1696.32</v>
      </c>
      <c r="U224" s="101">
        <f>Valores!$C$22*D224</f>
        <v>1874.56</v>
      </c>
      <c r="V224" s="75">
        <f t="shared" si="33"/>
        <v>1874.56</v>
      </c>
      <c r="W224" s="75">
        <v>0</v>
      </c>
      <c r="X224" s="75">
        <v>0</v>
      </c>
      <c r="Y224" s="118">
        <v>0</v>
      </c>
      <c r="Z224" s="75">
        <f>Y224*Valores!$C$2</f>
        <v>0</v>
      </c>
      <c r="AA224" s="75">
        <v>0</v>
      </c>
      <c r="AB224" s="80">
        <f>IF((Valores!$C$32)*D224&gt;Valores!$F$32,Valores!$F$32,(Valores!$C$32)*D224)</f>
        <v>213.12</v>
      </c>
      <c r="AC224" s="75">
        <f t="shared" si="42"/>
        <v>0</v>
      </c>
      <c r="AD224" s="75">
        <f>IF(Valores!$C$33*D224&gt;Valores!$F$33,Valores!$F$33,Valores!$C$33*D224)</f>
        <v>166.15</v>
      </c>
      <c r="AE224" s="79">
        <v>0</v>
      </c>
      <c r="AF224" s="75">
        <f>INT(((AE224*Valores!$C$2)*100)+0.5)/100</f>
        <v>0</v>
      </c>
      <c r="AG224" s="75">
        <f>IF(Valores!$D$58*'Escala Docente'!D224&gt;Valores!$F$58,Valores!$F$58,Valores!$D$58*'Escala Docente'!D224)</f>
        <v>675.94</v>
      </c>
      <c r="AH224" s="75">
        <f>IF(Valores!$D$60*D224&gt;Valores!$F$60,Valores!$F$60,Valores!$D$60*D224)</f>
        <v>193.12</v>
      </c>
      <c r="AI224" s="114">
        <f t="shared" si="43"/>
        <v>38806.283000000003</v>
      </c>
      <c r="AJ224" s="101">
        <f>IF(Valores!$C$36*D224&gt;Valores!$F$36,Valores!$F$36,Valores!$C$36*D224)</f>
        <v>1332.5</v>
      </c>
      <c r="AK224" s="78">
        <f>IF(Valores!$C$11*D224&gt;Valores!$F$11,Valores!$F$11,Valores!$C$11*D224)</f>
        <v>0</v>
      </c>
      <c r="AL224" s="78">
        <f>IF(Valores!$C$84*D224&gt;Valores!$C$83,Valores!$C$83,Valores!$C$84*D224)</f>
        <v>2400</v>
      </c>
      <c r="AM224" s="80">
        <f>IF(Valores!$C$56*D224&gt;Valores!$F$56,Valores!$F$56,Valores!$C$56*D224)</f>
        <v>283.24</v>
      </c>
      <c r="AN224" s="82">
        <f t="shared" si="44"/>
        <v>3732.5</v>
      </c>
      <c r="AO224" s="61">
        <f>AI224*-Valores!$C$65</f>
        <v>-5044.8167900000008</v>
      </c>
      <c r="AP224" s="61">
        <f>AI224*-Valores!$C$66</f>
        <v>-194.03141500000001</v>
      </c>
      <c r="AQ224" s="77">
        <f>AI224*-Valores!$C$67</f>
        <v>-1746.282735</v>
      </c>
      <c r="AR224" s="77">
        <f>AI224*-Valores!$C$68</f>
        <v>-1047.7696410000001</v>
      </c>
      <c r="AS224" s="77">
        <f>AI224*-Valores!$C$69</f>
        <v>-116.41884900000001</v>
      </c>
      <c r="AT224" s="81">
        <f t="shared" si="40"/>
        <v>35553.652060000008</v>
      </c>
      <c r="AU224" s="81">
        <f t="shared" si="41"/>
        <v>36135.746305000001</v>
      </c>
      <c r="AV224" s="77">
        <f>AI224*Valores!$C$71</f>
        <v>6209.0052800000003</v>
      </c>
      <c r="AW224" s="77">
        <f>AI224*Valores!$C$72</f>
        <v>1746.282735</v>
      </c>
      <c r="AX224" s="77">
        <f>AI224*Valores!$C$73</f>
        <v>388.06283000000002</v>
      </c>
      <c r="AY224" s="77">
        <f>AI224*Valores!$C$75</f>
        <v>1358.2199050000002</v>
      </c>
      <c r="AZ224" s="77">
        <f>AI224*Valores!$C$76</f>
        <v>232.83769800000002</v>
      </c>
      <c r="BA224" s="77">
        <f t="shared" si="45"/>
        <v>2095.5392820000002</v>
      </c>
      <c r="BB224" s="51"/>
      <c r="BC224" s="85">
        <f t="shared" si="36"/>
        <v>128</v>
      </c>
      <c r="BD224" s="27" t="s">
        <v>8</v>
      </c>
    </row>
    <row r="225" spans="1:56" s="27" customFormat="1" ht="11.25" customHeight="1" x14ac:dyDescent="0.2">
      <c r="A225" s="51">
        <v>224</v>
      </c>
      <c r="B225" s="51"/>
      <c r="C225" s="27" t="s">
        <v>521</v>
      </c>
      <c r="D225" s="27">
        <v>33</v>
      </c>
      <c r="E225" s="27">
        <f t="shared" si="37"/>
        <v>37</v>
      </c>
      <c r="F225" s="71" t="str">
        <f t="shared" si="34"/>
        <v>Hora Cátedra Enseñanza Superior 33 hs</v>
      </c>
      <c r="G225" s="72">
        <f t="shared" si="35"/>
        <v>3267</v>
      </c>
      <c r="H225" s="73">
        <f>INT((G225*Valores!$C$2*100)+0.5)/100</f>
        <v>22471.08</v>
      </c>
      <c r="I225" s="112">
        <v>0</v>
      </c>
      <c r="J225" s="75">
        <f>INT((I225*Valores!$C$2*100)+0.5)/100</f>
        <v>0</v>
      </c>
      <c r="K225" s="102">
        <v>0</v>
      </c>
      <c r="L225" s="75">
        <f>INT((K225*Valores!$C$2*100)+0.5)/100</f>
        <v>0</v>
      </c>
      <c r="M225" s="100">
        <v>0</v>
      </c>
      <c r="N225" s="75">
        <f>INT((M225*Valores!$C$2*100)+0.5)/100</f>
        <v>0</v>
      </c>
      <c r="O225" s="75">
        <f t="shared" si="38"/>
        <v>3923.0325000000003</v>
      </c>
      <c r="P225" s="75">
        <f t="shared" si="39"/>
        <v>0</v>
      </c>
      <c r="Q225" s="101">
        <f>Valores!$C$14*D225</f>
        <v>5482.29</v>
      </c>
      <c r="R225" s="101">
        <f>IF(D225&lt;15,(Valores!$E$4*D225),Valores!$D$4)</f>
        <v>3076.62</v>
      </c>
      <c r="S225" s="75">
        <v>0</v>
      </c>
      <c r="T225" s="78">
        <f>IF(Valores!$C$45*D225&gt;Valores!$C$43,Valores!$C$43,Valores!$C$45*D225)</f>
        <v>1749.33</v>
      </c>
      <c r="U225" s="101">
        <f>Valores!$C$22*D225</f>
        <v>1933.1399999999999</v>
      </c>
      <c r="V225" s="75">
        <f t="shared" si="33"/>
        <v>1933.1399999999999</v>
      </c>
      <c r="W225" s="75">
        <v>0</v>
      </c>
      <c r="X225" s="75">
        <v>0</v>
      </c>
      <c r="Y225" s="118">
        <v>0</v>
      </c>
      <c r="Z225" s="75">
        <f>Y225*Valores!$C$2</f>
        <v>0</v>
      </c>
      <c r="AA225" s="75">
        <v>0</v>
      </c>
      <c r="AB225" s="80">
        <f>IF((Valores!$C$32)*D225&gt;Valores!$F$32,Valores!$F$32,(Valores!$C$32)*D225)</f>
        <v>219.78</v>
      </c>
      <c r="AC225" s="75">
        <f t="shared" si="42"/>
        <v>0</v>
      </c>
      <c r="AD225" s="75">
        <f>IF(Valores!$C$33*D225&gt;Valores!$F$33,Valores!$F$33,Valores!$C$33*D225)</f>
        <v>166.15</v>
      </c>
      <c r="AE225" s="79">
        <v>0</v>
      </c>
      <c r="AF225" s="75">
        <f>INT(((AE225*Valores!$C$2)*100)+0.5)/100</f>
        <v>0</v>
      </c>
      <c r="AG225" s="75">
        <f>IF(Valores!$D$58*'Escala Docente'!D225&gt;Valores!$F$58,Valores!$F$58,Valores!$D$58*'Escala Docente'!D225)</f>
        <v>675.94</v>
      </c>
      <c r="AH225" s="75">
        <f>IF(Valores!$D$60*D225&gt;Valores!$F$60,Valores!$F$60,Valores!$D$60*D225)</f>
        <v>193.12</v>
      </c>
      <c r="AI225" s="114">
        <f t="shared" si="43"/>
        <v>39890.482500000013</v>
      </c>
      <c r="AJ225" s="101">
        <f>IF(Valores!$C$36*D225&gt;Valores!$F$36,Valores!$F$36,Valores!$C$36*D225)</f>
        <v>1332.5</v>
      </c>
      <c r="AK225" s="78">
        <f>IF(Valores!$C$11*D225&gt;Valores!$F$11,Valores!$F$11,Valores!$C$11*D225)</f>
        <v>0</v>
      </c>
      <c r="AL225" s="78">
        <f>IF(Valores!$C$84*D225&gt;Valores!$C$83,Valores!$C$83,Valores!$C$84*D225)</f>
        <v>2475</v>
      </c>
      <c r="AM225" s="80">
        <f>IF(Valores!$C$56*D225&gt;Valores!$F$56,Valores!$F$56,Valores!$C$56*D225)</f>
        <v>283.24</v>
      </c>
      <c r="AN225" s="82">
        <f t="shared" si="44"/>
        <v>3807.5</v>
      </c>
      <c r="AO225" s="61">
        <f>AI225*-Valores!$C$65</f>
        <v>-5185.7627250000014</v>
      </c>
      <c r="AP225" s="61">
        <f>AI225*-Valores!$C$66</f>
        <v>-199.45241250000007</v>
      </c>
      <c r="AQ225" s="77">
        <f>AI225*-Valores!$C$67</f>
        <v>-1795.0717125000006</v>
      </c>
      <c r="AR225" s="77">
        <f>AI225*-Valores!$C$68</f>
        <v>-1077.0430275000003</v>
      </c>
      <c r="AS225" s="77">
        <f>AI225*-Valores!$C$69</f>
        <v>-119.67144750000004</v>
      </c>
      <c r="AT225" s="81">
        <f t="shared" si="40"/>
        <v>36517.695650000009</v>
      </c>
      <c r="AU225" s="81">
        <f t="shared" si="41"/>
        <v>37116.052887500009</v>
      </c>
      <c r="AV225" s="77">
        <f>AI225*Valores!$C$71</f>
        <v>6382.4772000000021</v>
      </c>
      <c r="AW225" s="77">
        <f>AI225*Valores!$C$72</f>
        <v>1795.0717125000006</v>
      </c>
      <c r="AX225" s="77">
        <f>AI225*Valores!$C$73</f>
        <v>398.90482500000013</v>
      </c>
      <c r="AY225" s="77">
        <f>AI225*Valores!$C$75</f>
        <v>1396.1668875000005</v>
      </c>
      <c r="AZ225" s="77">
        <f>AI225*Valores!$C$76</f>
        <v>239.34289500000008</v>
      </c>
      <c r="BA225" s="77">
        <f t="shared" si="45"/>
        <v>2154.0860550000011</v>
      </c>
      <c r="BB225" s="51"/>
      <c r="BC225" s="51">
        <f t="shared" ref="BC225:BC256" si="46">4*D225</f>
        <v>132</v>
      </c>
      <c r="BD225" s="27" t="s">
        <v>8</v>
      </c>
    </row>
    <row r="226" spans="1:56" s="27" customFormat="1" ht="11.25" customHeight="1" x14ac:dyDescent="0.2">
      <c r="A226" s="85">
        <v>225</v>
      </c>
      <c r="B226" s="85" t="s">
        <v>163</v>
      </c>
      <c r="C226" s="86" t="s">
        <v>521</v>
      </c>
      <c r="D226" s="86">
        <v>34</v>
      </c>
      <c r="E226" s="86">
        <f t="shared" si="37"/>
        <v>37</v>
      </c>
      <c r="F226" s="87" t="str">
        <f t="shared" si="34"/>
        <v>Hora Cátedra Enseñanza Superior 34 hs</v>
      </c>
      <c r="G226" s="88">
        <f t="shared" si="35"/>
        <v>3366</v>
      </c>
      <c r="H226" s="89">
        <f>INT((G226*Valores!$C$2*100)+0.5)/100</f>
        <v>23152.02</v>
      </c>
      <c r="I226" s="103">
        <v>0</v>
      </c>
      <c r="J226" s="91">
        <f>INT((I226*Valores!$C$2*100)+0.5)/100</f>
        <v>0</v>
      </c>
      <c r="K226" s="104">
        <v>0</v>
      </c>
      <c r="L226" s="91">
        <f>INT((K226*Valores!$C$2*100)+0.5)/100</f>
        <v>0</v>
      </c>
      <c r="M226" s="105">
        <v>0</v>
      </c>
      <c r="N226" s="91">
        <f>INT((M226*Valores!$C$2*100)+0.5)/100</f>
        <v>0</v>
      </c>
      <c r="O226" s="91">
        <f t="shared" si="38"/>
        <v>4041.9120000000003</v>
      </c>
      <c r="P226" s="91">
        <f t="shared" si="39"/>
        <v>0</v>
      </c>
      <c r="Q226" s="107">
        <f>Valores!$C$14*D226</f>
        <v>5648.42</v>
      </c>
      <c r="R226" s="107">
        <f>IF(D226&lt;15,(Valores!$E$4*D226),Valores!$D$4)</f>
        <v>3076.62</v>
      </c>
      <c r="S226" s="91">
        <v>0</v>
      </c>
      <c r="T226" s="94">
        <f>IF(Valores!$C$45*D226&gt;Valores!$C$43,Valores!$C$43,Valores!$C$45*D226)</f>
        <v>1802.34</v>
      </c>
      <c r="U226" s="107">
        <f>Valores!$C$22*D226</f>
        <v>1991.72</v>
      </c>
      <c r="V226" s="91">
        <f t="shared" si="33"/>
        <v>1991.72</v>
      </c>
      <c r="W226" s="91">
        <v>0</v>
      </c>
      <c r="X226" s="91">
        <v>0</v>
      </c>
      <c r="Y226" s="119">
        <v>0</v>
      </c>
      <c r="Z226" s="91">
        <f>Y226*Valores!$C$2</f>
        <v>0</v>
      </c>
      <c r="AA226" s="91">
        <v>0</v>
      </c>
      <c r="AB226" s="96">
        <f>IF((Valores!$C$32)*D226&gt;Valores!$F$32,Valores!$F$32,(Valores!$C$32)*D226)</f>
        <v>226.44</v>
      </c>
      <c r="AC226" s="91">
        <f t="shared" si="42"/>
        <v>0</v>
      </c>
      <c r="AD226" s="91">
        <f>IF(Valores!$C$33*D226&gt;Valores!$F$33,Valores!$F$33,Valores!$C$33*D226)</f>
        <v>166.15</v>
      </c>
      <c r="AE226" s="95">
        <v>0</v>
      </c>
      <c r="AF226" s="91">
        <f>INT(((AE226*Valores!$C$2)*100)+0.5)/100</f>
        <v>0</v>
      </c>
      <c r="AG226" s="91">
        <f>IF(Valores!$D$58*'Escala Docente'!D226&gt;Valores!$F$58,Valores!$F$58,Valores!$D$58*'Escala Docente'!D226)</f>
        <v>675.94</v>
      </c>
      <c r="AH226" s="91">
        <f>IF(Valores!$D$60*D226&gt;Valores!$F$60,Valores!$F$60,Valores!$D$60*D226)</f>
        <v>193.12</v>
      </c>
      <c r="AI226" s="115">
        <f t="shared" si="43"/>
        <v>40974.682000000008</v>
      </c>
      <c r="AJ226" s="107">
        <f>IF(Valores!$C$36*D226&gt;Valores!$F$36,Valores!$F$36,Valores!$C$36*D226)</f>
        <v>1332.5</v>
      </c>
      <c r="AK226" s="94">
        <f>IF(Valores!$C$11*D226&gt;Valores!$F$11,Valores!$F$11,Valores!$C$11*D226)</f>
        <v>0</v>
      </c>
      <c r="AL226" s="94">
        <f>IF(Valores!$C$84*D226&gt;Valores!$C$83,Valores!$C$83,Valores!$C$84*D226)</f>
        <v>2550</v>
      </c>
      <c r="AM226" s="96">
        <f>IF(Valores!$C$56*D226&gt;Valores!$F$56,Valores!$F$56,Valores!$C$56*D226)</f>
        <v>283.24</v>
      </c>
      <c r="AN226" s="98">
        <f t="shared" si="44"/>
        <v>3882.5</v>
      </c>
      <c r="AO226" s="116">
        <f>AI226*-Valores!$C$65</f>
        <v>-5326.7086600000011</v>
      </c>
      <c r="AP226" s="116">
        <f>AI226*-Valores!$C$66</f>
        <v>-204.87341000000004</v>
      </c>
      <c r="AQ226" s="93">
        <f>AI226*-Valores!$C$67</f>
        <v>-1843.8606900000002</v>
      </c>
      <c r="AR226" s="93">
        <f>AI226*-Valores!$C$68</f>
        <v>-1106.3164140000001</v>
      </c>
      <c r="AS226" s="93">
        <f>AI226*-Valores!$C$69</f>
        <v>-122.92404600000003</v>
      </c>
      <c r="AT226" s="97">
        <f t="shared" si="40"/>
        <v>37481.739240000003</v>
      </c>
      <c r="AU226" s="97">
        <f t="shared" si="41"/>
        <v>38096.359470000003</v>
      </c>
      <c r="AV226" s="93">
        <f>AI226*Valores!$C$71</f>
        <v>6555.9491200000011</v>
      </c>
      <c r="AW226" s="93">
        <f>AI226*Valores!$C$72</f>
        <v>1843.8606900000002</v>
      </c>
      <c r="AX226" s="93">
        <f>AI226*Valores!$C$73</f>
        <v>409.74682000000007</v>
      </c>
      <c r="AY226" s="93">
        <f>AI226*Valores!$C$75</f>
        <v>1434.1138700000004</v>
      </c>
      <c r="AZ226" s="93">
        <f>AI226*Valores!$C$76</f>
        <v>245.84809200000007</v>
      </c>
      <c r="BA226" s="93">
        <f t="shared" si="45"/>
        <v>2212.6328280000002</v>
      </c>
      <c r="BB226" s="85"/>
      <c r="BC226" s="85">
        <f t="shared" si="46"/>
        <v>136</v>
      </c>
      <c r="BD226" s="86" t="s">
        <v>8</v>
      </c>
    </row>
    <row r="227" spans="1:56" s="27" customFormat="1" ht="11.25" customHeight="1" x14ac:dyDescent="0.2">
      <c r="A227" s="51">
        <v>226</v>
      </c>
      <c r="B227" s="51"/>
      <c r="C227" s="27" t="s">
        <v>521</v>
      </c>
      <c r="D227" s="27">
        <v>35</v>
      </c>
      <c r="E227" s="27">
        <f t="shared" si="37"/>
        <v>37</v>
      </c>
      <c r="F227" s="71" t="str">
        <f t="shared" si="34"/>
        <v>Hora Cátedra Enseñanza Superior 35 hs</v>
      </c>
      <c r="G227" s="72">
        <f t="shared" si="35"/>
        <v>3465</v>
      </c>
      <c r="H227" s="73">
        <f>INT((G227*Valores!$C$2*100)+0.5)/100</f>
        <v>23832.959999999999</v>
      </c>
      <c r="I227" s="112">
        <v>0</v>
      </c>
      <c r="J227" s="75">
        <f>INT((I227*Valores!$C$2*100)+0.5)/100</f>
        <v>0</v>
      </c>
      <c r="K227" s="102">
        <v>0</v>
      </c>
      <c r="L227" s="75">
        <f>INT((K227*Valores!$C$2*100)+0.5)/100</f>
        <v>0</v>
      </c>
      <c r="M227" s="100">
        <v>0</v>
      </c>
      <c r="N227" s="75">
        <f>INT((M227*Valores!$C$2*100)+0.5)/100</f>
        <v>0</v>
      </c>
      <c r="O227" s="75">
        <f t="shared" si="38"/>
        <v>4160.7914999999994</v>
      </c>
      <c r="P227" s="75">
        <f t="shared" si="39"/>
        <v>0</v>
      </c>
      <c r="Q227" s="101">
        <f>Valores!$C$14*D227</f>
        <v>5814.55</v>
      </c>
      <c r="R227" s="101">
        <f>IF(D227&lt;15,(Valores!$E$4*D227),Valores!$D$4)</f>
        <v>3076.62</v>
      </c>
      <c r="S227" s="75">
        <v>0</v>
      </c>
      <c r="T227" s="78">
        <f>IF(Valores!$C$45*D227&gt;Valores!$C$43,Valores!$C$43,Valores!$C$45*D227)</f>
        <v>1855.35</v>
      </c>
      <c r="U227" s="101">
        <f>Valores!$C$22*D227</f>
        <v>2050.2999999999997</v>
      </c>
      <c r="V227" s="75">
        <f t="shared" si="33"/>
        <v>2050.2999999999997</v>
      </c>
      <c r="W227" s="75">
        <v>0</v>
      </c>
      <c r="X227" s="75">
        <v>0</v>
      </c>
      <c r="Y227" s="118">
        <v>0</v>
      </c>
      <c r="Z227" s="75">
        <f>Y227*Valores!$C$2</f>
        <v>0</v>
      </c>
      <c r="AA227" s="75">
        <v>0</v>
      </c>
      <c r="AB227" s="80">
        <f>IF((Valores!$C$32)*D227&gt;Valores!$F$32,Valores!$F$32,(Valores!$C$32)*D227)</f>
        <v>233.1</v>
      </c>
      <c r="AC227" s="75">
        <f t="shared" si="42"/>
        <v>0</v>
      </c>
      <c r="AD227" s="75">
        <f>IF(Valores!$C$33*D227&gt;Valores!$F$33,Valores!$F$33,Valores!$C$33*D227)</f>
        <v>166.15</v>
      </c>
      <c r="AE227" s="79">
        <v>0</v>
      </c>
      <c r="AF227" s="75">
        <f>INT(((AE227*Valores!$C$2)*100)+0.5)/100</f>
        <v>0</v>
      </c>
      <c r="AG227" s="75">
        <f>IF(Valores!$D$58*'Escala Docente'!D227&gt;Valores!$F$58,Valores!$F$58,Valores!$D$58*'Escala Docente'!D227)</f>
        <v>675.94</v>
      </c>
      <c r="AH227" s="75">
        <f>IF(Valores!$D$60*D227&gt;Valores!$F$60,Valores!$F$60,Valores!$D$60*D227)</f>
        <v>193.12</v>
      </c>
      <c r="AI227" s="114">
        <f t="shared" si="43"/>
        <v>42058.88150000001</v>
      </c>
      <c r="AJ227" s="101">
        <f>IF(Valores!$C$36*D227&gt;Valores!$F$36,Valores!$F$36,Valores!$C$36*D227)</f>
        <v>1332.5</v>
      </c>
      <c r="AK227" s="78">
        <f>IF(Valores!$C$11*D227&gt;Valores!$F$11,Valores!$F$11,Valores!$C$11*D227)</f>
        <v>0</v>
      </c>
      <c r="AL227" s="78">
        <f>IF(Valores!$C$84*D227&gt;Valores!$C$83,Valores!$C$83,Valores!$C$84*D227)</f>
        <v>2625</v>
      </c>
      <c r="AM227" s="80">
        <f>IF(Valores!$C$56*D227&gt;Valores!$F$56,Valores!$F$56,Valores!$C$56*D227)</f>
        <v>283.24</v>
      </c>
      <c r="AN227" s="82">
        <f t="shared" si="44"/>
        <v>3957.5</v>
      </c>
      <c r="AO227" s="61">
        <f>AI227*-Valores!$C$65</f>
        <v>-5467.6545950000018</v>
      </c>
      <c r="AP227" s="61">
        <f>AI227*-Valores!$C$66</f>
        <v>-210.29440750000006</v>
      </c>
      <c r="AQ227" s="77">
        <f>AI227*-Valores!$C$67</f>
        <v>-1892.6496675000003</v>
      </c>
      <c r="AR227" s="77">
        <f>AI227*-Valores!$C$68</f>
        <v>-1135.5898005000004</v>
      </c>
      <c r="AS227" s="77">
        <f>AI227*-Valores!$C$69</f>
        <v>-126.17664450000004</v>
      </c>
      <c r="AT227" s="81">
        <f t="shared" si="40"/>
        <v>38445.782830000011</v>
      </c>
      <c r="AU227" s="81">
        <f t="shared" si="41"/>
        <v>39076.666052500012</v>
      </c>
      <c r="AV227" s="77">
        <f>AI227*Valores!$C$71</f>
        <v>6729.421040000002</v>
      </c>
      <c r="AW227" s="77">
        <f>AI227*Valores!$C$72</f>
        <v>1892.6496675000003</v>
      </c>
      <c r="AX227" s="77">
        <f>AI227*Valores!$C$73</f>
        <v>420.58881500000012</v>
      </c>
      <c r="AY227" s="77">
        <f>AI227*Valores!$C$75</f>
        <v>1472.0608525000005</v>
      </c>
      <c r="AZ227" s="77">
        <f>AI227*Valores!$C$76</f>
        <v>252.35328900000007</v>
      </c>
      <c r="BA227" s="77">
        <f t="shared" si="45"/>
        <v>2271.1796010000007</v>
      </c>
      <c r="BB227" s="51"/>
      <c r="BC227" s="51">
        <f t="shared" si="46"/>
        <v>140</v>
      </c>
      <c r="BD227" s="27" t="s">
        <v>8</v>
      </c>
    </row>
    <row r="228" spans="1:56" s="27" customFormat="1" ht="11.25" customHeight="1" x14ac:dyDescent="0.2">
      <c r="A228" s="51">
        <v>227</v>
      </c>
      <c r="B228" s="51"/>
      <c r="C228" s="27" t="s">
        <v>521</v>
      </c>
      <c r="D228" s="27">
        <v>36</v>
      </c>
      <c r="E228" s="27">
        <f t="shared" si="37"/>
        <v>37</v>
      </c>
      <c r="F228" s="71" t="str">
        <f t="shared" si="34"/>
        <v>Hora Cátedra Enseñanza Superior 36 hs</v>
      </c>
      <c r="G228" s="72">
        <f t="shared" si="35"/>
        <v>3564</v>
      </c>
      <c r="H228" s="73">
        <f>INT((G228*Valores!$C$2*100)+0.5)/100</f>
        <v>24513.9</v>
      </c>
      <c r="I228" s="112">
        <v>0</v>
      </c>
      <c r="J228" s="75">
        <f>INT((I228*Valores!$C$2*100)+0.5)/100</f>
        <v>0</v>
      </c>
      <c r="K228" s="102">
        <v>0</v>
      </c>
      <c r="L228" s="75">
        <f>INT((K228*Valores!$C$2*100)+0.5)/100</f>
        <v>0</v>
      </c>
      <c r="M228" s="100">
        <v>0</v>
      </c>
      <c r="N228" s="75">
        <f>INT((M228*Valores!$C$2*100)+0.5)/100</f>
        <v>0</v>
      </c>
      <c r="O228" s="75">
        <f t="shared" si="38"/>
        <v>4279.5765000000001</v>
      </c>
      <c r="P228" s="75">
        <f t="shared" si="39"/>
        <v>0</v>
      </c>
      <c r="Q228" s="101">
        <f>Valores!$C$14*D228</f>
        <v>5980.68</v>
      </c>
      <c r="R228" s="101">
        <f>IF(D228&lt;15,(Valores!$E$4*D228),Valores!$D$4)</f>
        <v>3076.62</v>
      </c>
      <c r="S228" s="75">
        <v>0</v>
      </c>
      <c r="T228" s="78">
        <f>IF(Valores!$C$45*D228&gt;Valores!$C$43,Valores!$C$43,Valores!$C$45*D228)</f>
        <v>1907.73</v>
      </c>
      <c r="U228" s="101">
        <f>Valores!$C$22*D228</f>
        <v>2108.88</v>
      </c>
      <c r="V228" s="75">
        <f t="shared" si="33"/>
        <v>2108.88</v>
      </c>
      <c r="W228" s="75">
        <v>0</v>
      </c>
      <c r="X228" s="75">
        <v>0</v>
      </c>
      <c r="Y228" s="118">
        <v>0</v>
      </c>
      <c r="Z228" s="75">
        <f>Y228*Valores!$C$2</f>
        <v>0</v>
      </c>
      <c r="AA228" s="75">
        <v>0</v>
      </c>
      <c r="AB228" s="80">
        <f>IF((Valores!$C$32)*D228&gt;Valores!$F$32,Valores!$F$32,(Valores!$C$32)*D228)</f>
        <v>239.76</v>
      </c>
      <c r="AC228" s="75">
        <f t="shared" si="42"/>
        <v>0</v>
      </c>
      <c r="AD228" s="75">
        <f>IF(Valores!$C$33*D228&gt;Valores!$F$33,Valores!$F$33,Valores!$C$33*D228)</f>
        <v>166.15</v>
      </c>
      <c r="AE228" s="79">
        <v>0</v>
      </c>
      <c r="AF228" s="75">
        <f>INT(((AE228*Valores!$C$2)*100)+0.5)/100</f>
        <v>0</v>
      </c>
      <c r="AG228" s="75">
        <f>IF(Valores!$D$58*'Escala Docente'!D228&gt;Valores!$F$58,Valores!$F$58,Valores!$D$58*'Escala Docente'!D228)</f>
        <v>675.94</v>
      </c>
      <c r="AH228" s="75">
        <f>IF(Valores!$D$60*D228&gt;Valores!$F$60,Valores!$F$60,Valores!$D$60*D228)</f>
        <v>193.12</v>
      </c>
      <c r="AI228" s="114">
        <f t="shared" si="43"/>
        <v>43142.356500000009</v>
      </c>
      <c r="AJ228" s="101">
        <f>IF(Valores!$C$36*D228&gt;Valores!$F$36,Valores!$F$36,Valores!$C$36*D228)</f>
        <v>1332.5</v>
      </c>
      <c r="AK228" s="78">
        <f>IF(Valores!$C$11*D228&gt;Valores!$F$11,Valores!$F$11,Valores!$C$11*D228)</f>
        <v>0</v>
      </c>
      <c r="AL228" s="78">
        <f>IF(Valores!$C$84*D228&gt;Valores!$C$83,Valores!$C$83,Valores!$C$84*D228)</f>
        <v>2700</v>
      </c>
      <c r="AM228" s="80">
        <f>IF(Valores!$C$56*D228&gt;Valores!$F$56,Valores!$F$56,Valores!$C$56*D228)</f>
        <v>283.24</v>
      </c>
      <c r="AN228" s="82">
        <f t="shared" si="44"/>
        <v>4032.5</v>
      </c>
      <c r="AO228" s="61">
        <f>AI228*-Valores!$C$65</f>
        <v>-5608.5063450000016</v>
      </c>
      <c r="AP228" s="61">
        <f>AI228*-Valores!$C$66</f>
        <v>-215.71178250000006</v>
      </c>
      <c r="AQ228" s="77">
        <f>AI228*-Valores!$C$67</f>
        <v>-1941.4060425000002</v>
      </c>
      <c r="AR228" s="77">
        <f>AI228*-Valores!$C$68</f>
        <v>-1164.8436255000001</v>
      </c>
      <c r="AS228" s="77">
        <f>AI228*-Valores!$C$69</f>
        <v>-129.42706950000002</v>
      </c>
      <c r="AT228" s="81">
        <f t="shared" si="40"/>
        <v>39409.232330000006</v>
      </c>
      <c r="AU228" s="81">
        <f t="shared" si="41"/>
        <v>40056.367677500006</v>
      </c>
      <c r="AV228" s="77">
        <f>AI228*Valores!$C$71</f>
        <v>6902.7770400000018</v>
      </c>
      <c r="AW228" s="77">
        <f>AI228*Valores!$C$72</f>
        <v>1941.4060425000002</v>
      </c>
      <c r="AX228" s="77">
        <f>AI228*Valores!$C$73</f>
        <v>431.42356500000011</v>
      </c>
      <c r="AY228" s="77">
        <f>AI228*Valores!$C$75</f>
        <v>1509.9824775000004</v>
      </c>
      <c r="AZ228" s="77">
        <f>AI228*Valores!$C$76</f>
        <v>258.85413900000003</v>
      </c>
      <c r="BA228" s="77">
        <f t="shared" si="45"/>
        <v>2329.6872510000007</v>
      </c>
      <c r="BB228" s="51"/>
      <c r="BC228" s="51">
        <f t="shared" si="46"/>
        <v>144</v>
      </c>
      <c r="BD228" s="27" t="s">
        <v>8</v>
      </c>
    </row>
    <row r="229" spans="1:56" s="27" customFormat="1" ht="11.25" customHeight="1" x14ac:dyDescent="0.2">
      <c r="A229" s="51">
        <v>228</v>
      </c>
      <c r="B229" s="51"/>
      <c r="C229" s="27" t="s">
        <v>522</v>
      </c>
      <c r="D229" s="27">
        <v>1</v>
      </c>
      <c r="E229" s="27">
        <f t="shared" si="37"/>
        <v>33</v>
      </c>
      <c r="F229" s="71" t="str">
        <f>CONCATENATE("Hora Cátedra Enseñanza Media ",D229," hs")</f>
        <v>Hora Cátedra Enseñanza Media 1 hs</v>
      </c>
      <c r="G229" s="72">
        <f t="shared" ref="G229:G260" si="47">79*D229</f>
        <v>79</v>
      </c>
      <c r="H229" s="73">
        <f>INT((G229*Valores!$C$2*100))/100</f>
        <v>543.37</v>
      </c>
      <c r="I229" s="112">
        <v>0</v>
      </c>
      <c r="J229" s="75">
        <f>INT((I229*Valores!$C$2*100)+0.5)/100</f>
        <v>0</v>
      </c>
      <c r="K229" s="102">
        <v>0</v>
      </c>
      <c r="L229" s="75">
        <f>INT((K229*Valores!$C$2*100)+0.5)/100</f>
        <v>0</v>
      </c>
      <c r="M229" s="100">
        <v>0</v>
      </c>
      <c r="N229" s="75">
        <f>INT((M229*Valores!$C$2*100)+0.5)/100</f>
        <v>0</v>
      </c>
      <c r="O229" s="75">
        <f t="shared" si="38"/>
        <v>98.244</v>
      </c>
      <c r="P229" s="75">
        <f t="shared" si="39"/>
        <v>0</v>
      </c>
      <c r="Q229" s="101">
        <f>Valores!$C$14*D229</f>
        <v>166.13</v>
      </c>
      <c r="R229" s="101">
        <f>IF(D229&lt;15,(Valores!$E$4*D229),Valores!$D$4)</f>
        <v>205.10999999999999</v>
      </c>
      <c r="S229" s="75">
        <v>0</v>
      </c>
      <c r="T229" s="78">
        <f>IF(Valores!$C$45*D229&gt;Valores!$C$43,Valores!$C$43,Valores!$C$45*D229)</f>
        <v>53.01</v>
      </c>
      <c r="U229" s="101">
        <f>Valores!$C$22*D229</f>
        <v>58.58</v>
      </c>
      <c r="V229" s="75">
        <f t="shared" si="33"/>
        <v>58.58</v>
      </c>
      <c r="W229" s="75">
        <v>0</v>
      </c>
      <c r="X229" s="75">
        <v>0</v>
      </c>
      <c r="Y229" s="118">
        <v>0</v>
      </c>
      <c r="Z229" s="75">
        <f>Y229*Valores!$C$2</f>
        <v>0</v>
      </c>
      <c r="AA229" s="75">
        <v>0</v>
      </c>
      <c r="AB229" s="80">
        <f>IF((Valores!$C$32)*D229&gt;Valores!$F$32,Valores!$F$32,(Valores!$C$32)*D229)</f>
        <v>6.66</v>
      </c>
      <c r="AC229" s="75">
        <f t="shared" si="42"/>
        <v>0</v>
      </c>
      <c r="AD229" s="75">
        <f>IF(Valores!$C$33*D229&gt;Valores!$F$33,Valores!$F$33,Valores!$C$33*D229)</f>
        <v>5.54</v>
      </c>
      <c r="AE229" s="79">
        <v>0</v>
      </c>
      <c r="AF229" s="75">
        <f>INT(((AE229*Valores!$C$2)*100)+0.5)/100</f>
        <v>0</v>
      </c>
      <c r="AG229" s="75">
        <f>IF(Valores!$D$58*'Escala Docente'!D229&gt;Valores!$F$58,Valores!$F$58,Valores!$D$58*'Escala Docente'!D229)</f>
        <v>22.53</v>
      </c>
      <c r="AH229" s="75">
        <f>IF(Valores!$D$60*D229&gt;Valores!$F$60,Valores!$F$60,Valores!$D$60*D229)</f>
        <v>6.44</v>
      </c>
      <c r="AI229" s="114">
        <f t="shared" si="43"/>
        <v>1165.614</v>
      </c>
      <c r="AJ229" s="101">
        <f>IF(Valores!$C$36*D229&gt;Valores!$F$36,Valores!$F$36,Valores!$C$36*D229)</f>
        <v>44.42</v>
      </c>
      <c r="AK229" s="78">
        <f>IF(Valores!$C$11*D229&gt;Valores!$F$11,Valores!$F$11,Valores!$C$11*D229)</f>
        <v>0</v>
      </c>
      <c r="AL229" s="78">
        <f>IF(Valores!$C$84*D229&gt;Valores!$C$83,Valores!$C$83,Valores!$C$84*D229)</f>
        <v>75</v>
      </c>
      <c r="AM229" s="80">
        <f>IF(Valores!$C$57*D229&gt;Valores!$F$57,Valores!$F$57,Valores!$C$57*D229)</f>
        <v>9.44</v>
      </c>
      <c r="AN229" s="82">
        <f t="shared" si="44"/>
        <v>119.42</v>
      </c>
      <c r="AO229" s="61">
        <f>AI229*-Valores!$C$65</f>
        <v>-151.52982</v>
      </c>
      <c r="AP229" s="61">
        <f>AI229*-Valores!$C$66</f>
        <v>-5.8280700000000003</v>
      </c>
      <c r="AQ229" s="77">
        <f>AI229*-Valores!$C$67</f>
        <v>-52.452629999999999</v>
      </c>
      <c r="AR229" s="77">
        <f>AI229*-Valores!$C$68</f>
        <v>-31.471578000000001</v>
      </c>
      <c r="AS229" s="77">
        <f>AI229*-Valores!$C$69</f>
        <v>-3.496842</v>
      </c>
      <c r="AT229" s="81">
        <f t="shared" si="40"/>
        <v>1075.2234800000001</v>
      </c>
      <c r="AU229" s="81">
        <f t="shared" si="41"/>
        <v>1092.7076900000002</v>
      </c>
      <c r="AV229" s="77">
        <f>AI229*Valores!$C$71</f>
        <v>186.49824000000001</v>
      </c>
      <c r="AW229" s="77">
        <f>AI229*Valores!$C$72</f>
        <v>52.452629999999999</v>
      </c>
      <c r="AX229" s="77">
        <f>AI229*Valores!$C$73</f>
        <v>11.656140000000001</v>
      </c>
      <c r="AY229" s="77">
        <f>AI229*Valores!$C$75</f>
        <v>40.796490000000006</v>
      </c>
      <c r="AZ229" s="77">
        <f>AI229*Valores!$C$76</f>
        <v>6.993684</v>
      </c>
      <c r="BA229" s="77">
        <f t="shared" si="45"/>
        <v>62.943156000000009</v>
      </c>
      <c r="BB229" s="51"/>
      <c r="BC229" s="85">
        <f t="shared" si="46"/>
        <v>4</v>
      </c>
      <c r="BD229" s="27" t="s">
        <v>4</v>
      </c>
    </row>
    <row r="230" spans="1:56" s="27" customFormat="1" ht="11.25" customHeight="1" x14ac:dyDescent="0.2">
      <c r="A230" s="51">
        <v>229</v>
      </c>
      <c r="B230" s="51"/>
      <c r="C230" s="27" t="s">
        <v>522</v>
      </c>
      <c r="D230" s="27">
        <v>1</v>
      </c>
      <c r="E230" s="27">
        <f t="shared" si="37"/>
        <v>41</v>
      </c>
      <c r="F230" s="71" t="str">
        <f>CONCATENATE("Hora Cátedra Enseñanza Media ",D230," hs Esc Esp")</f>
        <v>Hora Cátedra Enseñanza Media 1 hs Esc Esp</v>
      </c>
      <c r="G230" s="72">
        <f t="shared" si="47"/>
        <v>79</v>
      </c>
      <c r="H230" s="73">
        <f>INT((G230*Valores!$C$2*100))/100</f>
        <v>543.37</v>
      </c>
      <c r="I230" s="112">
        <v>0</v>
      </c>
      <c r="J230" s="75">
        <f>INT((I230*Valores!$C$2*100)+0.5)/100</f>
        <v>0</v>
      </c>
      <c r="K230" s="102">
        <v>0</v>
      </c>
      <c r="L230" s="75">
        <f>INT((K230*Valores!$C$2*100)+0.5)/100</f>
        <v>0</v>
      </c>
      <c r="M230" s="100">
        <v>0</v>
      </c>
      <c r="N230" s="75">
        <f>INT((M230*Valores!$C$2*100)+0.5)/100</f>
        <v>0</v>
      </c>
      <c r="O230" s="75">
        <f t="shared" si="38"/>
        <v>98.244</v>
      </c>
      <c r="P230" s="75">
        <f t="shared" si="39"/>
        <v>0</v>
      </c>
      <c r="Q230" s="101">
        <f>Valores!$C$14*D230</f>
        <v>166.13</v>
      </c>
      <c r="R230" s="101">
        <f>IF(D230&lt;15,(Valores!$E$4*D230),Valores!$D$4)</f>
        <v>205.10999999999999</v>
      </c>
      <c r="S230" s="75">
        <v>0</v>
      </c>
      <c r="T230" s="78">
        <f>IF(Valores!$C$45*D230&gt;Valores!$C$43,Valores!$C$43,Valores!$C$45*D230)</f>
        <v>53.01</v>
      </c>
      <c r="U230" s="101">
        <f>Valores!$C$22*D230</f>
        <v>58.58</v>
      </c>
      <c r="V230" s="75">
        <f t="shared" si="33"/>
        <v>58.58</v>
      </c>
      <c r="W230" s="75">
        <v>0</v>
      </c>
      <c r="X230" s="75">
        <v>0</v>
      </c>
      <c r="Y230" s="118">
        <v>0</v>
      </c>
      <c r="Z230" s="75">
        <f>Y230*Valores!$C$2</f>
        <v>0</v>
      </c>
      <c r="AA230" s="75">
        <v>0</v>
      </c>
      <c r="AB230" s="80">
        <f>IF((Valores!$C$32)*D230&gt;Valores!$F$32,Valores!$F$32,(Valores!$C$32)*D230)</f>
        <v>6.66</v>
      </c>
      <c r="AC230" s="75">
        <f t="shared" si="42"/>
        <v>0</v>
      </c>
      <c r="AD230" s="75">
        <f>IF(Valores!$C$33*D230&gt;Valores!$F$33,Valores!$F$33,Valores!$C$33*D230)</f>
        <v>5.54</v>
      </c>
      <c r="AE230" s="79">
        <v>94</v>
      </c>
      <c r="AF230" s="75">
        <f>INT(((AE230*Valores!$C$2)*100)+0.5)/100</f>
        <v>646.54999999999995</v>
      </c>
      <c r="AG230" s="75">
        <f>IF(Valores!$D$58*'Escala Docente'!D230&gt;Valores!$F$58,Valores!$F$58,Valores!$D$58*'Escala Docente'!D230)</f>
        <v>22.53</v>
      </c>
      <c r="AH230" s="75">
        <f>IF(Valores!$D$60*D230&gt;Valores!$F$60,Valores!$F$60,Valores!$D$60*D230)</f>
        <v>6.44</v>
      </c>
      <c r="AI230" s="114">
        <f t="shared" si="43"/>
        <v>1812.164</v>
      </c>
      <c r="AJ230" s="101">
        <f>IF(Valores!$C$36*D230&gt;Valores!$F$36,Valores!$F$36,Valores!$C$36*D230)</f>
        <v>44.42</v>
      </c>
      <c r="AK230" s="78">
        <f>IF(Valores!$C$11*D230&gt;Valores!$F$11,Valores!$F$11,Valores!$C$11*D230)</f>
        <v>0</v>
      </c>
      <c r="AL230" s="78">
        <f>IF(Valores!$C$84*D230&gt;Valores!$C$83,Valores!$C$83,Valores!$C$84*D230)</f>
        <v>75</v>
      </c>
      <c r="AM230" s="80">
        <f>IF(Valores!$C$57*D230&gt;Valores!$F$57,Valores!$F$57,Valores!$C$57*D230)</f>
        <v>9.44</v>
      </c>
      <c r="AN230" s="82">
        <f t="shared" si="44"/>
        <v>119.42</v>
      </c>
      <c r="AO230" s="61">
        <f>AI230*-Valores!$C$65</f>
        <v>-235.58132000000001</v>
      </c>
      <c r="AP230" s="61">
        <f>AI230*-Valores!$C$66</f>
        <v>-9.0608199999999997</v>
      </c>
      <c r="AQ230" s="77">
        <f>AI230*-Valores!$C$67</f>
        <v>-81.54737999999999</v>
      </c>
      <c r="AR230" s="77">
        <f>AI230*-Valores!$C$68</f>
        <v>-48.928427999999997</v>
      </c>
      <c r="AS230" s="77">
        <f>AI230*-Valores!$C$69</f>
        <v>-5.4364920000000003</v>
      </c>
      <c r="AT230" s="81">
        <f t="shared" si="40"/>
        <v>1605.3944800000002</v>
      </c>
      <c r="AU230" s="81">
        <f t="shared" si="41"/>
        <v>1632.5769400000001</v>
      </c>
      <c r="AV230" s="77">
        <f>AI230*Valores!$C$71</f>
        <v>289.94623999999999</v>
      </c>
      <c r="AW230" s="77">
        <f>AI230*Valores!$C$72</f>
        <v>81.54737999999999</v>
      </c>
      <c r="AX230" s="77">
        <f>AI230*Valores!$C$73</f>
        <v>18.121639999999999</v>
      </c>
      <c r="AY230" s="77">
        <f>AI230*Valores!$C$75</f>
        <v>63.425740000000005</v>
      </c>
      <c r="AZ230" s="77">
        <f>AI230*Valores!$C$76</f>
        <v>10.872984000000001</v>
      </c>
      <c r="BA230" s="77">
        <f t="shared" si="45"/>
        <v>97.856856000000008</v>
      </c>
      <c r="BB230" s="51"/>
      <c r="BC230" s="51">
        <f t="shared" si="46"/>
        <v>4</v>
      </c>
      <c r="BD230" s="27" t="s">
        <v>4</v>
      </c>
    </row>
    <row r="231" spans="1:56" s="27" customFormat="1" ht="11.25" customHeight="1" x14ac:dyDescent="0.2">
      <c r="A231" s="85">
        <v>230</v>
      </c>
      <c r="B231" s="85" t="s">
        <v>163</v>
      </c>
      <c r="C231" s="86" t="s">
        <v>522</v>
      </c>
      <c r="D231" s="86">
        <v>2</v>
      </c>
      <c r="E231" s="86">
        <f t="shared" si="37"/>
        <v>33</v>
      </c>
      <c r="F231" s="87" t="str">
        <f>CONCATENATE("Hora Cátedra Enseñanza Media ",D231," hs")</f>
        <v>Hora Cátedra Enseñanza Media 2 hs</v>
      </c>
      <c r="G231" s="88">
        <f t="shared" si="47"/>
        <v>158</v>
      </c>
      <c r="H231" s="89">
        <f>INT((G231*Valores!$C$2*100))/100</f>
        <v>1086.75</v>
      </c>
      <c r="I231" s="103">
        <v>0</v>
      </c>
      <c r="J231" s="91">
        <f>INT((I231*Valores!$C$2*100)+0.5)/100</f>
        <v>0</v>
      </c>
      <c r="K231" s="104">
        <v>0</v>
      </c>
      <c r="L231" s="91">
        <f>INT((K231*Valores!$C$2*100)+0.5)/100</f>
        <v>0</v>
      </c>
      <c r="M231" s="105">
        <v>0</v>
      </c>
      <c r="N231" s="91">
        <f>INT((M231*Valores!$C$2*100)+0.5)/100</f>
        <v>0</v>
      </c>
      <c r="O231" s="91">
        <f t="shared" si="38"/>
        <v>196.48949999999999</v>
      </c>
      <c r="P231" s="91">
        <f t="shared" si="39"/>
        <v>0</v>
      </c>
      <c r="Q231" s="107">
        <f>Valores!$C$14*D231</f>
        <v>332.26</v>
      </c>
      <c r="R231" s="107">
        <f>IF(D231&lt;15,(Valores!$E$4*D231),Valores!$D$4)</f>
        <v>410.21999999999997</v>
      </c>
      <c r="S231" s="91">
        <v>0</v>
      </c>
      <c r="T231" s="94">
        <f>IF(Valores!$C$45*D231&gt;Valores!$C$43,Valores!$C$43,Valores!$C$45*D231)</f>
        <v>106.02</v>
      </c>
      <c r="U231" s="107">
        <f>Valores!$C$22*D231</f>
        <v>117.16</v>
      </c>
      <c r="V231" s="91">
        <f t="shared" si="33"/>
        <v>117.16</v>
      </c>
      <c r="W231" s="91">
        <v>0</v>
      </c>
      <c r="X231" s="91">
        <v>0</v>
      </c>
      <c r="Y231" s="119">
        <v>0</v>
      </c>
      <c r="Z231" s="91">
        <f>Y231*Valores!$C$2</f>
        <v>0</v>
      </c>
      <c r="AA231" s="91">
        <v>0</v>
      </c>
      <c r="AB231" s="96">
        <f>IF((Valores!$C$32)*D231&gt;Valores!$F$32,Valores!$F$32,(Valores!$C$32)*D231)</f>
        <v>13.32</v>
      </c>
      <c r="AC231" s="91">
        <f t="shared" si="42"/>
        <v>0</v>
      </c>
      <c r="AD231" s="91">
        <f>IF(Valores!$C$33*D231&gt;Valores!$F$33,Valores!$F$33,Valores!$C$33*D231)</f>
        <v>11.08</v>
      </c>
      <c r="AE231" s="95">
        <v>0</v>
      </c>
      <c r="AF231" s="91">
        <f>INT(((AE231*Valores!$C$2)*100)+0.5)/100</f>
        <v>0</v>
      </c>
      <c r="AG231" s="91">
        <f>IF(Valores!$D$58*'Escala Docente'!D231&gt;Valores!$F$58,Valores!$F$58,Valores!$D$58*'Escala Docente'!D231)</f>
        <v>45.06</v>
      </c>
      <c r="AH231" s="91">
        <f>IF(Valores!$D$60*D231&gt;Valores!$F$60,Valores!$F$60,Valores!$D$60*D231)</f>
        <v>12.88</v>
      </c>
      <c r="AI231" s="115">
        <f t="shared" si="43"/>
        <v>2331.2395000000001</v>
      </c>
      <c r="AJ231" s="107">
        <f>IF(Valores!$C$36*D231&gt;Valores!$F$36,Valores!$F$36,Valores!$C$36*D231)</f>
        <v>88.84</v>
      </c>
      <c r="AK231" s="94">
        <f>IF(Valores!$C$11*D231&gt;Valores!$F$11,Valores!$F$11,Valores!$C$11*D231)</f>
        <v>0</v>
      </c>
      <c r="AL231" s="94">
        <f>IF(Valores!$C$84*D231&gt;Valores!$C$83,Valores!$C$83,Valores!$C$84*D231)</f>
        <v>150</v>
      </c>
      <c r="AM231" s="96">
        <f>IF(Valores!$C$57*D231&gt;Valores!$F$57,Valores!$F$57,Valores!$C$57*D231)</f>
        <v>18.88</v>
      </c>
      <c r="AN231" s="98">
        <f t="shared" si="44"/>
        <v>238.84</v>
      </c>
      <c r="AO231" s="116">
        <f>AI231*-Valores!$C$65</f>
        <v>-303.06113500000004</v>
      </c>
      <c r="AP231" s="116">
        <f>AI231*-Valores!$C$66</f>
        <v>-11.656197500000001</v>
      </c>
      <c r="AQ231" s="93">
        <f>AI231*-Valores!$C$67</f>
        <v>-104.9057775</v>
      </c>
      <c r="AR231" s="93">
        <f>AI231*-Valores!$C$68</f>
        <v>-62.9434665</v>
      </c>
      <c r="AS231" s="93">
        <f>AI231*-Valores!$C$69</f>
        <v>-6.9937185000000008</v>
      </c>
      <c r="AT231" s="97">
        <f t="shared" si="40"/>
        <v>2150.4563900000003</v>
      </c>
      <c r="AU231" s="97">
        <f t="shared" si="41"/>
        <v>2185.4249825000006</v>
      </c>
      <c r="AV231" s="93">
        <f>AI231*Valores!$C$71</f>
        <v>372.99832000000004</v>
      </c>
      <c r="AW231" s="93">
        <f>AI231*Valores!$C$72</f>
        <v>104.9057775</v>
      </c>
      <c r="AX231" s="93">
        <f>AI231*Valores!$C$73</f>
        <v>23.312395000000002</v>
      </c>
      <c r="AY231" s="93">
        <f>AI231*Valores!$C$75</f>
        <v>81.593382500000018</v>
      </c>
      <c r="AZ231" s="93">
        <f>AI231*Valores!$C$76</f>
        <v>13.987437000000002</v>
      </c>
      <c r="BA231" s="93">
        <f t="shared" si="45"/>
        <v>125.88693300000001</v>
      </c>
      <c r="BB231" s="85"/>
      <c r="BC231" s="85">
        <f t="shared" si="46"/>
        <v>8</v>
      </c>
      <c r="BD231" s="86" t="s">
        <v>4</v>
      </c>
    </row>
    <row r="232" spans="1:56" s="27" customFormat="1" ht="11.25" customHeight="1" x14ac:dyDescent="0.2">
      <c r="A232" s="51">
        <v>231</v>
      </c>
      <c r="B232" s="51"/>
      <c r="C232" s="27" t="s">
        <v>522</v>
      </c>
      <c r="D232" s="27">
        <v>2</v>
      </c>
      <c r="E232" s="27">
        <f t="shared" si="37"/>
        <v>41</v>
      </c>
      <c r="F232" s="71" t="str">
        <f>CONCATENATE("Hora Cátedra Enseñanza Media ",D232," hs Esc Esp")</f>
        <v>Hora Cátedra Enseñanza Media 2 hs Esc Esp</v>
      </c>
      <c r="G232" s="72">
        <f t="shared" si="47"/>
        <v>158</v>
      </c>
      <c r="H232" s="73">
        <f>INT((G232*Valores!$C$2*100))/100</f>
        <v>1086.75</v>
      </c>
      <c r="I232" s="112">
        <v>0</v>
      </c>
      <c r="J232" s="75">
        <f>INT((I232*Valores!$C$2*100)+0.5)/100</f>
        <v>0</v>
      </c>
      <c r="K232" s="102">
        <v>0</v>
      </c>
      <c r="L232" s="75">
        <f>INT((K232*Valores!$C$2*100)+0.5)/100</f>
        <v>0</v>
      </c>
      <c r="M232" s="100">
        <v>0</v>
      </c>
      <c r="N232" s="75">
        <f>INT((M232*Valores!$C$2*100)+0.5)/100</f>
        <v>0</v>
      </c>
      <c r="O232" s="75">
        <f t="shared" si="38"/>
        <v>196.48949999999999</v>
      </c>
      <c r="P232" s="75">
        <f t="shared" si="39"/>
        <v>0</v>
      </c>
      <c r="Q232" s="101">
        <f>Valores!$C$14*D232</f>
        <v>332.26</v>
      </c>
      <c r="R232" s="101">
        <f>IF(D232&lt;15,(Valores!$E$4*D232),Valores!$D$4)</f>
        <v>410.21999999999997</v>
      </c>
      <c r="S232" s="75">
        <v>0</v>
      </c>
      <c r="T232" s="78">
        <f>IF(Valores!$C$45*D232&gt;Valores!$C$43,Valores!$C$43,Valores!$C$45*D232)</f>
        <v>106.02</v>
      </c>
      <c r="U232" s="101">
        <f>Valores!$C$22*D232</f>
        <v>117.16</v>
      </c>
      <c r="V232" s="75">
        <f t="shared" si="33"/>
        <v>117.16</v>
      </c>
      <c r="W232" s="75">
        <v>0</v>
      </c>
      <c r="X232" s="75">
        <v>0</v>
      </c>
      <c r="Y232" s="118">
        <v>0</v>
      </c>
      <c r="Z232" s="75">
        <f>Y232*Valores!$C$2</f>
        <v>0</v>
      </c>
      <c r="AA232" s="75">
        <v>0</v>
      </c>
      <c r="AB232" s="80">
        <f>IF((Valores!$C$32)*D232&gt;Valores!$F$32,Valores!$F$32,(Valores!$C$32)*D232)</f>
        <v>13.32</v>
      </c>
      <c r="AC232" s="75">
        <f t="shared" si="42"/>
        <v>0</v>
      </c>
      <c r="AD232" s="75">
        <f>IF(Valores!$C$33*D232&gt;Valores!$F$33,Valores!$F$33,Valores!$C$33*D232)</f>
        <v>11.08</v>
      </c>
      <c r="AE232" s="79">
        <v>94</v>
      </c>
      <c r="AF232" s="75">
        <f>INT(((AE232*Valores!$C$2)*100)+0.5)/100</f>
        <v>646.54999999999995</v>
      </c>
      <c r="AG232" s="75">
        <f>IF(Valores!$D$58*'Escala Docente'!D232&gt;Valores!$F$58,Valores!$F$58,Valores!$D$58*'Escala Docente'!D232)</f>
        <v>45.06</v>
      </c>
      <c r="AH232" s="75">
        <f>IF(Valores!$D$60*D232&gt;Valores!$F$60,Valores!$F$60,Valores!$D$60*D232)</f>
        <v>12.88</v>
      </c>
      <c r="AI232" s="114">
        <f t="shared" si="43"/>
        <v>2977.7894999999999</v>
      </c>
      <c r="AJ232" s="101">
        <f>IF(Valores!$C$36*D232&gt;Valores!$F$36,Valores!$F$36,Valores!$C$36*D232)</f>
        <v>88.84</v>
      </c>
      <c r="AK232" s="78">
        <f>IF(Valores!$C$11*D232&gt;Valores!$F$11,Valores!$F$11,Valores!$C$11*D232)</f>
        <v>0</v>
      </c>
      <c r="AL232" s="78">
        <f>IF(Valores!$C$84*D232&gt;Valores!$C$83,Valores!$C$83,Valores!$C$84*D232)</f>
        <v>150</v>
      </c>
      <c r="AM232" s="80">
        <f>IF(Valores!$C$57*D232&gt;Valores!$F$57,Valores!$F$57,Valores!$C$57*D232)</f>
        <v>18.88</v>
      </c>
      <c r="AN232" s="82">
        <f t="shared" si="44"/>
        <v>238.84</v>
      </c>
      <c r="AO232" s="61">
        <f>AI232*-Valores!$C$65</f>
        <v>-387.11263500000001</v>
      </c>
      <c r="AP232" s="61">
        <f>AI232*-Valores!$C$66</f>
        <v>-14.8889475</v>
      </c>
      <c r="AQ232" s="77">
        <f>AI232*-Valores!$C$67</f>
        <v>-134.00052749999998</v>
      </c>
      <c r="AR232" s="77">
        <f>AI232*-Valores!$C$68</f>
        <v>-80.400316500000002</v>
      </c>
      <c r="AS232" s="77">
        <f>AI232*-Valores!$C$69</f>
        <v>-8.9333685000000003</v>
      </c>
      <c r="AT232" s="81">
        <f t="shared" si="40"/>
        <v>2680.6273900000001</v>
      </c>
      <c r="AU232" s="81">
        <f t="shared" si="41"/>
        <v>2725.2942324999999</v>
      </c>
      <c r="AV232" s="77">
        <f>AI232*Valores!$C$71</f>
        <v>476.44632000000001</v>
      </c>
      <c r="AW232" s="77">
        <f>AI232*Valores!$C$72</f>
        <v>134.00052749999998</v>
      </c>
      <c r="AX232" s="77">
        <f>AI232*Valores!$C$73</f>
        <v>29.777895000000001</v>
      </c>
      <c r="AY232" s="77">
        <f>AI232*Valores!$C$75</f>
        <v>104.2226325</v>
      </c>
      <c r="AZ232" s="77">
        <f>AI232*Valores!$C$76</f>
        <v>17.866737000000001</v>
      </c>
      <c r="BA232" s="77">
        <f t="shared" si="45"/>
        <v>160.800633</v>
      </c>
      <c r="BB232" s="51"/>
      <c r="BC232" s="51">
        <f t="shared" si="46"/>
        <v>8</v>
      </c>
      <c r="BD232" s="27" t="s">
        <v>4</v>
      </c>
    </row>
    <row r="233" spans="1:56" s="27" customFormat="1" ht="11.25" customHeight="1" x14ac:dyDescent="0.2">
      <c r="A233" s="51">
        <v>232</v>
      </c>
      <c r="B233" s="51"/>
      <c r="C233" s="27" t="s">
        <v>522</v>
      </c>
      <c r="D233" s="27">
        <v>3</v>
      </c>
      <c r="E233" s="27">
        <f t="shared" si="37"/>
        <v>33</v>
      </c>
      <c r="F233" s="71" t="str">
        <f>CONCATENATE("Hora Cátedra Enseñanza Media ",D233," hs")</f>
        <v>Hora Cátedra Enseñanza Media 3 hs</v>
      </c>
      <c r="G233" s="72">
        <f t="shared" si="47"/>
        <v>237</v>
      </c>
      <c r="H233" s="73">
        <f>INT((G233*Valores!$C$2*100))/100</f>
        <v>1630.13</v>
      </c>
      <c r="I233" s="112">
        <v>0</v>
      </c>
      <c r="J233" s="75">
        <f>INT((I233*Valores!$C$2*100)+0.5)/100</f>
        <v>0</v>
      </c>
      <c r="K233" s="102">
        <v>0</v>
      </c>
      <c r="L233" s="75">
        <f>INT((K233*Valores!$C$2*100)+0.5)/100</f>
        <v>0</v>
      </c>
      <c r="M233" s="100">
        <v>0</v>
      </c>
      <c r="N233" s="75">
        <f>INT((M233*Valores!$C$2*100)+0.5)/100</f>
        <v>0</v>
      </c>
      <c r="O233" s="75">
        <f t="shared" si="38"/>
        <v>294.73500000000001</v>
      </c>
      <c r="P233" s="75">
        <f t="shared" si="39"/>
        <v>0</v>
      </c>
      <c r="Q233" s="101">
        <f>Valores!$C$14*D233</f>
        <v>498.39</v>
      </c>
      <c r="R233" s="101">
        <f>IF(D233&lt;15,(Valores!$E$4*D233),Valores!$D$4)</f>
        <v>615.32999999999993</v>
      </c>
      <c r="S233" s="75">
        <v>0</v>
      </c>
      <c r="T233" s="78">
        <f>IF(Valores!$C$45*D233&gt;Valores!$C$43,Valores!$C$43,Valores!$C$45*D233)</f>
        <v>159.03</v>
      </c>
      <c r="U233" s="101">
        <f>Valores!$C$22*D233</f>
        <v>175.74</v>
      </c>
      <c r="V233" s="75">
        <f t="shared" si="33"/>
        <v>175.74</v>
      </c>
      <c r="W233" s="75">
        <v>0</v>
      </c>
      <c r="X233" s="75">
        <v>0</v>
      </c>
      <c r="Y233" s="118">
        <v>0</v>
      </c>
      <c r="Z233" s="75">
        <f>Y233*Valores!$C$2</f>
        <v>0</v>
      </c>
      <c r="AA233" s="75">
        <v>0</v>
      </c>
      <c r="AB233" s="80">
        <f>IF((Valores!$C$32)*D233&gt;Valores!$F$32,Valores!$F$32,(Valores!$C$32)*D233)</f>
        <v>19.98</v>
      </c>
      <c r="AC233" s="75">
        <f t="shared" si="42"/>
        <v>0</v>
      </c>
      <c r="AD233" s="75">
        <f>IF(Valores!$C$33*D233&gt;Valores!$F$33,Valores!$F$33,Valores!$C$33*D233)</f>
        <v>16.62</v>
      </c>
      <c r="AE233" s="79">
        <v>0</v>
      </c>
      <c r="AF233" s="75">
        <f>INT(((AE233*Valores!$C$2)*100)+0.5)/100</f>
        <v>0</v>
      </c>
      <c r="AG233" s="75">
        <f>IF(Valores!$D$58*'Escala Docente'!D233&gt;Valores!$F$58,Valores!$F$58,Valores!$D$58*'Escala Docente'!D233)</f>
        <v>67.59</v>
      </c>
      <c r="AH233" s="75">
        <f>IF(Valores!$D$60*D233&gt;Valores!$F$60,Valores!$F$60,Valores!$D$60*D233)</f>
        <v>19.32</v>
      </c>
      <c r="AI233" s="114">
        <f t="shared" si="43"/>
        <v>3496.8650000000002</v>
      </c>
      <c r="AJ233" s="101">
        <f>IF(Valores!$C$36*D233&gt;Valores!$F$36,Valores!$F$36,Valores!$C$36*D233)</f>
        <v>133.26</v>
      </c>
      <c r="AK233" s="78">
        <f>IF(Valores!$C$11*D233&gt;Valores!$F$11,Valores!$F$11,Valores!$C$11*D233)</f>
        <v>0</v>
      </c>
      <c r="AL233" s="78">
        <f>IF(Valores!$C$84*D233&gt;Valores!$C$83,Valores!$C$83,Valores!$C$84*D233)</f>
        <v>225</v>
      </c>
      <c r="AM233" s="80">
        <f>IF(Valores!$C$57*D233&gt;Valores!$F$57,Valores!$F$57,Valores!$C$57*D233)</f>
        <v>28.32</v>
      </c>
      <c r="AN233" s="82">
        <f t="shared" si="44"/>
        <v>358.26</v>
      </c>
      <c r="AO233" s="61">
        <f>AI233*-Valores!$C$65</f>
        <v>-454.59245000000004</v>
      </c>
      <c r="AP233" s="61">
        <f>AI233*-Valores!$C$66</f>
        <v>-17.484325000000002</v>
      </c>
      <c r="AQ233" s="77">
        <f>AI233*-Valores!$C$67</f>
        <v>-157.358925</v>
      </c>
      <c r="AR233" s="77">
        <f>AI233*-Valores!$C$68</f>
        <v>-94.415355000000005</v>
      </c>
      <c r="AS233" s="77">
        <f>AI233*-Valores!$C$69</f>
        <v>-10.490595000000001</v>
      </c>
      <c r="AT233" s="81">
        <f t="shared" si="40"/>
        <v>3225.6893</v>
      </c>
      <c r="AU233" s="81">
        <f t="shared" si="41"/>
        <v>3278.1422749999997</v>
      </c>
      <c r="AV233" s="77">
        <f>AI233*Valores!$C$71</f>
        <v>559.49840000000006</v>
      </c>
      <c r="AW233" s="77">
        <f>AI233*Valores!$C$72</f>
        <v>157.358925</v>
      </c>
      <c r="AX233" s="77">
        <f>AI233*Valores!$C$73</f>
        <v>34.968650000000004</v>
      </c>
      <c r="AY233" s="77">
        <f>AI233*Valores!$C$75</f>
        <v>122.39027500000002</v>
      </c>
      <c r="AZ233" s="77">
        <f>AI233*Valores!$C$76</f>
        <v>20.981190000000002</v>
      </c>
      <c r="BA233" s="77">
        <f t="shared" si="45"/>
        <v>188.83071000000004</v>
      </c>
      <c r="BB233" s="51"/>
      <c r="BC233" s="51">
        <f t="shared" si="46"/>
        <v>12</v>
      </c>
      <c r="BD233" s="27" t="s">
        <v>4</v>
      </c>
    </row>
    <row r="234" spans="1:56" s="27" customFormat="1" ht="11.25" customHeight="1" x14ac:dyDescent="0.2">
      <c r="A234" s="51">
        <v>233</v>
      </c>
      <c r="B234" s="51"/>
      <c r="C234" s="27" t="s">
        <v>522</v>
      </c>
      <c r="D234" s="27">
        <v>3</v>
      </c>
      <c r="E234" s="27">
        <f t="shared" si="37"/>
        <v>41</v>
      </c>
      <c r="F234" s="71" t="str">
        <f>CONCATENATE("Hora Cátedra Enseñanza Media ",D234," hs Esc Esp")</f>
        <v>Hora Cátedra Enseñanza Media 3 hs Esc Esp</v>
      </c>
      <c r="G234" s="72">
        <f t="shared" si="47"/>
        <v>237</v>
      </c>
      <c r="H234" s="73">
        <f>INT((G234*Valores!$C$2*100))/100</f>
        <v>1630.13</v>
      </c>
      <c r="I234" s="112">
        <v>0</v>
      </c>
      <c r="J234" s="75">
        <f>INT((I234*Valores!$C$2*100)+0.5)/100</f>
        <v>0</v>
      </c>
      <c r="K234" s="102">
        <v>0</v>
      </c>
      <c r="L234" s="75">
        <f>INT((K234*Valores!$C$2*100)+0.5)/100</f>
        <v>0</v>
      </c>
      <c r="M234" s="100">
        <v>0</v>
      </c>
      <c r="N234" s="75">
        <f>INT((M234*Valores!$C$2*100)+0.5)/100</f>
        <v>0</v>
      </c>
      <c r="O234" s="75">
        <f t="shared" si="38"/>
        <v>294.73500000000001</v>
      </c>
      <c r="P234" s="75">
        <f t="shared" si="39"/>
        <v>0</v>
      </c>
      <c r="Q234" s="101">
        <f>Valores!$C$14*D234</f>
        <v>498.39</v>
      </c>
      <c r="R234" s="101">
        <f>IF(D234&lt;15,(Valores!$E$4*D234),Valores!$D$4)</f>
        <v>615.32999999999993</v>
      </c>
      <c r="S234" s="75">
        <v>0</v>
      </c>
      <c r="T234" s="78">
        <f>IF(Valores!$C$45*D234&gt;Valores!$C$43,Valores!$C$43,Valores!$C$45*D234)</f>
        <v>159.03</v>
      </c>
      <c r="U234" s="101">
        <f>Valores!$C$22*D234</f>
        <v>175.74</v>
      </c>
      <c r="V234" s="75">
        <f t="shared" si="33"/>
        <v>175.74</v>
      </c>
      <c r="W234" s="75">
        <v>0</v>
      </c>
      <c r="X234" s="75">
        <v>0</v>
      </c>
      <c r="Y234" s="118">
        <v>0</v>
      </c>
      <c r="Z234" s="75">
        <f>Y234*Valores!$C$2</f>
        <v>0</v>
      </c>
      <c r="AA234" s="75">
        <v>0</v>
      </c>
      <c r="AB234" s="80">
        <f>IF((Valores!$C$32)*D234&gt;Valores!$F$32,Valores!$F$32,(Valores!$C$32)*D234)</f>
        <v>19.98</v>
      </c>
      <c r="AC234" s="75">
        <f t="shared" si="42"/>
        <v>0</v>
      </c>
      <c r="AD234" s="75">
        <f>IF(Valores!$C$33*D234&gt;Valores!$F$33,Valores!$F$33,Valores!$C$33*D234)</f>
        <v>16.62</v>
      </c>
      <c r="AE234" s="79">
        <v>94</v>
      </c>
      <c r="AF234" s="75">
        <f>INT(((AE234*Valores!$C$2)*100)+0.5)/100</f>
        <v>646.54999999999995</v>
      </c>
      <c r="AG234" s="75">
        <f>IF(Valores!$D$58*'Escala Docente'!D234&gt;Valores!$F$58,Valores!$F$58,Valores!$D$58*'Escala Docente'!D234)</f>
        <v>67.59</v>
      </c>
      <c r="AH234" s="75">
        <f>IF(Valores!$D$60*D234&gt;Valores!$F$60,Valores!$F$60,Valores!$D$60*D234)</f>
        <v>19.32</v>
      </c>
      <c r="AI234" s="114">
        <f t="shared" si="43"/>
        <v>4143.4149999999991</v>
      </c>
      <c r="AJ234" s="101">
        <f>IF(Valores!$C$36*D234&gt;Valores!$F$36,Valores!$F$36,Valores!$C$36*D234)</f>
        <v>133.26</v>
      </c>
      <c r="AK234" s="78">
        <f>IF(Valores!$C$11*D234&gt;Valores!$F$11,Valores!$F$11,Valores!$C$11*D234)</f>
        <v>0</v>
      </c>
      <c r="AL234" s="78">
        <f>IF(Valores!$C$84*D234&gt;Valores!$C$83,Valores!$C$83,Valores!$C$84*D234)</f>
        <v>225</v>
      </c>
      <c r="AM234" s="80">
        <f>IF(Valores!$C$57*D234&gt;Valores!$F$57,Valores!$F$57,Valores!$C$57*D234)</f>
        <v>28.32</v>
      </c>
      <c r="AN234" s="82">
        <f t="shared" si="44"/>
        <v>358.26</v>
      </c>
      <c r="AO234" s="61">
        <f>AI234*-Valores!$C$65</f>
        <v>-538.6439499999999</v>
      </c>
      <c r="AP234" s="61">
        <f>AI234*-Valores!$C$66</f>
        <v>-20.717074999999994</v>
      </c>
      <c r="AQ234" s="77">
        <f>AI234*-Valores!$C$67</f>
        <v>-186.45367499999995</v>
      </c>
      <c r="AR234" s="77">
        <f>AI234*-Valores!$C$68</f>
        <v>-111.87220499999998</v>
      </c>
      <c r="AS234" s="77">
        <f>AI234*-Valores!$C$69</f>
        <v>-12.430244999999998</v>
      </c>
      <c r="AT234" s="81">
        <f t="shared" si="40"/>
        <v>3755.8603000000003</v>
      </c>
      <c r="AU234" s="81">
        <f t="shared" si="41"/>
        <v>3818.0115250000003</v>
      </c>
      <c r="AV234" s="77">
        <f>AI234*Valores!$C$71</f>
        <v>662.94639999999981</v>
      </c>
      <c r="AW234" s="77">
        <f>AI234*Valores!$C$72</f>
        <v>186.45367499999995</v>
      </c>
      <c r="AX234" s="77">
        <f>AI234*Valores!$C$73</f>
        <v>41.434149999999988</v>
      </c>
      <c r="AY234" s="77">
        <f>AI234*Valores!$C$75</f>
        <v>145.01952499999999</v>
      </c>
      <c r="AZ234" s="77">
        <f>AI234*Valores!$C$76</f>
        <v>24.860489999999995</v>
      </c>
      <c r="BA234" s="77">
        <f t="shared" si="45"/>
        <v>223.74440999999996</v>
      </c>
      <c r="BB234" s="51"/>
      <c r="BC234" s="85">
        <f t="shared" si="46"/>
        <v>12</v>
      </c>
      <c r="BD234" s="27" t="s">
        <v>4</v>
      </c>
    </row>
    <row r="235" spans="1:56" s="27" customFormat="1" ht="11.25" customHeight="1" x14ac:dyDescent="0.2">
      <c r="A235" s="51">
        <v>234</v>
      </c>
      <c r="B235" s="51"/>
      <c r="C235" s="27" t="s">
        <v>522</v>
      </c>
      <c r="D235" s="27">
        <v>4</v>
      </c>
      <c r="E235" s="27">
        <f t="shared" si="37"/>
        <v>33</v>
      </c>
      <c r="F235" s="71" t="str">
        <f>CONCATENATE("Hora Cátedra Enseñanza Media ",D235," hs")</f>
        <v>Hora Cátedra Enseñanza Media 4 hs</v>
      </c>
      <c r="G235" s="72">
        <f t="shared" si="47"/>
        <v>316</v>
      </c>
      <c r="H235" s="73">
        <f>INT((G235*Valores!$C$2*100))/100</f>
        <v>2173.5100000000002</v>
      </c>
      <c r="I235" s="112">
        <v>0</v>
      </c>
      <c r="J235" s="75">
        <f>INT((I235*Valores!$C$2*100)+0.5)/100</f>
        <v>0</v>
      </c>
      <c r="K235" s="102">
        <v>0</v>
      </c>
      <c r="L235" s="75">
        <f>INT((K235*Valores!$C$2*100)+0.5)/100</f>
        <v>0</v>
      </c>
      <c r="M235" s="100">
        <v>0</v>
      </c>
      <c r="N235" s="75">
        <f>INT((M235*Valores!$C$2*100)+0.5)/100</f>
        <v>0</v>
      </c>
      <c r="O235" s="75">
        <f t="shared" si="38"/>
        <v>392.98050000000006</v>
      </c>
      <c r="P235" s="75">
        <f t="shared" si="39"/>
        <v>0</v>
      </c>
      <c r="Q235" s="101">
        <f>Valores!$C$14*D235</f>
        <v>664.52</v>
      </c>
      <c r="R235" s="101">
        <f>IF(D235&lt;15,(Valores!$E$4*D235),Valores!$D$4)</f>
        <v>820.43999999999994</v>
      </c>
      <c r="S235" s="75">
        <v>0</v>
      </c>
      <c r="T235" s="78">
        <f>IF(Valores!$C$45*D235&gt;Valores!$C$43,Valores!$C$43,Valores!$C$45*D235)</f>
        <v>212.04</v>
      </c>
      <c r="U235" s="101">
        <f>Valores!$C$22*D235</f>
        <v>234.32</v>
      </c>
      <c r="V235" s="75">
        <f t="shared" si="33"/>
        <v>234.32</v>
      </c>
      <c r="W235" s="75">
        <v>0</v>
      </c>
      <c r="X235" s="75">
        <v>0</v>
      </c>
      <c r="Y235" s="118">
        <v>0</v>
      </c>
      <c r="Z235" s="75">
        <f>Y235*Valores!$C$2</f>
        <v>0</v>
      </c>
      <c r="AA235" s="75">
        <v>0</v>
      </c>
      <c r="AB235" s="80">
        <f>IF((Valores!$C$32)*D235&gt;Valores!$F$32,Valores!$F$32,(Valores!$C$32)*D235)</f>
        <v>26.64</v>
      </c>
      <c r="AC235" s="75">
        <f t="shared" si="42"/>
        <v>0</v>
      </c>
      <c r="AD235" s="75">
        <f>IF(Valores!$C$33*D235&gt;Valores!$F$33,Valores!$F$33,Valores!$C$33*D235)</f>
        <v>22.16</v>
      </c>
      <c r="AE235" s="79">
        <v>0</v>
      </c>
      <c r="AF235" s="75">
        <f>INT(((AE235*Valores!$C$2)*100)+0.5)/100</f>
        <v>0</v>
      </c>
      <c r="AG235" s="75">
        <f>IF(Valores!$D$58*'Escala Docente'!D235&gt;Valores!$F$58,Valores!$F$58,Valores!$D$58*'Escala Docente'!D235)</f>
        <v>90.12</v>
      </c>
      <c r="AH235" s="75">
        <f>IF(Valores!$D$60*D235&gt;Valores!$F$60,Valores!$F$60,Valores!$D$60*D235)</f>
        <v>25.76</v>
      </c>
      <c r="AI235" s="114">
        <f t="shared" si="43"/>
        <v>4662.4905000000008</v>
      </c>
      <c r="AJ235" s="101">
        <f>IF(Valores!$C$36*D235&gt;Valores!$F$36,Valores!$F$36,Valores!$C$36*D235)</f>
        <v>177.68</v>
      </c>
      <c r="AK235" s="78">
        <f>IF(Valores!$C$11*D235&gt;Valores!$F$11,Valores!$F$11,Valores!$C$11*D235)</f>
        <v>0</v>
      </c>
      <c r="AL235" s="78">
        <f>IF(Valores!$C$84*D235&gt;Valores!$C$83,Valores!$C$83,Valores!$C$84*D235)</f>
        <v>300</v>
      </c>
      <c r="AM235" s="80">
        <f>IF(Valores!$C$57*D235&gt;Valores!$F$57,Valores!$F$57,Valores!$C$57*D235)</f>
        <v>37.76</v>
      </c>
      <c r="AN235" s="82">
        <f t="shared" si="44"/>
        <v>477.68</v>
      </c>
      <c r="AO235" s="61">
        <f>AI235*-Valores!$C$65</f>
        <v>-606.12376500000016</v>
      </c>
      <c r="AP235" s="61">
        <f>AI235*-Valores!$C$66</f>
        <v>-23.312452500000003</v>
      </c>
      <c r="AQ235" s="77">
        <f>AI235*-Valores!$C$67</f>
        <v>-209.81207250000003</v>
      </c>
      <c r="AR235" s="77">
        <f>AI235*-Valores!$C$68</f>
        <v>-125.88724350000003</v>
      </c>
      <c r="AS235" s="77">
        <f>AI235*-Valores!$C$69</f>
        <v>-13.987471500000003</v>
      </c>
      <c r="AT235" s="81">
        <f t="shared" si="40"/>
        <v>4300.9222100000006</v>
      </c>
      <c r="AU235" s="81">
        <f t="shared" si="41"/>
        <v>4370.8595675000006</v>
      </c>
      <c r="AV235" s="77">
        <f>AI235*Valores!$C$71</f>
        <v>745.99848000000009</v>
      </c>
      <c r="AW235" s="77">
        <f>AI235*Valores!$C$72</f>
        <v>209.81207250000003</v>
      </c>
      <c r="AX235" s="77">
        <f>AI235*Valores!$C$73</f>
        <v>46.624905000000005</v>
      </c>
      <c r="AY235" s="77">
        <f>AI235*Valores!$C$75</f>
        <v>163.18716750000004</v>
      </c>
      <c r="AZ235" s="77">
        <f>AI235*Valores!$C$76</f>
        <v>27.974943000000007</v>
      </c>
      <c r="BA235" s="77">
        <f t="shared" si="45"/>
        <v>251.77448700000005</v>
      </c>
      <c r="BB235" s="51"/>
      <c r="BC235" s="51">
        <f t="shared" si="46"/>
        <v>16</v>
      </c>
      <c r="BD235" s="27" t="s">
        <v>4</v>
      </c>
    </row>
    <row r="236" spans="1:56" s="27" customFormat="1" ht="11.25" customHeight="1" x14ac:dyDescent="0.2">
      <c r="A236" s="85">
        <v>235</v>
      </c>
      <c r="B236" s="85" t="s">
        <v>163</v>
      </c>
      <c r="C236" s="86" t="s">
        <v>522</v>
      </c>
      <c r="D236" s="86">
        <v>4</v>
      </c>
      <c r="E236" s="86">
        <f t="shared" si="37"/>
        <v>41</v>
      </c>
      <c r="F236" s="87" t="str">
        <f>CONCATENATE("Hora Cátedra Enseñanza Media ",D236," hs Esc Esp")</f>
        <v>Hora Cátedra Enseñanza Media 4 hs Esc Esp</v>
      </c>
      <c r="G236" s="88">
        <f t="shared" si="47"/>
        <v>316</v>
      </c>
      <c r="H236" s="89">
        <f>INT((G236*Valores!$C$2*100))/100</f>
        <v>2173.5100000000002</v>
      </c>
      <c r="I236" s="103">
        <v>0</v>
      </c>
      <c r="J236" s="91">
        <f>INT((I236*Valores!$C$2*100)+0.5)/100</f>
        <v>0</v>
      </c>
      <c r="K236" s="104">
        <v>0</v>
      </c>
      <c r="L236" s="91">
        <f>INT((K236*Valores!$C$2*100)+0.5)/100</f>
        <v>0</v>
      </c>
      <c r="M236" s="105">
        <v>0</v>
      </c>
      <c r="N236" s="91">
        <f>INT((M236*Valores!$C$2*100)+0.5)/100</f>
        <v>0</v>
      </c>
      <c r="O236" s="91">
        <f t="shared" si="38"/>
        <v>392.98050000000006</v>
      </c>
      <c r="P236" s="91">
        <f t="shared" si="39"/>
        <v>0</v>
      </c>
      <c r="Q236" s="107">
        <f>Valores!$C$14*D236</f>
        <v>664.52</v>
      </c>
      <c r="R236" s="107">
        <f>IF(D236&lt;15,(Valores!$E$4*D236),Valores!$D$4)</f>
        <v>820.43999999999994</v>
      </c>
      <c r="S236" s="91">
        <v>0</v>
      </c>
      <c r="T236" s="94">
        <f>IF(Valores!$C$45*D236&gt;Valores!$C$43,Valores!$C$43,Valores!$C$45*D236)</f>
        <v>212.04</v>
      </c>
      <c r="U236" s="107">
        <f>Valores!$C$22*D236</f>
        <v>234.32</v>
      </c>
      <c r="V236" s="91">
        <f t="shared" si="33"/>
        <v>234.32</v>
      </c>
      <c r="W236" s="91">
        <v>0</v>
      </c>
      <c r="X236" s="91">
        <v>0</v>
      </c>
      <c r="Y236" s="119">
        <v>0</v>
      </c>
      <c r="Z236" s="91">
        <f>Y236*Valores!$C$2</f>
        <v>0</v>
      </c>
      <c r="AA236" s="91">
        <v>0</v>
      </c>
      <c r="AB236" s="96">
        <f>IF((Valores!$C$32)*D236&gt;Valores!$F$32,Valores!$F$32,(Valores!$C$32)*D236)</f>
        <v>26.64</v>
      </c>
      <c r="AC236" s="91">
        <f t="shared" si="42"/>
        <v>0</v>
      </c>
      <c r="AD236" s="91">
        <f>IF(Valores!$C$33*D236&gt;Valores!$F$33,Valores!$F$33,Valores!$C$33*D236)</f>
        <v>22.16</v>
      </c>
      <c r="AE236" s="95">
        <v>94</v>
      </c>
      <c r="AF236" s="91">
        <f>INT(((AE236*Valores!$C$2)*100)+0.5)/100</f>
        <v>646.54999999999995</v>
      </c>
      <c r="AG236" s="91">
        <f>IF(Valores!$D$58*'Escala Docente'!D236&gt;Valores!$F$58,Valores!$F$58,Valores!$D$58*'Escala Docente'!D236)</f>
        <v>90.12</v>
      </c>
      <c r="AH236" s="91">
        <f>IF(Valores!$D$60*D236&gt;Valores!$F$60,Valores!$F$60,Valores!$D$60*D236)</f>
        <v>25.76</v>
      </c>
      <c r="AI236" s="115">
        <f t="shared" si="43"/>
        <v>5309.040500000001</v>
      </c>
      <c r="AJ236" s="107">
        <f>IF(Valores!$C$36*D236&gt;Valores!$F$36,Valores!$F$36,Valores!$C$36*D236)</f>
        <v>177.68</v>
      </c>
      <c r="AK236" s="94">
        <f>IF(Valores!$C$11*D236&gt;Valores!$F$11,Valores!$F$11,Valores!$C$11*D236)</f>
        <v>0</v>
      </c>
      <c r="AL236" s="94">
        <f>IF(Valores!$C$84*D236&gt;Valores!$C$83,Valores!$C$83,Valores!$C$84*D236)</f>
        <v>300</v>
      </c>
      <c r="AM236" s="96">
        <f>IF(Valores!$C$57*D236&gt;Valores!$F$57,Valores!$F$57,Valores!$C$57*D236)</f>
        <v>37.76</v>
      </c>
      <c r="AN236" s="98">
        <f t="shared" si="44"/>
        <v>477.68</v>
      </c>
      <c r="AO236" s="116">
        <f>AI236*-Valores!$C$65</f>
        <v>-690.17526500000019</v>
      </c>
      <c r="AP236" s="116">
        <f>AI236*-Valores!$C$66</f>
        <v>-26.545202500000006</v>
      </c>
      <c r="AQ236" s="93">
        <f>AI236*-Valores!$C$67</f>
        <v>-238.90682250000003</v>
      </c>
      <c r="AR236" s="93">
        <f>AI236*-Valores!$C$68</f>
        <v>-143.34409350000001</v>
      </c>
      <c r="AS236" s="93">
        <f>AI236*-Valores!$C$69</f>
        <v>-15.927121500000004</v>
      </c>
      <c r="AT236" s="97">
        <f t="shared" si="40"/>
        <v>4831.0932100000009</v>
      </c>
      <c r="AU236" s="97">
        <f t="shared" si="41"/>
        <v>4910.7288175000012</v>
      </c>
      <c r="AV236" s="93">
        <f>AI236*Valores!$C$71</f>
        <v>849.44648000000018</v>
      </c>
      <c r="AW236" s="93">
        <f>AI236*Valores!$C$72</f>
        <v>238.90682250000003</v>
      </c>
      <c r="AX236" s="93">
        <f>AI236*Valores!$C$73</f>
        <v>53.090405000000011</v>
      </c>
      <c r="AY236" s="93">
        <f>AI236*Valores!$C$75</f>
        <v>185.81641750000006</v>
      </c>
      <c r="AZ236" s="93">
        <f>AI236*Valores!$C$76</f>
        <v>31.854243000000007</v>
      </c>
      <c r="BA236" s="93">
        <f t="shared" si="45"/>
        <v>286.68818700000008</v>
      </c>
      <c r="BB236" s="85"/>
      <c r="BC236" s="85">
        <f t="shared" si="46"/>
        <v>16</v>
      </c>
      <c r="BD236" s="86" t="s">
        <v>4</v>
      </c>
    </row>
    <row r="237" spans="1:56" s="27" customFormat="1" ht="11.25" customHeight="1" x14ac:dyDescent="0.2">
      <c r="A237" s="51">
        <v>236</v>
      </c>
      <c r="B237" s="51"/>
      <c r="C237" s="27" t="s">
        <v>522</v>
      </c>
      <c r="D237" s="27">
        <v>5</v>
      </c>
      <c r="E237" s="27">
        <f t="shared" si="37"/>
        <v>33</v>
      </c>
      <c r="F237" s="71" t="str">
        <f>CONCATENATE("Hora Cátedra Enseñanza Media ",D237," hs")</f>
        <v>Hora Cátedra Enseñanza Media 5 hs</v>
      </c>
      <c r="G237" s="72">
        <f t="shared" si="47"/>
        <v>395</v>
      </c>
      <c r="H237" s="73">
        <f>INT((G237*Valores!$C$2*100))/100</f>
        <v>2716.88</v>
      </c>
      <c r="I237" s="112">
        <v>0</v>
      </c>
      <c r="J237" s="75">
        <f>INT((I237*Valores!$C$2*100)+0.5)/100</f>
        <v>0</v>
      </c>
      <c r="K237" s="102">
        <v>0</v>
      </c>
      <c r="L237" s="75">
        <f>INT((K237*Valores!$C$2*100)+0.5)/100</f>
        <v>0</v>
      </c>
      <c r="M237" s="100">
        <v>0</v>
      </c>
      <c r="N237" s="75">
        <f>INT((M237*Valores!$C$2*100)+0.5)/100</f>
        <v>0</v>
      </c>
      <c r="O237" s="75">
        <f t="shared" si="38"/>
        <v>491.22450000000003</v>
      </c>
      <c r="P237" s="75">
        <f t="shared" si="39"/>
        <v>0</v>
      </c>
      <c r="Q237" s="101">
        <f>Valores!$C$14*D237</f>
        <v>830.65</v>
      </c>
      <c r="R237" s="101">
        <f>IF(D237&lt;15,(Valores!$E$4*D237),Valores!$D$4)</f>
        <v>1025.55</v>
      </c>
      <c r="S237" s="75">
        <v>0</v>
      </c>
      <c r="T237" s="78">
        <f>IF(Valores!$C$45*D237&gt;Valores!$C$43,Valores!$C$43,Valores!$C$45*D237)</f>
        <v>265.05</v>
      </c>
      <c r="U237" s="101">
        <f>Valores!$C$22*D237</f>
        <v>292.89999999999998</v>
      </c>
      <c r="V237" s="75">
        <f t="shared" si="33"/>
        <v>292.89999999999998</v>
      </c>
      <c r="W237" s="75">
        <v>0</v>
      </c>
      <c r="X237" s="75">
        <v>0</v>
      </c>
      <c r="Y237" s="118">
        <v>0</v>
      </c>
      <c r="Z237" s="75">
        <f>Y237*Valores!$C$2</f>
        <v>0</v>
      </c>
      <c r="AA237" s="75">
        <v>0</v>
      </c>
      <c r="AB237" s="80">
        <f>IF((Valores!$C$32)*D237&gt;Valores!$F$32,Valores!$F$32,(Valores!$C$32)*D237)</f>
        <v>33.299999999999997</v>
      </c>
      <c r="AC237" s="75">
        <f t="shared" si="42"/>
        <v>0</v>
      </c>
      <c r="AD237" s="75">
        <f>IF(Valores!$C$33*D237&gt;Valores!$F$33,Valores!$F$33,Valores!$C$33*D237)</f>
        <v>27.7</v>
      </c>
      <c r="AE237" s="79">
        <v>0</v>
      </c>
      <c r="AF237" s="75">
        <f>INT(((AE237*Valores!$C$2)*100)+0.5)/100</f>
        <v>0</v>
      </c>
      <c r="AG237" s="75">
        <f>IF(Valores!$D$58*'Escala Docente'!D237&gt;Valores!$F$58,Valores!$F$58,Valores!$D$58*'Escala Docente'!D237)</f>
        <v>112.65</v>
      </c>
      <c r="AH237" s="75">
        <f>IF(Valores!$D$60*D237&gt;Valores!$F$60,Valores!$F$60,Valores!$D$60*D237)</f>
        <v>32.200000000000003</v>
      </c>
      <c r="AI237" s="114">
        <f t="shared" si="43"/>
        <v>5828.1044999999995</v>
      </c>
      <c r="AJ237" s="101">
        <f>IF(Valores!$C$36*D237&gt;Valores!$F$36,Valores!$F$36,Valores!$C$36*D237)</f>
        <v>222.10000000000002</v>
      </c>
      <c r="AK237" s="78">
        <f>IF(Valores!$C$11*D237&gt;Valores!$F$11,Valores!$F$11,Valores!$C$11*D237)</f>
        <v>0</v>
      </c>
      <c r="AL237" s="78">
        <f>IF(Valores!$C$84*D237&gt;Valores!$C$83,Valores!$C$83,Valores!$C$84*D237)</f>
        <v>375</v>
      </c>
      <c r="AM237" s="80">
        <f>IF(Valores!$C$57*D237&gt;Valores!$F$57,Valores!$F$57,Valores!$C$57*D237)</f>
        <v>47.199999999999996</v>
      </c>
      <c r="AN237" s="82">
        <f t="shared" si="44"/>
        <v>597.1</v>
      </c>
      <c r="AO237" s="61">
        <f>AI237*-Valores!$C$65</f>
        <v>-757.65358499999991</v>
      </c>
      <c r="AP237" s="61">
        <f>AI237*-Valores!$C$66</f>
        <v>-29.140522499999999</v>
      </c>
      <c r="AQ237" s="77">
        <f>AI237*-Valores!$C$67</f>
        <v>-262.26470249999994</v>
      </c>
      <c r="AR237" s="77">
        <f>AI237*-Valores!$C$68</f>
        <v>-157.35882149999998</v>
      </c>
      <c r="AS237" s="77">
        <f>AI237*-Valores!$C$69</f>
        <v>-17.484313499999999</v>
      </c>
      <c r="AT237" s="81">
        <f t="shared" si="40"/>
        <v>5376.1456900000003</v>
      </c>
      <c r="AU237" s="81">
        <f t="shared" si="41"/>
        <v>5463.5672574999999</v>
      </c>
      <c r="AV237" s="77">
        <f>AI237*Valores!$C$71</f>
        <v>932.49671999999998</v>
      </c>
      <c r="AW237" s="77">
        <f>AI237*Valores!$C$72</f>
        <v>262.26470249999994</v>
      </c>
      <c r="AX237" s="77">
        <f>AI237*Valores!$C$73</f>
        <v>58.281044999999999</v>
      </c>
      <c r="AY237" s="77">
        <f>AI237*Valores!$C$75</f>
        <v>203.98365749999999</v>
      </c>
      <c r="AZ237" s="77">
        <f>AI237*Valores!$C$76</f>
        <v>34.968626999999998</v>
      </c>
      <c r="BA237" s="77">
        <f t="shared" si="45"/>
        <v>314.71764300000001</v>
      </c>
      <c r="BB237" s="51"/>
      <c r="BC237" s="51">
        <f t="shared" si="46"/>
        <v>20</v>
      </c>
      <c r="BD237" s="27" t="s">
        <v>4</v>
      </c>
    </row>
    <row r="238" spans="1:56" s="27" customFormat="1" ht="11.25" customHeight="1" x14ac:dyDescent="0.2">
      <c r="A238" s="51">
        <v>237</v>
      </c>
      <c r="B238" s="51"/>
      <c r="C238" s="27" t="s">
        <v>522</v>
      </c>
      <c r="D238" s="27">
        <v>5</v>
      </c>
      <c r="E238" s="27">
        <f t="shared" si="37"/>
        <v>41</v>
      </c>
      <c r="F238" s="71" t="str">
        <f>CONCATENATE("Hora Cátedra Enseñanza Media ",D238," hs Esc Esp")</f>
        <v>Hora Cátedra Enseñanza Media 5 hs Esc Esp</v>
      </c>
      <c r="G238" s="72">
        <f t="shared" si="47"/>
        <v>395</v>
      </c>
      <c r="H238" s="73">
        <f>INT((G238*Valores!$C$2*100))/100</f>
        <v>2716.88</v>
      </c>
      <c r="I238" s="112">
        <v>0</v>
      </c>
      <c r="J238" s="75">
        <f>INT((I238*Valores!$C$2*100)+0.5)/100</f>
        <v>0</v>
      </c>
      <c r="K238" s="102">
        <v>0</v>
      </c>
      <c r="L238" s="75">
        <f>INT((K238*Valores!$C$2*100)+0.5)/100</f>
        <v>0</v>
      </c>
      <c r="M238" s="100">
        <v>0</v>
      </c>
      <c r="N238" s="75">
        <f>INT((M238*Valores!$C$2*100)+0.5)/100</f>
        <v>0</v>
      </c>
      <c r="O238" s="75">
        <f t="shared" si="38"/>
        <v>491.22450000000003</v>
      </c>
      <c r="P238" s="75">
        <f t="shared" si="39"/>
        <v>0</v>
      </c>
      <c r="Q238" s="101">
        <f>Valores!$C$14*D238</f>
        <v>830.65</v>
      </c>
      <c r="R238" s="101">
        <f>IF(D238&lt;15,(Valores!$E$4*D238),Valores!$D$4)</f>
        <v>1025.55</v>
      </c>
      <c r="S238" s="75">
        <v>0</v>
      </c>
      <c r="T238" s="78">
        <f>IF(Valores!$C$45*D238&gt;Valores!$C$43,Valores!$C$43,Valores!$C$45*D238)</f>
        <v>265.05</v>
      </c>
      <c r="U238" s="101">
        <f>Valores!$C$22*D238</f>
        <v>292.89999999999998</v>
      </c>
      <c r="V238" s="75">
        <f t="shared" ref="V238:V301" si="48">U238*(1+$J$2)</f>
        <v>292.89999999999998</v>
      </c>
      <c r="W238" s="75">
        <v>0</v>
      </c>
      <c r="X238" s="75">
        <v>0</v>
      </c>
      <c r="Y238" s="118">
        <v>0</v>
      </c>
      <c r="Z238" s="75">
        <f>Y238*Valores!$C$2</f>
        <v>0</v>
      </c>
      <c r="AA238" s="75">
        <v>0</v>
      </c>
      <c r="AB238" s="80">
        <f>IF((Valores!$C$32)*D238&gt;Valores!$F$32,Valores!$F$32,(Valores!$C$32)*D238)</f>
        <v>33.299999999999997</v>
      </c>
      <c r="AC238" s="75">
        <f t="shared" si="42"/>
        <v>0</v>
      </c>
      <c r="AD238" s="75">
        <f>IF(Valores!$C$33*D238&gt;Valores!$F$33,Valores!$F$33,Valores!$C$33*D238)</f>
        <v>27.7</v>
      </c>
      <c r="AE238" s="79">
        <v>94</v>
      </c>
      <c r="AF238" s="75">
        <f>INT(((AE238*Valores!$C$2)*100)+0.5)/100</f>
        <v>646.54999999999995</v>
      </c>
      <c r="AG238" s="75">
        <f>IF(Valores!$D$58*'Escala Docente'!D238&gt;Valores!$F$58,Valores!$F$58,Valores!$D$58*'Escala Docente'!D238)</f>
        <v>112.65</v>
      </c>
      <c r="AH238" s="75">
        <f>IF(Valores!$D$60*D238&gt;Valores!$F$60,Valores!$F$60,Valores!$D$60*D238)</f>
        <v>32.200000000000003</v>
      </c>
      <c r="AI238" s="114">
        <f t="shared" si="43"/>
        <v>6474.6544999999996</v>
      </c>
      <c r="AJ238" s="101">
        <f>IF(Valores!$C$36*D238&gt;Valores!$F$36,Valores!$F$36,Valores!$C$36*D238)</f>
        <v>222.10000000000002</v>
      </c>
      <c r="AK238" s="78">
        <f>IF(Valores!$C$11*D238&gt;Valores!$F$11,Valores!$F$11,Valores!$C$11*D238)</f>
        <v>0</v>
      </c>
      <c r="AL238" s="78">
        <f>IF(Valores!$C$84*D238&gt;Valores!$C$83,Valores!$C$83,Valores!$C$84*D238)</f>
        <v>375</v>
      </c>
      <c r="AM238" s="80">
        <f>IF(Valores!$C$57*D238&gt;Valores!$F$57,Valores!$F$57,Valores!$C$57*D238)</f>
        <v>47.199999999999996</v>
      </c>
      <c r="AN238" s="82">
        <f t="shared" si="44"/>
        <v>597.1</v>
      </c>
      <c r="AO238" s="61">
        <f>AI238*-Valores!$C$65</f>
        <v>-841.70508499999994</v>
      </c>
      <c r="AP238" s="61">
        <f>AI238*-Valores!$C$66</f>
        <v>-32.373272499999999</v>
      </c>
      <c r="AQ238" s="77">
        <f>AI238*-Valores!$C$67</f>
        <v>-291.35945249999997</v>
      </c>
      <c r="AR238" s="77">
        <f>AI238*-Valores!$C$68</f>
        <v>-174.81567149999998</v>
      </c>
      <c r="AS238" s="77">
        <f>AI238*-Valores!$C$69</f>
        <v>-19.423963499999999</v>
      </c>
      <c r="AT238" s="81">
        <f t="shared" si="40"/>
        <v>5906.3166900000006</v>
      </c>
      <c r="AU238" s="81">
        <f t="shared" si="41"/>
        <v>6003.4365075000005</v>
      </c>
      <c r="AV238" s="77">
        <f>AI238*Valores!$C$71</f>
        <v>1035.94472</v>
      </c>
      <c r="AW238" s="77">
        <f>AI238*Valores!$C$72</f>
        <v>291.35945249999997</v>
      </c>
      <c r="AX238" s="77">
        <f>AI238*Valores!$C$73</f>
        <v>64.746544999999998</v>
      </c>
      <c r="AY238" s="77">
        <f>AI238*Valores!$C$75</f>
        <v>226.61290750000001</v>
      </c>
      <c r="AZ238" s="77">
        <f>AI238*Valores!$C$76</f>
        <v>38.847926999999999</v>
      </c>
      <c r="BA238" s="77">
        <f t="shared" si="45"/>
        <v>349.63134299999996</v>
      </c>
      <c r="BB238" s="51"/>
      <c r="BC238" s="51">
        <f t="shared" si="46"/>
        <v>20</v>
      </c>
      <c r="BD238" s="27" t="s">
        <v>4</v>
      </c>
    </row>
    <row r="239" spans="1:56" s="27" customFormat="1" ht="11.25" customHeight="1" x14ac:dyDescent="0.2">
      <c r="A239" s="51">
        <v>238</v>
      </c>
      <c r="B239" s="51"/>
      <c r="C239" s="27" t="s">
        <v>522</v>
      </c>
      <c r="D239" s="27">
        <v>6</v>
      </c>
      <c r="E239" s="27">
        <f t="shared" si="37"/>
        <v>33</v>
      </c>
      <c r="F239" s="71" t="str">
        <f>CONCATENATE("Hora Cátedra Enseñanza Media ",D239," hs")</f>
        <v>Hora Cátedra Enseñanza Media 6 hs</v>
      </c>
      <c r="G239" s="72">
        <f t="shared" si="47"/>
        <v>474</v>
      </c>
      <c r="H239" s="73">
        <f>INT((G239*Valores!$C$2*100))/100</f>
        <v>3260.26</v>
      </c>
      <c r="I239" s="112">
        <v>0</v>
      </c>
      <c r="J239" s="75">
        <f>INT((I239*Valores!$C$2*100)+0.5)/100</f>
        <v>0</v>
      </c>
      <c r="K239" s="102">
        <v>0</v>
      </c>
      <c r="L239" s="75">
        <f>INT((K239*Valores!$C$2*100)+0.5)/100</f>
        <v>0</v>
      </c>
      <c r="M239" s="100">
        <v>0</v>
      </c>
      <c r="N239" s="75">
        <f>INT((M239*Valores!$C$2*100)+0.5)/100</f>
        <v>0</v>
      </c>
      <c r="O239" s="75">
        <f t="shared" si="38"/>
        <v>589.47</v>
      </c>
      <c r="P239" s="75">
        <f t="shared" si="39"/>
        <v>0</v>
      </c>
      <c r="Q239" s="101">
        <f>Valores!$C$14*D239</f>
        <v>996.78</v>
      </c>
      <c r="R239" s="101">
        <f>IF(D239&lt;15,(Valores!$E$4*D239),Valores!$D$4)</f>
        <v>1230.6599999999999</v>
      </c>
      <c r="S239" s="75">
        <v>0</v>
      </c>
      <c r="T239" s="78">
        <f>IF(Valores!$C$45*D239&gt;Valores!$C$43,Valores!$C$43,Valores!$C$45*D239)</f>
        <v>318.06</v>
      </c>
      <c r="U239" s="101">
        <f>Valores!$C$22*D239</f>
        <v>351.48</v>
      </c>
      <c r="V239" s="75">
        <f t="shared" si="48"/>
        <v>351.48</v>
      </c>
      <c r="W239" s="75">
        <v>0</v>
      </c>
      <c r="X239" s="75">
        <v>0</v>
      </c>
      <c r="Y239" s="118">
        <v>0</v>
      </c>
      <c r="Z239" s="75">
        <f>Y239*Valores!$C$2</f>
        <v>0</v>
      </c>
      <c r="AA239" s="75">
        <v>0</v>
      </c>
      <c r="AB239" s="80">
        <f>IF((Valores!$C$32)*D239&gt;Valores!$F$32,Valores!$F$32,(Valores!$C$32)*D239)</f>
        <v>39.96</v>
      </c>
      <c r="AC239" s="75">
        <f t="shared" si="42"/>
        <v>0</v>
      </c>
      <c r="AD239" s="75">
        <f>IF(Valores!$C$33*D239&gt;Valores!$F$33,Valores!$F$33,Valores!$C$33*D239)</f>
        <v>33.24</v>
      </c>
      <c r="AE239" s="79">
        <v>0</v>
      </c>
      <c r="AF239" s="75">
        <f>INT(((AE239*Valores!$C$2)*100)+0.5)/100</f>
        <v>0</v>
      </c>
      <c r="AG239" s="75">
        <f>IF(Valores!$D$58*'Escala Docente'!D239&gt;Valores!$F$58,Valores!$F$58,Valores!$D$58*'Escala Docente'!D239)</f>
        <v>135.18</v>
      </c>
      <c r="AH239" s="75">
        <f>IF(Valores!$D$60*D239&gt;Valores!$F$60,Valores!$F$60,Valores!$D$60*D239)</f>
        <v>38.64</v>
      </c>
      <c r="AI239" s="114">
        <f t="shared" si="43"/>
        <v>6993.7300000000005</v>
      </c>
      <c r="AJ239" s="101">
        <f>IF(Valores!$C$36*D239&gt;Valores!$F$36,Valores!$F$36,Valores!$C$36*D239)</f>
        <v>266.52</v>
      </c>
      <c r="AK239" s="78">
        <f>IF(Valores!$C$11*D239&gt;Valores!$F$11,Valores!$F$11,Valores!$C$11*D239)</f>
        <v>0</v>
      </c>
      <c r="AL239" s="78">
        <f>IF(Valores!$C$84*D239&gt;Valores!$C$83,Valores!$C$83,Valores!$C$84*D239)</f>
        <v>450</v>
      </c>
      <c r="AM239" s="80">
        <f>IF(Valores!$C$57*D239&gt;Valores!$F$57,Valores!$F$57,Valores!$C$57*D239)</f>
        <v>56.64</v>
      </c>
      <c r="AN239" s="82">
        <f t="shared" si="44"/>
        <v>716.52</v>
      </c>
      <c r="AO239" s="61">
        <f>AI239*-Valores!$C$65</f>
        <v>-909.18490000000008</v>
      </c>
      <c r="AP239" s="61">
        <f>AI239*-Valores!$C$66</f>
        <v>-34.968650000000004</v>
      </c>
      <c r="AQ239" s="77">
        <f>AI239*-Valores!$C$67</f>
        <v>-314.71785</v>
      </c>
      <c r="AR239" s="77">
        <f>AI239*-Valores!$C$68</f>
        <v>-188.83071000000001</v>
      </c>
      <c r="AS239" s="77">
        <f>AI239*-Valores!$C$69</f>
        <v>-20.981190000000002</v>
      </c>
      <c r="AT239" s="81">
        <f t="shared" si="40"/>
        <v>6451.3786</v>
      </c>
      <c r="AU239" s="81">
        <f t="shared" si="41"/>
        <v>6556.2845499999994</v>
      </c>
      <c r="AV239" s="77">
        <f>AI239*Valores!$C$71</f>
        <v>1118.9968000000001</v>
      </c>
      <c r="AW239" s="77">
        <f>AI239*Valores!$C$72</f>
        <v>314.71785</v>
      </c>
      <c r="AX239" s="77">
        <f>AI239*Valores!$C$73</f>
        <v>69.937300000000008</v>
      </c>
      <c r="AY239" s="77">
        <f>AI239*Valores!$C$75</f>
        <v>244.78055000000003</v>
      </c>
      <c r="AZ239" s="77">
        <f>AI239*Valores!$C$76</f>
        <v>41.962380000000003</v>
      </c>
      <c r="BA239" s="77">
        <f t="shared" si="45"/>
        <v>377.66142000000008</v>
      </c>
      <c r="BB239" s="51"/>
      <c r="BC239" s="85">
        <f t="shared" si="46"/>
        <v>24</v>
      </c>
      <c r="BD239" s="27" t="s">
        <v>4</v>
      </c>
    </row>
    <row r="240" spans="1:56" s="27" customFormat="1" ht="11.25" customHeight="1" x14ac:dyDescent="0.2">
      <c r="A240" s="51">
        <v>239</v>
      </c>
      <c r="B240" s="51"/>
      <c r="C240" s="27" t="s">
        <v>522</v>
      </c>
      <c r="D240" s="27">
        <v>6</v>
      </c>
      <c r="E240" s="27">
        <f t="shared" si="37"/>
        <v>41</v>
      </c>
      <c r="F240" s="71" t="str">
        <f>CONCATENATE("Hora Cátedra Enseñanza Media ",D240," hs Esc Esp")</f>
        <v>Hora Cátedra Enseñanza Media 6 hs Esc Esp</v>
      </c>
      <c r="G240" s="72">
        <f t="shared" si="47"/>
        <v>474</v>
      </c>
      <c r="H240" s="73">
        <f>INT((G240*Valores!$C$2*100))/100</f>
        <v>3260.26</v>
      </c>
      <c r="I240" s="112">
        <v>0</v>
      </c>
      <c r="J240" s="75">
        <f>INT((I240*Valores!$C$2*100)+0.5)/100</f>
        <v>0</v>
      </c>
      <c r="K240" s="102">
        <v>0</v>
      </c>
      <c r="L240" s="75">
        <f>INT((K240*Valores!$C$2*100)+0.5)/100</f>
        <v>0</v>
      </c>
      <c r="M240" s="100">
        <v>0</v>
      </c>
      <c r="N240" s="75">
        <f>INT((M240*Valores!$C$2*100)+0.5)/100</f>
        <v>0</v>
      </c>
      <c r="O240" s="75">
        <f t="shared" si="38"/>
        <v>589.47</v>
      </c>
      <c r="P240" s="75">
        <f t="shared" si="39"/>
        <v>0</v>
      </c>
      <c r="Q240" s="101">
        <f>Valores!$C$14*D240</f>
        <v>996.78</v>
      </c>
      <c r="R240" s="101">
        <f>IF(D240&lt;15,(Valores!$E$4*D240),Valores!$D$4)</f>
        <v>1230.6599999999999</v>
      </c>
      <c r="S240" s="75">
        <v>0</v>
      </c>
      <c r="T240" s="78">
        <f>IF(Valores!$C$45*D240&gt;Valores!$C$43,Valores!$C$43,Valores!$C$45*D240)</f>
        <v>318.06</v>
      </c>
      <c r="U240" s="101">
        <f>Valores!$C$22*D240</f>
        <v>351.48</v>
      </c>
      <c r="V240" s="75">
        <f t="shared" si="48"/>
        <v>351.48</v>
      </c>
      <c r="W240" s="75">
        <v>0</v>
      </c>
      <c r="X240" s="75">
        <v>0</v>
      </c>
      <c r="Y240" s="118">
        <v>0</v>
      </c>
      <c r="Z240" s="75">
        <f>Y240*Valores!$C$2</f>
        <v>0</v>
      </c>
      <c r="AA240" s="75">
        <v>0</v>
      </c>
      <c r="AB240" s="80">
        <f>IF((Valores!$C$32)*D240&gt;Valores!$F$32,Valores!$F$32,(Valores!$C$32)*D240)</f>
        <v>39.96</v>
      </c>
      <c r="AC240" s="75">
        <f t="shared" si="42"/>
        <v>0</v>
      </c>
      <c r="AD240" s="75">
        <f>IF(Valores!$C$33*D240&gt;Valores!$F$33,Valores!$F$33,Valores!$C$33*D240)</f>
        <v>33.24</v>
      </c>
      <c r="AE240" s="79">
        <v>94</v>
      </c>
      <c r="AF240" s="75">
        <f>INT(((AE240*Valores!$C$2)*100)+0.5)/100</f>
        <v>646.54999999999995</v>
      </c>
      <c r="AG240" s="75">
        <f>IF(Valores!$D$58*'Escala Docente'!D240&gt;Valores!$F$58,Valores!$F$58,Valores!$D$58*'Escala Docente'!D240)</f>
        <v>135.18</v>
      </c>
      <c r="AH240" s="75">
        <f>IF(Valores!$D$60*D240&gt;Valores!$F$60,Valores!$F$60,Valores!$D$60*D240)</f>
        <v>38.64</v>
      </c>
      <c r="AI240" s="114">
        <f t="shared" si="43"/>
        <v>7640.2800000000007</v>
      </c>
      <c r="AJ240" s="101">
        <f>IF(Valores!$C$36*D240&gt;Valores!$F$36,Valores!$F$36,Valores!$C$36*D240)</f>
        <v>266.52</v>
      </c>
      <c r="AK240" s="78">
        <f>IF(Valores!$C$11*D240&gt;Valores!$F$11,Valores!$F$11,Valores!$C$11*D240)</f>
        <v>0</v>
      </c>
      <c r="AL240" s="78">
        <f>IF(Valores!$C$84*D240&gt;Valores!$C$83,Valores!$C$83,Valores!$C$84*D240)</f>
        <v>450</v>
      </c>
      <c r="AM240" s="80">
        <f>IF(Valores!$C$57*D240&gt;Valores!$F$57,Valores!$F$57,Valores!$C$57*D240)</f>
        <v>56.64</v>
      </c>
      <c r="AN240" s="82">
        <f t="shared" si="44"/>
        <v>716.52</v>
      </c>
      <c r="AO240" s="61">
        <f>AI240*-Valores!$C$65</f>
        <v>-993.23640000000012</v>
      </c>
      <c r="AP240" s="61">
        <f>AI240*-Valores!$C$66</f>
        <v>-38.201400000000007</v>
      </c>
      <c r="AQ240" s="77">
        <f>AI240*-Valores!$C$67</f>
        <v>-343.81260000000003</v>
      </c>
      <c r="AR240" s="77">
        <f>AI240*-Valores!$C$68</f>
        <v>-206.28756000000001</v>
      </c>
      <c r="AS240" s="77">
        <f>AI240*-Valores!$C$69</f>
        <v>-22.920840000000002</v>
      </c>
      <c r="AT240" s="81">
        <f t="shared" si="40"/>
        <v>6981.5496000000012</v>
      </c>
      <c r="AU240" s="81">
        <f t="shared" si="41"/>
        <v>7096.1538000000019</v>
      </c>
      <c r="AV240" s="77">
        <f>AI240*Valores!$C$71</f>
        <v>1222.4448000000002</v>
      </c>
      <c r="AW240" s="77">
        <f>AI240*Valores!$C$72</f>
        <v>343.81260000000003</v>
      </c>
      <c r="AX240" s="77">
        <f>AI240*Valores!$C$73</f>
        <v>76.402800000000013</v>
      </c>
      <c r="AY240" s="77">
        <f>AI240*Valores!$C$75</f>
        <v>267.40980000000008</v>
      </c>
      <c r="AZ240" s="77">
        <f>AI240*Valores!$C$76</f>
        <v>45.841680000000004</v>
      </c>
      <c r="BA240" s="77">
        <f t="shared" si="45"/>
        <v>412.57512000000008</v>
      </c>
      <c r="BB240" s="51"/>
      <c r="BC240" s="51">
        <f t="shared" si="46"/>
        <v>24</v>
      </c>
      <c r="BD240" s="27" t="s">
        <v>4</v>
      </c>
    </row>
    <row r="241" spans="1:56" s="27" customFormat="1" ht="11.25" customHeight="1" x14ac:dyDescent="0.2">
      <c r="A241" s="85">
        <v>240</v>
      </c>
      <c r="B241" s="85" t="s">
        <v>163</v>
      </c>
      <c r="C241" s="86" t="s">
        <v>522</v>
      </c>
      <c r="D241" s="86">
        <v>7</v>
      </c>
      <c r="E241" s="86">
        <f t="shared" si="37"/>
        <v>33</v>
      </c>
      <c r="F241" s="87" t="str">
        <f>CONCATENATE("Hora Cátedra Enseñanza Media ",D241," hs")</f>
        <v>Hora Cátedra Enseñanza Media 7 hs</v>
      </c>
      <c r="G241" s="88">
        <f t="shared" si="47"/>
        <v>553</v>
      </c>
      <c r="H241" s="89">
        <f>INT((G241*Valores!$C$2*100))/100</f>
        <v>3803.64</v>
      </c>
      <c r="I241" s="103">
        <v>0</v>
      </c>
      <c r="J241" s="91">
        <f>INT((I241*Valores!$C$2*100)+0.5)/100</f>
        <v>0</v>
      </c>
      <c r="K241" s="104">
        <v>0</v>
      </c>
      <c r="L241" s="91">
        <f>INT((K241*Valores!$C$2*100)+0.5)/100</f>
        <v>0</v>
      </c>
      <c r="M241" s="105">
        <v>0</v>
      </c>
      <c r="N241" s="91">
        <f>INT((M241*Valores!$C$2*100)+0.5)/100</f>
        <v>0</v>
      </c>
      <c r="O241" s="91">
        <f t="shared" si="38"/>
        <v>687.71549999999991</v>
      </c>
      <c r="P241" s="91">
        <f t="shared" si="39"/>
        <v>0</v>
      </c>
      <c r="Q241" s="107">
        <f>Valores!$C$14*D241</f>
        <v>1162.9099999999999</v>
      </c>
      <c r="R241" s="107">
        <f>IF(D241&lt;15,(Valores!$E$4*D241),Valores!$D$4)</f>
        <v>1435.77</v>
      </c>
      <c r="S241" s="91">
        <v>0</v>
      </c>
      <c r="T241" s="94">
        <f>IF(Valores!$C$45*D241&gt;Valores!$C$43,Valores!$C$43,Valores!$C$45*D241)</f>
        <v>371.07</v>
      </c>
      <c r="U241" s="107">
        <f>Valores!$C$22*D241</f>
        <v>410.06</v>
      </c>
      <c r="V241" s="91">
        <f t="shared" si="48"/>
        <v>410.06</v>
      </c>
      <c r="W241" s="91">
        <v>0</v>
      </c>
      <c r="X241" s="91">
        <v>0</v>
      </c>
      <c r="Y241" s="119">
        <v>0</v>
      </c>
      <c r="Z241" s="91">
        <f>Y241*Valores!$C$2</f>
        <v>0</v>
      </c>
      <c r="AA241" s="91">
        <v>0</v>
      </c>
      <c r="AB241" s="96">
        <f>IF((Valores!$C$32)*D241&gt;Valores!$F$32,Valores!$F$32,(Valores!$C$32)*D241)</f>
        <v>46.620000000000005</v>
      </c>
      <c r="AC241" s="91">
        <f t="shared" si="42"/>
        <v>0</v>
      </c>
      <c r="AD241" s="91">
        <f>IF(Valores!$C$33*D241&gt;Valores!$F$33,Valores!$F$33,Valores!$C$33*D241)</f>
        <v>38.78</v>
      </c>
      <c r="AE241" s="95">
        <v>0</v>
      </c>
      <c r="AF241" s="91">
        <f>INT(((AE241*Valores!$C$2)*100)+0.5)/100</f>
        <v>0</v>
      </c>
      <c r="AG241" s="91">
        <f>IF(Valores!$D$58*'Escala Docente'!D241&gt;Valores!$F$58,Valores!$F$58,Valores!$D$58*'Escala Docente'!D241)</f>
        <v>157.71</v>
      </c>
      <c r="AH241" s="91">
        <f>IF(Valores!$D$60*D241&gt;Valores!$F$60,Valores!$F$60,Valores!$D$60*D241)</f>
        <v>45.080000000000005</v>
      </c>
      <c r="AI241" s="115">
        <f t="shared" si="43"/>
        <v>8159.3554999999997</v>
      </c>
      <c r="AJ241" s="107">
        <f>IF(Valores!$C$36*D241&gt;Valores!$F$36,Valores!$F$36,Valores!$C$36*D241)</f>
        <v>310.94</v>
      </c>
      <c r="AK241" s="94">
        <f>IF(Valores!$C$11*D241&gt;Valores!$F$11,Valores!$F$11,Valores!$C$11*D241)</f>
        <v>0</v>
      </c>
      <c r="AL241" s="94">
        <f>IF(Valores!$C$84*D241&gt;Valores!$C$83,Valores!$C$83,Valores!$C$84*D241)</f>
        <v>525</v>
      </c>
      <c r="AM241" s="96">
        <f>IF(Valores!$C$57*D241&gt;Valores!$F$57,Valores!$F$57,Valores!$C$57*D241)</f>
        <v>66.08</v>
      </c>
      <c r="AN241" s="98">
        <f t="shared" si="44"/>
        <v>835.94</v>
      </c>
      <c r="AO241" s="116">
        <f>AI241*-Valores!$C$65</f>
        <v>-1060.7162149999999</v>
      </c>
      <c r="AP241" s="116">
        <f>AI241*-Valores!$C$66</f>
        <v>-40.796777499999997</v>
      </c>
      <c r="AQ241" s="93">
        <f>AI241*-Valores!$C$67</f>
        <v>-367.1709975</v>
      </c>
      <c r="AR241" s="93">
        <f>AI241*-Valores!$C$68</f>
        <v>-220.30259849999999</v>
      </c>
      <c r="AS241" s="93">
        <f>AI241*-Valores!$C$69</f>
        <v>-24.478066500000001</v>
      </c>
      <c r="AT241" s="97">
        <f t="shared" si="40"/>
        <v>7526.6115100000006</v>
      </c>
      <c r="AU241" s="97">
        <f t="shared" si="41"/>
        <v>7649.0018424999998</v>
      </c>
      <c r="AV241" s="93">
        <f>AI241*Valores!$C$71</f>
        <v>1305.4968799999999</v>
      </c>
      <c r="AW241" s="93">
        <f>AI241*Valores!$C$72</f>
        <v>367.1709975</v>
      </c>
      <c r="AX241" s="93">
        <f>AI241*Valores!$C$73</f>
        <v>81.593554999999995</v>
      </c>
      <c r="AY241" s="93">
        <f>AI241*Valores!$C$75</f>
        <v>285.57744250000002</v>
      </c>
      <c r="AZ241" s="93">
        <f>AI241*Valores!$C$76</f>
        <v>48.956133000000001</v>
      </c>
      <c r="BA241" s="93">
        <f t="shared" si="45"/>
        <v>440.60519700000003</v>
      </c>
      <c r="BB241" s="85"/>
      <c r="BC241" s="85">
        <f t="shared" si="46"/>
        <v>28</v>
      </c>
      <c r="BD241" s="86" t="s">
        <v>4</v>
      </c>
    </row>
    <row r="242" spans="1:56" s="27" customFormat="1" ht="11.25" customHeight="1" x14ac:dyDescent="0.2">
      <c r="A242" s="51">
        <v>241</v>
      </c>
      <c r="B242" s="51"/>
      <c r="C242" s="27" t="s">
        <v>522</v>
      </c>
      <c r="D242" s="27">
        <v>7</v>
      </c>
      <c r="E242" s="27">
        <f t="shared" si="37"/>
        <v>41</v>
      </c>
      <c r="F242" s="71" t="str">
        <f>CONCATENATE("Hora Cátedra Enseñanza Media ",D242," hs Esc Esp")</f>
        <v>Hora Cátedra Enseñanza Media 7 hs Esc Esp</v>
      </c>
      <c r="G242" s="72">
        <f t="shared" si="47"/>
        <v>553</v>
      </c>
      <c r="H242" s="73">
        <f>INT((G242*Valores!$C$2*100))/100</f>
        <v>3803.64</v>
      </c>
      <c r="I242" s="112">
        <v>0</v>
      </c>
      <c r="J242" s="75">
        <f>INT((I242*Valores!$C$2*100)+0.5)/100</f>
        <v>0</v>
      </c>
      <c r="K242" s="102">
        <v>0</v>
      </c>
      <c r="L242" s="75">
        <f>INT((K242*Valores!$C$2*100)+0.5)/100</f>
        <v>0</v>
      </c>
      <c r="M242" s="100">
        <v>0</v>
      </c>
      <c r="N242" s="75">
        <f>INT((M242*Valores!$C$2*100)+0.5)/100</f>
        <v>0</v>
      </c>
      <c r="O242" s="75">
        <f t="shared" si="38"/>
        <v>687.71549999999991</v>
      </c>
      <c r="P242" s="75">
        <f t="shared" si="39"/>
        <v>0</v>
      </c>
      <c r="Q242" s="101">
        <f>Valores!$C$14*D242</f>
        <v>1162.9099999999999</v>
      </c>
      <c r="R242" s="101">
        <f>IF(D242&lt;15,(Valores!$E$4*D242),Valores!$D$4)</f>
        <v>1435.77</v>
      </c>
      <c r="S242" s="75">
        <v>0</v>
      </c>
      <c r="T242" s="78">
        <f>IF(Valores!$C$45*D242&gt;Valores!$C$43,Valores!$C$43,Valores!$C$45*D242)</f>
        <v>371.07</v>
      </c>
      <c r="U242" s="101">
        <f>Valores!$C$22*D242</f>
        <v>410.06</v>
      </c>
      <c r="V242" s="75">
        <f t="shared" si="48"/>
        <v>410.06</v>
      </c>
      <c r="W242" s="75">
        <v>0</v>
      </c>
      <c r="X242" s="75">
        <v>0</v>
      </c>
      <c r="Y242" s="118">
        <v>0</v>
      </c>
      <c r="Z242" s="75">
        <f>Y242*Valores!$C$2</f>
        <v>0</v>
      </c>
      <c r="AA242" s="75">
        <v>0</v>
      </c>
      <c r="AB242" s="80">
        <f>IF((Valores!$C$32)*D242&gt;Valores!$F$32,Valores!$F$32,(Valores!$C$32)*D242)</f>
        <v>46.620000000000005</v>
      </c>
      <c r="AC242" s="75">
        <f t="shared" si="42"/>
        <v>0</v>
      </c>
      <c r="AD242" s="75">
        <f>IF(Valores!$C$33*D242&gt;Valores!$F$33,Valores!$F$33,Valores!$C$33*D242)</f>
        <v>38.78</v>
      </c>
      <c r="AE242" s="79">
        <v>94</v>
      </c>
      <c r="AF242" s="75">
        <f>INT(((AE242*Valores!$C$2)*100)+0.5)/100</f>
        <v>646.54999999999995</v>
      </c>
      <c r="AG242" s="75">
        <f>IF(Valores!$D$58*'Escala Docente'!D242&gt;Valores!$F$58,Valores!$F$58,Valores!$D$58*'Escala Docente'!D242)</f>
        <v>157.71</v>
      </c>
      <c r="AH242" s="75">
        <f>IF(Valores!$D$60*D242&gt;Valores!$F$60,Valores!$F$60,Valores!$D$60*D242)</f>
        <v>45.080000000000005</v>
      </c>
      <c r="AI242" s="114">
        <f t="shared" si="43"/>
        <v>8805.9054999999989</v>
      </c>
      <c r="AJ242" s="101">
        <f>IF(Valores!$C$36*D242&gt;Valores!$F$36,Valores!$F$36,Valores!$C$36*D242)</f>
        <v>310.94</v>
      </c>
      <c r="AK242" s="78">
        <f>IF(Valores!$C$11*D242&gt;Valores!$F$11,Valores!$F$11,Valores!$C$11*D242)</f>
        <v>0</v>
      </c>
      <c r="AL242" s="78">
        <f>IF(Valores!$C$84*D242&gt;Valores!$C$83,Valores!$C$83,Valores!$C$84*D242)</f>
        <v>525</v>
      </c>
      <c r="AM242" s="80">
        <f>IF(Valores!$C$57*D242&gt;Valores!$F$57,Valores!$F$57,Valores!$C$57*D242)</f>
        <v>66.08</v>
      </c>
      <c r="AN242" s="82">
        <f t="shared" si="44"/>
        <v>835.94</v>
      </c>
      <c r="AO242" s="61">
        <f>AI242*-Valores!$C$65</f>
        <v>-1144.767715</v>
      </c>
      <c r="AP242" s="61">
        <f>AI242*-Valores!$C$66</f>
        <v>-44.029527499999993</v>
      </c>
      <c r="AQ242" s="77">
        <f>AI242*-Valores!$C$67</f>
        <v>-396.26574749999992</v>
      </c>
      <c r="AR242" s="77">
        <f>AI242*-Valores!$C$68</f>
        <v>-237.75944849999996</v>
      </c>
      <c r="AS242" s="77">
        <f>AI242*-Valores!$C$69</f>
        <v>-26.417716499999997</v>
      </c>
      <c r="AT242" s="81">
        <f t="shared" si="40"/>
        <v>8056.7825099999991</v>
      </c>
      <c r="AU242" s="81">
        <f t="shared" si="41"/>
        <v>8188.8710924999996</v>
      </c>
      <c r="AV242" s="77">
        <f>AI242*Valores!$C$71</f>
        <v>1408.9448799999998</v>
      </c>
      <c r="AW242" s="77">
        <f>AI242*Valores!$C$72</f>
        <v>396.26574749999992</v>
      </c>
      <c r="AX242" s="77">
        <f>AI242*Valores!$C$73</f>
        <v>88.059054999999987</v>
      </c>
      <c r="AY242" s="77">
        <f>AI242*Valores!$C$75</f>
        <v>308.20669249999997</v>
      </c>
      <c r="AZ242" s="77">
        <f>AI242*Valores!$C$76</f>
        <v>52.835432999999995</v>
      </c>
      <c r="BA242" s="77">
        <f t="shared" si="45"/>
        <v>475.51889699999998</v>
      </c>
      <c r="BB242" s="51"/>
      <c r="BC242" s="51">
        <f t="shared" si="46"/>
        <v>28</v>
      </c>
      <c r="BD242" s="27" t="s">
        <v>4</v>
      </c>
    </row>
    <row r="243" spans="1:56" s="27" customFormat="1" ht="11.25" customHeight="1" x14ac:dyDescent="0.2">
      <c r="A243" s="51">
        <v>242</v>
      </c>
      <c r="B243" s="51"/>
      <c r="C243" s="27" t="s">
        <v>522</v>
      </c>
      <c r="D243" s="27">
        <v>8</v>
      </c>
      <c r="E243" s="27">
        <f t="shared" si="37"/>
        <v>33</v>
      </c>
      <c r="F243" s="71" t="str">
        <f>CONCATENATE("Hora Cátedra Enseñanza Media ",D243," hs")</f>
        <v>Hora Cátedra Enseñanza Media 8 hs</v>
      </c>
      <c r="G243" s="72">
        <f t="shared" si="47"/>
        <v>632</v>
      </c>
      <c r="H243" s="73">
        <f>INT((G243*Valores!$C$2*100))/100</f>
        <v>4347.0200000000004</v>
      </c>
      <c r="I243" s="112">
        <v>0</v>
      </c>
      <c r="J243" s="75">
        <f>INT((I243*Valores!$C$2*100)+0.5)/100</f>
        <v>0</v>
      </c>
      <c r="K243" s="102">
        <v>0</v>
      </c>
      <c r="L243" s="75">
        <f>INT((K243*Valores!$C$2*100)+0.5)/100</f>
        <v>0</v>
      </c>
      <c r="M243" s="100">
        <v>0</v>
      </c>
      <c r="N243" s="75">
        <f>INT((M243*Valores!$C$2*100)+0.5)/100</f>
        <v>0</v>
      </c>
      <c r="O243" s="75">
        <f t="shared" si="38"/>
        <v>785.96100000000013</v>
      </c>
      <c r="P243" s="75">
        <f t="shared" si="39"/>
        <v>0</v>
      </c>
      <c r="Q243" s="101">
        <f>Valores!$C$14*D243</f>
        <v>1329.04</v>
      </c>
      <c r="R243" s="101">
        <f>IF(D243&lt;15,(Valores!$E$4*D243),Valores!$D$4)</f>
        <v>1640.8799999999999</v>
      </c>
      <c r="S243" s="75">
        <v>0</v>
      </c>
      <c r="T243" s="78">
        <f>IF(Valores!$C$45*D243&gt;Valores!$C$43,Valores!$C$43,Valores!$C$45*D243)</f>
        <v>424.08</v>
      </c>
      <c r="U243" s="101">
        <f>Valores!$C$22*D243</f>
        <v>468.64</v>
      </c>
      <c r="V243" s="75">
        <f t="shared" si="48"/>
        <v>468.64</v>
      </c>
      <c r="W243" s="75">
        <v>0</v>
      </c>
      <c r="X243" s="75">
        <v>0</v>
      </c>
      <c r="Y243" s="118">
        <v>0</v>
      </c>
      <c r="Z243" s="75">
        <f>Y243*Valores!$C$2</f>
        <v>0</v>
      </c>
      <c r="AA243" s="75">
        <v>0</v>
      </c>
      <c r="AB243" s="80">
        <f>IF((Valores!$C$32)*D243&gt;Valores!$F$32,Valores!$F$32,(Valores!$C$32)*D243)</f>
        <v>53.28</v>
      </c>
      <c r="AC243" s="75">
        <f t="shared" si="42"/>
        <v>0</v>
      </c>
      <c r="AD243" s="75">
        <f>IF(Valores!$C$33*D243&gt;Valores!$F$33,Valores!$F$33,Valores!$C$33*D243)</f>
        <v>44.32</v>
      </c>
      <c r="AE243" s="79">
        <v>0</v>
      </c>
      <c r="AF243" s="75">
        <f>INT(((AE243*Valores!$C$2)*100)+0.5)/100</f>
        <v>0</v>
      </c>
      <c r="AG243" s="75">
        <f>IF(Valores!$D$58*'Escala Docente'!D243&gt;Valores!$F$58,Valores!$F$58,Valores!$D$58*'Escala Docente'!D243)</f>
        <v>180.24</v>
      </c>
      <c r="AH243" s="75">
        <f>IF(Valores!$D$60*D243&gt;Valores!$F$60,Valores!$F$60,Valores!$D$60*D243)</f>
        <v>51.52</v>
      </c>
      <c r="AI243" s="114">
        <f t="shared" si="43"/>
        <v>9324.9810000000016</v>
      </c>
      <c r="AJ243" s="101">
        <f>IF(Valores!$C$36*D243&gt;Valores!$F$36,Valores!$F$36,Valores!$C$36*D243)</f>
        <v>355.36</v>
      </c>
      <c r="AK243" s="78">
        <f>IF(Valores!$C$11*D243&gt;Valores!$F$11,Valores!$F$11,Valores!$C$11*D243)</f>
        <v>0</v>
      </c>
      <c r="AL243" s="78">
        <f>IF(Valores!$C$84*D243&gt;Valores!$C$83,Valores!$C$83,Valores!$C$84*D243)</f>
        <v>600</v>
      </c>
      <c r="AM243" s="80">
        <f>IF(Valores!$C$57*D243&gt;Valores!$F$57,Valores!$F$57,Valores!$C$57*D243)</f>
        <v>75.52</v>
      </c>
      <c r="AN243" s="82">
        <f t="shared" si="44"/>
        <v>955.36</v>
      </c>
      <c r="AO243" s="61">
        <f>AI243*-Valores!$C$65</f>
        <v>-1212.2475300000003</v>
      </c>
      <c r="AP243" s="61">
        <f>AI243*-Valores!$C$66</f>
        <v>-46.624905000000005</v>
      </c>
      <c r="AQ243" s="77">
        <f>AI243*-Valores!$C$67</f>
        <v>-419.62414500000006</v>
      </c>
      <c r="AR243" s="77">
        <f>AI243*-Valores!$C$68</f>
        <v>-251.77448700000005</v>
      </c>
      <c r="AS243" s="77">
        <f>AI243*-Valores!$C$69</f>
        <v>-27.974943000000007</v>
      </c>
      <c r="AT243" s="81">
        <f t="shared" si="40"/>
        <v>8601.8444200000013</v>
      </c>
      <c r="AU243" s="81">
        <f t="shared" si="41"/>
        <v>8741.7191350000012</v>
      </c>
      <c r="AV243" s="77">
        <f>AI243*Valores!$C$71</f>
        <v>1491.9969600000002</v>
      </c>
      <c r="AW243" s="77">
        <f>AI243*Valores!$C$72</f>
        <v>419.62414500000006</v>
      </c>
      <c r="AX243" s="77">
        <f>AI243*Valores!$C$73</f>
        <v>93.249810000000011</v>
      </c>
      <c r="AY243" s="77">
        <f>AI243*Valores!$C$75</f>
        <v>326.37433500000009</v>
      </c>
      <c r="AZ243" s="77">
        <f>AI243*Valores!$C$76</f>
        <v>55.949886000000014</v>
      </c>
      <c r="BA243" s="77">
        <f t="shared" si="45"/>
        <v>503.5489740000001</v>
      </c>
      <c r="BB243" s="51"/>
      <c r="BC243" s="51">
        <f t="shared" si="46"/>
        <v>32</v>
      </c>
      <c r="BD243" s="27" t="s">
        <v>4</v>
      </c>
    </row>
    <row r="244" spans="1:56" s="27" customFormat="1" ht="11.25" customHeight="1" x14ac:dyDescent="0.2">
      <c r="A244" s="51">
        <v>243</v>
      </c>
      <c r="B244" s="51"/>
      <c r="C244" s="27" t="s">
        <v>522</v>
      </c>
      <c r="D244" s="27">
        <v>8</v>
      </c>
      <c r="E244" s="27">
        <f t="shared" si="37"/>
        <v>41</v>
      </c>
      <c r="F244" s="71" t="str">
        <f>CONCATENATE("Hora Cátedra Enseñanza Media ",D244," hs Esc Esp")</f>
        <v>Hora Cátedra Enseñanza Media 8 hs Esc Esp</v>
      </c>
      <c r="G244" s="72">
        <f t="shared" si="47"/>
        <v>632</v>
      </c>
      <c r="H244" s="73">
        <f>INT((G244*Valores!$C$2*100))/100</f>
        <v>4347.0200000000004</v>
      </c>
      <c r="I244" s="112">
        <v>0</v>
      </c>
      <c r="J244" s="75">
        <f>INT((I244*Valores!$C$2*100)+0.5)/100</f>
        <v>0</v>
      </c>
      <c r="K244" s="102">
        <v>0</v>
      </c>
      <c r="L244" s="75">
        <f>INT((K244*Valores!$C$2*100)+0.5)/100</f>
        <v>0</v>
      </c>
      <c r="M244" s="100">
        <v>0</v>
      </c>
      <c r="N244" s="75">
        <f>INT((M244*Valores!$C$2*100)+0.5)/100</f>
        <v>0</v>
      </c>
      <c r="O244" s="75">
        <f t="shared" si="38"/>
        <v>785.96100000000013</v>
      </c>
      <c r="P244" s="75">
        <f t="shared" si="39"/>
        <v>0</v>
      </c>
      <c r="Q244" s="101">
        <f>Valores!$C$14*D244</f>
        <v>1329.04</v>
      </c>
      <c r="R244" s="101">
        <f>IF(D244&lt;15,(Valores!$E$4*D244),Valores!$D$4)</f>
        <v>1640.8799999999999</v>
      </c>
      <c r="S244" s="75">
        <v>0</v>
      </c>
      <c r="T244" s="78">
        <f>IF(Valores!$C$45*D244&gt;Valores!$C$43,Valores!$C$43,Valores!$C$45*D244)</f>
        <v>424.08</v>
      </c>
      <c r="U244" s="101">
        <f>Valores!$C$22*D244</f>
        <v>468.64</v>
      </c>
      <c r="V244" s="75">
        <f t="shared" si="48"/>
        <v>468.64</v>
      </c>
      <c r="W244" s="75">
        <v>0</v>
      </c>
      <c r="X244" s="75">
        <v>0</v>
      </c>
      <c r="Y244" s="118">
        <v>0</v>
      </c>
      <c r="Z244" s="75">
        <f>Y244*Valores!$C$2</f>
        <v>0</v>
      </c>
      <c r="AA244" s="75">
        <v>0</v>
      </c>
      <c r="AB244" s="80">
        <f>IF((Valores!$C$32)*D244&gt;Valores!$F$32,Valores!$F$32,(Valores!$C$32)*D244)</f>
        <v>53.28</v>
      </c>
      <c r="AC244" s="75">
        <f t="shared" si="42"/>
        <v>0</v>
      </c>
      <c r="AD244" s="75">
        <f>IF(Valores!$C$33*D244&gt;Valores!$F$33,Valores!$F$33,Valores!$C$33*D244)</f>
        <v>44.32</v>
      </c>
      <c r="AE244" s="79">
        <v>94</v>
      </c>
      <c r="AF244" s="75">
        <f>INT(((AE244*Valores!$C$2)*100)+0.5)/100</f>
        <v>646.54999999999995</v>
      </c>
      <c r="AG244" s="75">
        <f>IF(Valores!$D$58*'Escala Docente'!D244&gt;Valores!$F$58,Valores!$F$58,Valores!$D$58*'Escala Docente'!D244)</f>
        <v>180.24</v>
      </c>
      <c r="AH244" s="75">
        <f>IF(Valores!$D$60*D244&gt;Valores!$F$60,Valores!$F$60,Valores!$D$60*D244)</f>
        <v>51.52</v>
      </c>
      <c r="AI244" s="114">
        <f t="shared" si="43"/>
        <v>9971.5310000000009</v>
      </c>
      <c r="AJ244" s="101">
        <f>IF(Valores!$C$36*D244&gt;Valores!$F$36,Valores!$F$36,Valores!$C$36*D244)</f>
        <v>355.36</v>
      </c>
      <c r="AK244" s="78">
        <f>IF(Valores!$C$11*D244&gt;Valores!$F$11,Valores!$F$11,Valores!$C$11*D244)</f>
        <v>0</v>
      </c>
      <c r="AL244" s="78">
        <f>IF(Valores!$C$84*D244&gt;Valores!$C$83,Valores!$C$83,Valores!$C$84*D244)</f>
        <v>600</v>
      </c>
      <c r="AM244" s="80">
        <f>IF(Valores!$C$57*D244&gt;Valores!$F$57,Valores!$F$57,Valores!$C$57*D244)</f>
        <v>75.52</v>
      </c>
      <c r="AN244" s="82">
        <f t="shared" si="44"/>
        <v>955.36</v>
      </c>
      <c r="AO244" s="61">
        <f>AI244*-Valores!$C$65</f>
        <v>-1296.2990300000001</v>
      </c>
      <c r="AP244" s="61">
        <f>AI244*-Valores!$C$66</f>
        <v>-49.857655000000008</v>
      </c>
      <c r="AQ244" s="77">
        <f>AI244*-Valores!$C$67</f>
        <v>-448.71889500000003</v>
      </c>
      <c r="AR244" s="77">
        <f>AI244*-Valores!$C$68</f>
        <v>-269.231337</v>
      </c>
      <c r="AS244" s="77">
        <f>AI244*-Valores!$C$69</f>
        <v>-29.914593000000004</v>
      </c>
      <c r="AT244" s="81">
        <f t="shared" si="40"/>
        <v>9132.0154200000015</v>
      </c>
      <c r="AU244" s="81">
        <f t="shared" si="41"/>
        <v>9281.5883850000027</v>
      </c>
      <c r="AV244" s="77">
        <f>AI244*Valores!$C$71</f>
        <v>1595.4449600000003</v>
      </c>
      <c r="AW244" s="77">
        <f>AI244*Valores!$C$72</f>
        <v>448.71889500000003</v>
      </c>
      <c r="AX244" s="77">
        <f>AI244*Valores!$C$73</f>
        <v>99.715310000000017</v>
      </c>
      <c r="AY244" s="77">
        <f>AI244*Valores!$C$75</f>
        <v>349.00358500000004</v>
      </c>
      <c r="AZ244" s="77">
        <f>AI244*Valores!$C$76</f>
        <v>59.829186000000007</v>
      </c>
      <c r="BA244" s="77">
        <f t="shared" si="45"/>
        <v>538.46267400000011</v>
      </c>
      <c r="BB244" s="51"/>
      <c r="BC244" s="85">
        <f t="shared" si="46"/>
        <v>32</v>
      </c>
      <c r="BD244" s="27" t="s">
        <v>4</v>
      </c>
    </row>
    <row r="245" spans="1:56" s="27" customFormat="1" ht="11.25" customHeight="1" x14ac:dyDescent="0.2">
      <c r="A245" s="51">
        <v>244</v>
      </c>
      <c r="B245" s="51"/>
      <c r="C245" s="27" t="s">
        <v>522</v>
      </c>
      <c r="D245" s="27">
        <v>9</v>
      </c>
      <c r="E245" s="27">
        <f t="shared" si="37"/>
        <v>33</v>
      </c>
      <c r="F245" s="71" t="str">
        <f>CONCATENATE("Hora Cátedra Enseñanza Media ",D245," hs")</f>
        <v>Hora Cátedra Enseñanza Media 9 hs</v>
      </c>
      <c r="G245" s="72">
        <f t="shared" si="47"/>
        <v>711</v>
      </c>
      <c r="H245" s="73">
        <f>INT((G245*Valores!$C$2*100))/100</f>
        <v>4890.3999999999996</v>
      </c>
      <c r="I245" s="112">
        <v>0</v>
      </c>
      <c r="J245" s="75">
        <f>INT((I245*Valores!$C$2*100)+0.5)/100</f>
        <v>0</v>
      </c>
      <c r="K245" s="102">
        <v>0</v>
      </c>
      <c r="L245" s="75">
        <f>INT((K245*Valores!$C$2*100)+0.5)/100</f>
        <v>0</v>
      </c>
      <c r="M245" s="100">
        <v>0</v>
      </c>
      <c r="N245" s="75">
        <f>INT((M245*Valores!$C$2*100)+0.5)/100</f>
        <v>0</v>
      </c>
      <c r="O245" s="75">
        <f t="shared" si="38"/>
        <v>884.20650000000001</v>
      </c>
      <c r="P245" s="75">
        <f t="shared" si="39"/>
        <v>0</v>
      </c>
      <c r="Q245" s="101">
        <f>Valores!$C$14*D245</f>
        <v>1495.17</v>
      </c>
      <c r="R245" s="101">
        <f>IF(D245&lt;15,(Valores!$E$4*D245),Valores!$D$4)</f>
        <v>1845.9899999999998</v>
      </c>
      <c r="S245" s="75">
        <v>0</v>
      </c>
      <c r="T245" s="78">
        <f>IF(Valores!$C$45*D245&gt;Valores!$C$43,Valores!$C$43,Valores!$C$45*D245)</f>
        <v>477.09</v>
      </c>
      <c r="U245" s="101">
        <f>Valores!$C$22*D245</f>
        <v>527.22</v>
      </c>
      <c r="V245" s="75">
        <f t="shared" si="48"/>
        <v>527.22</v>
      </c>
      <c r="W245" s="75">
        <v>0</v>
      </c>
      <c r="X245" s="75">
        <v>0</v>
      </c>
      <c r="Y245" s="118">
        <v>0</v>
      </c>
      <c r="Z245" s="75">
        <f>Y245*Valores!$C$2</f>
        <v>0</v>
      </c>
      <c r="AA245" s="75">
        <v>0</v>
      </c>
      <c r="AB245" s="80">
        <f>IF((Valores!$C$32)*D245&gt;Valores!$F$32,Valores!$F$32,(Valores!$C$32)*D245)</f>
        <v>59.94</v>
      </c>
      <c r="AC245" s="75">
        <f t="shared" si="42"/>
        <v>0</v>
      </c>
      <c r="AD245" s="75">
        <f>IF(Valores!$C$33*D245&gt;Valores!$F$33,Valores!$F$33,Valores!$C$33*D245)</f>
        <v>49.86</v>
      </c>
      <c r="AE245" s="79">
        <v>0</v>
      </c>
      <c r="AF245" s="75">
        <f>INT(((AE245*Valores!$C$2)*100)+0.5)/100</f>
        <v>0</v>
      </c>
      <c r="AG245" s="75">
        <f>IF(Valores!$D$58*'Escala Docente'!D245&gt;Valores!$F$58,Valores!$F$58,Valores!$D$58*'Escala Docente'!D245)</f>
        <v>202.77</v>
      </c>
      <c r="AH245" s="75">
        <f>IF(Valores!$D$60*D245&gt;Valores!$F$60,Valores!$F$60,Valores!$D$60*D245)</f>
        <v>57.96</v>
      </c>
      <c r="AI245" s="114">
        <f t="shared" si="43"/>
        <v>10490.6065</v>
      </c>
      <c r="AJ245" s="101">
        <f>IF(Valores!$C$36*D245&gt;Valores!$F$36,Valores!$F$36,Valores!$C$36*D245)</f>
        <v>399.78000000000003</v>
      </c>
      <c r="AK245" s="78">
        <f>IF(Valores!$C$11*D245&gt;Valores!$F$11,Valores!$F$11,Valores!$C$11*D245)</f>
        <v>0</v>
      </c>
      <c r="AL245" s="78">
        <f>IF(Valores!$C$84*D245&gt;Valores!$C$83,Valores!$C$83,Valores!$C$84*D245)</f>
        <v>675</v>
      </c>
      <c r="AM245" s="80">
        <f>IF(Valores!$C$57*D245&gt;Valores!$F$57,Valores!$F$57,Valores!$C$57*D245)</f>
        <v>84.96</v>
      </c>
      <c r="AN245" s="82">
        <f t="shared" si="44"/>
        <v>1074.78</v>
      </c>
      <c r="AO245" s="61">
        <f>AI245*-Valores!$C$65</f>
        <v>-1363.778845</v>
      </c>
      <c r="AP245" s="61">
        <f>AI245*-Valores!$C$66</f>
        <v>-52.453032499999999</v>
      </c>
      <c r="AQ245" s="77">
        <f>AI245*-Valores!$C$67</f>
        <v>-472.0772925</v>
      </c>
      <c r="AR245" s="77">
        <f>AI245*-Valores!$C$68</f>
        <v>-283.2463755</v>
      </c>
      <c r="AS245" s="77">
        <f>AI245*-Valores!$C$69</f>
        <v>-31.471819499999999</v>
      </c>
      <c r="AT245" s="81">
        <f t="shared" si="40"/>
        <v>9677.0773300000001</v>
      </c>
      <c r="AU245" s="81">
        <f t="shared" si="41"/>
        <v>9834.4364274999989</v>
      </c>
      <c r="AV245" s="77">
        <f>AI245*Valores!$C$71</f>
        <v>1678.49704</v>
      </c>
      <c r="AW245" s="77">
        <f>AI245*Valores!$C$72</f>
        <v>472.0772925</v>
      </c>
      <c r="AX245" s="77">
        <f>AI245*Valores!$C$73</f>
        <v>104.906065</v>
      </c>
      <c r="AY245" s="77">
        <f>AI245*Valores!$C$75</f>
        <v>367.17122750000004</v>
      </c>
      <c r="AZ245" s="77">
        <f>AI245*Valores!$C$76</f>
        <v>62.943638999999997</v>
      </c>
      <c r="BA245" s="77">
        <f t="shared" si="45"/>
        <v>566.49275100000011</v>
      </c>
      <c r="BB245" s="51"/>
      <c r="BC245" s="51">
        <f t="shared" si="46"/>
        <v>36</v>
      </c>
      <c r="BD245" s="27" t="s">
        <v>4</v>
      </c>
    </row>
    <row r="246" spans="1:56" s="27" customFormat="1" ht="11.25" customHeight="1" x14ac:dyDescent="0.2">
      <c r="A246" s="85">
        <v>245</v>
      </c>
      <c r="B246" s="85" t="s">
        <v>163</v>
      </c>
      <c r="C246" s="86" t="s">
        <v>522</v>
      </c>
      <c r="D246" s="86">
        <v>9</v>
      </c>
      <c r="E246" s="86">
        <f t="shared" si="37"/>
        <v>41</v>
      </c>
      <c r="F246" s="87" t="str">
        <f>CONCATENATE("Hora Cátedra Enseñanza Media ",D246," hs Esc Esp")</f>
        <v>Hora Cátedra Enseñanza Media 9 hs Esc Esp</v>
      </c>
      <c r="G246" s="88">
        <f t="shared" si="47"/>
        <v>711</v>
      </c>
      <c r="H246" s="89">
        <f>INT((G246*Valores!$C$2*100))/100</f>
        <v>4890.3999999999996</v>
      </c>
      <c r="I246" s="103">
        <v>0</v>
      </c>
      <c r="J246" s="91">
        <f>INT((I246*Valores!$C$2*100)+0.5)/100</f>
        <v>0</v>
      </c>
      <c r="K246" s="104">
        <v>0</v>
      </c>
      <c r="L246" s="91">
        <f>INT((K246*Valores!$C$2*100)+0.5)/100</f>
        <v>0</v>
      </c>
      <c r="M246" s="105">
        <v>0</v>
      </c>
      <c r="N246" s="91">
        <f>INT((M246*Valores!$C$2*100)+0.5)/100</f>
        <v>0</v>
      </c>
      <c r="O246" s="91">
        <f t="shared" si="38"/>
        <v>884.20650000000001</v>
      </c>
      <c r="P246" s="91">
        <f t="shared" si="39"/>
        <v>0</v>
      </c>
      <c r="Q246" s="107">
        <f>Valores!$C$14*D246</f>
        <v>1495.17</v>
      </c>
      <c r="R246" s="107">
        <f>IF(D246&lt;15,(Valores!$E$4*D246),Valores!$D$4)</f>
        <v>1845.9899999999998</v>
      </c>
      <c r="S246" s="91">
        <v>0</v>
      </c>
      <c r="T246" s="94">
        <f>IF(Valores!$C$45*D246&gt;Valores!$C$43,Valores!$C$43,Valores!$C$45*D246)</f>
        <v>477.09</v>
      </c>
      <c r="U246" s="107">
        <f>Valores!$C$22*D246</f>
        <v>527.22</v>
      </c>
      <c r="V246" s="91">
        <f t="shared" si="48"/>
        <v>527.22</v>
      </c>
      <c r="W246" s="91">
        <v>0</v>
      </c>
      <c r="X246" s="91">
        <v>0</v>
      </c>
      <c r="Y246" s="119">
        <v>0</v>
      </c>
      <c r="Z246" s="91">
        <f>Y246*Valores!$C$2</f>
        <v>0</v>
      </c>
      <c r="AA246" s="91">
        <v>0</v>
      </c>
      <c r="AB246" s="96">
        <f>IF((Valores!$C$32)*D246&gt;Valores!$F$32,Valores!$F$32,(Valores!$C$32)*D246)</f>
        <v>59.94</v>
      </c>
      <c r="AC246" s="91">
        <f t="shared" si="42"/>
        <v>0</v>
      </c>
      <c r="AD246" s="91">
        <f>IF(Valores!$C$33*D246&gt;Valores!$F$33,Valores!$F$33,Valores!$C$33*D246)</f>
        <v>49.86</v>
      </c>
      <c r="AE246" s="95">
        <v>94</v>
      </c>
      <c r="AF246" s="91">
        <f>INT(((AE246*Valores!$C$2)*100)+0.5)/100</f>
        <v>646.54999999999995</v>
      </c>
      <c r="AG246" s="91">
        <f>IF(Valores!$D$58*'Escala Docente'!D246&gt;Valores!$F$58,Valores!$F$58,Valores!$D$58*'Escala Docente'!D246)</f>
        <v>202.77</v>
      </c>
      <c r="AH246" s="91">
        <f>IF(Valores!$D$60*D246&gt;Valores!$F$60,Valores!$F$60,Valores!$D$60*D246)</f>
        <v>57.96</v>
      </c>
      <c r="AI246" s="115">
        <f t="shared" si="43"/>
        <v>11137.156499999999</v>
      </c>
      <c r="AJ246" s="107">
        <f>IF(Valores!$C$36*D246&gt;Valores!$F$36,Valores!$F$36,Valores!$C$36*D246)</f>
        <v>399.78000000000003</v>
      </c>
      <c r="AK246" s="94">
        <f>IF(Valores!$C$11*D246&gt;Valores!$F$11,Valores!$F$11,Valores!$C$11*D246)</f>
        <v>0</v>
      </c>
      <c r="AL246" s="94">
        <f>IF(Valores!$C$84*D246&gt;Valores!$C$83,Valores!$C$83,Valores!$C$84*D246)</f>
        <v>675</v>
      </c>
      <c r="AM246" s="96">
        <f>IF(Valores!$C$57*D246&gt;Valores!$F$57,Valores!$F$57,Valores!$C$57*D246)</f>
        <v>84.96</v>
      </c>
      <c r="AN246" s="98">
        <f t="shared" si="44"/>
        <v>1074.78</v>
      </c>
      <c r="AO246" s="116">
        <f>AI246*-Valores!$C$65</f>
        <v>-1447.8303449999999</v>
      </c>
      <c r="AP246" s="116">
        <f>AI246*-Valores!$C$66</f>
        <v>-55.685782499999995</v>
      </c>
      <c r="AQ246" s="93">
        <f>AI246*-Valores!$C$67</f>
        <v>-501.17204249999992</v>
      </c>
      <c r="AR246" s="93">
        <f>AI246*-Valores!$C$68</f>
        <v>-300.70322549999997</v>
      </c>
      <c r="AS246" s="93">
        <f>AI246*-Valores!$C$69</f>
        <v>-33.411469499999995</v>
      </c>
      <c r="AT246" s="97">
        <f t="shared" si="40"/>
        <v>10207.248329999999</v>
      </c>
      <c r="AU246" s="97">
        <f t="shared" si="41"/>
        <v>10374.305677499999</v>
      </c>
      <c r="AV246" s="93">
        <f>AI246*Valores!$C$71</f>
        <v>1781.9450399999998</v>
      </c>
      <c r="AW246" s="93">
        <f>AI246*Valores!$C$72</f>
        <v>501.17204249999992</v>
      </c>
      <c r="AX246" s="93">
        <f>AI246*Valores!$C$73</f>
        <v>111.37156499999999</v>
      </c>
      <c r="AY246" s="93">
        <f>AI246*Valores!$C$75</f>
        <v>389.8004775</v>
      </c>
      <c r="AZ246" s="93">
        <f>AI246*Valores!$C$76</f>
        <v>66.822938999999991</v>
      </c>
      <c r="BA246" s="93">
        <f t="shared" si="45"/>
        <v>601.40645100000006</v>
      </c>
      <c r="BB246" s="85"/>
      <c r="BC246" s="85">
        <f t="shared" si="46"/>
        <v>36</v>
      </c>
      <c r="BD246" s="86" t="s">
        <v>4</v>
      </c>
    </row>
    <row r="247" spans="1:56" s="27" customFormat="1" ht="11.25" customHeight="1" x14ac:dyDescent="0.2">
      <c r="A247" s="51">
        <v>246</v>
      </c>
      <c r="B247" s="51"/>
      <c r="C247" s="27" t="s">
        <v>522</v>
      </c>
      <c r="D247" s="27">
        <v>10</v>
      </c>
      <c r="E247" s="27">
        <f t="shared" si="37"/>
        <v>34</v>
      </c>
      <c r="F247" s="71" t="str">
        <f>CONCATENATE("Hora Cátedra Enseñanza Media ",D247," hs")</f>
        <v>Hora Cátedra Enseñanza Media 10 hs</v>
      </c>
      <c r="G247" s="72">
        <f t="shared" si="47"/>
        <v>790</v>
      </c>
      <c r="H247" s="73">
        <f>INT((G247*Valores!$C$2*100))/100</f>
        <v>5433.77</v>
      </c>
      <c r="I247" s="112">
        <v>0</v>
      </c>
      <c r="J247" s="75">
        <f>INT((I247*Valores!$C$2*100)+0.5)/100</f>
        <v>0</v>
      </c>
      <c r="K247" s="102">
        <v>0</v>
      </c>
      <c r="L247" s="75">
        <f>INT((K247*Valores!$C$2*100)+0.5)/100</f>
        <v>0</v>
      </c>
      <c r="M247" s="100">
        <v>0</v>
      </c>
      <c r="N247" s="75">
        <f>INT((M247*Valores!$C$2*100)+0.5)/100</f>
        <v>0</v>
      </c>
      <c r="O247" s="75">
        <f t="shared" si="38"/>
        <v>982.45050000000015</v>
      </c>
      <c r="P247" s="75">
        <f t="shared" si="39"/>
        <v>0</v>
      </c>
      <c r="Q247" s="101">
        <f>Valores!$C$14*D247</f>
        <v>1661.3</v>
      </c>
      <c r="R247" s="101">
        <f>IF(D247&lt;15,(Valores!$E$4*D247),Valores!$D$4)</f>
        <v>2051.1</v>
      </c>
      <c r="S247" s="75">
        <v>0</v>
      </c>
      <c r="T247" s="78">
        <f>IF(Valores!$C$45*D247&gt;Valores!$C$43,Valores!$C$43,Valores!$C$45*D247)</f>
        <v>530.1</v>
      </c>
      <c r="U247" s="101">
        <f>Valores!$C$22*D247</f>
        <v>585.79999999999995</v>
      </c>
      <c r="V247" s="75">
        <f t="shared" si="48"/>
        <v>585.79999999999995</v>
      </c>
      <c r="W247" s="75">
        <v>0</v>
      </c>
      <c r="X247" s="75">
        <v>0</v>
      </c>
      <c r="Y247" s="118">
        <v>0</v>
      </c>
      <c r="Z247" s="75">
        <f>Y247*Valores!$C$2</f>
        <v>0</v>
      </c>
      <c r="AA247" s="75">
        <v>0</v>
      </c>
      <c r="AB247" s="80">
        <f>IF((Valores!$C$32)*D247&gt;Valores!$F$32,Valores!$F$32,(Valores!$C$32)*D247)</f>
        <v>66.599999999999994</v>
      </c>
      <c r="AC247" s="75">
        <f t="shared" si="42"/>
        <v>0</v>
      </c>
      <c r="AD247" s="75">
        <f>IF(Valores!$C$33*D247&gt;Valores!$F$33,Valores!$F$33,Valores!$C$33*D247)</f>
        <v>55.4</v>
      </c>
      <c r="AE247" s="79">
        <v>0</v>
      </c>
      <c r="AF247" s="75">
        <f>INT(((AE247*Valores!$C$2)*100)+0.5)/100</f>
        <v>0</v>
      </c>
      <c r="AG247" s="75">
        <f>IF(Valores!$D$58*'Escala Docente'!D247&gt;Valores!$F$58,Valores!$F$58,Valores!$D$58*'Escala Docente'!D247)</f>
        <v>225.3</v>
      </c>
      <c r="AH247" s="75">
        <f>IF(Valores!$D$60*D247&gt;Valores!$F$60,Valores!$F$60,Valores!$D$60*D247)</f>
        <v>64.400000000000006</v>
      </c>
      <c r="AI247" s="114">
        <f t="shared" si="43"/>
        <v>11656.220499999999</v>
      </c>
      <c r="AJ247" s="101">
        <f>IF(Valores!$C$36*D247&gt;Valores!$F$36,Valores!$F$36,Valores!$C$36*D247)</f>
        <v>444.20000000000005</v>
      </c>
      <c r="AK247" s="78">
        <f>IF(Valores!$C$11*D247&gt;Valores!$F$11,Valores!$F$11,Valores!$C$11*D247)</f>
        <v>0</v>
      </c>
      <c r="AL247" s="78">
        <f>IF(Valores!$C$84*D247&gt;Valores!$C$83,Valores!$C$83,Valores!$C$84*D247)</f>
        <v>750</v>
      </c>
      <c r="AM247" s="80">
        <f>IF(Valores!$C$57*D247&gt;Valores!$F$57,Valores!$F$57,Valores!$C$57*D247)</f>
        <v>94.399999999999991</v>
      </c>
      <c r="AN247" s="82">
        <f t="shared" si="44"/>
        <v>1194.2</v>
      </c>
      <c r="AO247" s="61">
        <f>AI247*-Valores!$C$65</f>
        <v>-1515.308665</v>
      </c>
      <c r="AP247" s="61">
        <f>AI247*-Valores!$C$66</f>
        <v>-58.281102499999996</v>
      </c>
      <c r="AQ247" s="77">
        <f>AI247*-Valores!$C$67</f>
        <v>-524.5299225</v>
      </c>
      <c r="AR247" s="77">
        <f>AI247*-Valores!$C$68</f>
        <v>-314.71795349999996</v>
      </c>
      <c r="AS247" s="77">
        <f>AI247*-Valores!$C$69</f>
        <v>-34.968661499999996</v>
      </c>
      <c r="AT247" s="81">
        <f t="shared" si="40"/>
        <v>10752.300810000001</v>
      </c>
      <c r="AU247" s="81">
        <f t="shared" si="41"/>
        <v>10927.144117500002</v>
      </c>
      <c r="AV247" s="77">
        <f>AI247*Valores!$C$71</f>
        <v>1864.9952799999999</v>
      </c>
      <c r="AW247" s="77">
        <f>AI247*Valores!$C$72</f>
        <v>524.5299225</v>
      </c>
      <c r="AX247" s="77">
        <f>AI247*Valores!$C$73</f>
        <v>116.56220499999999</v>
      </c>
      <c r="AY247" s="77">
        <f>AI247*Valores!$C$75</f>
        <v>407.96771749999999</v>
      </c>
      <c r="AZ247" s="77">
        <f>AI247*Valores!$C$76</f>
        <v>69.937322999999992</v>
      </c>
      <c r="BA247" s="77">
        <f t="shared" si="45"/>
        <v>629.43590700000004</v>
      </c>
      <c r="BB247" s="51"/>
      <c r="BC247" s="51">
        <f t="shared" si="46"/>
        <v>40</v>
      </c>
      <c r="BD247" s="27" t="s">
        <v>4</v>
      </c>
    </row>
    <row r="248" spans="1:56" s="27" customFormat="1" ht="11.25" customHeight="1" x14ac:dyDescent="0.2">
      <c r="A248" s="51">
        <v>247</v>
      </c>
      <c r="B248" s="51"/>
      <c r="C248" s="27" t="s">
        <v>522</v>
      </c>
      <c r="D248" s="27">
        <v>10</v>
      </c>
      <c r="E248" s="27">
        <f t="shared" si="37"/>
        <v>42</v>
      </c>
      <c r="F248" s="71" t="str">
        <f>CONCATENATE("Hora Cátedra Enseñanza Media ",D248," hs Esc Esp")</f>
        <v>Hora Cátedra Enseñanza Media 10 hs Esc Esp</v>
      </c>
      <c r="G248" s="72">
        <f t="shared" si="47"/>
        <v>790</v>
      </c>
      <c r="H248" s="73">
        <f>INT((G248*Valores!$C$2*100))/100</f>
        <v>5433.77</v>
      </c>
      <c r="I248" s="112">
        <v>0</v>
      </c>
      <c r="J248" s="75">
        <f>INT((I248*Valores!$C$2*100)+0.5)/100</f>
        <v>0</v>
      </c>
      <c r="K248" s="102">
        <v>0</v>
      </c>
      <c r="L248" s="75">
        <f>INT((K248*Valores!$C$2*100)+0.5)/100</f>
        <v>0</v>
      </c>
      <c r="M248" s="100">
        <v>0</v>
      </c>
      <c r="N248" s="75">
        <f>INT((M248*Valores!$C$2*100)+0.5)/100</f>
        <v>0</v>
      </c>
      <c r="O248" s="75">
        <f t="shared" si="38"/>
        <v>982.45050000000015</v>
      </c>
      <c r="P248" s="75">
        <f t="shared" si="39"/>
        <v>0</v>
      </c>
      <c r="Q248" s="101">
        <f>Valores!$C$14*D248</f>
        <v>1661.3</v>
      </c>
      <c r="R248" s="101">
        <f>IF(D248&lt;15,(Valores!$E$4*D248),Valores!$D$4)</f>
        <v>2051.1</v>
      </c>
      <c r="S248" s="75">
        <v>0</v>
      </c>
      <c r="T248" s="78">
        <f>IF(Valores!$C$45*D248&gt;Valores!$C$43,Valores!$C$43,Valores!$C$45*D248)</f>
        <v>530.1</v>
      </c>
      <c r="U248" s="101">
        <f>Valores!$C$22*D248</f>
        <v>585.79999999999995</v>
      </c>
      <c r="V248" s="75">
        <f t="shared" si="48"/>
        <v>585.79999999999995</v>
      </c>
      <c r="W248" s="75">
        <v>0</v>
      </c>
      <c r="X248" s="75">
        <v>0</v>
      </c>
      <c r="Y248" s="118">
        <v>0</v>
      </c>
      <c r="Z248" s="75">
        <f>Y248*Valores!$C$2</f>
        <v>0</v>
      </c>
      <c r="AA248" s="75">
        <v>0</v>
      </c>
      <c r="AB248" s="80">
        <f>IF((Valores!$C$32)*D248&gt;Valores!$F$32,Valores!$F$32,(Valores!$C$32)*D248)</f>
        <v>66.599999999999994</v>
      </c>
      <c r="AC248" s="75">
        <f t="shared" si="42"/>
        <v>0</v>
      </c>
      <c r="AD248" s="75">
        <f>IF(Valores!$C$33*D248&gt;Valores!$F$33,Valores!$F$33,Valores!$C$33*D248)</f>
        <v>55.4</v>
      </c>
      <c r="AE248" s="79">
        <v>94</v>
      </c>
      <c r="AF248" s="75">
        <f>INT(((AE248*Valores!$C$2)*100)+0.5)/100</f>
        <v>646.54999999999995</v>
      </c>
      <c r="AG248" s="75">
        <f>IF(Valores!$D$58*'Escala Docente'!D248&gt;Valores!$F$58,Valores!$F$58,Valores!$D$58*'Escala Docente'!D248)</f>
        <v>225.3</v>
      </c>
      <c r="AH248" s="75">
        <f>IF(Valores!$D$60*D248&gt;Valores!$F$60,Valores!$F$60,Valores!$D$60*D248)</f>
        <v>64.400000000000006</v>
      </c>
      <c r="AI248" s="114">
        <f t="shared" si="43"/>
        <v>12302.770499999999</v>
      </c>
      <c r="AJ248" s="101">
        <f>IF(Valores!$C$36*D248&gt;Valores!$F$36,Valores!$F$36,Valores!$C$36*D248)</f>
        <v>444.20000000000005</v>
      </c>
      <c r="AK248" s="78">
        <f>IF(Valores!$C$11*D248&gt;Valores!$F$11,Valores!$F$11,Valores!$C$11*D248)</f>
        <v>0</v>
      </c>
      <c r="AL248" s="78">
        <f>IF(Valores!$C$84*D248&gt;Valores!$C$83,Valores!$C$83,Valores!$C$84*D248)</f>
        <v>750</v>
      </c>
      <c r="AM248" s="80">
        <f>IF(Valores!$C$57*D248&gt;Valores!$F$57,Valores!$F$57,Valores!$C$57*D248)</f>
        <v>94.399999999999991</v>
      </c>
      <c r="AN248" s="82">
        <f t="shared" si="44"/>
        <v>1194.2</v>
      </c>
      <c r="AO248" s="61">
        <f>AI248*-Valores!$C$65</f>
        <v>-1599.3601649999998</v>
      </c>
      <c r="AP248" s="61">
        <f>AI248*-Valores!$C$66</f>
        <v>-61.513852499999992</v>
      </c>
      <c r="AQ248" s="77">
        <f>AI248*-Valores!$C$67</f>
        <v>-553.62467249999997</v>
      </c>
      <c r="AR248" s="77">
        <f>AI248*-Valores!$C$68</f>
        <v>-332.17480349999994</v>
      </c>
      <c r="AS248" s="77">
        <f>AI248*-Valores!$C$69</f>
        <v>-36.908311499999996</v>
      </c>
      <c r="AT248" s="81">
        <f t="shared" si="40"/>
        <v>11282.471809999999</v>
      </c>
      <c r="AU248" s="81">
        <f t="shared" si="41"/>
        <v>11467.0133675</v>
      </c>
      <c r="AV248" s="77">
        <f>AI248*Valores!$C$71</f>
        <v>1968.4432799999997</v>
      </c>
      <c r="AW248" s="77">
        <f>AI248*Valores!$C$72</f>
        <v>553.62467249999997</v>
      </c>
      <c r="AX248" s="77">
        <f>AI248*Valores!$C$73</f>
        <v>123.02770499999998</v>
      </c>
      <c r="AY248" s="77">
        <f>AI248*Valores!$C$75</f>
        <v>430.59696750000001</v>
      </c>
      <c r="AZ248" s="77">
        <f>AI248*Valores!$C$76</f>
        <v>73.816622999999993</v>
      </c>
      <c r="BA248" s="77">
        <f t="shared" si="45"/>
        <v>664.34960699999999</v>
      </c>
      <c r="BB248" s="51"/>
      <c r="BC248" s="51">
        <f t="shared" si="46"/>
        <v>40</v>
      </c>
      <c r="BD248" s="27" t="s">
        <v>4</v>
      </c>
    </row>
    <row r="249" spans="1:56" s="27" customFormat="1" ht="11.25" customHeight="1" x14ac:dyDescent="0.2">
      <c r="A249" s="51">
        <v>248</v>
      </c>
      <c r="B249" s="51"/>
      <c r="C249" s="27" t="s">
        <v>522</v>
      </c>
      <c r="D249" s="27">
        <v>11</v>
      </c>
      <c r="E249" s="27">
        <f t="shared" si="37"/>
        <v>34</v>
      </c>
      <c r="F249" s="71" t="str">
        <f>CONCATENATE("Hora Cátedra Enseñanza Media ",D249," hs")</f>
        <v>Hora Cátedra Enseñanza Media 11 hs</v>
      </c>
      <c r="G249" s="72">
        <f t="shared" si="47"/>
        <v>869</v>
      </c>
      <c r="H249" s="73">
        <f>INT((G249*Valores!$C$2*100))/100</f>
        <v>5977.15</v>
      </c>
      <c r="I249" s="112">
        <v>0</v>
      </c>
      <c r="J249" s="75">
        <f>INT((I249*Valores!$C$2*100)+0.5)/100</f>
        <v>0</v>
      </c>
      <c r="K249" s="102">
        <v>0</v>
      </c>
      <c r="L249" s="75">
        <f>INT((K249*Valores!$C$2*100)+0.5)/100</f>
        <v>0</v>
      </c>
      <c r="M249" s="100">
        <v>0</v>
      </c>
      <c r="N249" s="75">
        <f>INT((M249*Valores!$C$2*100)+0.5)/100</f>
        <v>0</v>
      </c>
      <c r="O249" s="75">
        <f t="shared" si="38"/>
        <v>1080.6959999999999</v>
      </c>
      <c r="P249" s="75">
        <f t="shared" si="39"/>
        <v>0</v>
      </c>
      <c r="Q249" s="101">
        <f>Valores!$C$14*D249</f>
        <v>1827.4299999999998</v>
      </c>
      <c r="R249" s="101">
        <f>IF(D249&lt;15,(Valores!$E$4*D249),Valores!$D$4)</f>
        <v>2256.21</v>
      </c>
      <c r="S249" s="75">
        <v>0</v>
      </c>
      <c r="T249" s="78">
        <f>IF(Valores!$C$45*D249&gt;Valores!$C$43,Valores!$C$43,Valores!$C$45*D249)</f>
        <v>583.11</v>
      </c>
      <c r="U249" s="101">
        <f>Valores!$C$22*D249</f>
        <v>644.38</v>
      </c>
      <c r="V249" s="75">
        <f t="shared" si="48"/>
        <v>644.38</v>
      </c>
      <c r="W249" s="75">
        <v>0</v>
      </c>
      <c r="X249" s="75">
        <v>0</v>
      </c>
      <c r="Y249" s="118">
        <v>0</v>
      </c>
      <c r="Z249" s="75">
        <f>Y249*Valores!$C$2</f>
        <v>0</v>
      </c>
      <c r="AA249" s="75">
        <v>0</v>
      </c>
      <c r="AB249" s="80">
        <f>IF((Valores!$C$32)*D249&gt;Valores!$F$32,Valores!$F$32,(Valores!$C$32)*D249)</f>
        <v>73.260000000000005</v>
      </c>
      <c r="AC249" s="75">
        <f t="shared" si="42"/>
        <v>0</v>
      </c>
      <c r="AD249" s="75">
        <f>IF(Valores!$C$33*D249&gt;Valores!$F$33,Valores!$F$33,Valores!$C$33*D249)</f>
        <v>60.94</v>
      </c>
      <c r="AE249" s="79">
        <v>0</v>
      </c>
      <c r="AF249" s="75">
        <f>INT(((AE249*Valores!$C$2)*100)+0.5)/100</f>
        <v>0</v>
      </c>
      <c r="AG249" s="75">
        <f>IF(Valores!$D$58*'Escala Docente'!D249&gt;Valores!$F$58,Valores!$F$58,Valores!$D$58*'Escala Docente'!D249)</f>
        <v>247.83</v>
      </c>
      <c r="AH249" s="75">
        <f>IF(Valores!$D$60*D249&gt;Valores!$F$60,Valores!$F$60,Valores!$D$60*D249)</f>
        <v>70.84</v>
      </c>
      <c r="AI249" s="114">
        <f t="shared" si="43"/>
        <v>12821.846000000001</v>
      </c>
      <c r="AJ249" s="101">
        <f>IF(Valores!$C$36*D249&gt;Valores!$F$36,Valores!$F$36,Valores!$C$36*D249)</f>
        <v>488.62</v>
      </c>
      <c r="AK249" s="78">
        <f>IF(Valores!$C$11*D249&gt;Valores!$F$11,Valores!$F$11,Valores!$C$11*D249)</f>
        <v>0</v>
      </c>
      <c r="AL249" s="78">
        <f>IF(Valores!$C$84*D249&gt;Valores!$C$83,Valores!$C$83,Valores!$C$84*D249)</f>
        <v>825</v>
      </c>
      <c r="AM249" s="80">
        <f>IF(Valores!$C$57*D249&gt;Valores!$F$57,Valores!$F$57,Valores!$C$57*D249)</f>
        <v>103.83999999999999</v>
      </c>
      <c r="AN249" s="82">
        <f t="shared" si="44"/>
        <v>1313.62</v>
      </c>
      <c r="AO249" s="61">
        <f>AI249*-Valores!$C$65</f>
        <v>-1666.8399800000002</v>
      </c>
      <c r="AP249" s="61">
        <f>AI249*-Valores!$C$66</f>
        <v>-64.109230000000011</v>
      </c>
      <c r="AQ249" s="77">
        <f>AI249*-Valores!$C$67</f>
        <v>-576.98307</v>
      </c>
      <c r="AR249" s="77">
        <f>AI249*-Valores!$C$68</f>
        <v>-346.18984200000006</v>
      </c>
      <c r="AS249" s="77">
        <f>AI249*-Valores!$C$69</f>
        <v>-38.465538000000002</v>
      </c>
      <c r="AT249" s="81">
        <f t="shared" si="40"/>
        <v>11827.533719999999</v>
      </c>
      <c r="AU249" s="81">
        <f t="shared" si="41"/>
        <v>12019.86141</v>
      </c>
      <c r="AV249" s="77">
        <f>AI249*Valores!$C$71</f>
        <v>2051.4953600000003</v>
      </c>
      <c r="AW249" s="77">
        <f>AI249*Valores!$C$72</f>
        <v>576.98307</v>
      </c>
      <c r="AX249" s="77">
        <f>AI249*Valores!$C$73</f>
        <v>128.21846000000002</v>
      </c>
      <c r="AY249" s="77">
        <f>AI249*Valores!$C$75</f>
        <v>448.76461000000012</v>
      </c>
      <c r="AZ249" s="77">
        <f>AI249*Valores!$C$76</f>
        <v>76.931076000000004</v>
      </c>
      <c r="BA249" s="77">
        <f t="shared" si="45"/>
        <v>692.37968400000011</v>
      </c>
      <c r="BB249" s="51"/>
      <c r="BC249" s="85">
        <f t="shared" si="46"/>
        <v>44</v>
      </c>
      <c r="BD249" s="27" t="s">
        <v>4</v>
      </c>
    </row>
    <row r="250" spans="1:56" s="27" customFormat="1" ht="11.25" customHeight="1" x14ac:dyDescent="0.2">
      <c r="A250" s="51">
        <v>249</v>
      </c>
      <c r="B250" s="51"/>
      <c r="C250" s="27" t="s">
        <v>522</v>
      </c>
      <c r="D250" s="27">
        <v>11</v>
      </c>
      <c r="E250" s="27">
        <f t="shared" si="37"/>
        <v>42</v>
      </c>
      <c r="F250" s="71" t="str">
        <f>CONCATENATE("Hora Cátedra Enseñanza Media ",D250," hs Esc Esp")</f>
        <v>Hora Cátedra Enseñanza Media 11 hs Esc Esp</v>
      </c>
      <c r="G250" s="72">
        <f t="shared" si="47"/>
        <v>869</v>
      </c>
      <c r="H250" s="73">
        <f>INT((G250*Valores!$C$2*100))/100</f>
        <v>5977.15</v>
      </c>
      <c r="I250" s="112">
        <v>0</v>
      </c>
      <c r="J250" s="75">
        <f>INT((I250*Valores!$C$2*100)+0.5)/100</f>
        <v>0</v>
      </c>
      <c r="K250" s="102">
        <v>0</v>
      </c>
      <c r="L250" s="75">
        <f>INT((K250*Valores!$C$2*100)+0.5)/100</f>
        <v>0</v>
      </c>
      <c r="M250" s="100">
        <v>0</v>
      </c>
      <c r="N250" s="75">
        <f>INT((M250*Valores!$C$2*100)+0.5)/100</f>
        <v>0</v>
      </c>
      <c r="O250" s="75">
        <f t="shared" si="38"/>
        <v>1080.6959999999999</v>
      </c>
      <c r="P250" s="75">
        <f t="shared" si="39"/>
        <v>0</v>
      </c>
      <c r="Q250" s="101">
        <f>Valores!$C$14*D250</f>
        <v>1827.4299999999998</v>
      </c>
      <c r="R250" s="101">
        <f>IF(D250&lt;15,(Valores!$E$4*D250),Valores!$D$4)</f>
        <v>2256.21</v>
      </c>
      <c r="S250" s="75">
        <v>0</v>
      </c>
      <c r="T250" s="78">
        <f>IF(Valores!$C$45*D250&gt;Valores!$C$43,Valores!$C$43,Valores!$C$45*D250)</f>
        <v>583.11</v>
      </c>
      <c r="U250" s="101">
        <f>Valores!$C$22*D250</f>
        <v>644.38</v>
      </c>
      <c r="V250" s="75">
        <f t="shared" si="48"/>
        <v>644.38</v>
      </c>
      <c r="W250" s="75">
        <v>0</v>
      </c>
      <c r="X250" s="75">
        <v>0</v>
      </c>
      <c r="Y250" s="118">
        <v>0</v>
      </c>
      <c r="Z250" s="75">
        <f>Y250*Valores!$C$2</f>
        <v>0</v>
      </c>
      <c r="AA250" s="75">
        <v>0</v>
      </c>
      <c r="AB250" s="80">
        <f>IF((Valores!$C$32)*D250&gt;Valores!$F$32,Valores!$F$32,(Valores!$C$32)*D250)</f>
        <v>73.260000000000005</v>
      </c>
      <c r="AC250" s="75">
        <f t="shared" si="42"/>
        <v>0</v>
      </c>
      <c r="AD250" s="75">
        <f>IF(Valores!$C$33*D250&gt;Valores!$F$33,Valores!$F$33,Valores!$C$33*D250)</f>
        <v>60.94</v>
      </c>
      <c r="AE250" s="79">
        <v>94</v>
      </c>
      <c r="AF250" s="75">
        <f>INT(((AE250*Valores!$C$2)*100)+0.5)/100</f>
        <v>646.54999999999995</v>
      </c>
      <c r="AG250" s="75">
        <f>IF(Valores!$D$58*'Escala Docente'!D250&gt;Valores!$F$58,Valores!$F$58,Valores!$D$58*'Escala Docente'!D250)</f>
        <v>247.83</v>
      </c>
      <c r="AH250" s="75">
        <f>IF(Valores!$D$60*D250&gt;Valores!$F$60,Valores!$F$60,Valores!$D$60*D250)</f>
        <v>70.84</v>
      </c>
      <c r="AI250" s="114">
        <f t="shared" si="43"/>
        <v>13468.396000000001</v>
      </c>
      <c r="AJ250" s="101">
        <f>IF(Valores!$C$36*D250&gt;Valores!$F$36,Valores!$F$36,Valores!$C$36*D250)</f>
        <v>488.62</v>
      </c>
      <c r="AK250" s="78">
        <f>IF(Valores!$C$11*D250&gt;Valores!$F$11,Valores!$F$11,Valores!$C$11*D250)</f>
        <v>0</v>
      </c>
      <c r="AL250" s="78">
        <f>IF(Valores!$C$84*D250&gt;Valores!$C$83,Valores!$C$83,Valores!$C$84*D250)</f>
        <v>825</v>
      </c>
      <c r="AM250" s="80">
        <f>IF(Valores!$C$57*D250&gt;Valores!$F$57,Valores!$F$57,Valores!$C$57*D250)</f>
        <v>103.83999999999999</v>
      </c>
      <c r="AN250" s="82">
        <f t="shared" si="44"/>
        <v>1313.62</v>
      </c>
      <c r="AO250" s="61">
        <f>AI250*-Valores!$C$65</f>
        <v>-1750.8914800000002</v>
      </c>
      <c r="AP250" s="61">
        <f>AI250*-Valores!$C$66</f>
        <v>-67.341980000000007</v>
      </c>
      <c r="AQ250" s="77">
        <f>AI250*-Valores!$C$67</f>
        <v>-606.07781999999997</v>
      </c>
      <c r="AR250" s="77">
        <f>AI250*-Valores!$C$68</f>
        <v>-363.64669200000003</v>
      </c>
      <c r="AS250" s="77">
        <f>AI250*-Valores!$C$69</f>
        <v>-40.405188000000003</v>
      </c>
      <c r="AT250" s="81">
        <f t="shared" si="40"/>
        <v>12357.70472</v>
      </c>
      <c r="AU250" s="81">
        <f t="shared" si="41"/>
        <v>12559.730659999999</v>
      </c>
      <c r="AV250" s="77">
        <f>AI250*Valores!$C$71</f>
        <v>2154.9433600000002</v>
      </c>
      <c r="AW250" s="77">
        <f>AI250*Valores!$C$72</f>
        <v>606.07781999999997</v>
      </c>
      <c r="AX250" s="77">
        <f>AI250*Valores!$C$73</f>
        <v>134.68396000000001</v>
      </c>
      <c r="AY250" s="77">
        <f>AI250*Valores!$C$75</f>
        <v>471.39386000000007</v>
      </c>
      <c r="AZ250" s="77">
        <f>AI250*Valores!$C$76</f>
        <v>80.810376000000005</v>
      </c>
      <c r="BA250" s="77">
        <f t="shared" si="45"/>
        <v>727.29338400000006</v>
      </c>
      <c r="BB250" s="51"/>
      <c r="BC250" s="51">
        <f t="shared" si="46"/>
        <v>44</v>
      </c>
      <c r="BD250" s="27" t="s">
        <v>4</v>
      </c>
    </row>
    <row r="251" spans="1:56" s="27" customFormat="1" ht="11.25" customHeight="1" x14ac:dyDescent="0.2">
      <c r="A251" s="85">
        <v>250</v>
      </c>
      <c r="B251" s="85" t="s">
        <v>163</v>
      </c>
      <c r="C251" s="86" t="s">
        <v>522</v>
      </c>
      <c r="D251" s="86">
        <v>12</v>
      </c>
      <c r="E251" s="86">
        <f t="shared" si="37"/>
        <v>34</v>
      </c>
      <c r="F251" s="87" t="str">
        <f>CONCATENATE("Hora Cátedra Enseñanza Media ",D251," hs")</f>
        <v>Hora Cátedra Enseñanza Media 12 hs</v>
      </c>
      <c r="G251" s="88">
        <f t="shared" si="47"/>
        <v>948</v>
      </c>
      <c r="H251" s="89">
        <f>INT((G251*Valores!$C$2*100))/100</f>
        <v>6520.53</v>
      </c>
      <c r="I251" s="103">
        <v>0</v>
      </c>
      <c r="J251" s="91">
        <f>INT((I251*Valores!$C$2*100)+0.5)/100</f>
        <v>0</v>
      </c>
      <c r="K251" s="104">
        <v>0</v>
      </c>
      <c r="L251" s="91">
        <f>INT((K251*Valores!$C$2*100)+0.5)/100</f>
        <v>0</v>
      </c>
      <c r="M251" s="105">
        <v>0</v>
      </c>
      <c r="N251" s="91">
        <f>INT((M251*Valores!$C$2*100)+0.5)/100</f>
        <v>0</v>
      </c>
      <c r="O251" s="91">
        <f t="shared" si="38"/>
        <v>1178.9414999999999</v>
      </c>
      <c r="P251" s="91">
        <f t="shared" si="39"/>
        <v>0</v>
      </c>
      <c r="Q251" s="107">
        <f>Valores!$C$14*D251</f>
        <v>1993.56</v>
      </c>
      <c r="R251" s="107">
        <f>IF(D251&lt;15,(Valores!$E$4*D251),Valores!$D$4)</f>
        <v>2461.3199999999997</v>
      </c>
      <c r="S251" s="91">
        <v>0</v>
      </c>
      <c r="T251" s="94">
        <f>IF(Valores!$C$45*D251&gt;Valores!$C$43,Valores!$C$43,Valores!$C$45*D251)</f>
        <v>636.12</v>
      </c>
      <c r="U251" s="107">
        <f>Valores!$C$22*D251</f>
        <v>702.96</v>
      </c>
      <c r="V251" s="91">
        <f t="shared" si="48"/>
        <v>702.96</v>
      </c>
      <c r="W251" s="91">
        <v>0</v>
      </c>
      <c r="X251" s="91">
        <v>0</v>
      </c>
      <c r="Y251" s="119">
        <v>0</v>
      </c>
      <c r="Z251" s="91">
        <f>Y251*Valores!$C$2</f>
        <v>0</v>
      </c>
      <c r="AA251" s="91">
        <v>0</v>
      </c>
      <c r="AB251" s="96">
        <f>IF((Valores!$C$32)*D251&gt;Valores!$F$32,Valores!$F$32,(Valores!$C$32)*D251)</f>
        <v>79.92</v>
      </c>
      <c r="AC251" s="91">
        <f t="shared" si="42"/>
        <v>0</v>
      </c>
      <c r="AD251" s="91">
        <f>IF(Valores!$C$33*D251&gt;Valores!$F$33,Valores!$F$33,Valores!$C$33*D251)</f>
        <v>66.48</v>
      </c>
      <c r="AE251" s="95">
        <v>0</v>
      </c>
      <c r="AF251" s="91">
        <f>INT(((AE251*Valores!$C$2)*100)+0.5)/100</f>
        <v>0</v>
      </c>
      <c r="AG251" s="91">
        <f>IF(Valores!$D$58*'Escala Docente'!D251&gt;Valores!$F$58,Valores!$F$58,Valores!$D$58*'Escala Docente'!D251)</f>
        <v>270.36</v>
      </c>
      <c r="AH251" s="91">
        <f>IF(Valores!$D$60*D251&gt;Valores!$F$60,Valores!$F$60,Valores!$D$60*D251)</f>
        <v>77.28</v>
      </c>
      <c r="AI251" s="115">
        <f t="shared" si="43"/>
        <v>13987.471500000001</v>
      </c>
      <c r="AJ251" s="107">
        <f>IF(Valores!$C$36*D251&gt;Valores!$F$36,Valores!$F$36,Valores!$C$36*D251)</f>
        <v>533.04</v>
      </c>
      <c r="AK251" s="94">
        <f>IF(Valores!$C$11*D251&gt;Valores!$F$11,Valores!$F$11,Valores!$C$11*D251)</f>
        <v>0</v>
      </c>
      <c r="AL251" s="94">
        <f>IF(Valores!$C$84*D251&gt;Valores!$C$83,Valores!$C$83,Valores!$C$84*D251)</f>
        <v>900</v>
      </c>
      <c r="AM251" s="96">
        <f>IF(Valores!$C$57*D251&gt;Valores!$F$57,Valores!$F$57,Valores!$C$57*D251)</f>
        <v>113.28</v>
      </c>
      <c r="AN251" s="98">
        <f t="shared" si="44"/>
        <v>1433.04</v>
      </c>
      <c r="AO251" s="116">
        <f>AI251*-Valores!$C$65</f>
        <v>-1818.3712950000001</v>
      </c>
      <c r="AP251" s="116">
        <f>AI251*-Valores!$C$66</f>
        <v>-69.937357500000005</v>
      </c>
      <c r="AQ251" s="93">
        <f>AI251*-Valores!$C$67</f>
        <v>-629.4362175</v>
      </c>
      <c r="AR251" s="93">
        <f>AI251*-Valores!$C$68</f>
        <v>-377.66173050000003</v>
      </c>
      <c r="AS251" s="93">
        <f>AI251*-Valores!$C$69</f>
        <v>-41.962414500000008</v>
      </c>
      <c r="AT251" s="97">
        <f t="shared" si="40"/>
        <v>12902.766629999998</v>
      </c>
      <c r="AU251" s="97">
        <f t="shared" si="41"/>
        <v>13112.578702499999</v>
      </c>
      <c r="AV251" s="93">
        <f>AI251*Valores!$C$71</f>
        <v>2237.9954400000001</v>
      </c>
      <c r="AW251" s="93">
        <f>AI251*Valores!$C$72</f>
        <v>629.4362175</v>
      </c>
      <c r="AX251" s="93">
        <f>AI251*Valores!$C$73</f>
        <v>139.87471500000001</v>
      </c>
      <c r="AY251" s="93">
        <f>AI251*Valores!$C$75</f>
        <v>489.56150250000007</v>
      </c>
      <c r="AZ251" s="93">
        <f>AI251*Valores!$C$76</f>
        <v>83.924829000000017</v>
      </c>
      <c r="BA251" s="93">
        <f t="shared" si="45"/>
        <v>755.32346100000007</v>
      </c>
      <c r="BB251" s="85"/>
      <c r="BC251" s="85">
        <f t="shared" si="46"/>
        <v>48</v>
      </c>
      <c r="BD251" s="86" t="s">
        <v>4</v>
      </c>
    </row>
    <row r="252" spans="1:56" s="27" customFormat="1" ht="11.25" customHeight="1" x14ac:dyDescent="0.2">
      <c r="A252" s="51">
        <v>251</v>
      </c>
      <c r="B252" s="51"/>
      <c r="C252" s="27" t="s">
        <v>522</v>
      </c>
      <c r="D252" s="27">
        <v>12</v>
      </c>
      <c r="E252" s="27">
        <f t="shared" si="37"/>
        <v>42</v>
      </c>
      <c r="F252" s="71" t="str">
        <f>CONCATENATE("Hora Cátedra Enseñanza Media ",D252," hs Esc Esp")</f>
        <v>Hora Cátedra Enseñanza Media 12 hs Esc Esp</v>
      </c>
      <c r="G252" s="72">
        <f t="shared" si="47"/>
        <v>948</v>
      </c>
      <c r="H252" s="73">
        <f>INT((G252*Valores!$C$2*100))/100</f>
        <v>6520.53</v>
      </c>
      <c r="I252" s="112">
        <v>0</v>
      </c>
      <c r="J252" s="75">
        <f>INT((I252*Valores!$C$2*100)+0.5)/100</f>
        <v>0</v>
      </c>
      <c r="K252" s="102">
        <v>0</v>
      </c>
      <c r="L252" s="75">
        <f>INT((K252*Valores!$C$2*100)+0.5)/100</f>
        <v>0</v>
      </c>
      <c r="M252" s="100">
        <v>0</v>
      </c>
      <c r="N252" s="75">
        <f>INT((M252*Valores!$C$2*100)+0.5)/100</f>
        <v>0</v>
      </c>
      <c r="O252" s="75">
        <f t="shared" si="38"/>
        <v>1178.9414999999999</v>
      </c>
      <c r="P252" s="75">
        <f t="shared" si="39"/>
        <v>0</v>
      </c>
      <c r="Q252" s="101">
        <f>Valores!$C$14*D252</f>
        <v>1993.56</v>
      </c>
      <c r="R252" s="101">
        <f>IF(D252&lt;15,(Valores!$E$4*D252),Valores!$D$4)</f>
        <v>2461.3199999999997</v>
      </c>
      <c r="S252" s="75">
        <v>0</v>
      </c>
      <c r="T252" s="78">
        <f>IF(Valores!$C$45*D252&gt;Valores!$C$43,Valores!$C$43,Valores!$C$45*D252)</f>
        <v>636.12</v>
      </c>
      <c r="U252" s="101">
        <f>Valores!$C$22*D252</f>
        <v>702.96</v>
      </c>
      <c r="V252" s="75">
        <f t="shared" si="48"/>
        <v>702.96</v>
      </c>
      <c r="W252" s="75">
        <v>0</v>
      </c>
      <c r="X252" s="75">
        <v>0</v>
      </c>
      <c r="Y252" s="118">
        <v>0</v>
      </c>
      <c r="Z252" s="75">
        <f>Y252*Valores!$C$2</f>
        <v>0</v>
      </c>
      <c r="AA252" s="75">
        <v>0</v>
      </c>
      <c r="AB252" s="80">
        <f>IF((Valores!$C$32)*D252&gt;Valores!$F$32,Valores!$F$32,(Valores!$C$32)*D252)</f>
        <v>79.92</v>
      </c>
      <c r="AC252" s="75">
        <f t="shared" si="42"/>
        <v>0</v>
      </c>
      <c r="AD252" s="75">
        <f>IF(Valores!$C$33*D252&gt;Valores!$F$33,Valores!$F$33,Valores!$C$33*D252)</f>
        <v>66.48</v>
      </c>
      <c r="AE252" s="79">
        <v>94</v>
      </c>
      <c r="AF252" s="75">
        <f>INT(((AE252*Valores!$C$2)*100)+0.5)/100</f>
        <v>646.54999999999995</v>
      </c>
      <c r="AG252" s="75">
        <f>IF(Valores!$D$58*'Escala Docente'!D252&gt;Valores!$F$58,Valores!$F$58,Valores!$D$58*'Escala Docente'!D252)</f>
        <v>270.36</v>
      </c>
      <c r="AH252" s="75">
        <f>IF(Valores!$D$60*D252&gt;Valores!$F$60,Valores!$F$60,Valores!$D$60*D252)</f>
        <v>77.28</v>
      </c>
      <c r="AI252" s="114">
        <f t="shared" si="43"/>
        <v>14634.021500000001</v>
      </c>
      <c r="AJ252" s="101">
        <f>IF(Valores!$C$36*D252&gt;Valores!$F$36,Valores!$F$36,Valores!$C$36*D252)</f>
        <v>533.04</v>
      </c>
      <c r="AK252" s="78">
        <f>IF(Valores!$C$11*D252&gt;Valores!$F$11,Valores!$F$11,Valores!$C$11*D252)</f>
        <v>0</v>
      </c>
      <c r="AL252" s="78">
        <f>IF(Valores!$C$84*D252&gt;Valores!$C$83,Valores!$C$83,Valores!$C$84*D252)</f>
        <v>900</v>
      </c>
      <c r="AM252" s="80">
        <f>IF(Valores!$C$57*D252&gt;Valores!$F$57,Valores!$F$57,Valores!$C$57*D252)</f>
        <v>113.28</v>
      </c>
      <c r="AN252" s="82">
        <f t="shared" si="44"/>
        <v>1433.04</v>
      </c>
      <c r="AO252" s="61">
        <f>AI252*-Valores!$C$65</f>
        <v>-1902.4227950000002</v>
      </c>
      <c r="AP252" s="61">
        <f>AI252*-Valores!$C$66</f>
        <v>-73.1701075</v>
      </c>
      <c r="AQ252" s="77">
        <f>AI252*-Valores!$C$67</f>
        <v>-658.53096749999997</v>
      </c>
      <c r="AR252" s="77">
        <f>AI252*-Valores!$C$68</f>
        <v>-395.11858050000001</v>
      </c>
      <c r="AS252" s="77">
        <f>AI252*-Valores!$C$69</f>
        <v>-43.902064500000002</v>
      </c>
      <c r="AT252" s="81">
        <f t="shared" si="40"/>
        <v>13432.937629999999</v>
      </c>
      <c r="AU252" s="81">
        <f t="shared" si="41"/>
        <v>13652.447952499999</v>
      </c>
      <c r="AV252" s="77">
        <f>AI252*Valores!$C$71</f>
        <v>2341.44344</v>
      </c>
      <c r="AW252" s="77">
        <f>AI252*Valores!$C$72</f>
        <v>658.53096749999997</v>
      </c>
      <c r="AX252" s="77">
        <f>AI252*Valores!$C$73</f>
        <v>146.340215</v>
      </c>
      <c r="AY252" s="77">
        <f>AI252*Valores!$C$75</f>
        <v>512.19075250000003</v>
      </c>
      <c r="AZ252" s="77">
        <f>AI252*Valores!$C$76</f>
        <v>87.804129000000003</v>
      </c>
      <c r="BA252" s="77">
        <f t="shared" si="45"/>
        <v>790.23716100000001</v>
      </c>
      <c r="BB252" s="51"/>
      <c r="BC252" s="51">
        <f t="shared" si="46"/>
        <v>48</v>
      </c>
      <c r="BD252" s="27" t="s">
        <v>4</v>
      </c>
    </row>
    <row r="253" spans="1:56" s="27" customFormat="1" ht="11.25" customHeight="1" x14ac:dyDescent="0.2">
      <c r="A253" s="51">
        <v>252</v>
      </c>
      <c r="B253" s="51"/>
      <c r="C253" s="27" t="s">
        <v>522</v>
      </c>
      <c r="D253" s="27">
        <v>13</v>
      </c>
      <c r="E253" s="27">
        <f t="shared" si="37"/>
        <v>34</v>
      </c>
      <c r="F253" s="71" t="str">
        <f>CONCATENATE("Hora Cátedra Enseñanza Media ",D253," hs")</f>
        <v>Hora Cátedra Enseñanza Media 13 hs</v>
      </c>
      <c r="G253" s="72">
        <f t="shared" si="47"/>
        <v>1027</v>
      </c>
      <c r="H253" s="73">
        <f>INT((G253*Valores!$C$2*100))/100</f>
        <v>7063.91</v>
      </c>
      <c r="I253" s="112">
        <v>0</v>
      </c>
      <c r="J253" s="75">
        <f>INT((I253*Valores!$C$2*100)+0.5)/100</f>
        <v>0</v>
      </c>
      <c r="K253" s="102">
        <v>0</v>
      </c>
      <c r="L253" s="75">
        <f>INT((K253*Valores!$C$2*100)+0.5)/100</f>
        <v>0</v>
      </c>
      <c r="M253" s="100">
        <v>0</v>
      </c>
      <c r="N253" s="75">
        <f>INT((M253*Valores!$C$2*100)+0.5)/100</f>
        <v>0</v>
      </c>
      <c r="O253" s="75">
        <f t="shared" si="38"/>
        <v>1277.1869999999999</v>
      </c>
      <c r="P253" s="75">
        <f t="shared" si="39"/>
        <v>0</v>
      </c>
      <c r="Q253" s="101">
        <f>Valores!$C$14*D253</f>
        <v>2159.69</v>
      </c>
      <c r="R253" s="101">
        <f>IF(D253&lt;15,(Valores!$E$4*D253),Valores!$D$4)</f>
        <v>2666.43</v>
      </c>
      <c r="S253" s="75">
        <v>0</v>
      </c>
      <c r="T253" s="78">
        <f>IF(Valores!$C$45*D253&gt;Valores!$C$43,Valores!$C$43,Valores!$C$45*D253)</f>
        <v>689.13</v>
      </c>
      <c r="U253" s="101">
        <f>Valores!$C$22*D253</f>
        <v>761.54</v>
      </c>
      <c r="V253" s="75">
        <f t="shared" si="48"/>
        <v>761.54</v>
      </c>
      <c r="W253" s="75">
        <v>0</v>
      </c>
      <c r="X253" s="75">
        <v>0</v>
      </c>
      <c r="Y253" s="118">
        <v>0</v>
      </c>
      <c r="Z253" s="75">
        <f>Y253*Valores!$C$2</f>
        <v>0</v>
      </c>
      <c r="AA253" s="75">
        <v>0</v>
      </c>
      <c r="AB253" s="80">
        <f>IF((Valores!$C$32)*D253&gt;Valores!$F$32,Valores!$F$32,(Valores!$C$32)*D253)</f>
        <v>86.58</v>
      </c>
      <c r="AC253" s="75">
        <f t="shared" si="42"/>
        <v>0</v>
      </c>
      <c r="AD253" s="75">
        <f>IF(Valores!$C$33*D253&gt;Valores!$F$33,Valores!$F$33,Valores!$C$33*D253)</f>
        <v>72.02</v>
      </c>
      <c r="AE253" s="79">
        <v>0</v>
      </c>
      <c r="AF253" s="75">
        <f>INT(((AE253*Valores!$C$2)*100)+0.5)/100</f>
        <v>0</v>
      </c>
      <c r="AG253" s="75">
        <f>IF(Valores!$D$58*'Escala Docente'!D253&gt;Valores!$F$58,Valores!$F$58,Valores!$D$58*'Escala Docente'!D253)</f>
        <v>292.89</v>
      </c>
      <c r="AH253" s="75">
        <f>IF(Valores!$D$60*D253&gt;Valores!$F$60,Valores!$F$60,Valores!$D$60*D253)</f>
        <v>83.72</v>
      </c>
      <c r="AI253" s="114">
        <f t="shared" si="43"/>
        <v>15153.097</v>
      </c>
      <c r="AJ253" s="101">
        <f>IF(Valores!$C$36*D253&gt;Valores!$F$36,Valores!$F$36,Valores!$C$36*D253)</f>
        <v>577.46</v>
      </c>
      <c r="AK253" s="78">
        <f>IF(Valores!$C$11*D253&gt;Valores!$F$11,Valores!$F$11,Valores!$C$11*D253)</f>
        <v>0</v>
      </c>
      <c r="AL253" s="78">
        <f>IF(Valores!$C$84*D253&gt;Valores!$C$83,Valores!$C$83,Valores!$C$84*D253)</f>
        <v>975</v>
      </c>
      <c r="AM253" s="80">
        <f>IF(Valores!$C$57*D253&gt;Valores!$F$57,Valores!$F$57,Valores!$C$57*D253)</f>
        <v>122.72</v>
      </c>
      <c r="AN253" s="82">
        <f t="shared" si="44"/>
        <v>1552.46</v>
      </c>
      <c r="AO253" s="61">
        <f>AI253*-Valores!$C$65</f>
        <v>-1969.9026100000001</v>
      </c>
      <c r="AP253" s="61">
        <f>AI253*-Valores!$C$66</f>
        <v>-75.765484999999998</v>
      </c>
      <c r="AQ253" s="77">
        <f>AI253*-Valores!$C$67</f>
        <v>-681.889365</v>
      </c>
      <c r="AR253" s="77">
        <f>AI253*-Valores!$C$68</f>
        <v>-409.13361900000001</v>
      </c>
      <c r="AS253" s="77">
        <f>AI253*-Valores!$C$69</f>
        <v>-45.459291</v>
      </c>
      <c r="AT253" s="81">
        <f t="shared" si="40"/>
        <v>13977.999540000001</v>
      </c>
      <c r="AU253" s="81">
        <f t="shared" si="41"/>
        <v>14205.295995</v>
      </c>
      <c r="AV253" s="77">
        <f>AI253*Valores!$C$71</f>
        <v>2424.4955199999999</v>
      </c>
      <c r="AW253" s="77">
        <f>AI253*Valores!$C$72</f>
        <v>681.889365</v>
      </c>
      <c r="AX253" s="77">
        <f>AI253*Valores!$C$73</f>
        <v>151.53097</v>
      </c>
      <c r="AY253" s="77">
        <f>AI253*Valores!$C$75</f>
        <v>530.35839500000009</v>
      </c>
      <c r="AZ253" s="77">
        <f>AI253*Valores!$C$76</f>
        <v>90.918582000000001</v>
      </c>
      <c r="BA253" s="77">
        <f t="shared" si="45"/>
        <v>818.26723800000002</v>
      </c>
      <c r="BB253" s="51"/>
      <c r="BC253" s="51">
        <f t="shared" si="46"/>
        <v>52</v>
      </c>
      <c r="BD253" s="27" t="s">
        <v>4</v>
      </c>
    </row>
    <row r="254" spans="1:56" s="27" customFormat="1" ht="11.25" customHeight="1" x14ac:dyDescent="0.2">
      <c r="A254" s="51">
        <v>253</v>
      </c>
      <c r="B254" s="51"/>
      <c r="C254" s="27" t="s">
        <v>522</v>
      </c>
      <c r="D254" s="27">
        <v>13</v>
      </c>
      <c r="E254" s="27">
        <f t="shared" si="37"/>
        <v>42</v>
      </c>
      <c r="F254" s="71" t="str">
        <f>CONCATENATE("Hora Cátedra Enseñanza Media ",D254," hs Esc Esp")</f>
        <v>Hora Cátedra Enseñanza Media 13 hs Esc Esp</v>
      </c>
      <c r="G254" s="72">
        <f t="shared" si="47"/>
        <v>1027</v>
      </c>
      <c r="H254" s="73">
        <f>INT((G254*Valores!$C$2*100))/100</f>
        <v>7063.91</v>
      </c>
      <c r="I254" s="112">
        <v>0</v>
      </c>
      <c r="J254" s="75">
        <f>INT((I254*Valores!$C$2*100)+0.5)/100</f>
        <v>0</v>
      </c>
      <c r="K254" s="102">
        <v>0</v>
      </c>
      <c r="L254" s="75">
        <f>INT((K254*Valores!$C$2*100)+0.5)/100</f>
        <v>0</v>
      </c>
      <c r="M254" s="100">
        <v>0</v>
      </c>
      <c r="N254" s="75">
        <f>INT((M254*Valores!$C$2*100)+0.5)/100</f>
        <v>0</v>
      </c>
      <c r="O254" s="75">
        <f t="shared" si="38"/>
        <v>1277.1869999999999</v>
      </c>
      <c r="P254" s="75">
        <f t="shared" si="39"/>
        <v>0</v>
      </c>
      <c r="Q254" s="101">
        <f>Valores!$C$14*D254</f>
        <v>2159.69</v>
      </c>
      <c r="R254" s="101">
        <f>IF(D254&lt;15,(Valores!$E$4*D254),Valores!$D$4)</f>
        <v>2666.43</v>
      </c>
      <c r="S254" s="75">
        <v>0</v>
      </c>
      <c r="T254" s="78">
        <f>IF(Valores!$C$45*D254&gt;Valores!$C$43,Valores!$C$43,Valores!$C$45*D254)</f>
        <v>689.13</v>
      </c>
      <c r="U254" s="101">
        <f>Valores!$C$22*D254</f>
        <v>761.54</v>
      </c>
      <c r="V254" s="75">
        <f t="shared" si="48"/>
        <v>761.54</v>
      </c>
      <c r="W254" s="75">
        <v>0</v>
      </c>
      <c r="X254" s="75">
        <v>0</v>
      </c>
      <c r="Y254" s="118">
        <v>0</v>
      </c>
      <c r="Z254" s="75">
        <f>Y254*Valores!$C$2</f>
        <v>0</v>
      </c>
      <c r="AA254" s="75">
        <v>0</v>
      </c>
      <c r="AB254" s="80">
        <f>IF((Valores!$C$32)*D254&gt;Valores!$F$32,Valores!$F$32,(Valores!$C$32)*D254)</f>
        <v>86.58</v>
      </c>
      <c r="AC254" s="75">
        <f t="shared" si="42"/>
        <v>0</v>
      </c>
      <c r="AD254" s="75">
        <f>IF(Valores!$C$33*D254&gt;Valores!$F$33,Valores!$F$33,Valores!$C$33*D254)</f>
        <v>72.02</v>
      </c>
      <c r="AE254" s="79">
        <v>94</v>
      </c>
      <c r="AF254" s="75">
        <f>INT(((AE254*Valores!$C$2)*100)+0.5)/100</f>
        <v>646.54999999999995</v>
      </c>
      <c r="AG254" s="75">
        <f>IF(Valores!$D$58*'Escala Docente'!D254&gt;Valores!$F$58,Valores!$F$58,Valores!$D$58*'Escala Docente'!D254)</f>
        <v>292.89</v>
      </c>
      <c r="AH254" s="75">
        <f>IF(Valores!$D$60*D254&gt;Valores!$F$60,Valores!$F$60,Valores!$D$60*D254)</f>
        <v>83.72</v>
      </c>
      <c r="AI254" s="114">
        <f t="shared" si="43"/>
        <v>15799.646999999999</v>
      </c>
      <c r="AJ254" s="101">
        <f>IF(Valores!$C$36*D254&gt;Valores!$F$36,Valores!$F$36,Valores!$C$36*D254)</f>
        <v>577.46</v>
      </c>
      <c r="AK254" s="78">
        <f>IF(Valores!$C$11*D254&gt;Valores!$F$11,Valores!$F$11,Valores!$C$11*D254)</f>
        <v>0</v>
      </c>
      <c r="AL254" s="78">
        <f>IF(Valores!$C$84*D254&gt;Valores!$C$83,Valores!$C$83,Valores!$C$84*D254)</f>
        <v>975</v>
      </c>
      <c r="AM254" s="80">
        <f>IF(Valores!$C$57*D254&gt;Valores!$F$57,Valores!$F$57,Valores!$C$57*D254)</f>
        <v>122.72</v>
      </c>
      <c r="AN254" s="82">
        <f t="shared" si="44"/>
        <v>1552.46</v>
      </c>
      <c r="AO254" s="61">
        <f>AI254*-Valores!$C$65</f>
        <v>-2053.9541100000001</v>
      </c>
      <c r="AP254" s="61">
        <f>AI254*-Valores!$C$66</f>
        <v>-78.998234999999994</v>
      </c>
      <c r="AQ254" s="77">
        <f>AI254*-Valores!$C$67</f>
        <v>-710.98411499999997</v>
      </c>
      <c r="AR254" s="77">
        <f>AI254*-Valores!$C$68</f>
        <v>-426.59046899999998</v>
      </c>
      <c r="AS254" s="77">
        <f>AI254*-Valores!$C$69</f>
        <v>-47.398941000000001</v>
      </c>
      <c r="AT254" s="81">
        <f t="shared" si="40"/>
        <v>14508.170540000001</v>
      </c>
      <c r="AU254" s="81">
        <f t="shared" si="41"/>
        <v>14745.165245000002</v>
      </c>
      <c r="AV254" s="77">
        <f>AI254*Valores!$C$71</f>
        <v>2527.9435199999998</v>
      </c>
      <c r="AW254" s="77">
        <f>AI254*Valores!$C$72</f>
        <v>710.98411499999997</v>
      </c>
      <c r="AX254" s="77">
        <f>AI254*Valores!$C$73</f>
        <v>157.99646999999999</v>
      </c>
      <c r="AY254" s="77">
        <f>AI254*Valores!$C$75</f>
        <v>552.98764500000004</v>
      </c>
      <c r="AZ254" s="77">
        <f>AI254*Valores!$C$76</f>
        <v>94.797882000000001</v>
      </c>
      <c r="BA254" s="77">
        <f t="shared" si="45"/>
        <v>853.18093799999997</v>
      </c>
      <c r="BB254" s="51"/>
      <c r="BC254" s="85">
        <f t="shared" si="46"/>
        <v>52</v>
      </c>
      <c r="BD254" s="27" t="s">
        <v>4</v>
      </c>
    </row>
    <row r="255" spans="1:56" s="27" customFormat="1" ht="11.25" customHeight="1" x14ac:dyDescent="0.2">
      <c r="A255" s="51">
        <v>254</v>
      </c>
      <c r="B255" s="51"/>
      <c r="C255" s="27" t="s">
        <v>522</v>
      </c>
      <c r="D255" s="27">
        <v>14</v>
      </c>
      <c r="E255" s="27">
        <f t="shared" si="37"/>
        <v>34</v>
      </c>
      <c r="F255" s="71" t="str">
        <f>CONCATENATE("Hora Cátedra Enseñanza Media ",D255," hs")</f>
        <v>Hora Cátedra Enseñanza Media 14 hs</v>
      </c>
      <c r="G255" s="72">
        <f t="shared" si="47"/>
        <v>1106</v>
      </c>
      <c r="H255" s="73">
        <f>INT((G255*Valores!$C$2*100))/100</f>
        <v>7607.28</v>
      </c>
      <c r="I255" s="112">
        <v>0</v>
      </c>
      <c r="J255" s="75">
        <f>INT((I255*Valores!$C$2*100)+0.5)/100</f>
        <v>0</v>
      </c>
      <c r="K255" s="102">
        <v>0</v>
      </c>
      <c r="L255" s="75">
        <f>INT((K255*Valores!$C$2*100)+0.5)/100</f>
        <v>0</v>
      </c>
      <c r="M255" s="100">
        <v>0</v>
      </c>
      <c r="N255" s="75">
        <f>INT((M255*Valores!$C$2*100)+0.5)/100</f>
        <v>0</v>
      </c>
      <c r="O255" s="75">
        <f t="shared" si="38"/>
        <v>1375.4309999999998</v>
      </c>
      <c r="P255" s="75">
        <f t="shared" si="39"/>
        <v>0</v>
      </c>
      <c r="Q255" s="101">
        <f>Valores!$C$14*D255</f>
        <v>2325.8199999999997</v>
      </c>
      <c r="R255" s="101">
        <f>IF(D255&lt;15,(Valores!$E$4*D255),Valores!$D$4)</f>
        <v>2871.54</v>
      </c>
      <c r="S255" s="75">
        <v>0</v>
      </c>
      <c r="T255" s="78">
        <f>IF(Valores!$C$45*D255&gt;Valores!$C$43,Valores!$C$43,Valores!$C$45*D255)</f>
        <v>742.14</v>
      </c>
      <c r="U255" s="101">
        <f>Valores!$C$22*D255</f>
        <v>820.12</v>
      </c>
      <c r="V255" s="75">
        <f t="shared" si="48"/>
        <v>820.12</v>
      </c>
      <c r="W255" s="75">
        <v>0</v>
      </c>
      <c r="X255" s="75">
        <v>0</v>
      </c>
      <c r="Y255" s="118">
        <v>0</v>
      </c>
      <c r="Z255" s="75">
        <f>Y255*Valores!$C$2</f>
        <v>0</v>
      </c>
      <c r="AA255" s="75">
        <v>0</v>
      </c>
      <c r="AB255" s="80">
        <f>IF((Valores!$C$32)*D255&gt;Valores!$F$32,Valores!$F$32,(Valores!$C$32)*D255)</f>
        <v>93.240000000000009</v>
      </c>
      <c r="AC255" s="75">
        <f t="shared" si="42"/>
        <v>0</v>
      </c>
      <c r="AD255" s="75">
        <f>IF(Valores!$C$33*D255&gt;Valores!$F$33,Valores!$F$33,Valores!$C$33*D255)</f>
        <v>77.56</v>
      </c>
      <c r="AE255" s="79">
        <v>0</v>
      </c>
      <c r="AF255" s="75">
        <f>INT(((AE255*Valores!$C$2)*100)+0.5)/100</f>
        <v>0</v>
      </c>
      <c r="AG255" s="75">
        <f>IF(Valores!$D$58*'Escala Docente'!D255&gt;Valores!$F$58,Valores!$F$58,Valores!$D$58*'Escala Docente'!D255)</f>
        <v>315.42</v>
      </c>
      <c r="AH255" s="75">
        <f>IF(Valores!$D$60*D255&gt;Valores!$F$60,Valores!$F$60,Valores!$D$60*D255)</f>
        <v>90.160000000000011</v>
      </c>
      <c r="AI255" s="114">
        <f t="shared" si="43"/>
        <v>16318.710999999999</v>
      </c>
      <c r="AJ255" s="101">
        <f>IF(Valores!$C$36*D255&gt;Valores!$F$36,Valores!$F$36,Valores!$C$36*D255)</f>
        <v>621.88</v>
      </c>
      <c r="AK255" s="78">
        <f>IF(Valores!$C$11*D255&gt;Valores!$F$11,Valores!$F$11,Valores!$C$11*D255)</f>
        <v>0</v>
      </c>
      <c r="AL255" s="78">
        <f>IF(Valores!$C$84*D255&gt;Valores!$C$83,Valores!$C$83,Valores!$C$84*D255)</f>
        <v>1050</v>
      </c>
      <c r="AM255" s="80">
        <f>IF(Valores!$C$57*D255&gt;Valores!$F$57,Valores!$F$57,Valores!$C$57*D255)</f>
        <v>132.16</v>
      </c>
      <c r="AN255" s="82">
        <f t="shared" si="44"/>
        <v>1671.88</v>
      </c>
      <c r="AO255" s="61">
        <f>AI255*-Valores!$C$65</f>
        <v>-2121.4324299999998</v>
      </c>
      <c r="AP255" s="61">
        <f>AI255*-Valores!$C$66</f>
        <v>-81.593554999999995</v>
      </c>
      <c r="AQ255" s="77">
        <f>AI255*-Valores!$C$67</f>
        <v>-734.341995</v>
      </c>
      <c r="AR255" s="77">
        <f>AI255*-Valores!$C$68</f>
        <v>-440.60519699999998</v>
      </c>
      <c r="AS255" s="77">
        <f>AI255*-Valores!$C$69</f>
        <v>-48.956133000000001</v>
      </c>
      <c r="AT255" s="81">
        <f t="shared" si="40"/>
        <v>15053.223020000001</v>
      </c>
      <c r="AU255" s="81">
        <f t="shared" si="41"/>
        <v>15298.003685</v>
      </c>
      <c r="AV255" s="77">
        <f>AI255*Valores!$C$71</f>
        <v>2610.9937599999998</v>
      </c>
      <c r="AW255" s="77">
        <f>AI255*Valores!$C$72</f>
        <v>734.341995</v>
      </c>
      <c r="AX255" s="77">
        <f>AI255*Valores!$C$73</f>
        <v>163.18710999999999</v>
      </c>
      <c r="AY255" s="77">
        <f>AI255*Valores!$C$75</f>
        <v>571.15488500000004</v>
      </c>
      <c r="AZ255" s="77">
        <f>AI255*Valores!$C$76</f>
        <v>97.912266000000002</v>
      </c>
      <c r="BA255" s="77">
        <f t="shared" si="45"/>
        <v>881.21039400000006</v>
      </c>
      <c r="BB255" s="51"/>
      <c r="BC255" s="51">
        <f t="shared" si="46"/>
        <v>56</v>
      </c>
      <c r="BD255" s="27" t="s">
        <v>4</v>
      </c>
    </row>
    <row r="256" spans="1:56" s="27" customFormat="1" ht="11.25" customHeight="1" x14ac:dyDescent="0.2">
      <c r="A256" s="85">
        <v>255</v>
      </c>
      <c r="B256" s="85" t="s">
        <v>163</v>
      </c>
      <c r="C256" s="86" t="s">
        <v>522</v>
      </c>
      <c r="D256" s="86">
        <v>14</v>
      </c>
      <c r="E256" s="86">
        <f t="shared" si="37"/>
        <v>42</v>
      </c>
      <c r="F256" s="87" t="str">
        <f>CONCATENATE("Hora Cátedra Enseñanza Media ",D256," hs Esc Esp")</f>
        <v>Hora Cátedra Enseñanza Media 14 hs Esc Esp</v>
      </c>
      <c r="G256" s="88">
        <f t="shared" si="47"/>
        <v>1106</v>
      </c>
      <c r="H256" s="89">
        <f>INT((G256*Valores!$C$2*100))/100</f>
        <v>7607.28</v>
      </c>
      <c r="I256" s="103">
        <v>0</v>
      </c>
      <c r="J256" s="91">
        <f>INT((I256*Valores!$C$2*100)+0.5)/100</f>
        <v>0</v>
      </c>
      <c r="K256" s="104">
        <v>0</v>
      </c>
      <c r="L256" s="91">
        <f>INT((K256*Valores!$C$2*100)+0.5)/100</f>
        <v>0</v>
      </c>
      <c r="M256" s="105">
        <v>0</v>
      </c>
      <c r="N256" s="91">
        <f>INT((M256*Valores!$C$2*100)+0.5)/100</f>
        <v>0</v>
      </c>
      <c r="O256" s="91">
        <f t="shared" si="38"/>
        <v>1375.4309999999998</v>
      </c>
      <c r="P256" s="91">
        <f t="shared" si="39"/>
        <v>0</v>
      </c>
      <c r="Q256" s="107">
        <f>Valores!$C$14*D256</f>
        <v>2325.8199999999997</v>
      </c>
      <c r="R256" s="107">
        <f>IF(D256&lt;15,(Valores!$E$4*D256),Valores!$D$4)</f>
        <v>2871.54</v>
      </c>
      <c r="S256" s="91">
        <v>0</v>
      </c>
      <c r="T256" s="94">
        <f>IF(Valores!$C$45*D256&gt;Valores!$C$43,Valores!$C$43,Valores!$C$45*D256)</f>
        <v>742.14</v>
      </c>
      <c r="U256" s="107">
        <f>Valores!$C$22*D256</f>
        <v>820.12</v>
      </c>
      <c r="V256" s="91">
        <f t="shared" si="48"/>
        <v>820.12</v>
      </c>
      <c r="W256" s="91">
        <v>0</v>
      </c>
      <c r="X256" s="91">
        <v>0</v>
      </c>
      <c r="Y256" s="119">
        <v>0</v>
      </c>
      <c r="Z256" s="91">
        <f>Y256*Valores!$C$2</f>
        <v>0</v>
      </c>
      <c r="AA256" s="91">
        <v>0</v>
      </c>
      <c r="AB256" s="96">
        <f>IF((Valores!$C$32)*D256&gt;Valores!$F$32,Valores!$F$32,(Valores!$C$32)*D256)</f>
        <v>93.240000000000009</v>
      </c>
      <c r="AC256" s="91">
        <f t="shared" si="42"/>
        <v>0</v>
      </c>
      <c r="AD256" s="91">
        <f>IF(Valores!$C$33*D256&gt;Valores!$F$33,Valores!$F$33,Valores!$C$33*D256)</f>
        <v>77.56</v>
      </c>
      <c r="AE256" s="95">
        <v>94</v>
      </c>
      <c r="AF256" s="91">
        <f>INT(((AE256*Valores!$C$2)*100)+0.5)/100</f>
        <v>646.54999999999995</v>
      </c>
      <c r="AG256" s="91">
        <f>IF(Valores!$D$58*'Escala Docente'!D256&gt;Valores!$F$58,Valores!$F$58,Valores!$D$58*'Escala Docente'!D256)</f>
        <v>315.42</v>
      </c>
      <c r="AH256" s="91">
        <f>IF(Valores!$D$60*D256&gt;Valores!$F$60,Valores!$F$60,Valores!$D$60*D256)</f>
        <v>90.160000000000011</v>
      </c>
      <c r="AI256" s="115">
        <f t="shared" si="43"/>
        <v>16965.260999999999</v>
      </c>
      <c r="AJ256" s="107">
        <f>IF(Valores!$C$36*D256&gt;Valores!$F$36,Valores!$F$36,Valores!$C$36*D256)</f>
        <v>621.88</v>
      </c>
      <c r="AK256" s="94">
        <f>IF(Valores!$C$11*D256&gt;Valores!$F$11,Valores!$F$11,Valores!$C$11*D256)</f>
        <v>0</v>
      </c>
      <c r="AL256" s="94">
        <f>IF(Valores!$C$84*D256&gt;Valores!$C$83,Valores!$C$83,Valores!$C$84*D256)</f>
        <v>1050</v>
      </c>
      <c r="AM256" s="96">
        <f>IF(Valores!$C$57*D256&gt;Valores!$F$57,Valores!$F$57,Valores!$C$57*D256)</f>
        <v>132.16</v>
      </c>
      <c r="AN256" s="98">
        <f t="shared" si="44"/>
        <v>1671.88</v>
      </c>
      <c r="AO256" s="116">
        <f>AI256*-Valores!$C$65</f>
        <v>-2205.4839299999999</v>
      </c>
      <c r="AP256" s="116">
        <f>AI256*-Valores!$C$66</f>
        <v>-84.826304999999991</v>
      </c>
      <c r="AQ256" s="93">
        <f>AI256*-Valores!$C$67</f>
        <v>-763.43674499999986</v>
      </c>
      <c r="AR256" s="93">
        <f>AI256*-Valores!$C$68</f>
        <v>-458.06204699999995</v>
      </c>
      <c r="AS256" s="93">
        <f>AI256*-Valores!$C$69</f>
        <v>-50.895782999999994</v>
      </c>
      <c r="AT256" s="97">
        <f t="shared" si="40"/>
        <v>15583.394020000002</v>
      </c>
      <c r="AU256" s="97">
        <f t="shared" si="41"/>
        <v>15837.872935000001</v>
      </c>
      <c r="AV256" s="93">
        <f>AI256*Valores!$C$71</f>
        <v>2714.4417599999997</v>
      </c>
      <c r="AW256" s="93">
        <f>AI256*Valores!$C$72</f>
        <v>763.43674499999986</v>
      </c>
      <c r="AX256" s="93">
        <f>AI256*Valores!$C$73</f>
        <v>169.65260999999998</v>
      </c>
      <c r="AY256" s="93">
        <f>AI256*Valores!$C$75</f>
        <v>593.78413499999999</v>
      </c>
      <c r="AZ256" s="93">
        <f>AI256*Valores!$C$76</f>
        <v>101.79156599999999</v>
      </c>
      <c r="BA256" s="93">
        <f t="shared" si="45"/>
        <v>916.12409400000001</v>
      </c>
      <c r="BB256" s="85"/>
      <c r="BC256" s="85">
        <f t="shared" si="46"/>
        <v>56</v>
      </c>
      <c r="BD256" s="86" t="s">
        <v>4</v>
      </c>
    </row>
    <row r="257" spans="1:56" s="27" customFormat="1" ht="11.25" customHeight="1" x14ac:dyDescent="0.2">
      <c r="A257" s="51">
        <v>256</v>
      </c>
      <c r="B257" s="51"/>
      <c r="C257" s="27" t="s">
        <v>522</v>
      </c>
      <c r="D257" s="27">
        <v>15</v>
      </c>
      <c r="E257" s="27">
        <f t="shared" si="37"/>
        <v>34</v>
      </c>
      <c r="F257" s="71" t="str">
        <f>CONCATENATE("Hora Cátedra Enseñanza Media ",D257," hs")</f>
        <v>Hora Cátedra Enseñanza Media 15 hs</v>
      </c>
      <c r="G257" s="72">
        <f t="shared" si="47"/>
        <v>1185</v>
      </c>
      <c r="H257" s="73">
        <f>INT((G257*Valores!$C$2*100))/100</f>
        <v>8150.66</v>
      </c>
      <c r="I257" s="112">
        <v>0</v>
      </c>
      <c r="J257" s="75">
        <f>INT((I257*Valores!$C$2*100)+0.5)/100</f>
        <v>0</v>
      </c>
      <c r="K257" s="102">
        <v>0</v>
      </c>
      <c r="L257" s="75">
        <f>INT((K257*Valores!$C$2*100)+0.5)/100</f>
        <v>0</v>
      </c>
      <c r="M257" s="100">
        <v>0</v>
      </c>
      <c r="N257" s="75">
        <f>INT((M257*Valores!$C$2*100)+0.5)/100</f>
        <v>0</v>
      </c>
      <c r="O257" s="75">
        <f t="shared" si="38"/>
        <v>1473.6765</v>
      </c>
      <c r="P257" s="75">
        <f t="shared" si="39"/>
        <v>0</v>
      </c>
      <c r="Q257" s="101">
        <f>Valores!$C$14*D257</f>
        <v>2491.9499999999998</v>
      </c>
      <c r="R257" s="101">
        <f>IF(D257&lt;15,(Valores!$E$4*D257),Valores!$D$4)</f>
        <v>3076.62</v>
      </c>
      <c r="S257" s="75">
        <v>0</v>
      </c>
      <c r="T257" s="78">
        <f>IF(Valores!$C$45*D257&gt;Valores!$C$43,Valores!$C$43,Valores!$C$45*D257)</f>
        <v>795.15</v>
      </c>
      <c r="U257" s="101">
        <f>Valores!$C$22*D257</f>
        <v>878.69999999999993</v>
      </c>
      <c r="V257" s="75">
        <f t="shared" si="48"/>
        <v>878.69999999999993</v>
      </c>
      <c r="W257" s="75">
        <v>0</v>
      </c>
      <c r="X257" s="75">
        <v>0</v>
      </c>
      <c r="Y257" s="118">
        <v>0</v>
      </c>
      <c r="Z257" s="75">
        <f>Y257*Valores!$C$2</f>
        <v>0</v>
      </c>
      <c r="AA257" s="75">
        <v>0</v>
      </c>
      <c r="AB257" s="80">
        <f>IF((Valores!$C$32)*D257&gt;Valores!$F$32,Valores!$F$32,(Valores!$C$32)*D257)</f>
        <v>99.9</v>
      </c>
      <c r="AC257" s="75">
        <f t="shared" si="42"/>
        <v>0</v>
      </c>
      <c r="AD257" s="75">
        <f>IF(Valores!$C$33*D257&gt;Valores!$F$33,Valores!$F$33,Valores!$C$33*D257)</f>
        <v>83.1</v>
      </c>
      <c r="AE257" s="79">
        <v>0</v>
      </c>
      <c r="AF257" s="75">
        <f>INT(((AE257*Valores!$C$2)*100)+0.5)/100</f>
        <v>0</v>
      </c>
      <c r="AG257" s="75">
        <f>IF(Valores!$D$58*'Escala Docente'!D257&gt;Valores!$F$58,Valores!$F$58,Valores!$D$58*'Escala Docente'!D257)</f>
        <v>337.95000000000005</v>
      </c>
      <c r="AH257" s="75">
        <f>IF(Valores!$D$60*D257&gt;Valores!$F$60,Valores!$F$60,Valores!$D$60*D257)</f>
        <v>96.600000000000009</v>
      </c>
      <c r="AI257" s="114">
        <f t="shared" si="43"/>
        <v>17484.306499999999</v>
      </c>
      <c r="AJ257" s="101">
        <f>IF(Valores!$C$36*D257&gt;Valores!$F$36,Valores!$F$36,Valores!$C$36*D257)</f>
        <v>666.30000000000007</v>
      </c>
      <c r="AK257" s="78">
        <f>IF(Valores!$C$11*D257&gt;Valores!$F$11,Valores!$F$11,Valores!$C$11*D257)</f>
        <v>0</v>
      </c>
      <c r="AL257" s="78">
        <f>IF(Valores!$C$84*D257&gt;Valores!$C$83,Valores!$C$83,Valores!$C$84*D257)</f>
        <v>1125</v>
      </c>
      <c r="AM257" s="80">
        <f>IF(Valores!$C$57*D257&gt;Valores!$F$57,Valores!$F$57,Valores!$C$57*D257)</f>
        <v>141.6</v>
      </c>
      <c r="AN257" s="82">
        <f t="shared" si="44"/>
        <v>1791.3000000000002</v>
      </c>
      <c r="AO257" s="61">
        <f>AI257*-Valores!$C$65</f>
        <v>-2272.9598449999999</v>
      </c>
      <c r="AP257" s="61">
        <f>AI257*-Valores!$C$66</f>
        <v>-87.421532499999998</v>
      </c>
      <c r="AQ257" s="77">
        <f>AI257*-Valores!$C$67</f>
        <v>-786.79379249999988</v>
      </c>
      <c r="AR257" s="77">
        <f>AI257*-Valores!$C$68</f>
        <v>-472.07627549999995</v>
      </c>
      <c r="AS257" s="77">
        <f>AI257*-Valores!$C$69</f>
        <v>-52.4529195</v>
      </c>
      <c r="AT257" s="81">
        <f t="shared" si="40"/>
        <v>16128.431329999998</v>
      </c>
      <c r="AU257" s="81">
        <f t="shared" si="41"/>
        <v>16390.695927499997</v>
      </c>
      <c r="AV257" s="77">
        <f>AI257*Valores!$C$71</f>
        <v>2797.4890399999999</v>
      </c>
      <c r="AW257" s="77">
        <f>AI257*Valores!$C$72</f>
        <v>786.79379249999988</v>
      </c>
      <c r="AX257" s="77">
        <f>AI257*Valores!$C$73</f>
        <v>174.843065</v>
      </c>
      <c r="AY257" s="77">
        <f>AI257*Valores!$C$75</f>
        <v>611.95072749999997</v>
      </c>
      <c r="AZ257" s="77">
        <f>AI257*Valores!$C$76</f>
        <v>104.905839</v>
      </c>
      <c r="BA257" s="77">
        <f t="shared" si="45"/>
        <v>944.1525509999999</v>
      </c>
      <c r="BB257" s="51"/>
      <c r="BC257" s="51">
        <f t="shared" ref="BC257:BC288" si="49">4*D257</f>
        <v>60</v>
      </c>
      <c r="BD257" s="27" t="s">
        <v>4</v>
      </c>
    </row>
    <row r="258" spans="1:56" s="27" customFormat="1" ht="11.25" customHeight="1" x14ac:dyDescent="0.2">
      <c r="A258" s="51">
        <v>257</v>
      </c>
      <c r="B258" s="51"/>
      <c r="C258" s="27" t="s">
        <v>522</v>
      </c>
      <c r="D258" s="27">
        <v>15</v>
      </c>
      <c r="E258" s="27">
        <f t="shared" si="37"/>
        <v>42</v>
      </c>
      <c r="F258" s="71" t="str">
        <f>CONCATENATE("Hora Cátedra Enseñanza Media ",D258," hs Esc Esp")</f>
        <v>Hora Cátedra Enseñanza Media 15 hs Esc Esp</v>
      </c>
      <c r="G258" s="72">
        <f t="shared" si="47"/>
        <v>1185</v>
      </c>
      <c r="H258" s="73">
        <f>INT((G258*Valores!$C$2*100))/100</f>
        <v>8150.66</v>
      </c>
      <c r="I258" s="112">
        <v>0</v>
      </c>
      <c r="J258" s="75">
        <f>INT((I258*Valores!$C$2*100)+0.5)/100</f>
        <v>0</v>
      </c>
      <c r="K258" s="102">
        <v>0</v>
      </c>
      <c r="L258" s="75">
        <f>INT((K258*Valores!$C$2*100)+0.5)/100</f>
        <v>0</v>
      </c>
      <c r="M258" s="100">
        <v>0</v>
      </c>
      <c r="N258" s="75">
        <f>INT((M258*Valores!$C$2*100)+0.5)/100</f>
        <v>0</v>
      </c>
      <c r="O258" s="75">
        <f t="shared" si="38"/>
        <v>1473.6765</v>
      </c>
      <c r="P258" s="75">
        <f t="shared" si="39"/>
        <v>0</v>
      </c>
      <c r="Q258" s="101">
        <f>Valores!$C$14*D258</f>
        <v>2491.9499999999998</v>
      </c>
      <c r="R258" s="101">
        <f>IF(D258&lt;15,(Valores!$E$4*D258),Valores!$D$4)</f>
        <v>3076.62</v>
      </c>
      <c r="S258" s="75">
        <v>0</v>
      </c>
      <c r="T258" s="78">
        <f>IF(Valores!$C$45*D258&gt;Valores!$C$43,Valores!$C$43,Valores!$C$45*D258)</f>
        <v>795.15</v>
      </c>
      <c r="U258" s="101">
        <f>Valores!$C$22*D258</f>
        <v>878.69999999999993</v>
      </c>
      <c r="V258" s="75">
        <f t="shared" si="48"/>
        <v>878.69999999999993</v>
      </c>
      <c r="W258" s="75">
        <v>0</v>
      </c>
      <c r="X258" s="75">
        <v>0</v>
      </c>
      <c r="Y258" s="118">
        <v>0</v>
      </c>
      <c r="Z258" s="75">
        <f>Y258*Valores!$C$2</f>
        <v>0</v>
      </c>
      <c r="AA258" s="75">
        <v>0</v>
      </c>
      <c r="AB258" s="80">
        <f>IF((Valores!$C$32)*D258&gt;Valores!$F$32,Valores!$F$32,(Valores!$C$32)*D258)</f>
        <v>99.9</v>
      </c>
      <c r="AC258" s="75">
        <f t="shared" si="42"/>
        <v>0</v>
      </c>
      <c r="AD258" s="75">
        <f>IF(Valores!$C$33*D258&gt;Valores!$F$33,Valores!$F$33,Valores!$C$33*D258)</f>
        <v>83.1</v>
      </c>
      <c r="AE258" s="79">
        <v>94</v>
      </c>
      <c r="AF258" s="75">
        <f>INT(((AE258*Valores!$C$2)*100)+0.5)/100</f>
        <v>646.54999999999995</v>
      </c>
      <c r="AG258" s="75">
        <f>IF(Valores!$D$58*'Escala Docente'!D258&gt;Valores!$F$58,Valores!$F$58,Valores!$D$58*'Escala Docente'!D258)</f>
        <v>337.95000000000005</v>
      </c>
      <c r="AH258" s="75">
        <f>IF(Valores!$D$60*D258&gt;Valores!$F$60,Valores!$F$60,Valores!$D$60*D258)</f>
        <v>96.600000000000009</v>
      </c>
      <c r="AI258" s="114">
        <f t="shared" si="43"/>
        <v>18130.856499999998</v>
      </c>
      <c r="AJ258" s="101">
        <f>IF(Valores!$C$36*D258&gt;Valores!$F$36,Valores!$F$36,Valores!$C$36*D258)</f>
        <v>666.30000000000007</v>
      </c>
      <c r="AK258" s="78">
        <f>IF(Valores!$C$11*D258&gt;Valores!$F$11,Valores!$F$11,Valores!$C$11*D258)</f>
        <v>0</v>
      </c>
      <c r="AL258" s="78">
        <f>IF(Valores!$C$84*D258&gt;Valores!$C$83,Valores!$C$83,Valores!$C$84*D258)</f>
        <v>1125</v>
      </c>
      <c r="AM258" s="80">
        <f>IF(Valores!$C$57*D258&gt;Valores!$F$57,Valores!$F$57,Valores!$C$57*D258)</f>
        <v>141.6</v>
      </c>
      <c r="AN258" s="82">
        <f t="shared" si="44"/>
        <v>1791.3000000000002</v>
      </c>
      <c r="AO258" s="61">
        <f>AI258*-Valores!$C$65</f>
        <v>-2357.0113449999999</v>
      </c>
      <c r="AP258" s="61">
        <f>AI258*-Valores!$C$66</f>
        <v>-90.654282499999994</v>
      </c>
      <c r="AQ258" s="77">
        <f>AI258*-Valores!$C$67</f>
        <v>-815.88854249999986</v>
      </c>
      <c r="AR258" s="77">
        <f>AI258*-Valores!$C$68</f>
        <v>-489.53312549999993</v>
      </c>
      <c r="AS258" s="77">
        <f>AI258*-Valores!$C$69</f>
        <v>-54.392569499999993</v>
      </c>
      <c r="AT258" s="81">
        <f t="shared" si="40"/>
        <v>16658.602329999998</v>
      </c>
      <c r="AU258" s="81">
        <f t="shared" si="41"/>
        <v>16930.565177500001</v>
      </c>
      <c r="AV258" s="77">
        <f>AI258*Valores!$C$71</f>
        <v>2900.9370399999998</v>
      </c>
      <c r="AW258" s="77">
        <f>AI258*Valores!$C$72</f>
        <v>815.88854249999986</v>
      </c>
      <c r="AX258" s="77">
        <f>AI258*Valores!$C$73</f>
        <v>181.30856499999999</v>
      </c>
      <c r="AY258" s="77">
        <f>AI258*Valores!$C$75</f>
        <v>634.57997750000004</v>
      </c>
      <c r="AZ258" s="77">
        <f>AI258*Valores!$C$76</f>
        <v>108.78513899999999</v>
      </c>
      <c r="BA258" s="77">
        <f t="shared" si="45"/>
        <v>979.06625099999985</v>
      </c>
      <c r="BB258" s="51"/>
      <c r="BC258" s="51">
        <f t="shared" si="49"/>
        <v>60</v>
      </c>
      <c r="BD258" s="27" t="s">
        <v>4</v>
      </c>
    </row>
    <row r="259" spans="1:56" s="27" customFormat="1" ht="11.25" customHeight="1" x14ac:dyDescent="0.2">
      <c r="A259" s="51">
        <v>258</v>
      </c>
      <c r="B259" s="51"/>
      <c r="C259" s="27" t="s">
        <v>522</v>
      </c>
      <c r="D259" s="27">
        <v>16</v>
      </c>
      <c r="E259" s="27">
        <f t="shared" si="37"/>
        <v>34</v>
      </c>
      <c r="F259" s="71" t="str">
        <f>CONCATENATE("Hora Cátedra Enseñanza Media ",D259," hs")</f>
        <v>Hora Cátedra Enseñanza Media 16 hs</v>
      </c>
      <c r="G259" s="72">
        <f t="shared" si="47"/>
        <v>1264</v>
      </c>
      <c r="H259" s="73">
        <f>INT((G259*Valores!$C$2*100))/100</f>
        <v>8694.0400000000009</v>
      </c>
      <c r="I259" s="112">
        <v>0</v>
      </c>
      <c r="J259" s="75">
        <f>INT((I259*Valores!$C$2*100)+0.5)/100</f>
        <v>0</v>
      </c>
      <c r="K259" s="102">
        <v>0</v>
      </c>
      <c r="L259" s="75">
        <f>INT((K259*Valores!$C$2*100)+0.5)/100</f>
        <v>0</v>
      </c>
      <c r="M259" s="100">
        <v>0</v>
      </c>
      <c r="N259" s="75">
        <f>INT((M259*Valores!$C$2*100)+0.5)/100</f>
        <v>0</v>
      </c>
      <c r="O259" s="75">
        <f t="shared" si="38"/>
        <v>1571.9220000000003</v>
      </c>
      <c r="P259" s="75">
        <f t="shared" si="39"/>
        <v>0</v>
      </c>
      <c r="Q259" s="101">
        <f>Valores!$C$14*D259</f>
        <v>2658.08</v>
      </c>
      <c r="R259" s="101">
        <f>IF(D259&lt;15,(Valores!$E$4*D259),Valores!$D$4)</f>
        <v>3076.62</v>
      </c>
      <c r="S259" s="75">
        <v>0</v>
      </c>
      <c r="T259" s="78">
        <f>IF(Valores!$C$45*D259&gt;Valores!$C$43,Valores!$C$43,Valores!$C$45*D259)</f>
        <v>848.16</v>
      </c>
      <c r="U259" s="101">
        <f>Valores!$C$22*D259</f>
        <v>937.28</v>
      </c>
      <c r="V259" s="75">
        <f t="shared" si="48"/>
        <v>937.28</v>
      </c>
      <c r="W259" s="75">
        <v>0</v>
      </c>
      <c r="X259" s="75">
        <v>0</v>
      </c>
      <c r="Y259" s="118">
        <v>0</v>
      </c>
      <c r="Z259" s="75">
        <f>Y259*Valores!$C$2</f>
        <v>0</v>
      </c>
      <c r="AA259" s="75">
        <v>0</v>
      </c>
      <c r="AB259" s="80">
        <f>IF((Valores!$C$32)*D259&gt;Valores!$F$32,Valores!$F$32,(Valores!$C$32)*D259)</f>
        <v>106.56</v>
      </c>
      <c r="AC259" s="75">
        <f t="shared" si="42"/>
        <v>0</v>
      </c>
      <c r="AD259" s="75">
        <f>IF(Valores!$C$33*D259&gt;Valores!$F$33,Valores!$F$33,Valores!$C$33*D259)</f>
        <v>88.64</v>
      </c>
      <c r="AE259" s="79">
        <v>0</v>
      </c>
      <c r="AF259" s="75">
        <f>INT(((AE259*Valores!$C$2)*100)+0.5)/100</f>
        <v>0</v>
      </c>
      <c r="AG259" s="75">
        <f>IF(Valores!$D$58*'Escala Docente'!D259&gt;Valores!$F$58,Valores!$F$58,Valores!$D$58*'Escala Docente'!D259)</f>
        <v>360.48</v>
      </c>
      <c r="AH259" s="75">
        <f>IF(Valores!$D$60*D259&gt;Valores!$F$60,Valores!$F$60,Valores!$D$60*D259)</f>
        <v>103.04</v>
      </c>
      <c r="AI259" s="114">
        <f t="shared" si="43"/>
        <v>18444.822</v>
      </c>
      <c r="AJ259" s="101">
        <f>IF(Valores!$C$36*D259&gt;Valores!$F$36,Valores!$F$36,Valores!$C$36*D259)</f>
        <v>710.72</v>
      </c>
      <c r="AK259" s="78">
        <f>IF(Valores!$C$11*D259&gt;Valores!$F$11,Valores!$F$11,Valores!$C$11*D259)</f>
        <v>0</v>
      </c>
      <c r="AL259" s="78">
        <f>IF(Valores!$C$84*D259&gt;Valores!$C$83,Valores!$C$83,Valores!$C$84*D259)</f>
        <v>1200</v>
      </c>
      <c r="AM259" s="80">
        <f>IF(Valores!$C$57*D259&gt;Valores!$F$57,Valores!$F$57,Valores!$C$57*D259)</f>
        <v>151.04</v>
      </c>
      <c r="AN259" s="82">
        <f t="shared" si="44"/>
        <v>1910.72</v>
      </c>
      <c r="AO259" s="61">
        <f>AI259*-Valores!$C$65</f>
        <v>-2397.8268600000001</v>
      </c>
      <c r="AP259" s="61">
        <f>AI259*-Valores!$C$66</f>
        <v>-92.224109999999996</v>
      </c>
      <c r="AQ259" s="77">
        <f>AI259*-Valores!$C$67</f>
        <v>-830.01698999999996</v>
      </c>
      <c r="AR259" s="77">
        <f>AI259*-Valores!$C$68</f>
        <v>-498.01019400000001</v>
      </c>
      <c r="AS259" s="77">
        <f>AI259*-Valores!$C$69</f>
        <v>-55.334465999999999</v>
      </c>
      <c r="AT259" s="81">
        <f t="shared" si="40"/>
        <v>17035.474040000001</v>
      </c>
      <c r="AU259" s="81">
        <f t="shared" si="41"/>
        <v>17312.146370000002</v>
      </c>
      <c r="AV259" s="77">
        <f>AI259*Valores!$C$71</f>
        <v>2951.1715199999999</v>
      </c>
      <c r="AW259" s="77">
        <f>AI259*Valores!$C$72</f>
        <v>830.01698999999996</v>
      </c>
      <c r="AX259" s="77">
        <f>AI259*Valores!$C$73</f>
        <v>184.44821999999999</v>
      </c>
      <c r="AY259" s="77">
        <f>AI259*Valores!$C$75</f>
        <v>645.56877000000009</v>
      </c>
      <c r="AZ259" s="77">
        <f>AI259*Valores!$C$76</f>
        <v>110.668932</v>
      </c>
      <c r="BA259" s="77">
        <f t="shared" si="45"/>
        <v>996.02038800000014</v>
      </c>
      <c r="BB259" s="51"/>
      <c r="BC259" s="85">
        <f t="shared" si="49"/>
        <v>64</v>
      </c>
      <c r="BD259" s="27" t="s">
        <v>4</v>
      </c>
    </row>
    <row r="260" spans="1:56" s="27" customFormat="1" ht="11.25" customHeight="1" x14ac:dyDescent="0.2">
      <c r="A260" s="51">
        <v>259</v>
      </c>
      <c r="B260" s="51"/>
      <c r="C260" s="27" t="s">
        <v>522</v>
      </c>
      <c r="D260" s="27">
        <v>16</v>
      </c>
      <c r="E260" s="27">
        <f t="shared" si="37"/>
        <v>42</v>
      </c>
      <c r="F260" s="71" t="str">
        <f>CONCATENATE("Hora Cátedra Enseñanza Media ",D260," hs Esc Esp")</f>
        <v>Hora Cátedra Enseñanza Media 16 hs Esc Esp</v>
      </c>
      <c r="G260" s="72">
        <f t="shared" si="47"/>
        <v>1264</v>
      </c>
      <c r="H260" s="73">
        <f>INT((G260*Valores!$C$2*100))/100</f>
        <v>8694.0400000000009</v>
      </c>
      <c r="I260" s="112">
        <v>0</v>
      </c>
      <c r="J260" s="75">
        <f>INT((I260*Valores!$C$2*100)+0.5)/100</f>
        <v>0</v>
      </c>
      <c r="K260" s="102">
        <v>0</v>
      </c>
      <c r="L260" s="75">
        <f>INT((K260*Valores!$C$2*100)+0.5)/100</f>
        <v>0</v>
      </c>
      <c r="M260" s="100">
        <v>0</v>
      </c>
      <c r="N260" s="75">
        <f>INT((M260*Valores!$C$2*100)+0.5)/100</f>
        <v>0</v>
      </c>
      <c r="O260" s="75">
        <f t="shared" si="38"/>
        <v>1571.9220000000003</v>
      </c>
      <c r="P260" s="75">
        <f t="shared" si="39"/>
        <v>0</v>
      </c>
      <c r="Q260" s="101">
        <f>Valores!$C$14*D260</f>
        <v>2658.08</v>
      </c>
      <c r="R260" s="101">
        <f>IF(D260&lt;15,(Valores!$E$4*D260),Valores!$D$4)</f>
        <v>3076.62</v>
      </c>
      <c r="S260" s="75">
        <v>0</v>
      </c>
      <c r="T260" s="78">
        <f>IF(Valores!$C$45*D260&gt;Valores!$C$43,Valores!$C$43,Valores!$C$45*D260)</f>
        <v>848.16</v>
      </c>
      <c r="U260" s="101">
        <f>Valores!$C$22*D260</f>
        <v>937.28</v>
      </c>
      <c r="V260" s="75">
        <f t="shared" si="48"/>
        <v>937.28</v>
      </c>
      <c r="W260" s="75">
        <v>0</v>
      </c>
      <c r="X260" s="75">
        <v>0</v>
      </c>
      <c r="Y260" s="118">
        <v>0</v>
      </c>
      <c r="Z260" s="75">
        <f>Y260*Valores!$C$2</f>
        <v>0</v>
      </c>
      <c r="AA260" s="75">
        <v>0</v>
      </c>
      <c r="AB260" s="80">
        <f>IF((Valores!$C$32)*D260&gt;Valores!$F$32,Valores!$F$32,(Valores!$C$32)*D260)</f>
        <v>106.56</v>
      </c>
      <c r="AC260" s="75">
        <f t="shared" si="42"/>
        <v>0</v>
      </c>
      <c r="AD260" s="75">
        <f>IF(Valores!$C$33*D260&gt;Valores!$F$33,Valores!$F$33,Valores!$C$33*D260)</f>
        <v>88.64</v>
      </c>
      <c r="AE260" s="79">
        <v>94</v>
      </c>
      <c r="AF260" s="75">
        <f>INT(((AE260*Valores!$C$2)*100)+0.5)/100</f>
        <v>646.54999999999995</v>
      </c>
      <c r="AG260" s="75">
        <f>IF(Valores!$D$58*'Escala Docente'!D260&gt;Valores!$F$58,Valores!$F$58,Valores!$D$58*'Escala Docente'!D260)</f>
        <v>360.48</v>
      </c>
      <c r="AH260" s="75">
        <f>IF(Valores!$D$60*D260&gt;Valores!$F$60,Valores!$F$60,Valores!$D$60*D260)</f>
        <v>103.04</v>
      </c>
      <c r="AI260" s="114">
        <f t="shared" si="43"/>
        <v>19091.371999999999</v>
      </c>
      <c r="AJ260" s="101">
        <f>IF(Valores!$C$36*D260&gt;Valores!$F$36,Valores!$F$36,Valores!$C$36*D260)</f>
        <v>710.72</v>
      </c>
      <c r="AK260" s="78">
        <f>IF(Valores!$C$11*D260&gt;Valores!$F$11,Valores!$F$11,Valores!$C$11*D260)</f>
        <v>0</v>
      </c>
      <c r="AL260" s="78">
        <f>IF(Valores!$C$84*D260&gt;Valores!$C$83,Valores!$C$83,Valores!$C$84*D260)</f>
        <v>1200</v>
      </c>
      <c r="AM260" s="80">
        <f>IF(Valores!$C$57*D260&gt;Valores!$F$57,Valores!$F$57,Valores!$C$57*D260)</f>
        <v>151.04</v>
      </c>
      <c r="AN260" s="82">
        <f t="shared" si="44"/>
        <v>1910.72</v>
      </c>
      <c r="AO260" s="61">
        <f>AI260*-Valores!$C$65</f>
        <v>-2481.8783600000002</v>
      </c>
      <c r="AP260" s="61">
        <f>AI260*-Valores!$C$66</f>
        <v>-95.456860000000006</v>
      </c>
      <c r="AQ260" s="77">
        <f>AI260*-Valores!$C$67</f>
        <v>-859.11173999999994</v>
      </c>
      <c r="AR260" s="77">
        <f>AI260*-Valores!$C$68</f>
        <v>-515.46704399999999</v>
      </c>
      <c r="AS260" s="77">
        <f>AI260*-Valores!$C$69</f>
        <v>-57.274115999999999</v>
      </c>
      <c r="AT260" s="81">
        <f t="shared" si="40"/>
        <v>17565.645040000003</v>
      </c>
      <c r="AU260" s="81">
        <f t="shared" si="41"/>
        <v>17852.015620000002</v>
      </c>
      <c r="AV260" s="77">
        <f>AI260*Valores!$C$71</f>
        <v>3054.6195200000002</v>
      </c>
      <c r="AW260" s="77">
        <f>AI260*Valores!$C$72</f>
        <v>859.11173999999994</v>
      </c>
      <c r="AX260" s="77">
        <f>AI260*Valores!$C$73</f>
        <v>190.91372000000001</v>
      </c>
      <c r="AY260" s="77">
        <f>AI260*Valores!$C$75</f>
        <v>668.19802000000004</v>
      </c>
      <c r="AZ260" s="77">
        <f>AI260*Valores!$C$76</f>
        <v>114.548232</v>
      </c>
      <c r="BA260" s="77">
        <f t="shared" si="45"/>
        <v>1030.934088</v>
      </c>
      <c r="BB260" s="51"/>
      <c r="BC260" s="51">
        <f t="shared" si="49"/>
        <v>64</v>
      </c>
      <c r="BD260" s="27" t="s">
        <v>4</v>
      </c>
    </row>
    <row r="261" spans="1:56" s="27" customFormat="1" ht="11.25" customHeight="1" x14ac:dyDescent="0.2">
      <c r="A261" s="85">
        <v>260</v>
      </c>
      <c r="B261" s="85" t="s">
        <v>163</v>
      </c>
      <c r="C261" s="86" t="s">
        <v>522</v>
      </c>
      <c r="D261" s="86">
        <v>17</v>
      </c>
      <c r="E261" s="86">
        <f t="shared" si="37"/>
        <v>34</v>
      </c>
      <c r="F261" s="87" t="str">
        <f>CONCATENATE("Hora Cátedra Enseñanza Media ",D261," hs")</f>
        <v>Hora Cátedra Enseñanza Media 17 hs</v>
      </c>
      <c r="G261" s="88">
        <f t="shared" ref="G261:G292" si="50">79*D261</f>
        <v>1343</v>
      </c>
      <c r="H261" s="89">
        <f>INT((G261*Valores!$C$2*100))/100</f>
        <v>9237.42</v>
      </c>
      <c r="I261" s="103">
        <v>0</v>
      </c>
      <c r="J261" s="91">
        <f>INT((I261*Valores!$C$2*100)+0.5)/100</f>
        <v>0</v>
      </c>
      <c r="K261" s="104">
        <v>0</v>
      </c>
      <c r="L261" s="91">
        <f>INT((K261*Valores!$C$2*100)+0.5)/100</f>
        <v>0</v>
      </c>
      <c r="M261" s="105">
        <v>0</v>
      </c>
      <c r="N261" s="91">
        <f>INT((M261*Valores!$C$2*100)+0.5)/100</f>
        <v>0</v>
      </c>
      <c r="O261" s="91">
        <f t="shared" si="38"/>
        <v>1670.1675</v>
      </c>
      <c r="P261" s="91">
        <f t="shared" si="39"/>
        <v>0</v>
      </c>
      <c r="Q261" s="107">
        <f>Valores!$C$14*D261</f>
        <v>2824.21</v>
      </c>
      <c r="R261" s="107">
        <f>IF(D261&lt;15,(Valores!$E$4*D261),Valores!$D$4)</f>
        <v>3076.62</v>
      </c>
      <c r="S261" s="91">
        <v>0</v>
      </c>
      <c r="T261" s="94">
        <f>IF(Valores!$C$45*D261&gt;Valores!$C$43,Valores!$C$43,Valores!$C$45*D261)</f>
        <v>901.17</v>
      </c>
      <c r="U261" s="107">
        <f>Valores!$C$22*D261</f>
        <v>995.86</v>
      </c>
      <c r="V261" s="91">
        <f t="shared" si="48"/>
        <v>995.86</v>
      </c>
      <c r="W261" s="91">
        <v>0</v>
      </c>
      <c r="X261" s="91">
        <v>0</v>
      </c>
      <c r="Y261" s="119">
        <v>0</v>
      </c>
      <c r="Z261" s="91">
        <f>Y261*Valores!$C$2</f>
        <v>0</v>
      </c>
      <c r="AA261" s="91">
        <v>0</v>
      </c>
      <c r="AB261" s="96">
        <f>IF((Valores!$C$32)*D261&gt;Valores!$F$32,Valores!$F$32,(Valores!$C$32)*D261)</f>
        <v>113.22</v>
      </c>
      <c r="AC261" s="91">
        <f t="shared" si="42"/>
        <v>0</v>
      </c>
      <c r="AD261" s="91">
        <f>IF(Valores!$C$33*D261&gt;Valores!$F$33,Valores!$F$33,Valores!$C$33*D261)</f>
        <v>94.18</v>
      </c>
      <c r="AE261" s="95">
        <v>0</v>
      </c>
      <c r="AF261" s="91">
        <f>INT(((AE261*Valores!$C$2)*100)+0.5)/100</f>
        <v>0</v>
      </c>
      <c r="AG261" s="91">
        <f>IF(Valores!$D$58*'Escala Docente'!D261&gt;Valores!$F$58,Valores!$F$58,Valores!$D$58*'Escala Docente'!D261)</f>
        <v>383.01</v>
      </c>
      <c r="AH261" s="91">
        <f>IF(Valores!$D$60*D261&gt;Valores!$F$60,Valores!$F$60,Valores!$D$60*D261)</f>
        <v>109.48</v>
      </c>
      <c r="AI261" s="115">
        <f t="shared" si="43"/>
        <v>19405.337499999998</v>
      </c>
      <c r="AJ261" s="107">
        <f>IF(Valores!$C$36*D261&gt;Valores!$F$36,Valores!$F$36,Valores!$C$36*D261)</f>
        <v>755.14</v>
      </c>
      <c r="AK261" s="94">
        <f>IF(Valores!$C$11*D261&gt;Valores!$F$11,Valores!$F$11,Valores!$C$11*D261)</f>
        <v>0</v>
      </c>
      <c r="AL261" s="94">
        <f>IF(Valores!$C$84*D261&gt;Valores!$C$83,Valores!$C$83,Valores!$C$84*D261)</f>
        <v>1275</v>
      </c>
      <c r="AM261" s="96">
        <f>IF(Valores!$C$57*D261&gt;Valores!$F$57,Valores!$F$57,Valores!$C$57*D261)</f>
        <v>160.47999999999999</v>
      </c>
      <c r="AN261" s="98">
        <f t="shared" si="44"/>
        <v>2030.1399999999999</v>
      </c>
      <c r="AO261" s="116">
        <f>AI261*-Valores!$C$65</f>
        <v>-2522.6938749999999</v>
      </c>
      <c r="AP261" s="116">
        <f>AI261*-Valores!$C$66</f>
        <v>-97.026687499999994</v>
      </c>
      <c r="AQ261" s="93">
        <f>AI261*-Valores!$C$67</f>
        <v>-873.24018749999982</v>
      </c>
      <c r="AR261" s="93">
        <f>AI261*-Valores!$C$68</f>
        <v>-523.94411249999996</v>
      </c>
      <c r="AS261" s="93">
        <f>AI261*-Valores!$C$69</f>
        <v>-58.216012499999998</v>
      </c>
      <c r="AT261" s="97">
        <f t="shared" si="40"/>
        <v>17942.516749999995</v>
      </c>
      <c r="AU261" s="97">
        <f t="shared" si="41"/>
        <v>18233.596812499993</v>
      </c>
      <c r="AV261" s="93">
        <f>AI261*Valores!$C$71</f>
        <v>3104.8539999999998</v>
      </c>
      <c r="AW261" s="93">
        <f>AI261*Valores!$C$72</f>
        <v>873.24018749999982</v>
      </c>
      <c r="AX261" s="93">
        <f>AI261*Valores!$C$73</f>
        <v>194.05337499999999</v>
      </c>
      <c r="AY261" s="93">
        <f>AI261*Valores!$C$75</f>
        <v>679.18681249999997</v>
      </c>
      <c r="AZ261" s="93">
        <f>AI261*Valores!$C$76</f>
        <v>116.432025</v>
      </c>
      <c r="BA261" s="93">
        <f t="shared" si="45"/>
        <v>1047.8882249999999</v>
      </c>
      <c r="BB261" s="85"/>
      <c r="BC261" s="85">
        <f t="shared" si="49"/>
        <v>68</v>
      </c>
      <c r="BD261" s="86" t="s">
        <v>4</v>
      </c>
    </row>
    <row r="262" spans="1:56" s="27" customFormat="1" ht="11.25" customHeight="1" x14ac:dyDescent="0.2">
      <c r="A262" s="51">
        <v>261</v>
      </c>
      <c r="B262" s="51"/>
      <c r="C262" s="27" t="s">
        <v>522</v>
      </c>
      <c r="D262" s="27">
        <v>17</v>
      </c>
      <c r="E262" s="27">
        <f t="shared" si="37"/>
        <v>42</v>
      </c>
      <c r="F262" s="71" t="str">
        <f>CONCATENATE("Hora Cátedra Enseñanza Media ",D262," hs Esc Esp")</f>
        <v>Hora Cátedra Enseñanza Media 17 hs Esc Esp</v>
      </c>
      <c r="G262" s="72">
        <f t="shared" si="50"/>
        <v>1343</v>
      </c>
      <c r="H262" s="73">
        <f>INT((G262*Valores!$C$2*100))/100</f>
        <v>9237.42</v>
      </c>
      <c r="I262" s="112">
        <v>0</v>
      </c>
      <c r="J262" s="75">
        <f>INT((I262*Valores!$C$2*100)+0.5)/100</f>
        <v>0</v>
      </c>
      <c r="K262" s="102">
        <v>0</v>
      </c>
      <c r="L262" s="75">
        <f>INT((K262*Valores!$C$2*100)+0.5)/100</f>
        <v>0</v>
      </c>
      <c r="M262" s="100">
        <v>0</v>
      </c>
      <c r="N262" s="75">
        <f>INT((M262*Valores!$C$2*100)+0.5)/100</f>
        <v>0</v>
      </c>
      <c r="O262" s="75">
        <f t="shared" si="38"/>
        <v>1670.1675</v>
      </c>
      <c r="P262" s="75">
        <f t="shared" si="39"/>
        <v>0</v>
      </c>
      <c r="Q262" s="101">
        <f>Valores!$C$14*D262</f>
        <v>2824.21</v>
      </c>
      <c r="R262" s="101">
        <f>IF(D262&lt;15,(Valores!$E$4*D262),Valores!$D$4)</f>
        <v>3076.62</v>
      </c>
      <c r="S262" s="75">
        <v>0</v>
      </c>
      <c r="T262" s="78">
        <f>IF(Valores!$C$45*D262&gt;Valores!$C$43,Valores!$C$43,Valores!$C$45*D262)</f>
        <v>901.17</v>
      </c>
      <c r="U262" s="101">
        <f>Valores!$C$22*D262</f>
        <v>995.86</v>
      </c>
      <c r="V262" s="75">
        <f t="shared" si="48"/>
        <v>995.86</v>
      </c>
      <c r="W262" s="75">
        <v>0</v>
      </c>
      <c r="X262" s="75">
        <v>0</v>
      </c>
      <c r="Y262" s="118">
        <v>0</v>
      </c>
      <c r="Z262" s="75">
        <f>Y262*Valores!$C$2</f>
        <v>0</v>
      </c>
      <c r="AA262" s="75">
        <v>0</v>
      </c>
      <c r="AB262" s="80">
        <f>IF((Valores!$C$32)*D262&gt;Valores!$F$32,Valores!$F$32,(Valores!$C$32)*D262)</f>
        <v>113.22</v>
      </c>
      <c r="AC262" s="75">
        <f t="shared" si="42"/>
        <v>0</v>
      </c>
      <c r="AD262" s="75">
        <f>IF(Valores!$C$33*D262&gt;Valores!$F$33,Valores!$F$33,Valores!$C$33*D262)</f>
        <v>94.18</v>
      </c>
      <c r="AE262" s="79">
        <v>94</v>
      </c>
      <c r="AF262" s="75">
        <f>INT(((AE262*Valores!$C$2)*100)+0.5)/100</f>
        <v>646.54999999999995</v>
      </c>
      <c r="AG262" s="75">
        <f>IF(Valores!$D$58*'Escala Docente'!D262&gt;Valores!$F$58,Valores!$F$58,Valores!$D$58*'Escala Docente'!D262)</f>
        <v>383.01</v>
      </c>
      <c r="AH262" s="75">
        <f>IF(Valores!$D$60*D262&gt;Valores!$F$60,Valores!$F$60,Valores!$D$60*D262)</f>
        <v>109.48</v>
      </c>
      <c r="AI262" s="114">
        <f t="shared" si="43"/>
        <v>20051.887499999997</v>
      </c>
      <c r="AJ262" s="101">
        <f>IF(Valores!$C$36*D262&gt;Valores!$F$36,Valores!$F$36,Valores!$C$36*D262)</f>
        <v>755.14</v>
      </c>
      <c r="AK262" s="78">
        <f>IF(Valores!$C$11*D262&gt;Valores!$F$11,Valores!$F$11,Valores!$C$11*D262)</f>
        <v>0</v>
      </c>
      <c r="AL262" s="78">
        <f>IF(Valores!$C$84*D262&gt;Valores!$C$83,Valores!$C$83,Valores!$C$84*D262)</f>
        <v>1275</v>
      </c>
      <c r="AM262" s="80">
        <f>IF(Valores!$C$57*D262&gt;Valores!$F$57,Valores!$F$57,Valores!$C$57*D262)</f>
        <v>160.47999999999999</v>
      </c>
      <c r="AN262" s="82">
        <f t="shared" si="44"/>
        <v>2030.1399999999999</v>
      </c>
      <c r="AO262" s="61">
        <f>AI262*-Valores!$C$65</f>
        <v>-2606.7453749999995</v>
      </c>
      <c r="AP262" s="61">
        <f>AI262*-Valores!$C$66</f>
        <v>-100.25943749999999</v>
      </c>
      <c r="AQ262" s="77">
        <f>AI262*-Valores!$C$67</f>
        <v>-902.3349374999998</v>
      </c>
      <c r="AR262" s="77">
        <f>AI262*-Valores!$C$68</f>
        <v>-541.40096249999988</v>
      </c>
      <c r="AS262" s="77">
        <f>AI262*-Valores!$C$69</f>
        <v>-60.155662499999991</v>
      </c>
      <c r="AT262" s="81">
        <f t="shared" si="40"/>
        <v>18472.687749999997</v>
      </c>
      <c r="AU262" s="81">
        <f t="shared" si="41"/>
        <v>18773.466062499996</v>
      </c>
      <c r="AV262" s="77">
        <f>AI262*Valores!$C$71</f>
        <v>3208.3019999999997</v>
      </c>
      <c r="AW262" s="77">
        <f>AI262*Valores!$C$72</f>
        <v>902.3349374999998</v>
      </c>
      <c r="AX262" s="77">
        <f>AI262*Valores!$C$73</f>
        <v>200.51887499999998</v>
      </c>
      <c r="AY262" s="77">
        <f>AI262*Valores!$C$75</f>
        <v>701.81606249999993</v>
      </c>
      <c r="AZ262" s="77">
        <f>AI262*Valores!$C$76</f>
        <v>120.31132499999998</v>
      </c>
      <c r="BA262" s="77">
        <f t="shared" si="45"/>
        <v>1082.801925</v>
      </c>
      <c r="BB262" s="51"/>
      <c r="BC262" s="51">
        <f t="shared" si="49"/>
        <v>68</v>
      </c>
      <c r="BD262" s="27" t="s">
        <v>4</v>
      </c>
    </row>
    <row r="263" spans="1:56" s="27" customFormat="1" ht="11.25" customHeight="1" x14ac:dyDescent="0.2">
      <c r="A263" s="51">
        <v>262</v>
      </c>
      <c r="B263" s="51"/>
      <c r="C263" s="27" t="s">
        <v>522</v>
      </c>
      <c r="D263" s="27">
        <v>18</v>
      </c>
      <c r="E263" s="27">
        <f t="shared" ref="E263:E326" si="51">LEN(F263)</f>
        <v>34</v>
      </c>
      <c r="F263" s="71" t="str">
        <f>CONCATENATE("Hora Cátedra Enseñanza Media ",D263," hs")</f>
        <v>Hora Cátedra Enseñanza Media 18 hs</v>
      </c>
      <c r="G263" s="72">
        <f t="shared" si="50"/>
        <v>1422</v>
      </c>
      <c r="H263" s="73">
        <f>INT((G263*Valores!$C$2*100))/100</f>
        <v>9780.7999999999993</v>
      </c>
      <c r="I263" s="112">
        <v>0</v>
      </c>
      <c r="J263" s="75">
        <f>INT((I263*Valores!$C$2*100)+0.5)/100</f>
        <v>0</v>
      </c>
      <c r="K263" s="102">
        <v>0</v>
      </c>
      <c r="L263" s="75">
        <f>INT((K263*Valores!$C$2*100)+0.5)/100</f>
        <v>0</v>
      </c>
      <c r="M263" s="100">
        <v>0</v>
      </c>
      <c r="N263" s="75">
        <f>INT((M263*Valores!$C$2*100)+0.5)/100</f>
        <v>0</v>
      </c>
      <c r="O263" s="75">
        <f t="shared" ref="O263:O326" si="52">IF($J$2=0,IF(C263&lt;&gt;"13-930",(SUM(H263,J263,L263,N263,Z263,U263,T263)*$O$2),0),0)</f>
        <v>1768.413</v>
      </c>
      <c r="P263" s="75">
        <f t="shared" ref="P263:P327" si="53">SUM(H263,J263,L263,N263,Z263,T263)*$J$2</f>
        <v>0</v>
      </c>
      <c r="Q263" s="101">
        <f>Valores!$C$14*D263</f>
        <v>2990.34</v>
      </c>
      <c r="R263" s="101">
        <f>IF(D263&lt;15,(Valores!$E$4*D263),Valores!$D$4)</f>
        <v>3076.62</v>
      </c>
      <c r="S263" s="75">
        <v>0</v>
      </c>
      <c r="T263" s="78">
        <f>IF(Valores!$C$45*D263&gt;Valores!$C$43,Valores!$C$43,Valores!$C$45*D263)</f>
        <v>954.18</v>
      </c>
      <c r="U263" s="101">
        <f>Valores!$C$22*D263</f>
        <v>1054.44</v>
      </c>
      <c r="V263" s="75">
        <f t="shared" si="48"/>
        <v>1054.44</v>
      </c>
      <c r="W263" s="75">
        <v>0</v>
      </c>
      <c r="X263" s="75">
        <v>0</v>
      </c>
      <c r="Y263" s="118">
        <v>0</v>
      </c>
      <c r="Z263" s="75">
        <f>Y263*Valores!$C$2</f>
        <v>0</v>
      </c>
      <c r="AA263" s="75">
        <v>0</v>
      </c>
      <c r="AB263" s="80">
        <f>IF((Valores!$C$32)*D263&gt;Valores!$F$32,Valores!$F$32,(Valores!$C$32)*D263)</f>
        <v>119.88</v>
      </c>
      <c r="AC263" s="75">
        <f t="shared" si="42"/>
        <v>0</v>
      </c>
      <c r="AD263" s="75">
        <f>IF(Valores!$C$33*D263&gt;Valores!$F$33,Valores!$F$33,Valores!$C$33*D263)</f>
        <v>99.72</v>
      </c>
      <c r="AE263" s="79">
        <v>0</v>
      </c>
      <c r="AF263" s="75">
        <f>INT(((AE263*Valores!$C$2)*100)+0.5)/100</f>
        <v>0</v>
      </c>
      <c r="AG263" s="75">
        <f>IF(Valores!$D$58*'Escala Docente'!D263&gt;Valores!$F$58,Valores!$F$58,Valores!$D$58*'Escala Docente'!D263)</f>
        <v>405.54</v>
      </c>
      <c r="AH263" s="75">
        <f>IF(Valores!$D$60*D263&gt;Valores!$F$60,Valores!$F$60,Valores!$D$60*D263)</f>
        <v>115.92</v>
      </c>
      <c r="AI263" s="114">
        <f t="shared" si="43"/>
        <v>20365.852999999999</v>
      </c>
      <c r="AJ263" s="101">
        <f>IF(Valores!$C$36*D263&gt;Valores!$F$36,Valores!$F$36,Valores!$C$36*D263)</f>
        <v>799.56000000000006</v>
      </c>
      <c r="AK263" s="78">
        <f>IF(Valores!$C$11*D263&gt;Valores!$F$11,Valores!$F$11,Valores!$C$11*D263)</f>
        <v>0</v>
      </c>
      <c r="AL263" s="78">
        <f>IF(Valores!$C$84*D263&gt;Valores!$C$83,Valores!$C$83,Valores!$C$84*D263)</f>
        <v>1350</v>
      </c>
      <c r="AM263" s="80">
        <f>IF(Valores!$C$57*D263&gt;Valores!$F$57,Valores!$F$57,Valores!$C$57*D263)</f>
        <v>169.92</v>
      </c>
      <c r="AN263" s="82">
        <f t="shared" si="44"/>
        <v>2149.56</v>
      </c>
      <c r="AO263" s="61">
        <f>AI263*-Valores!$C$65</f>
        <v>-2647.5608900000002</v>
      </c>
      <c r="AP263" s="61">
        <f>AI263*-Valores!$C$66</f>
        <v>-101.82926499999999</v>
      </c>
      <c r="AQ263" s="77">
        <f>AI263*-Valores!$C$67</f>
        <v>-916.4633849999999</v>
      </c>
      <c r="AR263" s="77">
        <f>AI263*-Valores!$C$68</f>
        <v>-549.87803099999996</v>
      </c>
      <c r="AS263" s="77">
        <f>AI263*-Valores!$C$69</f>
        <v>-61.097558999999997</v>
      </c>
      <c r="AT263" s="81">
        <f t="shared" ref="AT263:AT327" si="54">AI263+AN263+AP263+AQ263+AO263</f>
        <v>18849.55946</v>
      </c>
      <c r="AU263" s="81">
        <f t="shared" ref="AU263:AU327" si="55">AI263+AN263+AP263+AR263+AO263+AS263</f>
        <v>19155.047254999998</v>
      </c>
      <c r="AV263" s="77">
        <f>AI263*Valores!$C$71</f>
        <v>3258.5364799999998</v>
      </c>
      <c r="AW263" s="77">
        <f>AI263*Valores!$C$72</f>
        <v>916.4633849999999</v>
      </c>
      <c r="AX263" s="77">
        <f>AI263*Valores!$C$73</f>
        <v>203.65852999999998</v>
      </c>
      <c r="AY263" s="77">
        <f>AI263*Valores!$C$75</f>
        <v>712.80485500000009</v>
      </c>
      <c r="AZ263" s="77">
        <f>AI263*Valores!$C$76</f>
        <v>122.19511799999999</v>
      </c>
      <c r="BA263" s="77">
        <f t="shared" si="45"/>
        <v>1099.7560620000002</v>
      </c>
      <c r="BB263" s="51"/>
      <c r="BC263" s="51">
        <f t="shared" si="49"/>
        <v>72</v>
      </c>
      <c r="BD263" s="27" t="s">
        <v>4</v>
      </c>
    </row>
    <row r="264" spans="1:56" s="27" customFormat="1" ht="11.25" customHeight="1" x14ac:dyDescent="0.2">
      <c r="A264" s="51">
        <v>263</v>
      </c>
      <c r="B264" s="51"/>
      <c r="C264" s="27" t="s">
        <v>522</v>
      </c>
      <c r="D264" s="27">
        <v>18</v>
      </c>
      <c r="E264" s="27">
        <f t="shared" si="51"/>
        <v>42</v>
      </c>
      <c r="F264" s="71" t="str">
        <f>CONCATENATE("Hora Cátedra Enseñanza Media ",D264," hs Esc Esp")</f>
        <v>Hora Cátedra Enseñanza Media 18 hs Esc Esp</v>
      </c>
      <c r="G264" s="72">
        <f t="shared" si="50"/>
        <v>1422</v>
      </c>
      <c r="H264" s="73">
        <f>INT((G264*Valores!$C$2*100))/100</f>
        <v>9780.7999999999993</v>
      </c>
      <c r="I264" s="112">
        <v>0</v>
      </c>
      <c r="J264" s="75">
        <f>INT((I264*Valores!$C$2*100)+0.5)/100</f>
        <v>0</v>
      </c>
      <c r="K264" s="102">
        <v>0</v>
      </c>
      <c r="L264" s="75">
        <f>INT((K264*Valores!$C$2*100)+0.5)/100</f>
        <v>0</v>
      </c>
      <c r="M264" s="100">
        <v>0</v>
      </c>
      <c r="N264" s="75">
        <f>INT((M264*Valores!$C$2*100)+0.5)/100</f>
        <v>0</v>
      </c>
      <c r="O264" s="75">
        <f t="shared" si="52"/>
        <v>1768.413</v>
      </c>
      <c r="P264" s="75">
        <f t="shared" si="53"/>
        <v>0</v>
      </c>
      <c r="Q264" s="101">
        <f>Valores!$C$14*D264</f>
        <v>2990.34</v>
      </c>
      <c r="R264" s="101">
        <f>IF(D264&lt;15,(Valores!$E$4*D264),Valores!$D$4)</f>
        <v>3076.62</v>
      </c>
      <c r="S264" s="75">
        <v>0</v>
      </c>
      <c r="T264" s="78">
        <f>IF(Valores!$C$45*D264&gt;Valores!$C$43,Valores!$C$43,Valores!$C$45*D264)</f>
        <v>954.18</v>
      </c>
      <c r="U264" s="101">
        <f>Valores!$C$22*D264</f>
        <v>1054.44</v>
      </c>
      <c r="V264" s="75">
        <f t="shared" si="48"/>
        <v>1054.44</v>
      </c>
      <c r="W264" s="75">
        <v>0</v>
      </c>
      <c r="X264" s="75">
        <v>0</v>
      </c>
      <c r="Y264" s="118">
        <v>0</v>
      </c>
      <c r="Z264" s="75">
        <f>Y264*Valores!$C$2</f>
        <v>0</v>
      </c>
      <c r="AA264" s="75">
        <v>0</v>
      </c>
      <c r="AB264" s="80">
        <f>IF((Valores!$C$32)*D264&gt;Valores!$F$32,Valores!$F$32,(Valores!$C$32)*D264)</f>
        <v>119.88</v>
      </c>
      <c r="AC264" s="75">
        <f t="shared" ref="AC264:AC327" si="56">SUM(H264,J264,L264,Z264,T264)*$H$3/100</f>
        <v>0</v>
      </c>
      <c r="AD264" s="75">
        <f>IF(Valores!$C$33*D264&gt;Valores!$F$33,Valores!$F$33,Valores!$C$33*D264)</f>
        <v>99.72</v>
      </c>
      <c r="AE264" s="79">
        <v>94</v>
      </c>
      <c r="AF264" s="75">
        <f>INT(((AE264*Valores!$C$2)*100)+0.5)/100</f>
        <v>646.54999999999995</v>
      </c>
      <c r="AG264" s="75">
        <f>IF(Valores!$D$58*'Escala Docente'!D264&gt;Valores!$F$58,Valores!$F$58,Valores!$D$58*'Escala Docente'!D264)</f>
        <v>405.54</v>
      </c>
      <c r="AH264" s="75">
        <f>IF(Valores!$D$60*D264&gt;Valores!$F$60,Valores!$F$60,Valores!$D$60*D264)</f>
        <v>115.92</v>
      </c>
      <c r="AI264" s="114">
        <f t="shared" ref="AI264:AI327" si="57">SUM(H264,J264,L264,N264,O264,P264,Q264,R264,S264,V264,W264,X264,Z264,AA264,AB264,AC264,AD264,AF264,T264,AG264,AH264)</f>
        <v>21012.402999999998</v>
      </c>
      <c r="AJ264" s="101">
        <f>IF(Valores!$C$36*D264&gt;Valores!$F$36,Valores!$F$36,Valores!$C$36*D264)</f>
        <v>799.56000000000006</v>
      </c>
      <c r="AK264" s="78">
        <f>IF(Valores!$C$11*D264&gt;Valores!$F$11,Valores!$F$11,Valores!$C$11*D264)</f>
        <v>0</v>
      </c>
      <c r="AL264" s="78">
        <f>IF(Valores!$C$84*D264&gt;Valores!$C$83,Valores!$C$83,Valores!$C$84*D264)</f>
        <v>1350</v>
      </c>
      <c r="AM264" s="80">
        <f>IF(Valores!$C$57*D264&gt;Valores!$F$57,Valores!$F$57,Valores!$C$57*D264)</f>
        <v>169.92</v>
      </c>
      <c r="AN264" s="82">
        <f t="shared" ref="AN264:AN327" si="58">IF($H$4="SI",SUM(AJ264:AL264,AM264),SUM(AJ264:AL264))</f>
        <v>2149.56</v>
      </c>
      <c r="AO264" s="61">
        <f>AI264*-Valores!$C$65</f>
        <v>-2731.6123899999998</v>
      </c>
      <c r="AP264" s="61">
        <f>AI264*-Valores!$C$66</f>
        <v>-105.06201499999999</v>
      </c>
      <c r="AQ264" s="77">
        <f>AI264*-Valores!$C$67</f>
        <v>-945.55813499999988</v>
      </c>
      <c r="AR264" s="77">
        <f>AI264*-Valores!$C$68</f>
        <v>-567.334881</v>
      </c>
      <c r="AS264" s="77">
        <f>AI264*-Valores!$C$69</f>
        <v>-63.037208999999997</v>
      </c>
      <c r="AT264" s="81">
        <f t="shared" si="54"/>
        <v>19379.730460000002</v>
      </c>
      <c r="AU264" s="81">
        <f t="shared" si="55"/>
        <v>19694.916505000005</v>
      </c>
      <c r="AV264" s="77">
        <f>AI264*Valores!$C$71</f>
        <v>3361.9844799999996</v>
      </c>
      <c r="AW264" s="77">
        <f>AI264*Valores!$C$72</f>
        <v>945.55813499999988</v>
      </c>
      <c r="AX264" s="77">
        <f>AI264*Valores!$C$73</f>
        <v>210.12402999999998</v>
      </c>
      <c r="AY264" s="77">
        <f>AI264*Valores!$C$75</f>
        <v>735.43410500000005</v>
      </c>
      <c r="AZ264" s="77">
        <f>AI264*Valores!$C$76</f>
        <v>126.07441799999999</v>
      </c>
      <c r="BA264" s="77">
        <f t="shared" si="45"/>
        <v>1134.669762</v>
      </c>
      <c r="BB264" s="51"/>
      <c r="BC264" s="85">
        <f t="shared" si="49"/>
        <v>72</v>
      </c>
      <c r="BD264" s="27" t="s">
        <v>4</v>
      </c>
    </row>
    <row r="265" spans="1:56" s="27" customFormat="1" ht="11.25" customHeight="1" x14ac:dyDescent="0.2">
      <c r="A265" s="51">
        <v>264</v>
      </c>
      <c r="B265" s="51"/>
      <c r="C265" s="27" t="s">
        <v>522</v>
      </c>
      <c r="D265" s="27">
        <v>19</v>
      </c>
      <c r="E265" s="27">
        <f t="shared" si="51"/>
        <v>34</v>
      </c>
      <c r="F265" s="71" t="str">
        <f>CONCATENATE("Hora Cátedra Enseñanza Media ",D265," hs")</f>
        <v>Hora Cátedra Enseñanza Media 19 hs</v>
      </c>
      <c r="G265" s="72">
        <f t="shared" si="50"/>
        <v>1501</v>
      </c>
      <c r="H265" s="73">
        <f>INT((G265*Valores!$C$2*100))/100</f>
        <v>10324.17</v>
      </c>
      <c r="I265" s="112">
        <v>0</v>
      </c>
      <c r="J265" s="75">
        <f>INT((I265*Valores!$C$2*100)+0.5)/100</f>
        <v>0</v>
      </c>
      <c r="K265" s="102">
        <v>0</v>
      </c>
      <c r="L265" s="75">
        <f>INT((K265*Valores!$C$2*100)+0.5)/100</f>
        <v>0</v>
      </c>
      <c r="M265" s="100">
        <v>0</v>
      </c>
      <c r="N265" s="75">
        <f>INT((M265*Valores!$C$2*100)+0.5)/100</f>
        <v>0</v>
      </c>
      <c r="O265" s="75">
        <f t="shared" si="52"/>
        <v>1866.6570000000002</v>
      </c>
      <c r="P265" s="75">
        <f t="shared" si="53"/>
        <v>0</v>
      </c>
      <c r="Q265" s="101">
        <f>Valores!$C$14*D265</f>
        <v>3156.47</v>
      </c>
      <c r="R265" s="101">
        <f>IF(D265&lt;15,(Valores!$E$4*D265),Valores!$D$4)</f>
        <v>3076.62</v>
      </c>
      <c r="S265" s="75">
        <v>0</v>
      </c>
      <c r="T265" s="78">
        <f>IF(Valores!$C$45*D265&gt;Valores!$C$43,Valores!$C$43,Valores!$C$45*D265)</f>
        <v>1007.1899999999999</v>
      </c>
      <c r="U265" s="101">
        <f>Valores!$C$22*D265</f>
        <v>1113.02</v>
      </c>
      <c r="V265" s="75">
        <f t="shared" si="48"/>
        <v>1113.02</v>
      </c>
      <c r="W265" s="75">
        <v>0</v>
      </c>
      <c r="X265" s="75">
        <v>0</v>
      </c>
      <c r="Y265" s="118">
        <v>0</v>
      </c>
      <c r="Z265" s="75">
        <f>Y265*Valores!$C$2</f>
        <v>0</v>
      </c>
      <c r="AA265" s="75">
        <v>0</v>
      </c>
      <c r="AB265" s="80">
        <f>IF((Valores!$C$32)*D265&gt;Valores!$F$32,Valores!$F$32,(Valores!$C$32)*D265)</f>
        <v>126.54</v>
      </c>
      <c r="AC265" s="75">
        <f t="shared" si="56"/>
        <v>0</v>
      </c>
      <c r="AD265" s="75">
        <f>IF(Valores!$C$33*D265&gt;Valores!$F$33,Valores!$F$33,Valores!$C$33*D265)</f>
        <v>105.26</v>
      </c>
      <c r="AE265" s="79">
        <v>0</v>
      </c>
      <c r="AF265" s="75">
        <f>INT(((AE265*Valores!$C$2)*100)+0.5)/100</f>
        <v>0</v>
      </c>
      <c r="AG265" s="75">
        <f>IF(Valores!$D$58*'Escala Docente'!D265&gt;Valores!$F$58,Valores!$F$58,Valores!$D$58*'Escala Docente'!D265)</f>
        <v>428.07000000000005</v>
      </c>
      <c r="AH265" s="75">
        <f>IF(Valores!$D$60*D265&gt;Valores!$F$60,Valores!$F$60,Valores!$D$60*D265)</f>
        <v>122.36000000000001</v>
      </c>
      <c r="AI265" s="114">
        <f t="shared" si="57"/>
        <v>21326.357</v>
      </c>
      <c r="AJ265" s="101">
        <f>IF(Valores!$C$36*D265&gt;Valores!$F$36,Valores!$F$36,Valores!$C$36*D265)</f>
        <v>843.98</v>
      </c>
      <c r="AK265" s="78">
        <f>IF(Valores!$C$11*D265&gt;Valores!$F$11,Valores!$F$11,Valores!$C$11*D265)</f>
        <v>0</v>
      </c>
      <c r="AL265" s="78">
        <f>IF(Valores!$C$84*D265&gt;Valores!$C$83,Valores!$C$83,Valores!$C$84*D265)</f>
        <v>1425</v>
      </c>
      <c r="AM265" s="80">
        <f>IF(Valores!$C$57*D265&gt;Valores!$F$57,Valores!$F$57,Valores!$C$57*D265)</f>
        <v>179.35999999999999</v>
      </c>
      <c r="AN265" s="82">
        <f t="shared" si="58"/>
        <v>2268.98</v>
      </c>
      <c r="AO265" s="61">
        <f>AI265*-Valores!$C$65</f>
        <v>-2772.42641</v>
      </c>
      <c r="AP265" s="61">
        <f>AI265*-Valores!$C$66</f>
        <v>-106.63178500000001</v>
      </c>
      <c r="AQ265" s="77">
        <f>AI265*-Valores!$C$67</f>
        <v>-959.68606499999999</v>
      </c>
      <c r="AR265" s="77">
        <f>AI265*-Valores!$C$68</f>
        <v>-575.81163900000001</v>
      </c>
      <c r="AS265" s="77">
        <f>AI265*-Valores!$C$69</f>
        <v>-63.979071000000005</v>
      </c>
      <c r="AT265" s="81">
        <f t="shared" si="54"/>
        <v>19756.592739999996</v>
      </c>
      <c r="AU265" s="81">
        <f t="shared" si="55"/>
        <v>20076.488094999997</v>
      </c>
      <c r="AV265" s="77">
        <f>AI265*Valores!$C$71</f>
        <v>3412.2171200000003</v>
      </c>
      <c r="AW265" s="77">
        <f>AI265*Valores!$C$72</f>
        <v>959.68606499999999</v>
      </c>
      <c r="AX265" s="77">
        <f>AI265*Valores!$C$73</f>
        <v>213.26357000000002</v>
      </c>
      <c r="AY265" s="77">
        <f>AI265*Valores!$C$75</f>
        <v>746.42249500000003</v>
      </c>
      <c r="AZ265" s="77">
        <f>AI265*Valores!$C$76</f>
        <v>127.95814200000001</v>
      </c>
      <c r="BA265" s="77">
        <f t="shared" ref="BA265:BA327" si="59">AI265*5.4/100</f>
        <v>1151.623278</v>
      </c>
      <c r="BB265" s="51"/>
      <c r="BC265" s="51">
        <f t="shared" si="49"/>
        <v>76</v>
      </c>
      <c r="BD265" s="27" t="s">
        <v>4</v>
      </c>
    </row>
    <row r="266" spans="1:56" s="27" customFormat="1" ht="11.25" customHeight="1" x14ac:dyDescent="0.2">
      <c r="A266" s="85">
        <v>265</v>
      </c>
      <c r="B266" s="85" t="s">
        <v>163</v>
      </c>
      <c r="C266" s="86" t="s">
        <v>522</v>
      </c>
      <c r="D266" s="86">
        <v>19</v>
      </c>
      <c r="E266" s="86">
        <f t="shared" si="51"/>
        <v>42</v>
      </c>
      <c r="F266" s="87" t="str">
        <f>CONCATENATE("Hora Cátedra Enseñanza Media ",D266," hs Esc Esp")</f>
        <v>Hora Cátedra Enseñanza Media 19 hs Esc Esp</v>
      </c>
      <c r="G266" s="88">
        <f t="shared" si="50"/>
        <v>1501</v>
      </c>
      <c r="H266" s="89">
        <f>INT((G266*Valores!$C$2*100))/100</f>
        <v>10324.17</v>
      </c>
      <c r="I266" s="103">
        <v>0</v>
      </c>
      <c r="J266" s="91">
        <f>INT((I266*Valores!$C$2*100)+0.5)/100</f>
        <v>0</v>
      </c>
      <c r="K266" s="104">
        <v>0</v>
      </c>
      <c r="L266" s="91">
        <f>INT((K266*Valores!$C$2*100)+0.5)/100</f>
        <v>0</v>
      </c>
      <c r="M266" s="105">
        <v>0</v>
      </c>
      <c r="N266" s="91">
        <f>INT((M266*Valores!$C$2*100)+0.5)/100</f>
        <v>0</v>
      </c>
      <c r="O266" s="91">
        <f t="shared" si="52"/>
        <v>1866.6570000000002</v>
      </c>
      <c r="P266" s="91">
        <f t="shared" si="53"/>
        <v>0</v>
      </c>
      <c r="Q266" s="107">
        <f>Valores!$C$14*D266</f>
        <v>3156.47</v>
      </c>
      <c r="R266" s="107">
        <f>IF(D266&lt;15,(Valores!$E$4*D266),Valores!$D$4)</f>
        <v>3076.62</v>
      </c>
      <c r="S266" s="91">
        <v>0</v>
      </c>
      <c r="T266" s="94">
        <f>IF(Valores!$C$45*D266&gt;Valores!$C$43,Valores!$C$43,Valores!$C$45*D266)</f>
        <v>1007.1899999999999</v>
      </c>
      <c r="U266" s="107">
        <f>Valores!$C$22*D266</f>
        <v>1113.02</v>
      </c>
      <c r="V266" s="91">
        <f t="shared" si="48"/>
        <v>1113.02</v>
      </c>
      <c r="W266" s="91">
        <v>0</v>
      </c>
      <c r="X266" s="91">
        <v>0</v>
      </c>
      <c r="Y266" s="119">
        <v>0</v>
      </c>
      <c r="Z266" s="91">
        <f>Y266*Valores!$C$2</f>
        <v>0</v>
      </c>
      <c r="AA266" s="91">
        <v>0</v>
      </c>
      <c r="AB266" s="96">
        <f>IF((Valores!$C$32)*D266&gt;Valores!$F$32,Valores!$F$32,(Valores!$C$32)*D266)</f>
        <v>126.54</v>
      </c>
      <c r="AC266" s="91">
        <f t="shared" si="56"/>
        <v>0</v>
      </c>
      <c r="AD266" s="91">
        <f>IF(Valores!$C$33*D266&gt;Valores!$F$33,Valores!$F$33,Valores!$C$33*D266)</f>
        <v>105.26</v>
      </c>
      <c r="AE266" s="95">
        <v>94</v>
      </c>
      <c r="AF266" s="91">
        <f>INT(((AE266*Valores!$C$2)*100)+0.5)/100</f>
        <v>646.54999999999995</v>
      </c>
      <c r="AG266" s="91">
        <f>IF(Valores!$D$58*'Escala Docente'!D266&gt;Valores!$F$58,Valores!$F$58,Valores!$D$58*'Escala Docente'!D266)</f>
        <v>428.07000000000005</v>
      </c>
      <c r="AH266" s="91">
        <f>IF(Valores!$D$60*D266&gt;Valores!$F$60,Valores!$F$60,Valores!$D$60*D266)</f>
        <v>122.36000000000001</v>
      </c>
      <c r="AI266" s="115">
        <f t="shared" si="57"/>
        <v>21972.906999999999</v>
      </c>
      <c r="AJ266" s="107">
        <f>IF(Valores!$C$36*D266&gt;Valores!$F$36,Valores!$F$36,Valores!$C$36*D266)</f>
        <v>843.98</v>
      </c>
      <c r="AK266" s="94">
        <f>IF(Valores!$C$11*D266&gt;Valores!$F$11,Valores!$F$11,Valores!$C$11*D266)</f>
        <v>0</v>
      </c>
      <c r="AL266" s="94">
        <f>IF(Valores!$C$84*D266&gt;Valores!$C$83,Valores!$C$83,Valores!$C$84*D266)</f>
        <v>1425</v>
      </c>
      <c r="AM266" s="96">
        <f>IF(Valores!$C$57*D266&gt;Valores!$F$57,Valores!$F$57,Valores!$C$57*D266)</f>
        <v>179.35999999999999</v>
      </c>
      <c r="AN266" s="98">
        <f t="shared" si="58"/>
        <v>2268.98</v>
      </c>
      <c r="AO266" s="116">
        <f>AI266*-Valores!$C$65</f>
        <v>-2856.4779100000001</v>
      </c>
      <c r="AP266" s="116">
        <f>AI266*-Valores!$C$66</f>
        <v>-109.864535</v>
      </c>
      <c r="AQ266" s="93">
        <f>AI266*-Valores!$C$67</f>
        <v>-988.78081499999996</v>
      </c>
      <c r="AR266" s="93">
        <f>AI266*-Valores!$C$68</f>
        <v>-593.26848899999993</v>
      </c>
      <c r="AS266" s="93">
        <f>AI266*-Valores!$C$69</f>
        <v>-65.918721000000005</v>
      </c>
      <c r="AT266" s="97">
        <f t="shared" si="54"/>
        <v>20286.763739999999</v>
      </c>
      <c r="AU266" s="97">
        <f t="shared" si="55"/>
        <v>20616.357344999997</v>
      </c>
      <c r="AV266" s="93">
        <f>AI266*Valores!$C$71</f>
        <v>3515.6651200000001</v>
      </c>
      <c r="AW266" s="93">
        <f>AI266*Valores!$C$72</f>
        <v>988.78081499999996</v>
      </c>
      <c r="AX266" s="93">
        <f>AI266*Valores!$C$73</f>
        <v>219.72907000000001</v>
      </c>
      <c r="AY266" s="93">
        <f>AI266*Valores!$C$75</f>
        <v>769.0517450000001</v>
      </c>
      <c r="AZ266" s="93">
        <f>AI266*Valores!$C$76</f>
        <v>131.83744200000001</v>
      </c>
      <c r="BA266" s="93">
        <f t="shared" si="59"/>
        <v>1186.5369780000001</v>
      </c>
      <c r="BB266" s="85"/>
      <c r="BC266" s="85">
        <f t="shared" si="49"/>
        <v>76</v>
      </c>
      <c r="BD266" s="86" t="s">
        <v>4</v>
      </c>
    </row>
    <row r="267" spans="1:56" s="27" customFormat="1" ht="11.25" customHeight="1" x14ac:dyDescent="0.2">
      <c r="A267" s="51">
        <v>266</v>
      </c>
      <c r="B267" s="51"/>
      <c r="C267" s="27" t="s">
        <v>522</v>
      </c>
      <c r="D267" s="27">
        <v>20</v>
      </c>
      <c r="E267" s="27">
        <f t="shared" si="51"/>
        <v>34</v>
      </c>
      <c r="F267" s="71" t="str">
        <f>CONCATENATE("Hora Cátedra Enseñanza Media ",D267," hs")</f>
        <v>Hora Cátedra Enseñanza Media 20 hs</v>
      </c>
      <c r="G267" s="72">
        <f t="shared" si="50"/>
        <v>1580</v>
      </c>
      <c r="H267" s="73">
        <f>INT((G267*Valores!$C$2*100))/100</f>
        <v>10867.55</v>
      </c>
      <c r="I267" s="112">
        <v>0</v>
      </c>
      <c r="J267" s="75">
        <f>INT((I267*Valores!$C$2*100)+0.5)/100</f>
        <v>0</v>
      </c>
      <c r="K267" s="102">
        <v>0</v>
      </c>
      <c r="L267" s="75">
        <f>INT((K267*Valores!$C$2*100)+0.5)/100</f>
        <v>0</v>
      </c>
      <c r="M267" s="100">
        <v>0</v>
      </c>
      <c r="N267" s="75">
        <f>INT((M267*Valores!$C$2*100)+0.5)/100</f>
        <v>0</v>
      </c>
      <c r="O267" s="75">
        <f t="shared" si="52"/>
        <v>1964.9024999999999</v>
      </c>
      <c r="P267" s="75">
        <f t="shared" si="53"/>
        <v>0</v>
      </c>
      <c r="Q267" s="101">
        <f>Valores!$C$14*D267</f>
        <v>3322.6</v>
      </c>
      <c r="R267" s="101">
        <f>IF(D267&lt;15,(Valores!$E$4*D267),Valores!$D$4)</f>
        <v>3076.62</v>
      </c>
      <c r="S267" s="75">
        <v>0</v>
      </c>
      <c r="T267" s="78">
        <f>IF(Valores!$C$45*D267&gt;Valores!$C$43,Valores!$C$43,Valores!$C$45*D267)</f>
        <v>1060.2</v>
      </c>
      <c r="U267" s="101">
        <f>Valores!$C$22*D267</f>
        <v>1171.5999999999999</v>
      </c>
      <c r="V267" s="75">
        <f t="shared" si="48"/>
        <v>1171.5999999999999</v>
      </c>
      <c r="W267" s="75">
        <v>0</v>
      </c>
      <c r="X267" s="75">
        <v>0</v>
      </c>
      <c r="Y267" s="118">
        <v>0</v>
      </c>
      <c r="Z267" s="75">
        <f>Y267*Valores!$C$2</f>
        <v>0</v>
      </c>
      <c r="AA267" s="75">
        <v>0</v>
      </c>
      <c r="AB267" s="80">
        <f>IF((Valores!$C$32)*D267&gt;Valores!$F$32,Valores!$F$32,(Valores!$C$32)*D267)</f>
        <v>133.19999999999999</v>
      </c>
      <c r="AC267" s="75">
        <f t="shared" si="56"/>
        <v>0</v>
      </c>
      <c r="AD267" s="75">
        <f>IF(Valores!$C$33*D267&gt;Valores!$F$33,Valores!$F$33,Valores!$C$33*D267)</f>
        <v>110.8</v>
      </c>
      <c r="AE267" s="79">
        <v>0</v>
      </c>
      <c r="AF267" s="75">
        <f>INT(((AE267*Valores!$C$2)*100)+0.5)/100</f>
        <v>0</v>
      </c>
      <c r="AG267" s="75">
        <f>IF(Valores!$D$58*'Escala Docente'!D267&gt;Valores!$F$58,Valores!$F$58,Valores!$D$58*'Escala Docente'!D267)</f>
        <v>450.6</v>
      </c>
      <c r="AH267" s="75">
        <f>IF(Valores!$D$60*D267&gt;Valores!$F$60,Valores!$F$60,Valores!$D$60*D267)</f>
        <v>128.80000000000001</v>
      </c>
      <c r="AI267" s="114">
        <f t="shared" si="57"/>
        <v>22286.872499999998</v>
      </c>
      <c r="AJ267" s="101">
        <f>IF(Valores!$C$36*D267&gt;Valores!$F$36,Valores!$F$36,Valores!$C$36*D267)</f>
        <v>888.40000000000009</v>
      </c>
      <c r="AK267" s="78">
        <f>IF(Valores!$C$11*D267&gt;Valores!$F$11,Valores!$F$11,Valores!$C$11*D267)</f>
        <v>0</v>
      </c>
      <c r="AL267" s="78">
        <f>IF(Valores!$C$84*D267&gt;Valores!$C$83,Valores!$C$83,Valores!$C$84*D267)</f>
        <v>1500</v>
      </c>
      <c r="AM267" s="80">
        <f>IF(Valores!$C$57*D267&gt;Valores!$F$57,Valores!$F$57,Valores!$C$57*D267)</f>
        <v>188.79999999999998</v>
      </c>
      <c r="AN267" s="82">
        <f t="shared" si="58"/>
        <v>2388.4</v>
      </c>
      <c r="AO267" s="61">
        <f>AI267*-Valores!$C$65</f>
        <v>-2897.2934249999998</v>
      </c>
      <c r="AP267" s="61">
        <f>AI267*-Valores!$C$66</f>
        <v>-111.43436249999999</v>
      </c>
      <c r="AQ267" s="77">
        <f>AI267*-Valores!$C$67</f>
        <v>-1002.9092624999998</v>
      </c>
      <c r="AR267" s="77">
        <f>AI267*-Valores!$C$68</f>
        <v>-601.7455574999999</v>
      </c>
      <c r="AS267" s="77">
        <f>AI267*-Valores!$C$69</f>
        <v>-66.860617499999989</v>
      </c>
      <c r="AT267" s="81">
        <f t="shared" si="54"/>
        <v>20663.635449999998</v>
      </c>
      <c r="AU267" s="81">
        <f t="shared" si="55"/>
        <v>20997.938537500002</v>
      </c>
      <c r="AV267" s="77">
        <f>AI267*Valores!$C$71</f>
        <v>3565.8995999999997</v>
      </c>
      <c r="AW267" s="77">
        <f>AI267*Valores!$C$72</f>
        <v>1002.9092624999998</v>
      </c>
      <c r="AX267" s="77">
        <f>AI267*Valores!$C$73</f>
        <v>222.86872499999998</v>
      </c>
      <c r="AY267" s="77">
        <f>AI267*Valores!$C$75</f>
        <v>780.04053750000003</v>
      </c>
      <c r="AZ267" s="77">
        <f>AI267*Valores!$C$76</f>
        <v>133.72123499999998</v>
      </c>
      <c r="BA267" s="77">
        <f t="shared" si="59"/>
        <v>1203.491115</v>
      </c>
      <c r="BB267" s="51"/>
      <c r="BC267" s="51">
        <f t="shared" si="49"/>
        <v>80</v>
      </c>
      <c r="BD267" s="27" t="s">
        <v>4</v>
      </c>
    </row>
    <row r="268" spans="1:56" s="27" customFormat="1" ht="11.25" customHeight="1" x14ac:dyDescent="0.2">
      <c r="A268" s="51">
        <v>267</v>
      </c>
      <c r="B268" s="51"/>
      <c r="C268" s="27" t="s">
        <v>522</v>
      </c>
      <c r="D268" s="27">
        <v>20</v>
      </c>
      <c r="E268" s="27">
        <f t="shared" si="51"/>
        <v>42</v>
      </c>
      <c r="F268" s="71" t="str">
        <f>CONCATENATE("Hora Cátedra Enseñanza Media ",D268," hs Esc Esp")</f>
        <v>Hora Cátedra Enseñanza Media 20 hs Esc Esp</v>
      </c>
      <c r="G268" s="72">
        <f t="shared" si="50"/>
        <v>1580</v>
      </c>
      <c r="H268" s="73">
        <f>INT((G268*Valores!$C$2*100))/100</f>
        <v>10867.55</v>
      </c>
      <c r="I268" s="112">
        <v>0</v>
      </c>
      <c r="J268" s="75">
        <f>INT((I268*Valores!$C$2*100)+0.5)/100</f>
        <v>0</v>
      </c>
      <c r="K268" s="102">
        <v>0</v>
      </c>
      <c r="L268" s="75">
        <f>INT((K268*Valores!$C$2*100)+0.5)/100</f>
        <v>0</v>
      </c>
      <c r="M268" s="100">
        <v>0</v>
      </c>
      <c r="N268" s="75">
        <f>INT((M268*Valores!$C$2*100)+0.5)/100</f>
        <v>0</v>
      </c>
      <c r="O268" s="75">
        <f t="shared" si="52"/>
        <v>1964.9024999999999</v>
      </c>
      <c r="P268" s="75">
        <f t="shared" si="53"/>
        <v>0</v>
      </c>
      <c r="Q268" s="101">
        <f>Valores!$C$14*D268</f>
        <v>3322.6</v>
      </c>
      <c r="R268" s="101">
        <f>IF(D268&lt;15,(Valores!$E$4*D268),Valores!$D$4)</f>
        <v>3076.62</v>
      </c>
      <c r="S268" s="75">
        <v>0</v>
      </c>
      <c r="T268" s="78">
        <f>IF(Valores!$C$45*D268&gt;Valores!$C$43,Valores!$C$43,Valores!$C$45*D268)</f>
        <v>1060.2</v>
      </c>
      <c r="U268" s="101">
        <f>Valores!$C$22*D268</f>
        <v>1171.5999999999999</v>
      </c>
      <c r="V268" s="75">
        <f t="shared" si="48"/>
        <v>1171.5999999999999</v>
      </c>
      <c r="W268" s="75">
        <v>0</v>
      </c>
      <c r="X268" s="75">
        <v>0</v>
      </c>
      <c r="Y268" s="118">
        <v>0</v>
      </c>
      <c r="Z268" s="75">
        <f>Y268*Valores!$C$2</f>
        <v>0</v>
      </c>
      <c r="AA268" s="75">
        <v>0</v>
      </c>
      <c r="AB268" s="80">
        <f>IF((Valores!$C$32)*D268&gt;Valores!$F$32,Valores!$F$32,(Valores!$C$32)*D268)</f>
        <v>133.19999999999999</v>
      </c>
      <c r="AC268" s="75">
        <f t="shared" si="56"/>
        <v>0</v>
      </c>
      <c r="AD268" s="75">
        <f>IF(Valores!$C$33*D268&gt;Valores!$F$33,Valores!$F$33,Valores!$C$33*D268)</f>
        <v>110.8</v>
      </c>
      <c r="AE268" s="79">
        <v>94</v>
      </c>
      <c r="AF268" s="75">
        <f>INT(((AE268*Valores!$C$2)*100)+0.5)/100</f>
        <v>646.54999999999995</v>
      </c>
      <c r="AG268" s="75">
        <f>IF(Valores!$D$58*'Escala Docente'!D268&gt;Valores!$F$58,Valores!$F$58,Valores!$D$58*'Escala Docente'!D268)</f>
        <v>450.6</v>
      </c>
      <c r="AH268" s="75">
        <f>IF(Valores!$D$60*D268&gt;Valores!$F$60,Valores!$F$60,Valores!$D$60*D268)</f>
        <v>128.80000000000001</v>
      </c>
      <c r="AI268" s="114">
        <f t="shared" si="57"/>
        <v>22933.422499999997</v>
      </c>
      <c r="AJ268" s="101">
        <f>IF(Valores!$C$36*D268&gt;Valores!$F$36,Valores!$F$36,Valores!$C$36*D268)</f>
        <v>888.40000000000009</v>
      </c>
      <c r="AK268" s="78">
        <f>IF(Valores!$C$11*D268&gt;Valores!$F$11,Valores!$F$11,Valores!$C$11*D268)</f>
        <v>0</v>
      </c>
      <c r="AL268" s="78">
        <f>IF(Valores!$C$84*D268&gt;Valores!$C$83,Valores!$C$83,Valores!$C$84*D268)</f>
        <v>1500</v>
      </c>
      <c r="AM268" s="80">
        <f>IF(Valores!$C$57*D268&gt;Valores!$F$57,Valores!$F$57,Valores!$C$57*D268)</f>
        <v>188.79999999999998</v>
      </c>
      <c r="AN268" s="82">
        <f t="shared" si="58"/>
        <v>2388.4</v>
      </c>
      <c r="AO268" s="61">
        <f>AI268*-Valores!$C$65</f>
        <v>-2981.3449249999999</v>
      </c>
      <c r="AP268" s="61">
        <f>AI268*-Valores!$C$66</f>
        <v>-114.66711249999999</v>
      </c>
      <c r="AQ268" s="77">
        <f>AI268*-Valores!$C$67</f>
        <v>-1032.0040124999998</v>
      </c>
      <c r="AR268" s="77">
        <f>AI268*-Valores!$C$68</f>
        <v>-619.20240749999994</v>
      </c>
      <c r="AS268" s="77">
        <f>AI268*-Valores!$C$69</f>
        <v>-68.80026749999999</v>
      </c>
      <c r="AT268" s="81">
        <f t="shared" si="54"/>
        <v>21193.806449999996</v>
      </c>
      <c r="AU268" s="81">
        <f t="shared" si="55"/>
        <v>21537.807787499998</v>
      </c>
      <c r="AV268" s="77">
        <f>AI268*Valores!$C$71</f>
        <v>3669.3475999999996</v>
      </c>
      <c r="AW268" s="77">
        <f>AI268*Valores!$C$72</f>
        <v>1032.0040124999998</v>
      </c>
      <c r="AX268" s="77">
        <f>AI268*Valores!$C$73</f>
        <v>229.33422499999998</v>
      </c>
      <c r="AY268" s="77">
        <f>AI268*Valores!$C$75</f>
        <v>802.66978749999998</v>
      </c>
      <c r="AZ268" s="77">
        <f>AI268*Valores!$C$76</f>
        <v>137.60053499999998</v>
      </c>
      <c r="BA268" s="77">
        <f t="shared" si="59"/>
        <v>1238.4048149999999</v>
      </c>
      <c r="BB268" s="51"/>
      <c r="BC268" s="51">
        <f t="shared" si="49"/>
        <v>80</v>
      </c>
      <c r="BD268" s="27" t="s">
        <v>4</v>
      </c>
    </row>
    <row r="269" spans="1:56" s="27" customFormat="1" ht="11.25" customHeight="1" x14ac:dyDescent="0.2">
      <c r="A269" s="51">
        <v>268</v>
      </c>
      <c r="B269" s="51"/>
      <c r="C269" s="27" t="s">
        <v>522</v>
      </c>
      <c r="D269" s="27">
        <v>21</v>
      </c>
      <c r="E269" s="27">
        <f t="shared" si="51"/>
        <v>34</v>
      </c>
      <c r="F269" s="71" t="str">
        <f>CONCATENATE("Hora Cátedra Enseñanza Media ",D269," hs")</f>
        <v>Hora Cátedra Enseñanza Media 21 hs</v>
      </c>
      <c r="G269" s="72">
        <f t="shared" si="50"/>
        <v>1659</v>
      </c>
      <c r="H269" s="73">
        <f>INT((G269*Valores!$C$2*100))/100</f>
        <v>11410.93</v>
      </c>
      <c r="I269" s="112">
        <v>0</v>
      </c>
      <c r="J269" s="75">
        <f>INT((I269*Valores!$C$2*100)+0.5)/100</f>
        <v>0</v>
      </c>
      <c r="K269" s="102">
        <v>0</v>
      </c>
      <c r="L269" s="75">
        <f>INT((K269*Valores!$C$2*100)+0.5)/100</f>
        <v>0</v>
      </c>
      <c r="M269" s="100">
        <v>0</v>
      </c>
      <c r="N269" s="75">
        <f>INT((M269*Valores!$C$2*100)+0.5)/100</f>
        <v>0</v>
      </c>
      <c r="O269" s="75">
        <f t="shared" si="52"/>
        <v>2063.1479999999997</v>
      </c>
      <c r="P269" s="75">
        <f t="shared" si="53"/>
        <v>0</v>
      </c>
      <c r="Q269" s="101">
        <f>Valores!$C$14*D269</f>
        <v>3488.73</v>
      </c>
      <c r="R269" s="101">
        <f>IF(D269&lt;15,(Valores!$E$4*D269),Valores!$D$4)</f>
        <v>3076.62</v>
      </c>
      <c r="S269" s="75">
        <v>0</v>
      </c>
      <c r="T269" s="78">
        <f>IF(Valores!$C$45*D269&gt;Valores!$C$43,Valores!$C$43,Valores!$C$45*D269)</f>
        <v>1113.21</v>
      </c>
      <c r="U269" s="101">
        <f>Valores!$C$22*D269</f>
        <v>1230.18</v>
      </c>
      <c r="V269" s="75">
        <f t="shared" si="48"/>
        <v>1230.18</v>
      </c>
      <c r="W269" s="75">
        <v>0</v>
      </c>
      <c r="X269" s="75">
        <v>0</v>
      </c>
      <c r="Y269" s="118">
        <v>0</v>
      </c>
      <c r="Z269" s="75">
        <f>Y269*Valores!$C$2</f>
        <v>0</v>
      </c>
      <c r="AA269" s="75">
        <v>0</v>
      </c>
      <c r="AB269" s="80">
        <f>IF((Valores!$C$32)*D269&gt;Valores!$F$32,Valores!$F$32,(Valores!$C$32)*D269)</f>
        <v>139.86000000000001</v>
      </c>
      <c r="AC269" s="75">
        <f t="shared" si="56"/>
        <v>0</v>
      </c>
      <c r="AD269" s="75">
        <f>IF(Valores!$C$33*D269&gt;Valores!$F$33,Valores!$F$33,Valores!$C$33*D269)</f>
        <v>116.34</v>
      </c>
      <c r="AE269" s="79">
        <v>0</v>
      </c>
      <c r="AF269" s="75">
        <f>INT(((AE269*Valores!$C$2)*100)+0.5)/100</f>
        <v>0</v>
      </c>
      <c r="AG269" s="75">
        <f>IF(Valores!$D$58*'Escala Docente'!D269&gt;Valores!$F$58,Valores!$F$58,Valores!$D$58*'Escala Docente'!D269)</f>
        <v>473.13</v>
      </c>
      <c r="AH269" s="75">
        <f>IF(Valores!$D$60*D269&gt;Valores!$F$60,Valores!$F$60,Valores!$D$60*D269)</f>
        <v>135.24</v>
      </c>
      <c r="AI269" s="114">
        <f t="shared" si="57"/>
        <v>23247.388000000003</v>
      </c>
      <c r="AJ269" s="101">
        <f>IF(Valores!$C$36*D269&gt;Valores!$F$36,Valores!$F$36,Valores!$C$36*D269)</f>
        <v>932.82</v>
      </c>
      <c r="AK269" s="78">
        <f>IF(Valores!$C$11*D269&gt;Valores!$F$11,Valores!$F$11,Valores!$C$11*D269)</f>
        <v>0</v>
      </c>
      <c r="AL269" s="78">
        <f>IF(Valores!$C$84*D269&gt;Valores!$C$83,Valores!$C$83,Valores!$C$84*D269)</f>
        <v>1575</v>
      </c>
      <c r="AM269" s="80">
        <f>IF(Valores!$C$57*D269&gt;Valores!$F$57,Valores!$F$57,Valores!$C$57*D269)</f>
        <v>198.23999999999998</v>
      </c>
      <c r="AN269" s="82">
        <f t="shared" si="58"/>
        <v>2507.8200000000002</v>
      </c>
      <c r="AO269" s="61">
        <f>AI269*-Valores!$C$65</f>
        <v>-3022.1604400000006</v>
      </c>
      <c r="AP269" s="61">
        <f>AI269*-Valores!$C$66</f>
        <v>-116.23694000000002</v>
      </c>
      <c r="AQ269" s="77">
        <f>AI269*-Valores!$C$67</f>
        <v>-1046.13246</v>
      </c>
      <c r="AR269" s="77">
        <f>AI269*-Valores!$C$68</f>
        <v>-627.67947600000002</v>
      </c>
      <c r="AS269" s="77">
        <f>AI269*-Valores!$C$69</f>
        <v>-69.742164000000002</v>
      </c>
      <c r="AT269" s="81">
        <f t="shared" si="54"/>
        <v>21570.678160000003</v>
      </c>
      <c r="AU269" s="81">
        <f t="shared" si="55"/>
        <v>21919.388980000003</v>
      </c>
      <c r="AV269" s="77">
        <f>AI269*Valores!$C$71</f>
        <v>3719.5820800000006</v>
      </c>
      <c r="AW269" s="77">
        <f>AI269*Valores!$C$72</f>
        <v>1046.13246</v>
      </c>
      <c r="AX269" s="77">
        <f>AI269*Valores!$C$73</f>
        <v>232.47388000000004</v>
      </c>
      <c r="AY269" s="77">
        <f>AI269*Valores!$C$75</f>
        <v>813.65858000000014</v>
      </c>
      <c r="AZ269" s="77">
        <f>AI269*Valores!$C$76</f>
        <v>139.484328</v>
      </c>
      <c r="BA269" s="77">
        <f t="shared" si="59"/>
        <v>1255.3589520000003</v>
      </c>
      <c r="BB269" s="51"/>
      <c r="BC269" s="85">
        <f t="shared" si="49"/>
        <v>84</v>
      </c>
      <c r="BD269" s="27" t="s">
        <v>4</v>
      </c>
    </row>
    <row r="270" spans="1:56" s="27" customFormat="1" ht="11.25" customHeight="1" x14ac:dyDescent="0.2">
      <c r="A270" s="51">
        <v>269</v>
      </c>
      <c r="B270" s="51"/>
      <c r="C270" s="27" t="s">
        <v>522</v>
      </c>
      <c r="D270" s="27">
        <v>21</v>
      </c>
      <c r="E270" s="27">
        <f t="shared" si="51"/>
        <v>42</v>
      </c>
      <c r="F270" s="71" t="str">
        <f>CONCATENATE("Hora Cátedra Enseñanza Media ",D270," hs Esc Esp")</f>
        <v>Hora Cátedra Enseñanza Media 21 hs Esc Esp</v>
      </c>
      <c r="G270" s="72">
        <f t="shared" si="50"/>
        <v>1659</v>
      </c>
      <c r="H270" s="73">
        <f>INT((G270*Valores!$C$2*100))/100</f>
        <v>11410.93</v>
      </c>
      <c r="I270" s="112">
        <v>0</v>
      </c>
      <c r="J270" s="75">
        <f>INT((I270*Valores!$C$2*100)+0.5)/100</f>
        <v>0</v>
      </c>
      <c r="K270" s="102">
        <v>0</v>
      </c>
      <c r="L270" s="75">
        <f>INT((K270*Valores!$C$2*100)+0.5)/100</f>
        <v>0</v>
      </c>
      <c r="M270" s="100">
        <v>0</v>
      </c>
      <c r="N270" s="75">
        <f>INT((M270*Valores!$C$2*100)+0.5)/100</f>
        <v>0</v>
      </c>
      <c r="O270" s="75">
        <f t="shared" si="52"/>
        <v>2063.1479999999997</v>
      </c>
      <c r="P270" s="75">
        <f t="shared" si="53"/>
        <v>0</v>
      </c>
      <c r="Q270" s="101">
        <f>Valores!$C$14*D270</f>
        <v>3488.73</v>
      </c>
      <c r="R270" s="101">
        <f>IF(D270&lt;15,(Valores!$E$4*D270),Valores!$D$4)</f>
        <v>3076.62</v>
      </c>
      <c r="S270" s="75">
        <v>0</v>
      </c>
      <c r="T270" s="78">
        <f>IF(Valores!$C$45*D270&gt;Valores!$C$43,Valores!$C$43,Valores!$C$45*D270)</f>
        <v>1113.21</v>
      </c>
      <c r="U270" s="101">
        <f>Valores!$C$22*D270</f>
        <v>1230.18</v>
      </c>
      <c r="V270" s="75">
        <f t="shared" si="48"/>
        <v>1230.18</v>
      </c>
      <c r="W270" s="75">
        <v>0</v>
      </c>
      <c r="X270" s="75">
        <v>0</v>
      </c>
      <c r="Y270" s="118">
        <v>0</v>
      </c>
      <c r="Z270" s="75">
        <f>Y270*Valores!$C$2</f>
        <v>0</v>
      </c>
      <c r="AA270" s="75">
        <v>0</v>
      </c>
      <c r="AB270" s="80">
        <f>IF((Valores!$C$32)*D270&gt;Valores!$F$32,Valores!$F$32,(Valores!$C$32)*D270)</f>
        <v>139.86000000000001</v>
      </c>
      <c r="AC270" s="75">
        <f t="shared" si="56"/>
        <v>0</v>
      </c>
      <c r="AD270" s="75">
        <f>IF(Valores!$C$33*D270&gt;Valores!$F$33,Valores!$F$33,Valores!$C$33*D270)</f>
        <v>116.34</v>
      </c>
      <c r="AE270" s="79">
        <v>94</v>
      </c>
      <c r="AF270" s="75">
        <f>INT(((AE270*Valores!$C$2)*100)+0.5)/100</f>
        <v>646.54999999999995</v>
      </c>
      <c r="AG270" s="75">
        <f>IF(Valores!$D$58*'Escala Docente'!D270&gt;Valores!$F$58,Valores!$F$58,Valores!$D$58*'Escala Docente'!D270)</f>
        <v>473.13</v>
      </c>
      <c r="AH270" s="75">
        <f>IF(Valores!$D$60*D270&gt;Valores!$F$60,Valores!$F$60,Valores!$D$60*D270)</f>
        <v>135.24</v>
      </c>
      <c r="AI270" s="114">
        <f t="shared" si="57"/>
        <v>23893.938000000002</v>
      </c>
      <c r="AJ270" s="101">
        <f>IF(Valores!$C$36*D270&gt;Valores!$F$36,Valores!$F$36,Valores!$C$36*D270)</f>
        <v>932.82</v>
      </c>
      <c r="AK270" s="78">
        <f>IF(Valores!$C$11*D270&gt;Valores!$F$11,Valores!$F$11,Valores!$C$11*D270)</f>
        <v>0</v>
      </c>
      <c r="AL270" s="78">
        <f>IF(Valores!$C$84*D270&gt;Valores!$C$83,Valores!$C$83,Valores!$C$84*D270)</f>
        <v>1575</v>
      </c>
      <c r="AM270" s="80">
        <f>IF(Valores!$C$57*D270&gt;Valores!$F$57,Valores!$F$57,Valores!$C$57*D270)</f>
        <v>198.23999999999998</v>
      </c>
      <c r="AN270" s="82">
        <f t="shared" si="58"/>
        <v>2507.8200000000002</v>
      </c>
      <c r="AO270" s="61">
        <f>AI270*-Valores!$C$65</f>
        <v>-3106.2119400000001</v>
      </c>
      <c r="AP270" s="61">
        <f>AI270*-Valores!$C$66</f>
        <v>-119.46969000000001</v>
      </c>
      <c r="AQ270" s="77">
        <f>AI270*-Valores!$C$67</f>
        <v>-1075.22721</v>
      </c>
      <c r="AR270" s="77">
        <f>AI270*-Valores!$C$68</f>
        <v>-645.13632600000005</v>
      </c>
      <c r="AS270" s="77">
        <f>AI270*-Valores!$C$69</f>
        <v>-71.681814000000003</v>
      </c>
      <c r="AT270" s="81">
        <f t="shared" si="54"/>
        <v>22100.849159999998</v>
      </c>
      <c r="AU270" s="81">
        <f t="shared" si="55"/>
        <v>22459.258229999999</v>
      </c>
      <c r="AV270" s="77">
        <f>AI270*Valores!$C$71</f>
        <v>3823.0300800000005</v>
      </c>
      <c r="AW270" s="77">
        <f>AI270*Valores!$C$72</f>
        <v>1075.22721</v>
      </c>
      <c r="AX270" s="77">
        <f>AI270*Valores!$C$73</f>
        <v>238.93938000000003</v>
      </c>
      <c r="AY270" s="77">
        <f>AI270*Valores!$C$75</f>
        <v>836.2878300000001</v>
      </c>
      <c r="AZ270" s="77">
        <f>AI270*Valores!$C$76</f>
        <v>143.36362800000001</v>
      </c>
      <c r="BA270" s="77">
        <f t="shared" si="59"/>
        <v>1290.2726520000003</v>
      </c>
      <c r="BB270" s="51"/>
      <c r="BC270" s="51">
        <f t="shared" si="49"/>
        <v>84</v>
      </c>
      <c r="BD270" s="27" t="s">
        <v>4</v>
      </c>
    </row>
    <row r="271" spans="1:56" s="27" customFormat="1" ht="11.25" customHeight="1" x14ac:dyDescent="0.2">
      <c r="A271" s="85">
        <v>270</v>
      </c>
      <c r="B271" s="85" t="s">
        <v>163</v>
      </c>
      <c r="C271" s="86" t="s">
        <v>522</v>
      </c>
      <c r="D271" s="86">
        <v>22</v>
      </c>
      <c r="E271" s="86">
        <f t="shared" si="51"/>
        <v>34</v>
      </c>
      <c r="F271" s="87" t="str">
        <f>CONCATENATE("Hora Cátedra Enseñanza Media ",D271," hs")</f>
        <v>Hora Cátedra Enseñanza Media 22 hs</v>
      </c>
      <c r="G271" s="88">
        <f t="shared" si="50"/>
        <v>1738</v>
      </c>
      <c r="H271" s="89">
        <f>INT((G271*Valores!$C$2*100))/100</f>
        <v>11954.31</v>
      </c>
      <c r="I271" s="103">
        <v>0</v>
      </c>
      <c r="J271" s="91">
        <f>INT((I271*Valores!$C$2*100)+0.5)/100</f>
        <v>0</v>
      </c>
      <c r="K271" s="104">
        <v>0</v>
      </c>
      <c r="L271" s="91">
        <f>INT((K271*Valores!$C$2*100)+0.5)/100</f>
        <v>0</v>
      </c>
      <c r="M271" s="105">
        <v>0</v>
      </c>
      <c r="N271" s="91">
        <f>INT((M271*Valores!$C$2*100)+0.5)/100</f>
        <v>0</v>
      </c>
      <c r="O271" s="91">
        <f t="shared" si="52"/>
        <v>2161.3934999999997</v>
      </c>
      <c r="P271" s="91">
        <f t="shared" si="53"/>
        <v>0</v>
      </c>
      <c r="Q271" s="107">
        <f>Valores!$C$14*D271</f>
        <v>3654.8599999999997</v>
      </c>
      <c r="R271" s="107">
        <f>IF(D271&lt;15,(Valores!$E$4*D271),Valores!$D$4)</f>
        <v>3076.62</v>
      </c>
      <c r="S271" s="91">
        <v>0</v>
      </c>
      <c r="T271" s="94">
        <f>IF(Valores!$C$45*D271&gt;Valores!$C$43,Valores!$C$43,Valores!$C$45*D271)</f>
        <v>1166.22</v>
      </c>
      <c r="U271" s="107">
        <f>Valores!$C$22*D271</f>
        <v>1288.76</v>
      </c>
      <c r="V271" s="91">
        <f t="shared" si="48"/>
        <v>1288.76</v>
      </c>
      <c r="W271" s="91">
        <v>0</v>
      </c>
      <c r="X271" s="91">
        <v>0</v>
      </c>
      <c r="Y271" s="119">
        <v>0</v>
      </c>
      <c r="Z271" s="91">
        <f>Y271*Valores!$C$2</f>
        <v>0</v>
      </c>
      <c r="AA271" s="91">
        <v>0</v>
      </c>
      <c r="AB271" s="96">
        <f>IF((Valores!$C$32)*D271&gt;Valores!$F$32,Valores!$F$32,(Valores!$C$32)*D271)</f>
        <v>146.52000000000001</v>
      </c>
      <c r="AC271" s="91">
        <f t="shared" si="56"/>
        <v>0</v>
      </c>
      <c r="AD271" s="91">
        <f>IF(Valores!$C$33*D271&gt;Valores!$F$33,Valores!$F$33,Valores!$C$33*D271)</f>
        <v>121.88</v>
      </c>
      <c r="AE271" s="95">
        <v>0</v>
      </c>
      <c r="AF271" s="91">
        <f>INT(((AE271*Valores!$C$2)*100)+0.5)/100</f>
        <v>0</v>
      </c>
      <c r="AG271" s="91">
        <f>IF(Valores!$D$58*'Escala Docente'!D271&gt;Valores!$F$58,Valores!$F$58,Valores!$D$58*'Escala Docente'!D271)</f>
        <v>495.66</v>
      </c>
      <c r="AH271" s="91">
        <f>IF(Valores!$D$60*D271&gt;Valores!$F$60,Valores!$F$60,Valores!$D$60*D271)</f>
        <v>141.68</v>
      </c>
      <c r="AI271" s="115">
        <f t="shared" si="57"/>
        <v>24207.9035</v>
      </c>
      <c r="AJ271" s="107">
        <f>IF(Valores!$C$36*D271&gt;Valores!$F$36,Valores!$F$36,Valores!$C$36*D271)</f>
        <v>977.24</v>
      </c>
      <c r="AK271" s="94">
        <f>IF(Valores!$C$11*D271&gt;Valores!$F$11,Valores!$F$11,Valores!$C$11*D271)</f>
        <v>0</v>
      </c>
      <c r="AL271" s="94">
        <f>IF(Valores!$C$84*D271&gt;Valores!$C$83,Valores!$C$83,Valores!$C$84*D271)</f>
        <v>1650</v>
      </c>
      <c r="AM271" s="96">
        <f>IF(Valores!$C$57*D271&gt;Valores!$F$57,Valores!$F$57,Valores!$C$57*D271)</f>
        <v>207.67999999999998</v>
      </c>
      <c r="AN271" s="98">
        <f t="shared" si="58"/>
        <v>2627.24</v>
      </c>
      <c r="AO271" s="116">
        <f>AI271*-Valores!$C$65</f>
        <v>-3147.0274550000004</v>
      </c>
      <c r="AP271" s="116">
        <f>AI271*-Valores!$C$66</f>
        <v>-121.0395175</v>
      </c>
      <c r="AQ271" s="93">
        <f>AI271*-Valores!$C$67</f>
        <v>-1089.3556575</v>
      </c>
      <c r="AR271" s="93">
        <f>AI271*-Valores!$C$68</f>
        <v>-653.61339450000003</v>
      </c>
      <c r="AS271" s="93">
        <f>AI271*-Valores!$C$69</f>
        <v>-72.623710500000001</v>
      </c>
      <c r="AT271" s="97">
        <f t="shared" si="54"/>
        <v>22477.720869999997</v>
      </c>
      <c r="AU271" s="97">
        <f t="shared" si="55"/>
        <v>22840.839422499997</v>
      </c>
      <c r="AV271" s="93">
        <f>AI271*Valores!$C$71</f>
        <v>3873.2645600000001</v>
      </c>
      <c r="AW271" s="93">
        <f>AI271*Valores!$C$72</f>
        <v>1089.3556575</v>
      </c>
      <c r="AX271" s="93">
        <f>AI271*Valores!$C$73</f>
        <v>242.079035</v>
      </c>
      <c r="AY271" s="93">
        <f>AI271*Valores!$C$75</f>
        <v>847.27662250000014</v>
      </c>
      <c r="AZ271" s="93">
        <f>AI271*Valores!$C$76</f>
        <v>145.247421</v>
      </c>
      <c r="BA271" s="93">
        <f t="shared" si="59"/>
        <v>1307.2267890000001</v>
      </c>
      <c r="BB271" s="85"/>
      <c r="BC271" s="85">
        <f t="shared" si="49"/>
        <v>88</v>
      </c>
      <c r="BD271" s="86" t="s">
        <v>4</v>
      </c>
    </row>
    <row r="272" spans="1:56" s="27" customFormat="1" ht="11.25" customHeight="1" x14ac:dyDescent="0.2">
      <c r="A272" s="51">
        <v>271</v>
      </c>
      <c r="B272" s="51"/>
      <c r="C272" s="27" t="s">
        <v>522</v>
      </c>
      <c r="D272" s="27">
        <v>22</v>
      </c>
      <c r="E272" s="27">
        <f t="shared" si="51"/>
        <v>42</v>
      </c>
      <c r="F272" s="71" t="str">
        <f>CONCATENATE("Hora Cátedra Enseñanza Media ",D272," hs Esc Esp")</f>
        <v>Hora Cátedra Enseñanza Media 22 hs Esc Esp</v>
      </c>
      <c r="G272" s="72">
        <f t="shared" si="50"/>
        <v>1738</v>
      </c>
      <c r="H272" s="73">
        <f>INT((G272*Valores!$C$2*100))/100</f>
        <v>11954.31</v>
      </c>
      <c r="I272" s="112">
        <v>0</v>
      </c>
      <c r="J272" s="75">
        <f>INT((I272*Valores!$C$2*100)+0.5)/100</f>
        <v>0</v>
      </c>
      <c r="K272" s="102">
        <v>0</v>
      </c>
      <c r="L272" s="75">
        <f>INT((K272*Valores!$C$2*100)+0.5)/100</f>
        <v>0</v>
      </c>
      <c r="M272" s="100">
        <v>0</v>
      </c>
      <c r="N272" s="75">
        <f>INT((M272*Valores!$C$2*100)+0.5)/100</f>
        <v>0</v>
      </c>
      <c r="O272" s="75">
        <f t="shared" si="52"/>
        <v>2161.3934999999997</v>
      </c>
      <c r="P272" s="75">
        <f t="shared" si="53"/>
        <v>0</v>
      </c>
      <c r="Q272" s="101">
        <f>Valores!$C$14*D272</f>
        <v>3654.8599999999997</v>
      </c>
      <c r="R272" s="101">
        <f>IF(D272&lt;15,(Valores!$E$4*D272),Valores!$D$4)</f>
        <v>3076.62</v>
      </c>
      <c r="S272" s="75">
        <v>0</v>
      </c>
      <c r="T272" s="78">
        <f>IF(Valores!$C$45*D272&gt;Valores!$C$43,Valores!$C$43,Valores!$C$45*D272)</f>
        <v>1166.22</v>
      </c>
      <c r="U272" s="101">
        <f>Valores!$C$22*D272</f>
        <v>1288.76</v>
      </c>
      <c r="V272" s="75">
        <f t="shared" si="48"/>
        <v>1288.76</v>
      </c>
      <c r="W272" s="75">
        <v>0</v>
      </c>
      <c r="X272" s="75">
        <v>0</v>
      </c>
      <c r="Y272" s="118">
        <v>0</v>
      </c>
      <c r="Z272" s="75">
        <f>Y272*Valores!$C$2</f>
        <v>0</v>
      </c>
      <c r="AA272" s="75">
        <v>0</v>
      </c>
      <c r="AB272" s="80">
        <f>IF((Valores!$C$32)*D272&gt;Valores!$F$32,Valores!$F$32,(Valores!$C$32)*D272)</f>
        <v>146.52000000000001</v>
      </c>
      <c r="AC272" s="75">
        <f t="shared" si="56"/>
        <v>0</v>
      </c>
      <c r="AD272" s="75">
        <f>IF(Valores!$C$33*D272&gt;Valores!$F$33,Valores!$F$33,Valores!$C$33*D272)</f>
        <v>121.88</v>
      </c>
      <c r="AE272" s="79">
        <v>94</v>
      </c>
      <c r="AF272" s="75">
        <f>INT(((AE272*Valores!$C$2)*100)+0.5)/100</f>
        <v>646.54999999999995</v>
      </c>
      <c r="AG272" s="75">
        <f>IF(Valores!$D$58*'Escala Docente'!D272&gt;Valores!$F$58,Valores!$F$58,Valores!$D$58*'Escala Docente'!D272)</f>
        <v>495.66</v>
      </c>
      <c r="AH272" s="75">
        <f>IF(Valores!$D$60*D272&gt;Valores!$F$60,Valores!$F$60,Valores!$D$60*D272)</f>
        <v>141.68</v>
      </c>
      <c r="AI272" s="114">
        <f t="shared" si="57"/>
        <v>24854.4535</v>
      </c>
      <c r="AJ272" s="101">
        <f>IF(Valores!$C$36*D272&gt;Valores!$F$36,Valores!$F$36,Valores!$C$36*D272)</f>
        <v>977.24</v>
      </c>
      <c r="AK272" s="78">
        <f>IF(Valores!$C$11*D272&gt;Valores!$F$11,Valores!$F$11,Valores!$C$11*D272)</f>
        <v>0</v>
      </c>
      <c r="AL272" s="78">
        <f>IF(Valores!$C$84*D272&gt;Valores!$C$83,Valores!$C$83,Valores!$C$84*D272)</f>
        <v>1650</v>
      </c>
      <c r="AM272" s="80">
        <f>IF(Valores!$C$57*D272&gt;Valores!$F$57,Valores!$F$57,Valores!$C$57*D272)</f>
        <v>207.67999999999998</v>
      </c>
      <c r="AN272" s="82">
        <f t="shared" si="58"/>
        <v>2627.24</v>
      </c>
      <c r="AO272" s="61">
        <f>AI272*-Valores!$C$65</f>
        <v>-3231.078955</v>
      </c>
      <c r="AP272" s="61">
        <f>AI272*-Valores!$C$66</f>
        <v>-124.2722675</v>
      </c>
      <c r="AQ272" s="77">
        <f>AI272*-Valores!$C$67</f>
        <v>-1118.4504075</v>
      </c>
      <c r="AR272" s="77">
        <f>AI272*-Valores!$C$68</f>
        <v>-671.07024449999994</v>
      </c>
      <c r="AS272" s="77">
        <f>AI272*-Valores!$C$69</f>
        <v>-74.563360500000002</v>
      </c>
      <c r="AT272" s="81">
        <f t="shared" si="54"/>
        <v>23007.891869999999</v>
      </c>
      <c r="AU272" s="81">
        <f t="shared" si="55"/>
        <v>23380.708672500001</v>
      </c>
      <c r="AV272" s="77">
        <f>AI272*Valores!$C$71</f>
        <v>3976.7125599999999</v>
      </c>
      <c r="AW272" s="77">
        <f>AI272*Valores!$C$72</f>
        <v>1118.4504075</v>
      </c>
      <c r="AX272" s="77">
        <f>AI272*Valores!$C$73</f>
        <v>248.544535</v>
      </c>
      <c r="AY272" s="77">
        <f>AI272*Valores!$C$75</f>
        <v>869.9058725000001</v>
      </c>
      <c r="AZ272" s="77">
        <f>AI272*Valores!$C$76</f>
        <v>149.126721</v>
      </c>
      <c r="BA272" s="77">
        <f t="shared" si="59"/>
        <v>1342.1404889999999</v>
      </c>
      <c r="BB272" s="51"/>
      <c r="BC272" s="51">
        <f t="shared" si="49"/>
        <v>88</v>
      </c>
      <c r="BD272" s="27" t="s">
        <v>4</v>
      </c>
    </row>
    <row r="273" spans="1:56" s="27" customFormat="1" ht="11.25" customHeight="1" x14ac:dyDescent="0.2">
      <c r="A273" s="51">
        <v>272</v>
      </c>
      <c r="B273" s="51"/>
      <c r="C273" s="27" t="s">
        <v>522</v>
      </c>
      <c r="D273" s="27">
        <v>23</v>
      </c>
      <c r="E273" s="27">
        <f t="shared" si="51"/>
        <v>34</v>
      </c>
      <c r="F273" s="71" t="str">
        <f>CONCATENATE("Hora Cátedra Enseñanza Media ",D273," hs")</f>
        <v>Hora Cátedra Enseñanza Media 23 hs</v>
      </c>
      <c r="G273" s="72">
        <f t="shared" si="50"/>
        <v>1817</v>
      </c>
      <c r="H273" s="73">
        <f>INT((G273*Valores!$C$2*100))/100</f>
        <v>12497.68</v>
      </c>
      <c r="I273" s="112">
        <v>0</v>
      </c>
      <c r="J273" s="75">
        <f>INT((I273*Valores!$C$2*100)+0.5)/100</f>
        <v>0</v>
      </c>
      <c r="K273" s="102">
        <v>0</v>
      </c>
      <c r="L273" s="75">
        <f>INT((K273*Valores!$C$2*100)+0.5)/100</f>
        <v>0</v>
      </c>
      <c r="M273" s="100">
        <v>0</v>
      </c>
      <c r="N273" s="75">
        <f>INT((M273*Valores!$C$2*100)+0.5)/100</f>
        <v>0</v>
      </c>
      <c r="O273" s="75">
        <f t="shared" si="52"/>
        <v>2259.6374999999998</v>
      </c>
      <c r="P273" s="75">
        <f t="shared" si="53"/>
        <v>0</v>
      </c>
      <c r="Q273" s="101">
        <f>Valores!$C$14*D273</f>
        <v>3820.99</v>
      </c>
      <c r="R273" s="101">
        <f>IF(D273&lt;15,(Valores!$E$4*D273),Valores!$D$4)</f>
        <v>3076.62</v>
      </c>
      <c r="S273" s="75">
        <v>0</v>
      </c>
      <c r="T273" s="78">
        <f>IF(Valores!$C$45*D273&gt;Valores!$C$43,Valores!$C$43,Valores!$C$45*D273)</f>
        <v>1219.23</v>
      </c>
      <c r="U273" s="101">
        <f>Valores!$C$22*D273</f>
        <v>1347.34</v>
      </c>
      <c r="V273" s="75">
        <f t="shared" si="48"/>
        <v>1347.34</v>
      </c>
      <c r="W273" s="75">
        <v>0</v>
      </c>
      <c r="X273" s="75">
        <v>0</v>
      </c>
      <c r="Y273" s="118">
        <v>0</v>
      </c>
      <c r="Z273" s="75">
        <f>Y273*Valores!$C$2</f>
        <v>0</v>
      </c>
      <c r="AA273" s="75">
        <v>0</v>
      </c>
      <c r="AB273" s="80">
        <f>IF((Valores!$C$32)*D273&gt;Valores!$F$32,Valores!$F$32,(Valores!$C$32)*D273)</f>
        <v>153.18</v>
      </c>
      <c r="AC273" s="75">
        <f t="shared" si="56"/>
        <v>0</v>
      </c>
      <c r="AD273" s="75">
        <f>IF(Valores!$C$33*D273&gt;Valores!$F$33,Valores!$F$33,Valores!$C$33*D273)</f>
        <v>127.42</v>
      </c>
      <c r="AE273" s="79">
        <v>0</v>
      </c>
      <c r="AF273" s="75">
        <f>INT(((AE273*Valores!$C$2)*100)+0.5)/100</f>
        <v>0</v>
      </c>
      <c r="AG273" s="75">
        <f>IF(Valores!$D$58*'Escala Docente'!D273&gt;Valores!$F$58,Valores!$F$58,Valores!$D$58*'Escala Docente'!D273)</f>
        <v>518.19000000000005</v>
      </c>
      <c r="AH273" s="75">
        <f>IF(Valores!$D$60*D273&gt;Valores!$F$60,Valores!$F$60,Valores!$D$60*D273)</f>
        <v>148.12</v>
      </c>
      <c r="AI273" s="114">
        <f t="shared" si="57"/>
        <v>25168.407499999998</v>
      </c>
      <c r="AJ273" s="101">
        <f>IF(Valores!$C$36*D273&gt;Valores!$F$36,Valores!$F$36,Valores!$C$36*D273)</f>
        <v>1021.6600000000001</v>
      </c>
      <c r="AK273" s="78">
        <f>IF(Valores!$C$11*D273&gt;Valores!$F$11,Valores!$F$11,Valores!$C$11*D273)</f>
        <v>0</v>
      </c>
      <c r="AL273" s="78">
        <f>IF(Valores!$C$84*D273&gt;Valores!$C$83,Valores!$C$83,Valores!$C$84*D273)</f>
        <v>1725</v>
      </c>
      <c r="AM273" s="80">
        <f>IF(Valores!$C$57*D273&gt;Valores!$F$57,Valores!$F$57,Valores!$C$57*D273)</f>
        <v>217.11999999999998</v>
      </c>
      <c r="AN273" s="82">
        <f t="shared" si="58"/>
        <v>2746.66</v>
      </c>
      <c r="AO273" s="61">
        <f>AI273*-Valores!$C$65</f>
        <v>-3271.8929749999998</v>
      </c>
      <c r="AP273" s="61">
        <f>AI273*-Valores!$C$66</f>
        <v>-125.84203749999999</v>
      </c>
      <c r="AQ273" s="77">
        <f>AI273*-Valores!$C$67</f>
        <v>-1132.5783374999999</v>
      </c>
      <c r="AR273" s="77">
        <f>AI273*-Valores!$C$68</f>
        <v>-679.54700249999996</v>
      </c>
      <c r="AS273" s="77">
        <f>AI273*-Valores!$C$69</f>
        <v>-75.505222499999988</v>
      </c>
      <c r="AT273" s="81">
        <f t="shared" si="54"/>
        <v>23384.754150000001</v>
      </c>
      <c r="AU273" s="81">
        <f t="shared" si="55"/>
        <v>23762.2802625</v>
      </c>
      <c r="AV273" s="77">
        <f>AI273*Valores!$C$71</f>
        <v>4026.9451999999997</v>
      </c>
      <c r="AW273" s="77">
        <f>AI273*Valores!$C$72</f>
        <v>1132.5783374999999</v>
      </c>
      <c r="AX273" s="77">
        <f>AI273*Valores!$C$73</f>
        <v>251.68407499999998</v>
      </c>
      <c r="AY273" s="77">
        <f>AI273*Valores!$C$75</f>
        <v>880.89426249999997</v>
      </c>
      <c r="AZ273" s="77">
        <f>AI273*Valores!$C$76</f>
        <v>151.01044499999998</v>
      </c>
      <c r="BA273" s="77">
        <f t="shared" si="59"/>
        <v>1359.0940049999999</v>
      </c>
      <c r="BB273" s="51"/>
      <c r="BC273" s="51">
        <f t="shared" si="49"/>
        <v>92</v>
      </c>
      <c r="BD273" s="27" t="s">
        <v>4</v>
      </c>
    </row>
    <row r="274" spans="1:56" s="27" customFormat="1" ht="11.25" customHeight="1" x14ac:dyDescent="0.2">
      <c r="A274" s="51">
        <v>273</v>
      </c>
      <c r="B274" s="51"/>
      <c r="C274" s="27" t="s">
        <v>522</v>
      </c>
      <c r="D274" s="27">
        <v>23</v>
      </c>
      <c r="E274" s="27">
        <f t="shared" si="51"/>
        <v>42</v>
      </c>
      <c r="F274" s="71" t="str">
        <f>CONCATENATE("Hora Cátedra Enseñanza Media ",D274," hs Esc Esp")</f>
        <v>Hora Cátedra Enseñanza Media 23 hs Esc Esp</v>
      </c>
      <c r="G274" s="72">
        <f t="shared" si="50"/>
        <v>1817</v>
      </c>
      <c r="H274" s="73">
        <f>INT((G274*Valores!$C$2*100))/100</f>
        <v>12497.68</v>
      </c>
      <c r="I274" s="112">
        <v>0</v>
      </c>
      <c r="J274" s="75">
        <f>INT((I274*Valores!$C$2*100)+0.5)/100</f>
        <v>0</v>
      </c>
      <c r="K274" s="102">
        <v>0</v>
      </c>
      <c r="L274" s="75">
        <f>INT((K274*Valores!$C$2*100)+0.5)/100</f>
        <v>0</v>
      </c>
      <c r="M274" s="100">
        <v>0</v>
      </c>
      <c r="N274" s="75">
        <f>INT((M274*Valores!$C$2*100)+0.5)/100</f>
        <v>0</v>
      </c>
      <c r="O274" s="75">
        <f t="shared" si="52"/>
        <v>2259.6374999999998</v>
      </c>
      <c r="P274" s="75">
        <f t="shared" si="53"/>
        <v>0</v>
      </c>
      <c r="Q274" s="101">
        <f>Valores!$C$14*D274</f>
        <v>3820.99</v>
      </c>
      <c r="R274" s="101">
        <f>IF(D274&lt;15,(Valores!$E$4*D274),Valores!$D$4)</f>
        <v>3076.62</v>
      </c>
      <c r="S274" s="75">
        <v>0</v>
      </c>
      <c r="T274" s="78">
        <f>IF(Valores!$C$45*D274&gt;Valores!$C$43,Valores!$C$43,Valores!$C$45*D274)</f>
        <v>1219.23</v>
      </c>
      <c r="U274" s="101">
        <f>Valores!$C$22*D274</f>
        <v>1347.34</v>
      </c>
      <c r="V274" s="75">
        <f t="shared" si="48"/>
        <v>1347.34</v>
      </c>
      <c r="W274" s="75">
        <v>0</v>
      </c>
      <c r="X274" s="75">
        <v>0</v>
      </c>
      <c r="Y274" s="118">
        <v>0</v>
      </c>
      <c r="Z274" s="75">
        <f>Y274*Valores!$C$2</f>
        <v>0</v>
      </c>
      <c r="AA274" s="75">
        <v>0</v>
      </c>
      <c r="AB274" s="80">
        <f>IF((Valores!$C$32)*D274&gt;Valores!$F$32,Valores!$F$32,(Valores!$C$32)*D274)</f>
        <v>153.18</v>
      </c>
      <c r="AC274" s="75">
        <f t="shared" si="56"/>
        <v>0</v>
      </c>
      <c r="AD274" s="75">
        <f>IF(Valores!$C$33*D274&gt;Valores!$F$33,Valores!$F$33,Valores!$C$33*D274)</f>
        <v>127.42</v>
      </c>
      <c r="AE274" s="79">
        <v>94</v>
      </c>
      <c r="AF274" s="75">
        <f>INT(((AE274*Valores!$C$2)*100)+0.5)/100</f>
        <v>646.54999999999995</v>
      </c>
      <c r="AG274" s="75">
        <f>IF(Valores!$D$58*'Escala Docente'!D274&gt;Valores!$F$58,Valores!$F$58,Valores!$D$58*'Escala Docente'!D274)</f>
        <v>518.19000000000005</v>
      </c>
      <c r="AH274" s="75">
        <f>IF(Valores!$D$60*D274&gt;Valores!$F$60,Valores!$F$60,Valores!$D$60*D274)</f>
        <v>148.12</v>
      </c>
      <c r="AI274" s="114">
        <f t="shared" si="57"/>
        <v>25814.957499999997</v>
      </c>
      <c r="AJ274" s="101">
        <f>IF(Valores!$C$36*D274&gt;Valores!$F$36,Valores!$F$36,Valores!$C$36*D274)</f>
        <v>1021.6600000000001</v>
      </c>
      <c r="AK274" s="78">
        <f>IF(Valores!$C$11*D274&gt;Valores!$F$11,Valores!$F$11,Valores!$C$11*D274)</f>
        <v>0</v>
      </c>
      <c r="AL274" s="78">
        <f>IF(Valores!$C$84*D274&gt;Valores!$C$83,Valores!$C$83,Valores!$C$84*D274)</f>
        <v>1725</v>
      </c>
      <c r="AM274" s="80">
        <f>IF(Valores!$C$57*D274&gt;Valores!$F$57,Valores!$F$57,Valores!$C$57*D274)</f>
        <v>217.11999999999998</v>
      </c>
      <c r="AN274" s="82">
        <f t="shared" si="58"/>
        <v>2746.66</v>
      </c>
      <c r="AO274" s="61">
        <f>AI274*-Valores!$C$65</f>
        <v>-3355.9444749999998</v>
      </c>
      <c r="AP274" s="61">
        <f>AI274*-Valores!$C$66</f>
        <v>-129.07478749999999</v>
      </c>
      <c r="AQ274" s="77">
        <f>AI274*-Valores!$C$67</f>
        <v>-1161.6730874999998</v>
      </c>
      <c r="AR274" s="77">
        <f>AI274*-Valores!$C$68</f>
        <v>-697.00385249999988</v>
      </c>
      <c r="AS274" s="77">
        <f>AI274*-Valores!$C$69</f>
        <v>-77.444872499999988</v>
      </c>
      <c r="AT274" s="81">
        <f t="shared" si="54"/>
        <v>23914.925149999995</v>
      </c>
      <c r="AU274" s="81">
        <f t="shared" si="55"/>
        <v>24302.149512499996</v>
      </c>
      <c r="AV274" s="77">
        <f>AI274*Valores!$C$71</f>
        <v>4130.3931999999995</v>
      </c>
      <c r="AW274" s="77">
        <f>AI274*Valores!$C$72</f>
        <v>1161.6730874999998</v>
      </c>
      <c r="AX274" s="77">
        <f>AI274*Valores!$C$73</f>
        <v>258.14957499999997</v>
      </c>
      <c r="AY274" s="77">
        <f>AI274*Valores!$C$75</f>
        <v>903.52351249999992</v>
      </c>
      <c r="AZ274" s="77">
        <f>AI274*Valores!$C$76</f>
        <v>154.88974499999998</v>
      </c>
      <c r="BA274" s="77">
        <f t="shared" si="59"/>
        <v>1394.0077049999998</v>
      </c>
      <c r="BB274" s="51"/>
      <c r="BC274" s="85">
        <f t="shared" si="49"/>
        <v>92</v>
      </c>
      <c r="BD274" s="27" t="s">
        <v>4</v>
      </c>
    </row>
    <row r="275" spans="1:56" s="27" customFormat="1" ht="11.25" customHeight="1" x14ac:dyDescent="0.2">
      <c r="A275" s="51">
        <v>274</v>
      </c>
      <c r="B275" s="51"/>
      <c r="C275" s="27" t="s">
        <v>522</v>
      </c>
      <c r="D275" s="27">
        <v>24</v>
      </c>
      <c r="E275" s="27">
        <f t="shared" si="51"/>
        <v>34</v>
      </c>
      <c r="F275" s="71" t="str">
        <f>CONCATENATE("Hora Cátedra Enseñanza Media ",D275," hs")</f>
        <v>Hora Cátedra Enseñanza Media 24 hs</v>
      </c>
      <c r="G275" s="72">
        <f t="shared" si="50"/>
        <v>1896</v>
      </c>
      <c r="H275" s="73">
        <f>INT((G275*Valores!$C$2*100))/100</f>
        <v>13041.06</v>
      </c>
      <c r="I275" s="112">
        <v>0</v>
      </c>
      <c r="J275" s="75">
        <f>INT((I275*Valores!$C$2*100)+0.5)/100</f>
        <v>0</v>
      </c>
      <c r="K275" s="102">
        <v>0</v>
      </c>
      <c r="L275" s="75">
        <f>INT((K275*Valores!$C$2*100)+0.5)/100</f>
        <v>0</v>
      </c>
      <c r="M275" s="100">
        <v>0</v>
      </c>
      <c r="N275" s="75">
        <f>INT((M275*Valores!$C$2*100)+0.5)/100</f>
        <v>0</v>
      </c>
      <c r="O275" s="75">
        <f t="shared" si="52"/>
        <v>2357.8829999999998</v>
      </c>
      <c r="P275" s="75">
        <f t="shared" si="53"/>
        <v>0</v>
      </c>
      <c r="Q275" s="101">
        <f>Valores!$C$14*D275</f>
        <v>3987.12</v>
      </c>
      <c r="R275" s="101">
        <f>IF(D275&lt;15,(Valores!$E$4*D275),Valores!$D$4)</f>
        <v>3076.62</v>
      </c>
      <c r="S275" s="75">
        <v>0</v>
      </c>
      <c r="T275" s="78">
        <f>IF(Valores!$C$45*D275&gt;Valores!$C$43,Valores!$C$43,Valores!$C$45*D275)</f>
        <v>1272.24</v>
      </c>
      <c r="U275" s="101">
        <f>Valores!$C$22*D275</f>
        <v>1405.92</v>
      </c>
      <c r="V275" s="75">
        <f t="shared" si="48"/>
        <v>1405.92</v>
      </c>
      <c r="W275" s="75">
        <v>0</v>
      </c>
      <c r="X275" s="75">
        <v>0</v>
      </c>
      <c r="Y275" s="118">
        <v>0</v>
      </c>
      <c r="Z275" s="75">
        <f>Y275*Valores!$C$2</f>
        <v>0</v>
      </c>
      <c r="AA275" s="75">
        <v>0</v>
      </c>
      <c r="AB275" s="80">
        <f>IF((Valores!$C$32)*D275&gt;Valores!$F$32,Valores!$F$32,(Valores!$C$32)*D275)</f>
        <v>159.84</v>
      </c>
      <c r="AC275" s="75">
        <f t="shared" si="56"/>
        <v>0</v>
      </c>
      <c r="AD275" s="75">
        <f>IF(Valores!$C$33*D275&gt;Valores!$F$33,Valores!$F$33,Valores!$C$33*D275)</f>
        <v>132.96</v>
      </c>
      <c r="AE275" s="79">
        <v>0</v>
      </c>
      <c r="AF275" s="75">
        <f>INT(((AE275*Valores!$C$2)*100)+0.5)/100</f>
        <v>0</v>
      </c>
      <c r="AG275" s="75">
        <f>IF(Valores!$D$58*'Escala Docente'!D275&gt;Valores!$F$58,Valores!$F$58,Valores!$D$58*'Escala Docente'!D275)</f>
        <v>540.72</v>
      </c>
      <c r="AH275" s="75">
        <f>IF(Valores!$D$60*D275&gt;Valores!$F$60,Valores!$F$60,Valores!$D$60*D275)</f>
        <v>154.56</v>
      </c>
      <c r="AI275" s="114">
        <f t="shared" si="57"/>
        <v>26128.922999999999</v>
      </c>
      <c r="AJ275" s="101">
        <f>IF(Valores!$C$36*D275&gt;Valores!$F$36,Valores!$F$36,Valores!$C$36*D275)</f>
        <v>1066.08</v>
      </c>
      <c r="AK275" s="78">
        <f>IF(Valores!$C$11*D275&gt;Valores!$F$11,Valores!$F$11,Valores!$C$11*D275)</f>
        <v>0</v>
      </c>
      <c r="AL275" s="78">
        <f>IF(Valores!$C$84*D275&gt;Valores!$C$83,Valores!$C$83,Valores!$C$84*D275)</f>
        <v>1800</v>
      </c>
      <c r="AM275" s="80">
        <f>IF(Valores!$C$57*D275&gt;Valores!$F$57,Valores!$F$57,Valores!$C$57*D275)</f>
        <v>226.56</v>
      </c>
      <c r="AN275" s="82">
        <f t="shared" si="58"/>
        <v>2866.08</v>
      </c>
      <c r="AO275" s="61">
        <f>AI275*-Valores!$C$65</f>
        <v>-3396.75999</v>
      </c>
      <c r="AP275" s="61">
        <f>AI275*-Valores!$C$66</f>
        <v>-130.64461499999999</v>
      </c>
      <c r="AQ275" s="77">
        <f>AI275*-Valores!$C$67</f>
        <v>-1175.8015349999998</v>
      </c>
      <c r="AR275" s="77">
        <f>AI275*-Valores!$C$68</f>
        <v>-705.48092099999997</v>
      </c>
      <c r="AS275" s="77">
        <f>AI275*-Valores!$C$69</f>
        <v>-78.386769000000001</v>
      </c>
      <c r="AT275" s="81">
        <f t="shared" si="54"/>
        <v>24291.796859999999</v>
      </c>
      <c r="AU275" s="81">
        <f t="shared" si="55"/>
        <v>24683.730704999998</v>
      </c>
      <c r="AV275" s="77">
        <f>AI275*Valores!$C$71</f>
        <v>4180.6276799999996</v>
      </c>
      <c r="AW275" s="77">
        <f>AI275*Valores!$C$72</f>
        <v>1175.8015349999998</v>
      </c>
      <c r="AX275" s="77">
        <f>AI275*Valores!$C$73</f>
        <v>261.28922999999998</v>
      </c>
      <c r="AY275" s="77">
        <f>AI275*Valores!$C$75</f>
        <v>914.51230500000008</v>
      </c>
      <c r="AZ275" s="77">
        <f>AI275*Valores!$C$76</f>
        <v>156.773538</v>
      </c>
      <c r="BA275" s="77">
        <f t="shared" si="59"/>
        <v>1410.9618419999999</v>
      </c>
      <c r="BB275" s="51"/>
      <c r="BC275" s="51">
        <f t="shared" si="49"/>
        <v>96</v>
      </c>
      <c r="BD275" s="27" t="s">
        <v>4</v>
      </c>
    </row>
    <row r="276" spans="1:56" s="27" customFormat="1" ht="11.25" customHeight="1" x14ac:dyDescent="0.2">
      <c r="A276" s="85">
        <v>275</v>
      </c>
      <c r="B276" s="85" t="s">
        <v>163</v>
      </c>
      <c r="C276" s="86" t="s">
        <v>522</v>
      </c>
      <c r="D276" s="86">
        <v>24</v>
      </c>
      <c r="E276" s="86">
        <f t="shared" si="51"/>
        <v>42</v>
      </c>
      <c r="F276" s="87" t="str">
        <f>CONCATENATE("Hora Cátedra Enseñanza Media ",D276," hs Esc Esp")</f>
        <v>Hora Cátedra Enseñanza Media 24 hs Esc Esp</v>
      </c>
      <c r="G276" s="88">
        <f t="shared" si="50"/>
        <v>1896</v>
      </c>
      <c r="H276" s="89">
        <f>INT((G276*Valores!$C$2*100))/100</f>
        <v>13041.06</v>
      </c>
      <c r="I276" s="103">
        <v>0</v>
      </c>
      <c r="J276" s="91">
        <f>INT((I276*Valores!$C$2*100)+0.5)/100</f>
        <v>0</v>
      </c>
      <c r="K276" s="104">
        <v>0</v>
      </c>
      <c r="L276" s="91">
        <f>INT((K276*Valores!$C$2*100)+0.5)/100</f>
        <v>0</v>
      </c>
      <c r="M276" s="105">
        <v>0</v>
      </c>
      <c r="N276" s="91">
        <f>INT((M276*Valores!$C$2*100)+0.5)/100</f>
        <v>0</v>
      </c>
      <c r="O276" s="91">
        <f t="shared" si="52"/>
        <v>2357.8829999999998</v>
      </c>
      <c r="P276" s="91">
        <f t="shared" si="53"/>
        <v>0</v>
      </c>
      <c r="Q276" s="107">
        <f>Valores!$C$14*D276</f>
        <v>3987.12</v>
      </c>
      <c r="R276" s="107">
        <f>IF(D276&lt;15,(Valores!$E$4*D276),Valores!$D$4)</f>
        <v>3076.62</v>
      </c>
      <c r="S276" s="91">
        <v>0</v>
      </c>
      <c r="T276" s="94">
        <f>IF(Valores!$C$45*D276&gt;Valores!$C$43,Valores!$C$43,Valores!$C$45*D276)</f>
        <v>1272.24</v>
      </c>
      <c r="U276" s="107">
        <f>Valores!$C$22*D276</f>
        <v>1405.92</v>
      </c>
      <c r="V276" s="91">
        <f t="shared" si="48"/>
        <v>1405.92</v>
      </c>
      <c r="W276" s="91">
        <v>0</v>
      </c>
      <c r="X276" s="91">
        <v>0</v>
      </c>
      <c r="Y276" s="119">
        <v>0</v>
      </c>
      <c r="Z276" s="91">
        <f>Y276*Valores!$C$2</f>
        <v>0</v>
      </c>
      <c r="AA276" s="91">
        <v>0</v>
      </c>
      <c r="AB276" s="96">
        <f>IF((Valores!$C$32)*D276&gt;Valores!$F$32,Valores!$F$32,(Valores!$C$32)*D276)</f>
        <v>159.84</v>
      </c>
      <c r="AC276" s="91">
        <f t="shared" si="56"/>
        <v>0</v>
      </c>
      <c r="AD276" s="91">
        <f>IF(Valores!$C$33*D276&gt;Valores!$F$33,Valores!$F$33,Valores!$C$33*D276)</f>
        <v>132.96</v>
      </c>
      <c r="AE276" s="95">
        <v>94</v>
      </c>
      <c r="AF276" s="91">
        <f>INT(((AE276*Valores!$C$2)*100)+0.5)/100</f>
        <v>646.54999999999995</v>
      </c>
      <c r="AG276" s="91">
        <f>IF(Valores!$D$58*'Escala Docente'!D276&gt;Valores!$F$58,Valores!$F$58,Valores!$D$58*'Escala Docente'!D276)</f>
        <v>540.72</v>
      </c>
      <c r="AH276" s="91">
        <f>IF(Valores!$D$60*D276&gt;Valores!$F$60,Valores!$F$60,Valores!$D$60*D276)</f>
        <v>154.56</v>
      </c>
      <c r="AI276" s="115">
        <f t="shared" si="57"/>
        <v>26775.472999999998</v>
      </c>
      <c r="AJ276" s="107">
        <f>IF(Valores!$C$36*D276&gt;Valores!$F$36,Valores!$F$36,Valores!$C$36*D276)</f>
        <v>1066.08</v>
      </c>
      <c r="AK276" s="94">
        <f>IF(Valores!$C$11*D276&gt;Valores!$F$11,Valores!$F$11,Valores!$C$11*D276)</f>
        <v>0</v>
      </c>
      <c r="AL276" s="94">
        <f>IF(Valores!$C$84*D276&gt;Valores!$C$83,Valores!$C$83,Valores!$C$84*D276)</f>
        <v>1800</v>
      </c>
      <c r="AM276" s="96">
        <f>IF(Valores!$C$57*D276&gt;Valores!$F$57,Valores!$F$57,Valores!$C$57*D276)</f>
        <v>226.56</v>
      </c>
      <c r="AN276" s="98">
        <f t="shared" si="58"/>
        <v>2866.08</v>
      </c>
      <c r="AO276" s="116">
        <f>AI276*-Valores!$C$65</f>
        <v>-3480.81149</v>
      </c>
      <c r="AP276" s="116">
        <f>AI276*-Valores!$C$66</f>
        <v>-133.877365</v>
      </c>
      <c r="AQ276" s="93">
        <f>AI276*-Valores!$C$67</f>
        <v>-1204.8962849999998</v>
      </c>
      <c r="AR276" s="93">
        <f>AI276*-Valores!$C$68</f>
        <v>-722.937771</v>
      </c>
      <c r="AS276" s="93">
        <f>AI276*-Valores!$C$69</f>
        <v>-80.326419000000001</v>
      </c>
      <c r="AT276" s="97">
        <f t="shared" si="54"/>
        <v>24821.967860000001</v>
      </c>
      <c r="AU276" s="97">
        <f t="shared" si="55"/>
        <v>25223.599954999998</v>
      </c>
      <c r="AV276" s="93">
        <f>AI276*Valores!$C$71</f>
        <v>4284.0756799999999</v>
      </c>
      <c r="AW276" s="93">
        <f>AI276*Valores!$C$72</f>
        <v>1204.8962849999998</v>
      </c>
      <c r="AX276" s="93">
        <f>AI276*Valores!$C$73</f>
        <v>267.75473</v>
      </c>
      <c r="AY276" s="93">
        <f>AI276*Valores!$C$75</f>
        <v>937.14155500000004</v>
      </c>
      <c r="AZ276" s="93">
        <f>AI276*Valores!$C$76</f>
        <v>160.652838</v>
      </c>
      <c r="BA276" s="93">
        <f t="shared" si="59"/>
        <v>1445.8755420000002</v>
      </c>
      <c r="BB276" s="85"/>
      <c r="BC276" s="85">
        <f t="shared" si="49"/>
        <v>96</v>
      </c>
      <c r="BD276" s="86" t="s">
        <v>4</v>
      </c>
    </row>
    <row r="277" spans="1:56" s="27" customFormat="1" ht="11.25" customHeight="1" x14ac:dyDescent="0.2">
      <c r="A277" s="51">
        <v>276</v>
      </c>
      <c r="B277" s="51"/>
      <c r="C277" s="27" t="s">
        <v>522</v>
      </c>
      <c r="D277" s="27">
        <v>25</v>
      </c>
      <c r="E277" s="27">
        <f t="shared" si="51"/>
        <v>34</v>
      </c>
      <c r="F277" s="71" t="str">
        <f>CONCATENATE("Hora Cátedra Enseñanza Media ",D277," hs")</f>
        <v>Hora Cátedra Enseñanza Media 25 hs</v>
      </c>
      <c r="G277" s="72">
        <f t="shared" si="50"/>
        <v>1975</v>
      </c>
      <c r="H277" s="73">
        <f>INT((G277*Valores!$C$2*100))/100</f>
        <v>13584.44</v>
      </c>
      <c r="I277" s="112">
        <v>0</v>
      </c>
      <c r="J277" s="75">
        <f>INT((I277*Valores!$C$2*100)+0.5)/100</f>
        <v>0</v>
      </c>
      <c r="K277" s="102">
        <v>0</v>
      </c>
      <c r="L277" s="75">
        <f>INT((K277*Valores!$C$2*100)+0.5)/100</f>
        <v>0</v>
      </c>
      <c r="M277" s="100">
        <v>0</v>
      </c>
      <c r="N277" s="75">
        <f>INT((M277*Valores!$C$2*100)+0.5)/100</f>
        <v>0</v>
      </c>
      <c r="O277" s="75">
        <f t="shared" si="52"/>
        <v>2456.1284999999998</v>
      </c>
      <c r="P277" s="75">
        <f t="shared" si="53"/>
        <v>0</v>
      </c>
      <c r="Q277" s="101">
        <f>Valores!$C$14*D277</f>
        <v>4153.25</v>
      </c>
      <c r="R277" s="101">
        <f>IF(D277&lt;15,(Valores!$E$4*D277),Valores!$D$4)</f>
        <v>3076.62</v>
      </c>
      <c r="S277" s="75">
        <v>0</v>
      </c>
      <c r="T277" s="78">
        <f>IF(Valores!$C$45*D277&gt;Valores!$C$43,Valores!$C$43,Valores!$C$45*D277)</f>
        <v>1325.25</v>
      </c>
      <c r="U277" s="101">
        <f>Valores!$C$22*D277</f>
        <v>1464.5</v>
      </c>
      <c r="V277" s="75">
        <f t="shared" si="48"/>
        <v>1464.5</v>
      </c>
      <c r="W277" s="75">
        <v>0</v>
      </c>
      <c r="X277" s="75">
        <v>0</v>
      </c>
      <c r="Y277" s="118">
        <v>0</v>
      </c>
      <c r="Z277" s="75">
        <f>Y277*Valores!$C$2</f>
        <v>0</v>
      </c>
      <c r="AA277" s="75">
        <v>0</v>
      </c>
      <c r="AB277" s="80">
        <f>IF((Valores!$C$32)*D277&gt;Valores!$F$32,Valores!$F$32,(Valores!$C$32)*D277)</f>
        <v>166.5</v>
      </c>
      <c r="AC277" s="75">
        <f t="shared" si="56"/>
        <v>0</v>
      </c>
      <c r="AD277" s="75">
        <f>IF(Valores!$C$33*D277&gt;Valores!$F$33,Valores!$F$33,Valores!$C$33*D277)</f>
        <v>138.5</v>
      </c>
      <c r="AE277" s="79">
        <v>0</v>
      </c>
      <c r="AF277" s="75">
        <f>INT(((AE277*Valores!$C$2)*100)+0.5)/100</f>
        <v>0</v>
      </c>
      <c r="AG277" s="75">
        <f>IF(Valores!$D$58*'Escala Docente'!D277&gt;Valores!$F$58,Valores!$F$58,Valores!$D$58*'Escala Docente'!D277)</f>
        <v>563.25</v>
      </c>
      <c r="AH277" s="75">
        <f>IF(Valores!$D$60*D277&gt;Valores!$F$60,Valores!$F$60,Valores!$D$60*D277)</f>
        <v>161</v>
      </c>
      <c r="AI277" s="114">
        <f t="shared" si="57"/>
        <v>27089.4385</v>
      </c>
      <c r="AJ277" s="101">
        <f>IF(Valores!$C$36*D277&gt;Valores!$F$36,Valores!$F$36,Valores!$C$36*D277)</f>
        <v>1110.5</v>
      </c>
      <c r="AK277" s="78">
        <f>IF(Valores!$C$11*D277&gt;Valores!$F$11,Valores!$F$11,Valores!$C$11*D277)</f>
        <v>0</v>
      </c>
      <c r="AL277" s="78">
        <f>IF(Valores!$C$84*D277&gt;Valores!$C$83,Valores!$C$83,Valores!$C$84*D277)</f>
        <v>1875</v>
      </c>
      <c r="AM277" s="80">
        <f>IF(Valores!$C$57*D277&gt;Valores!$F$57,Valores!$F$57,Valores!$C$57*D277)</f>
        <v>236</v>
      </c>
      <c r="AN277" s="82">
        <f t="shared" si="58"/>
        <v>2985.5</v>
      </c>
      <c r="AO277" s="61">
        <f>AI277*-Valores!$C$65</f>
        <v>-3521.6270050000003</v>
      </c>
      <c r="AP277" s="61">
        <f>AI277*-Valores!$C$66</f>
        <v>-135.4471925</v>
      </c>
      <c r="AQ277" s="77">
        <f>AI277*-Valores!$C$67</f>
        <v>-1219.0247325</v>
      </c>
      <c r="AR277" s="77">
        <f>AI277*-Valores!$C$68</f>
        <v>-731.41483949999997</v>
      </c>
      <c r="AS277" s="77">
        <f>AI277*-Valores!$C$69</f>
        <v>-81.2683155</v>
      </c>
      <c r="AT277" s="81">
        <f t="shared" si="54"/>
        <v>25198.839569999996</v>
      </c>
      <c r="AU277" s="81">
        <f t="shared" si="55"/>
        <v>25605.181147499996</v>
      </c>
      <c r="AV277" s="77">
        <f>AI277*Valores!$C$71</f>
        <v>4334.31016</v>
      </c>
      <c r="AW277" s="77">
        <f>AI277*Valores!$C$72</f>
        <v>1219.0247325</v>
      </c>
      <c r="AX277" s="77">
        <f>AI277*Valores!$C$73</f>
        <v>270.894385</v>
      </c>
      <c r="AY277" s="77">
        <f>AI277*Valores!$C$75</f>
        <v>948.13034750000008</v>
      </c>
      <c r="AZ277" s="77">
        <f>AI277*Valores!$C$76</f>
        <v>162.536631</v>
      </c>
      <c r="BA277" s="77">
        <f t="shared" si="59"/>
        <v>1462.8296790000002</v>
      </c>
      <c r="BB277" s="51"/>
      <c r="BC277" s="51">
        <f t="shared" si="49"/>
        <v>100</v>
      </c>
      <c r="BD277" s="27" t="s">
        <v>4</v>
      </c>
    </row>
    <row r="278" spans="1:56" s="27" customFormat="1" ht="11.25" customHeight="1" x14ac:dyDescent="0.2">
      <c r="A278" s="51">
        <v>277</v>
      </c>
      <c r="B278" s="51"/>
      <c r="C278" s="27" t="s">
        <v>522</v>
      </c>
      <c r="D278" s="27">
        <v>25</v>
      </c>
      <c r="E278" s="27">
        <f t="shared" si="51"/>
        <v>42</v>
      </c>
      <c r="F278" s="71" t="str">
        <f>CONCATENATE("Hora Cátedra Enseñanza Media ",D278," hs Esc Esp")</f>
        <v>Hora Cátedra Enseñanza Media 25 hs Esc Esp</v>
      </c>
      <c r="G278" s="72">
        <f t="shared" si="50"/>
        <v>1975</v>
      </c>
      <c r="H278" s="73">
        <f>INT((G278*Valores!$C$2*100))/100</f>
        <v>13584.44</v>
      </c>
      <c r="I278" s="112">
        <v>0</v>
      </c>
      <c r="J278" s="75">
        <f>INT((I278*Valores!$C$2*100)+0.5)/100</f>
        <v>0</v>
      </c>
      <c r="K278" s="102">
        <v>0</v>
      </c>
      <c r="L278" s="75">
        <f>INT((K278*Valores!$C$2*100)+0.5)/100</f>
        <v>0</v>
      </c>
      <c r="M278" s="100">
        <v>0</v>
      </c>
      <c r="N278" s="75">
        <f>INT((M278*Valores!$C$2*100)+0.5)/100</f>
        <v>0</v>
      </c>
      <c r="O278" s="75">
        <f t="shared" si="52"/>
        <v>2456.1284999999998</v>
      </c>
      <c r="P278" s="75">
        <f t="shared" si="53"/>
        <v>0</v>
      </c>
      <c r="Q278" s="101">
        <f>Valores!$C$14*D278</f>
        <v>4153.25</v>
      </c>
      <c r="R278" s="101">
        <f>IF(D278&lt;15,(Valores!$E$4*D278),Valores!$D$4)</f>
        <v>3076.62</v>
      </c>
      <c r="S278" s="75">
        <v>0</v>
      </c>
      <c r="T278" s="78">
        <f>IF(Valores!$C$45*D278&gt;Valores!$C$43,Valores!$C$43,Valores!$C$45*D278)</f>
        <v>1325.25</v>
      </c>
      <c r="U278" s="101">
        <f>Valores!$C$22*D278</f>
        <v>1464.5</v>
      </c>
      <c r="V278" s="75">
        <f t="shared" si="48"/>
        <v>1464.5</v>
      </c>
      <c r="W278" s="75">
        <v>0</v>
      </c>
      <c r="X278" s="75">
        <v>0</v>
      </c>
      <c r="Y278" s="118">
        <v>0</v>
      </c>
      <c r="Z278" s="75">
        <f>Y278*Valores!$C$2</f>
        <v>0</v>
      </c>
      <c r="AA278" s="75">
        <v>0</v>
      </c>
      <c r="AB278" s="80">
        <f>IF((Valores!$C$32)*D278&gt;Valores!$F$32,Valores!$F$32,(Valores!$C$32)*D278)</f>
        <v>166.5</v>
      </c>
      <c r="AC278" s="75">
        <f t="shared" si="56"/>
        <v>0</v>
      </c>
      <c r="AD278" s="75">
        <f>IF(Valores!$C$33*D278&gt;Valores!$F$33,Valores!$F$33,Valores!$C$33*D278)</f>
        <v>138.5</v>
      </c>
      <c r="AE278" s="79">
        <v>94</v>
      </c>
      <c r="AF278" s="75">
        <f>INT(((AE278*Valores!$C$2)*100)+0.5)/100</f>
        <v>646.54999999999995</v>
      </c>
      <c r="AG278" s="75">
        <f>IF(Valores!$D$58*'Escala Docente'!D278&gt;Valores!$F$58,Valores!$F$58,Valores!$D$58*'Escala Docente'!D278)</f>
        <v>563.25</v>
      </c>
      <c r="AH278" s="75">
        <f>IF(Valores!$D$60*D278&gt;Valores!$F$60,Valores!$F$60,Valores!$D$60*D278)</f>
        <v>161</v>
      </c>
      <c r="AI278" s="114">
        <f t="shared" si="57"/>
        <v>27735.988499999999</v>
      </c>
      <c r="AJ278" s="101">
        <f>IF(Valores!$C$36*D278&gt;Valores!$F$36,Valores!$F$36,Valores!$C$36*D278)</f>
        <v>1110.5</v>
      </c>
      <c r="AK278" s="78">
        <f>IF(Valores!$C$11*D278&gt;Valores!$F$11,Valores!$F$11,Valores!$C$11*D278)</f>
        <v>0</v>
      </c>
      <c r="AL278" s="78">
        <f>IF(Valores!$C$84*D278&gt;Valores!$C$83,Valores!$C$83,Valores!$C$84*D278)</f>
        <v>1875</v>
      </c>
      <c r="AM278" s="80">
        <f>IF(Valores!$C$57*D278&gt;Valores!$F$57,Valores!$F$57,Valores!$C$57*D278)</f>
        <v>236</v>
      </c>
      <c r="AN278" s="82">
        <f t="shared" si="58"/>
        <v>2985.5</v>
      </c>
      <c r="AO278" s="61">
        <f>AI278*-Valores!$C$65</f>
        <v>-3605.6785049999999</v>
      </c>
      <c r="AP278" s="61">
        <f>AI278*-Valores!$C$66</f>
        <v>-138.67994250000001</v>
      </c>
      <c r="AQ278" s="77">
        <f>AI278*-Valores!$C$67</f>
        <v>-1248.1194825</v>
      </c>
      <c r="AR278" s="77">
        <f>AI278*-Valores!$C$68</f>
        <v>-748.8716895</v>
      </c>
      <c r="AS278" s="77">
        <f>AI278*-Valores!$C$69</f>
        <v>-83.2079655</v>
      </c>
      <c r="AT278" s="81">
        <f t="shared" si="54"/>
        <v>25729.010570000002</v>
      </c>
      <c r="AU278" s="81">
        <f t="shared" si="55"/>
        <v>26145.050397499999</v>
      </c>
      <c r="AV278" s="77">
        <f>AI278*Valores!$C$71</f>
        <v>4437.7581600000003</v>
      </c>
      <c r="AW278" s="77">
        <f>AI278*Valores!$C$72</f>
        <v>1248.1194825</v>
      </c>
      <c r="AX278" s="77">
        <f>AI278*Valores!$C$73</f>
        <v>277.35988500000002</v>
      </c>
      <c r="AY278" s="77">
        <f>AI278*Valores!$C$75</f>
        <v>970.75959750000004</v>
      </c>
      <c r="AZ278" s="77">
        <f>AI278*Valores!$C$76</f>
        <v>166.415931</v>
      </c>
      <c r="BA278" s="77">
        <f t="shared" si="59"/>
        <v>1497.7433790000002</v>
      </c>
      <c r="BB278" s="51"/>
      <c r="BC278" s="51">
        <f t="shared" si="49"/>
        <v>100</v>
      </c>
      <c r="BD278" s="27" t="s">
        <v>4</v>
      </c>
    </row>
    <row r="279" spans="1:56" s="27" customFormat="1" ht="11.25" customHeight="1" x14ac:dyDescent="0.2">
      <c r="A279" s="51">
        <v>278</v>
      </c>
      <c r="B279" s="51"/>
      <c r="C279" s="27" t="s">
        <v>522</v>
      </c>
      <c r="D279" s="27">
        <v>26</v>
      </c>
      <c r="E279" s="27">
        <f t="shared" si="51"/>
        <v>34</v>
      </c>
      <c r="F279" s="71" t="str">
        <f>CONCATENATE("Hora Cátedra Enseñanza Media ",D279," hs")</f>
        <v>Hora Cátedra Enseñanza Media 26 hs</v>
      </c>
      <c r="G279" s="72">
        <f t="shared" si="50"/>
        <v>2054</v>
      </c>
      <c r="H279" s="73">
        <f>INT((G279*Valores!$C$2*100))/100</f>
        <v>14127.82</v>
      </c>
      <c r="I279" s="112">
        <v>0</v>
      </c>
      <c r="J279" s="75">
        <f>INT((I279*Valores!$C$2*100)+0.5)/100</f>
        <v>0</v>
      </c>
      <c r="K279" s="102">
        <v>0</v>
      </c>
      <c r="L279" s="75">
        <f>INT((K279*Valores!$C$2*100)+0.5)/100</f>
        <v>0</v>
      </c>
      <c r="M279" s="100">
        <v>0</v>
      </c>
      <c r="N279" s="75">
        <f>INT((M279*Valores!$C$2*100)+0.5)/100</f>
        <v>0</v>
      </c>
      <c r="O279" s="75">
        <f t="shared" si="52"/>
        <v>2554.3739999999998</v>
      </c>
      <c r="P279" s="75">
        <f t="shared" si="53"/>
        <v>0</v>
      </c>
      <c r="Q279" s="101">
        <f>Valores!$C$14*D279</f>
        <v>4319.38</v>
      </c>
      <c r="R279" s="101">
        <f>IF(D279&lt;15,(Valores!$E$4*D279),Valores!$D$4)</f>
        <v>3076.62</v>
      </c>
      <c r="S279" s="75">
        <v>0</v>
      </c>
      <c r="T279" s="78">
        <f>IF(Valores!$C$45*D279&gt;Valores!$C$43,Valores!$C$43,Valores!$C$45*D279)</f>
        <v>1378.26</v>
      </c>
      <c r="U279" s="101">
        <f>Valores!$C$22*D279</f>
        <v>1523.08</v>
      </c>
      <c r="V279" s="75">
        <f t="shared" si="48"/>
        <v>1523.08</v>
      </c>
      <c r="W279" s="75">
        <v>0</v>
      </c>
      <c r="X279" s="75">
        <v>0</v>
      </c>
      <c r="Y279" s="118">
        <v>0</v>
      </c>
      <c r="Z279" s="75">
        <f>Y279*Valores!$C$2</f>
        <v>0</v>
      </c>
      <c r="AA279" s="75">
        <v>0</v>
      </c>
      <c r="AB279" s="80">
        <f>IF((Valores!$C$32)*D279&gt;Valores!$F$32,Valores!$F$32,(Valores!$C$32)*D279)</f>
        <v>173.16</v>
      </c>
      <c r="AC279" s="75">
        <f t="shared" si="56"/>
        <v>0</v>
      </c>
      <c r="AD279" s="75">
        <f>IF(Valores!$C$33*D279&gt;Valores!$F$33,Valores!$F$33,Valores!$C$33*D279)</f>
        <v>144.04</v>
      </c>
      <c r="AE279" s="79">
        <v>0</v>
      </c>
      <c r="AF279" s="75">
        <f>INT(((AE279*Valores!$C$2)*100)+0.5)/100</f>
        <v>0</v>
      </c>
      <c r="AG279" s="75">
        <f>IF(Valores!$D$58*'Escala Docente'!D279&gt;Valores!$F$58,Valores!$F$58,Valores!$D$58*'Escala Docente'!D279)</f>
        <v>585.78</v>
      </c>
      <c r="AH279" s="75">
        <f>IF(Valores!$D$60*D279&gt;Valores!$F$60,Valores!$F$60,Valores!$D$60*D279)</f>
        <v>167.44</v>
      </c>
      <c r="AI279" s="114">
        <f t="shared" si="57"/>
        <v>28049.953999999994</v>
      </c>
      <c r="AJ279" s="101">
        <f>IF(Valores!$C$36*D279&gt;Valores!$F$36,Valores!$F$36,Valores!$C$36*D279)</f>
        <v>1154.92</v>
      </c>
      <c r="AK279" s="78">
        <f>IF(Valores!$C$11*D279&gt;Valores!$F$11,Valores!$F$11,Valores!$C$11*D279)</f>
        <v>0</v>
      </c>
      <c r="AL279" s="78">
        <f>IF(Valores!$C$84*D279&gt;Valores!$C$83,Valores!$C$83,Valores!$C$84*D279)</f>
        <v>1950</v>
      </c>
      <c r="AM279" s="80">
        <f>IF(Valores!$C$57*D279&gt;Valores!$F$57,Valores!$F$57,Valores!$C$57*D279)</f>
        <v>245.44</v>
      </c>
      <c r="AN279" s="82">
        <f t="shared" si="58"/>
        <v>3104.92</v>
      </c>
      <c r="AO279" s="61">
        <f>AI279*-Valores!$C$65</f>
        <v>-3646.4940199999992</v>
      </c>
      <c r="AP279" s="61">
        <f>AI279*-Valores!$C$66</f>
        <v>-140.24976999999998</v>
      </c>
      <c r="AQ279" s="77">
        <f>AI279*-Valores!$C$67</f>
        <v>-1262.2479299999998</v>
      </c>
      <c r="AR279" s="77">
        <f>AI279*-Valores!$C$68</f>
        <v>-757.34875799999986</v>
      </c>
      <c r="AS279" s="77">
        <f>AI279*-Valores!$C$69</f>
        <v>-84.149861999999985</v>
      </c>
      <c r="AT279" s="81">
        <f t="shared" si="54"/>
        <v>26105.882279999998</v>
      </c>
      <c r="AU279" s="81">
        <f t="shared" si="55"/>
        <v>26526.631590000001</v>
      </c>
      <c r="AV279" s="77">
        <f>AI279*Valores!$C$71</f>
        <v>4487.9926399999995</v>
      </c>
      <c r="AW279" s="77">
        <f>AI279*Valores!$C$72</f>
        <v>1262.2479299999998</v>
      </c>
      <c r="AX279" s="77">
        <f>AI279*Valores!$C$73</f>
        <v>280.49953999999997</v>
      </c>
      <c r="AY279" s="77">
        <f>AI279*Valores!$C$75</f>
        <v>981.74838999999986</v>
      </c>
      <c r="AZ279" s="77">
        <f>AI279*Valores!$C$76</f>
        <v>168.29972399999997</v>
      </c>
      <c r="BA279" s="77">
        <f t="shared" si="59"/>
        <v>1514.697516</v>
      </c>
      <c r="BB279" s="51"/>
      <c r="BC279" s="85">
        <f t="shared" si="49"/>
        <v>104</v>
      </c>
      <c r="BD279" s="27" t="s">
        <v>4</v>
      </c>
    </row>
    <row r="280" spans="1:56" s="27" customFormat="1" ht="11.25" customHeight="1" x14ac:dyDescent="0.2">
      <c r="A280" s="51">
        <v>279</v>
      </c>
      <c r="B280" s="51"/>
      <c r="C280" s="27" t="s">
        <v>522</v>
      </c>
      <c r="D280" s="27">
        <v>26</v>
      </c>
      <c r="E280" s="27">
        <f t="shared" si="51"/>
        <v>42</v>
      </c>
      <c r="F280" s="71" t="str">
        <f>CONCATENATE("Hora Cátedra Enseñanza Media ",D280," hs Esc Esp")</f>
        <v>Hora Cátedra Enseñanza Media 26 hs Esc Esp</v>
      </c>
      <c r="G280" s="72">
        <f t="shared" si="50"/>
        <v>2054</v>
      </c>
      <c r="H280" s="73">
        <f>INT((G280*Valores!$C$2*100))/100</f>
        <v>14127.82</v>
      </c>
      <c r="I280" s="112">
        <v>0</v>
      </c>
      <c r="J280" s="75">
        <f>INT((I280*Valores!$C$2*100)+0.5)/100</f>
        <v>0</v>
      </c>
      <c r="K280" s="102">
        <v>0</v>
      </c>
      <c r="L280" s="75">
        <f>INT((K280*Valores!$C$2*100)+0.5)/100</f>
        <v>0</v>
      </c>
      <c r="M280" s="100">
        <v>0</v>
      </c>
      <c r="N280" s="75">
        <f>INT((M280*Valores!$C$2*100)+0.5)/100</f>
        <v>0</v>
      </c>
      <c r="O280" s="75">
        <f t="shared" si="52"/>
        <v>2554.3739999999998</v>
      </c>
      <c r="P280" s="75">
        <f t="shared" si="53"/>
        <v>0</v>
      </c>
      <c r="Q280" s="101">
        <f>Valores!$C$14*D280</f>
        <v>4319.38</v>
      </c>
      <c r="R280" s="101">
        <f>IF(D280&lt;15,(Valores!$E$4*D280),Valores!$D$4)</f>
        <v>3076.62</v>
      </c>
      <c r="S280" s="75">
        <v>0</v>
      </c>
      <c r="T280" s="78">
        <f>IF(Valores!$C$45*D280&gt;Valores!$C$43,Valores!$C$43,Valores!$C$45*D280)</f>
        <v>1378.26</v>
      </c>
      <c r="U280" s="101">
        <f>Valores!$C$22*D280</f>
        <v>1523.08</v>
      </c>
      <c r="V280" s="75">
        <f t="shared" si="48"/>
        <v>1523.08</v>
      </c>
      <c r="W280" s="75">
        <v>0</v>
      </c>
      <c r="X280" s="75">
        <v>0</v>
      </c>
      <c r="Y280" s="118">
        <v>0</v>
      </c>
      <c r="Z280" s="75">
        <f>Y280*Valores!$C$2</f>
        <v>0</v>
      </c>
      <c r="AA280" s="75">
        <v>0</v>
      </c>
      <c r="AB280" s="80">
        <f>IF((Valores!$C$32)*D280&gt;Valores!$F$32,Valores!$F$32,(Valores!$C$32)*D280)</f>
        <v>173.16</v>
      </c>
      <c r="AC280" s="75">
        <f t="shared" si="56"/>
        <v>0</v>
      </c>
      <c r="AD280" s="75">
        <f>IF(Valores!$C$33*D280&gt;Valores!$F$33,Valores!$F$33,Valores!$C$33*D280)</f>
        <v>144.04</v>
      </c>
      <c r="AE280" s="79">
        <v>94</v>
      </c>
      <c r="AF280" s="75">
        <f>INT(((AE280*Valores!$C$2)*100)+0.5)/100</f>
        <v>646.54999999999995</v>
      </c>
      <c r="AG280" s="75">
        <f>IF(Valores!$D$58*'Escala Docente'!D280&gt;Valores!$F$58,Valores!$F$58,Valores!$D$58*'Escala Docente'!D280)</f>
        <v>585.78</v>
      </c>
      <c r="AH280" s="75">
        <f>IF(Valores!$D$60*D280&gt;Valores!$F$60,Valores!$F$60,Valores!$D$60*D280)</f>
        <v>167.44</v>
      </c>
      <c r="AI280" s="114">
        <f t="shared" si="57"/>
        <v>28696.503999999994</v>
      </c>
      <c r="AJ280" s="101">
        <f>IF(Valores!$C$36*D280&gt;Valores!$F$36,Valores!$F$36,Valores!$C$36*D280)</f>
        <v>1154.92</v>
      </c>
      <c r="AK280" s="78">
        <f>IF(Valores!$C$11*D280&gt;Valores!$F$11,Valores!$F$11,Valores!$C$11*D280)</f>
        <v>0</v>
      </c>
      <c r="AL280" s="78">
        <f>IF(Valores!$C$84*D280&gt;Valores!$C$83,Valores!$C$83,Valores!$C$84*D280)</f>
        <v>1950</v>
      </c>
      <c r="AM280" s="80">
        <f>IF(Valores!$C$57*D280&gt;Valores!$F$57,Valores!$F$57,Valores!$C$57*D280)</f>
        <v>245.44</v>
      </c>
      <c r="AN280" s="82">
        <f t="shared" si="58"/>
        <v>3104.92</v>
      </c>
      <c r="AO280" s="61">
        <f>AI280*-Valores!$C$65</f>
        <v>-3730.5455199999992</v>
      </c>
      <c r="AP280" s="61">
        <f>AI280*-Valores!$C$66</f>
        <v>-143.48251999999997</v>
      </c>
      <c r="AQ280" s="77">
        <f>AI280*-Valores!$C$67</f>
        <v>-1291.3426799999997</v>
      </c>
      <c r="AR280" s="77">
        <f>AI280*-Valores!$C$68</f>
        <v>-774.80560799999978</v>
      </c>
      <c r="AS280" s="77">
        <f>AI280*-Valores!$C$69</f>
        <v>-86.089511999999985</v>
      </c>
      <c r="AT280" s="81">
        <f t="shared" si="54"/>
        <v>26636.053279999993</v>
      </c>
      <c r="AU280" s="81">
        <f t="shared" si="55"/>
        <v>27066.500839999993</v>
      </c>
      <c r="AV280" s="77">
        <f>AI280*Valores!$C$71</f>
        <v>4591.4406399999989</v>
      </c>
      <c r="AW280" s="77">
        <f>AI280*Valores!$C$72</f>
        <v>1291.3426799999997</v>
      </c>
      <c r="AX280" s="77">
        <f>AI280*Valores!$C$73</f>
        <v>286.96503999999993</v>
      </c>
      <c r="AY280" s="77">
        <f>AI280*Valores!$C$75</f>
        <v>1004.3776399999998</v>
      </c>
      <c r="AZ280" s="77">
        <f>AI280*Valores!$C$76</f>
        <v>172.17902399999997</v>
      </c>
      <c r="BA280" s="77">
        <f t="shared" si="59"/>
        <v>1549.6112159999998</v>
      </c>
      <c r="BB280" s="51"/>
      <c r="BC280" s="51">
        <f t="shared" si="49"/>
        <v>104</v>
      </c>
      <c r="BD280" s="27" t="s">
        <v>4</v>
      </c>
    </row>
    <row r="281" spans="1:56" s="27" customFormat="1" ht="11.25" customHeight="1" x14ac:dyDescent="0.2">
      <c r="A281" s="85">
        <v>280</v>
      </c>
      <c r="B281" s="85" t="s">
        <v>163</v>
      </c>
      <c r="C281" s="86" t="s">
        <v>522</v>
      </c>
      <c r="D281" s="86">
        <v>27</v>
      </c>
      <c r="E281" s="86">
        <f t="shared" si="51"/>
        <v>34</v>
      </c>
      <c r="F281" s="87" t="str">
        <f>CONCATENATE("Hora Cátedra Enseñanza Media ",D281," hs")</f>
        <v>Hora Cátedra Enseñanza Media 27 hs</v>
      </c>
      <c r="G281" s="88">
        <f t="shared" si="50"/>
        <v>2133</v>
      </c>
      <c r="H281" s="89">
        <f>INT((G281*Valores!$C$2*100))/100</f>
        <v>14671.2</v>
      </c>
      <c r="I281" s="103">
        <v>0</v>
      </c>
      <c r="J281" s="91">
        <f>INT((I281*Valores!$C$2*100)+0.5)/100</f>
        <v>0</v>
      </c>
      <c r="K281" s="104">
        <v>0</v>
      </c>
      <c r="L281" s="91">
        <f>INT((K281*Valores!$C$2*100)+0.5)/100</f>
        <v>0</v>
      </c>
      <c r="M281" s="105">
        <v>0</v>
      </c>
      <c r="N281" s="91">
        <f>INT((M281*Valores!$C$2*100)+0.5)/100</f>
        <v>0</v>
      </c>
      <c r="O281" s="91">
        <f t="shared" si="52"/>
        <v>2652.6195000000002</v>
      </c>
      <c r="P281" s="91">
        <f t="shared" si="53"/>
        <v>0</v>
      </c>
      <c r="Q281" s="107">
        <f>Valores!$C$14*D281</f>
        <v>4485.51</v>
      </c>
      <c r="R281" s="107">
        <f>IF(D281&lt;15,(Valores!$E$4*D281),Valores!$D$4)</f>
        <v>3076.62</v>
      </c>
      <c r="S281" s="91">
        <v>0</v>
      </c>
      <c r="T281" s="94">
        <f>IF(Valores!$C$45*D281&gt;Valores!$C$43,Valores!$C$43,Valores!$C$45*D281)</f>
        <v>1431.27</v>
      </c>
      <c r="U281" s="107">
        <f>Valores!$C$22*D281</f>
        <v>1581.6599999999999</v>
      </c>
      <c r="V281" s="91">
        <f t="shared" si="48"/>
        <v>1581.6599999999999</v>
      </c>
      <c r="W281" s="91">
        <v>0</v>
      </c>
      <c r="X281" s="91">
        <v>0</v>
      </c>
      <c r="Y281" s="119">
        <v>0</v>
      </c>
      <c r="Z281" s="91">
        <f>Y281*Valores!$C$2</f>
        <v>0</v>
      </c>
      <c r="AA281" s="91">
        <v>0</v>
      </c>
      <c r="AB281" s="96">
        <f>IF((Valores!$C$32)*D281&gt;Valores!$F$32,Valores!$F$32,(Valores!$C$32)*D281)</f>
        <v>179.82</v>
      </c>
      <c r="AC281" s="91">
        <f t="shared" si="56"/>
        <v>0</v>
      </c>
      <c r="AD281" s="91">
        <f>IF(Valores!$C$33*D281&gt;Valores!$F$33,Valores!$F$33,Valores!$C$33*D281)</f>
        <v>149.58000000000001</v>
      </c>
      <c r="AE281" s="95">
        <v>0</v>
      </c>
      <c r="AF281" s="91">
        <f>INT(((AE281*Valores!$C$2)*100)+0.5)/100</f>
        <v>0</v>
      </c>
      <c r="AG281" s="91">
        <f>IF(Valores!$D$58*'Escala Docente'!D281&gt;Valores!$F$58,Valores!$F$58,Valores!$D$58*'Escala Docente'!D281)</f>
        <v>608.31000000000006</v>
      </c>
      <c r="AH281" s="91">
        <f>IF(Valores!$D$60*D281&gt;Valores!$F$60,Valores!$F$60,Valores!$D$60*D281)</f>
        <v>173.88000000000002</v>
      </c>
      <c r="AI281" s="115">
        <f t="shared" si="57"/>
        <v>29010.469500000003</v>
      </c>
      <c r="AJ281" s="107">
        <f>IF(Valores!$C$36*D281&gt;Valores!$F$36,Valores!$F$36,Valores!$C$36*D281)</f>
        <v>1199.3400000000001</v>
      </c>
      <c r="AK281" s="94">
        <f>IF(Valores!$C$11*D281&gt;Valores!$F$11,Valores!$F$11,Valores!$C$11*D281)</f>
        <v>0</v>
      </c>
      <c r="AL281" s="94">
        <f>IF(Valores!$C$84*D281&gt;Valores!$C$83,Valores!$C$83,Valores!$C$84*D281)</f>
        <v>2025</v>
      </c>
      <c r="AM281" s="96">
        <f>IF(Valores!$C$57*D281&gt;Valores!$F$57,Valores!$F$57,Valores!$C$57*D281)</f>
        <v>254.88</v>
      </c>
      <c r="AN281" s="98">
        <f t="shared" si="58"/>
        <v>3224.34</v>
      </c>
      <c r="AO281" s="116">
        <f>AI281*-Valores!$C$65</f>
        <v>-3771.3610350000004</v>
      </c>
      <c r="AP281" s="116">
        <f>AI281*-Valores!$C$66</f>
        <v>-145.05234750000002</v>
      </c>
      <c r="AQ281" s="93">
        <f>AI281*-Valores!$C$67</f>
        <v>-1305.4711275000002</v>
      </c>
      <c r="AR281" s="93">
        <f>AI281*-Valores!$C$68</f>
        <v>-783.28267650000009</v>
      </c>
      <c r="AS281" s="93">
        <f>AI281*-Valores!$C$69</f>
        <v>-87.031408500000012</v>
      </c>
      <c r="AT281" s="97">
        <f t="shared" si="54"/>
        <v>27012.92499</v>
      </c>
      <c r="AU281" s="97">
        <f t="shared" si="55"/>
        <v>27448.082032500002</v>
      </c>
      <c r="AV281" s="93">
        <f>AI281*Valores!$C$71</f>
        <v>4641.6751200000008</v>
      </c>
      <c r="AW281" s="93">
        <f>AI281*Valores!$C$72</f>
        <v>1305.4711275000002</v>
      </c>
      <c r="AX281" s="93">
        <f>AI281*Valores!$C$73</f>
        <v>290.10469500000005</v>
      </c>
      <c r="AY281" s="93">
        <f>AI281*Valores!$C$75</f>
        <v>1015.3664325000002</v>
      </c>
      <c r="AZ281" s="93">
        <f>AI281*Valores!$C$76</f>
        <v>174.06281700000002</v>
      </c>
      <c r="BA281" s="93">
        <f t="shared" si="59"/>
        <v>1566.5653530000002</v>
      </c>
      <c r="BB281" s="85"/>
      <c r="BC281" s="85">
        <f t="shared" si="49"/>
        <v>108</v>
      </c>
      <c r="BD281" s="86" t="s">
        <v>4</v>
      </c>
    </row>
    <row r="282" spans="1:56" s="27" customFormat="1" ht="11.25" customHeight="1" x14ac:dyDescent="0.2">
      <c r="A282" s="51">
        <v>281</v>
      </c>
      <c r="B282" s="51"/>
      <c r="C282" s="27" t="s">
        <v>522</v>
      </c>
      <c r="D282" s="27">
        <v>27</v>
      </c>
      <c r="E282" s="27">
        <f t="shared" si="51"/>
        <v>42</v>
      </c>
      <c r="F282" s="71" t="str">
        <f>CONCATENATE("Hora Cátedra Enseñanza Media ",D282," hs Esc Esp")</f>
        <v>Hora Cátedra Enseñanza Media 27 hs Esc Esp</v>
      </c>
      <c r="G282" s="72">
        <f t="shared" si="50"/>
        <v>2133</v>
      </c>
      <c r="H282" s="73">
        <f>INT((G282*Valores!$C$2*100))/100</f>
        <v>14671.2</v>
      </c>
      <c r="I282" s="112">
        <v>0</v>
      </c>
      <c r="J282" s="75">
        <f>INT((I282*Valores!$C$2*100)+0.5)/100</f>
        <v>0</v>
      </c>
      <c r="K282" s="102">
        <v>0</v>
      </c>
      <c r="L282" s="75">
        <f>INT((K282*Valores!$C$2*100)+0.5)/100</f>
        <v>0</v>
      </c>
      <c r="M282" s="100">
        <v>0</v>
      </c>
      <c r="N282" s="75">
        <f>INT((M282*Valores!$C$2*100)+0.5)/100</f>
        <v>0</v>
      </c>
      <c r="O282" s="75">
        <f t="shared" si="52"/>
        <v>2652.6195000000002</v>
      </c>
      <c r="P282" s="75">
        <f t="shared" si="53"/>
        <v>0</v>
      </c>
      <c r="Q282" s="101">
        <f>Valores!$C$14*D282</f>
        <v>4485.51</v>
      </c>
      <c r="R282" s="101">
        <f>IF(D282&lt;15,(Valores!$E$4*D282),Valores!$D$4)</f>
        <v>3076.62</v>
      </c>
      <c r="S282" s="75">
        <v>0</v>
      </c>
      <c r="T282" s="78">
        <f>IF(Valores!$C$45*D282&gt;Valores!$C$43,Valores!$C$43,Valores!$C$45*D282)</f>
        <v>1431.27</v>
      </c>
      <c r="U282" s="101">
        <f>Valores!$C$22*D282</f>
        <v>1581.6599999999999</v>
      </c>
      <c r="V282" s="75">
        <f t="shared" si="48"/>
        <v>1581.6599999999999</v>
      </c>
      <c r="W282" s="75">
        <v>0</v>
      </c>
      <c r="X282" s="75">
        <v>0</v>
      </c>
      <c r="Y282" s="118">
        <v>0</v>
      </c>
      <c r="Z282" s="75">
        <f>Y282*Valores!$C$2</f>
        <v>0</v>
      </c>
      <c r="AA282" s="75">
        <v>0</v>
      </c>
      <c r="AB282" s="80">
        <f>IF((Valores!$C$32)*D282&gt;Valores!$F$32,Valores!$F$32,(Valores!$C$32)*D282)</f>
        <v>179.82</v>
      </c>
      <c r="AC282" s="75">
        <f t="shared" si="56"/>
        <v>0</v>
      </c>
      <c r="AD282" s="75">
        <f>IF(Valores!$C$33*D282&gt;Valores!$F$33,Valores!$F$33,Valores!$C$33*D282)</f>
        <v>149.58000000000001</v>
      </c>
      <c r="AE282" s="79">
        <v>94</v>
      </c>
      <c r="AF282" s="75">
        <f>INT(((AE282*Valores!$C$2)*100)+0.5)/100</f>
        <v>646.54999999999995</v>
      </c>
      <c r="AG282" s="75">
        <f>IF(Valores!$D$58*'Escala Docente'!D282&gt;Valores!$F$58,Valores!$F$58,Valores!$D$58*'Escala Docente'!D282)</f>
        <v>608.31000000000006</v>
      </c>
      <c r="AH282" s="75">
        <f>IF(Valores!$D$60*D282&gt;Valores!$F$60,Valores!$F$60,Valores!$D$60*D282)</f>
        <v>173.88000000000002</v>
      </c>
      <c r="AI282" s="114">
        <f t="shared" si="57"/>
        <v>29657.019500000002</v>
      </c>
      <c r="AJ282" s="101">
        <f>IF(Valores!$C$36*D282&gt;Valores!$F$36,Valores!$F$36,Valores!$C$36*D282)</f>
        <v>1199.3400000000001</v>
      </c>
      <c r="AK282" s="78">
        <f>IF(Valores!$C$11*D282&gt;Valores!$F$11,Valores!$F$11,Valores!$C$11*D282)</f>
        <v>0</v>
      </c>
      <c r="AL282" s="78">
        <f>IF(Valores!$C$84*D282&gt;Valores!$C$83,Valores!$C$83,Valores!$C$84*D282)</f>
        <v>2025</v>
      </c>
      <c r="AM282" s="80">
        <f>IF(Valores!$C$57*D282&gt;Valores!$F$57,Valores!$F$57,Valores!$C$57*D282)</f>
        <v>254.88</v>
      </c>
      <c r="AN282" s="82">
        <f t="shared" si="58"/>
        <v>3224.34</v>
      </c>
      <c r="AO282" s="61">
        <f>AI282*-Valores!$C$65</f>
        <v>-3855.4125350000004</v>
      </c>
      <c r="AP282" s="61">
        <f>AI282*-Valores!$C$66</f>
        <v>-148.28509750000001</v>
      </c>
      <c r="AQ282" s="77">
        <f>AI282*-Valores!$C$67</f>
        <v>-1334.5658774999999</v>
      </c>
      <c r="AR282" s="77">
        <f>AI282*-Valores!$C$68</f>
        <v>-800.73952650000001</v>
      </c>
      <c r="AS282" s="77">
        <f>AI282*-Valores!$C$69</f>
        <v>-88.971058500000012</v>
      </c>
      <c r="AT282" s="81">
        <f t="shared" si="54"/>
        <v>27543.095990000005</v>
      </c>
      <c r="AU282" s="81">
        <f t="shared" si="55"/>
        <v>27987.951282500006</v>
      </c>
      <c r="AV282" s="77">
        <f>AI282*Valores!$C$71</f>
        <v>4745.1231200000002</v>
      </c>
      <c r="AW282" s="77">
        <f>AI282*Valores!$C$72</f>
        <v>1334.5658774999999</v>
      </c>
      <c r="AX282" s="77">
        <f>AI282*Valores!$C$73</f>
        <v>296.57019500000001</v>
      </c>
      <c r="AY282" s="77">
        <f>AI282*Valores!$C$75</f>
        <v>1037.9956825000002</v>
      </c>
      <c r="AZ282" s="77">
        <f>AI282*Valores!$C$76</f>
        <v>177.94211700000002</v>
      </c>
      <c r="BA282" s="77">
        <f t="shared" si="59"/>
        <v>1601.479053</v>
      </c>
      <c r="BB282" s="51"/>
      <c r="BC282" s="51">
        <f t="shared" si="49"/>
        <v>108</v>
      </c>
      <c r="BD282" s="27" t="s">
        <v>4</v>
      </c>
    </row>
    <row r="283" spans="1:56" s="27" customFormat="1" ht="11.25" customHeight="1" x14ac:dyDescent="0.2">
      <c r="A283" s="51">
        <v>282</v>
      </c>
      <c r="B283" s="51"/>
      <c r="C283" s="27" t="s">
        <v>522</v>
      </c>
      <c r="D283" s="27">
        <v>28</v>
      </c>
      <c r="E283" s="27">
        <f t="shared" si="51"/>
        <v>34</v>
      </c>
      <c r="F283" s="71" t="str">
        <f>CONCATENATE("Hora Cátedra Enseñanza Media ",D283," hs")</f>
        <v>Hora Cátedra Enseñanza Media 28 hs</v>
      </c>
      <c r="G283" s="72">
        <f t="shared" si="50"/>
        <v>2212</v>
      </c>
      <c r="H283" s="73">
        <f>INT((G283*Valores!$C$2*100))/100</f>
        <v>15214.57</v>
      </c>
      <c r="I283" s="112">
        <v>0</v>
      </c>
      <c r="J283" s="75">
        <f>INT((I283*Valores!$C$2*100)+0.5)/100</f>
        <v>0</v>
      </c>
      <c r="K283" s="102">
        <v>0</v>
      </c>
      <c r="L283" s="75">
        <f>INT((K283*Valores!$C$2*100)+0.5)/100</f>
        <v>0</v>
      </c>
      <c r="M283" s="100">
        <v>0</v>
      </c>
      <c r="N283" s="75">
        <f>INT((M283*Valores!$C$2*100)+0.5)/100</f>
        <v>0</v>
      </c>
      <c r="O283" s="75">
        <f t="shared" si="52"/>
        <v>2750.8634999999999</v>
      </c>
      <c r="P283" s="75">
        <f t="shared" si="53"/>
        <v>0</v>
      </c>
      <c r="Q283" s="101">
        <f>Valores!$C$14*D283</f>
        <v>4651.6399999999994</v>
      </c>
      <c r="R283" s="101">
        <f>IF(D283&lt;15,(Valores!$E$4*D283),Valores!$D$4)</f>
        <v>3076.62</v>
      </c>
      <c r="S283" s="75">
        <v>0</v>
      </c>
      <c r="T283" s="78">
        <f>IF(Valores!$C$45*D283&gt;Valores!$C$43,Valores!$C$43,Valores!$C$45*D283)</f>
        <v>1484.28</v>
      </c>
      <c r="U283" s="101">
        <f>Valores!$C$22*D283</f>
        <v>1640.24</v>
      </c>
      <c r="V283" s="75">
        <f t="shared" si="48"/>
        <v>1640.24</v>
      </c>
      <c r="W283" s="75">
        <v>0</v>
      </c>
      <c r="X283" s="75">
        <v>0</v>
      </c>
      <c r="Y283" s="118">
        <v>0</v>
      </c>
      <c r="Z283" s="75">
        <f>Y283*Valores!$C$2</f>
        <v>0</v>
      </c>
      <c r="AA283" s="75">
        <v>0</v>
      </c>
      <c r="AB283" s="80">
        <f>IF((Valores!$C$32)*D283&gt;Valores!$F$32,Valores!$F$32,(Valores!$C$32)*D283)</f>
        <v>186.48000000000002</v>
      </c>
      <c r="AC283" s="75">
        <f t="shared" si="56"/>
        <v>0</v>
      </c>
      <c r="AD283" s="75">
        <f>IF(Valores!$C$33*D283&gt;Valores!$F$33,Valores!$F$33,Valores!$C$33*D283)</f>
        <v>155.12</v>
      </c>
      <c r="AE283" s="79">
        <v>0</v>
      </c>
      <c r="AF283" s="75">
        <f>INT(((AE283*Valores!$C$2)*100)+0.5)/100</f>
        <v>0</v>
      </c>
      <c r="AG283" s="75">
        <f>IF(Valores!$D$58*'Escala Docente'!D283&gt;Valores!$F$58,Valores!$F$58,Valores!$D$58*'Escala Docente'!D283)</f>
        <v>630.84</v>
      </c>
      <c r="AH283" s="75">
        <f>IF(Valores!$D$60*D283&gt;Valores!$F$60,Valores!$F$60,Valores!$D$60*D283)</f>
        <v>180.32000000000002</v>
      </c>
      <c r="AI283" s="114">
        <f t="shared" si="57"/>
        <v>29970.973499999996</v>
      </c>
      <c r="AJ283" s="101">
        <f>IF(Valores!$C$36*D283&gt;Valores!$F$36,Valores!$F$36,Valores!$C$36*D283)</f>
        <v>1243.76</v>
      </c>
      <c r="AK283" s="78">
        <f>IF(Valores!$C$11*D283&gt;Valores!$F$11,Valores!$F$11,Valores!$C$11*D283)</f>
        <v>0</v>
      </c>
      <c r="AL283" s="78">
        <f>IF(Valores!$C$84*D283&gt;Valores!$C$83,Valores!$C$83,Valores!$C$84*D283)</f>
        <v>2100</v>
      </c>
      <c r="AM283" s="80">
        <f>IF(Valores!$C$57*D283&gt;Valores!$F$57,Valores!$F$57,Valores!$C$57*D283)</f>
        <v>264.32</v>
      </c>
      <c r="AN283" s="82">
        <f t="shared" si="58"/>
        <v>3343.76</v>
      </c>
      <c r="AO283" s="61">
        <f>AI283*-Valores!$C$65</f>
        <v>-3896.2265549999997</v>
      </c>
      <c r="AP283" s="61">
        <f>AI283*-Valores!$C$66</f>
        <v>-149.85486749999998</v>
      </c>
      <c r="AQ283" s="77">
        <f>AI283*-Valores!$C$67</f>
        <v>-1348.6938074999998</v>
      </c>
      <c r="AR283" s="77">
        <f>AI283*-Valores!$C$68</f>
        <v>-809.21628449999992</v>
      </c>
      <c r="AS283" s="77">
        <f>AI283*-Valores!$C$69</f>
        <v>-89.912920499999984</v>
      </c>
      <c r="AT283" s="81">
        <f t="shared" si="54"/>
        <v>27919.958269999996</v>
      </c>
      <c r="AU283" s="81">
        <f t="shared" si="55"/>
        <v>28369.522872499998</v>
      </c>
      <c r="AV283" s="77">
        <f>AI283*Valores!$C$71</f>
        <v>4795.3557599999995</v>
      </c>
      <c r="AW283" s="77">
        <f>AI283*Valores!$C$72</f>
        <v>1348.6938074999998</v>
      </c>
      <c r="AX283" s="77">
        <f>AI283*Valores!$C$73</f>
        <v>299.70973499999997</v>
      </c>
      <c r="AY283" s="77">
        <f>AI283*Valores!$C$75</f>
        <v>1048.9840724999999</v>
      </c>
      <c r="AZ283" s="77">
        <f>AI283*Valores!$C$76</f>
        <v>179.82584099999997</v>
      </c>
      <c r="BA283" s="77">
        <f t="shared" si="59"/>
        <v>1618.4325689999998</v>
      </c>
      <c r="BB283" s="51"/>
      <c r="BC283" s="51">
        <f t="shared" si="49"/>
        <v>112</v>
      </c>
      <c r="BD283" s="27" t="s">
        <v>4</v>
      </c>
    </row>
    <row r="284" spans="1:56" s="27" customFormat="1" ht="11.25" customHeight="1" x14ac:dyDescent="0.2">
      <c r="A284" s="51">
        <v>283</v>
      </c>
      <c r="B284" s="51"/>
      <c r="C284" s="27" t="s">
        <v>522</v>
      </c>
      <c r="D284" s="27">
        <v>28</v>
      </c>
      <c r="E284" s="27">
        <f t="shared" si="51"/>
        <v>42</v>
      </c>
      <c r="F284" s="71" t="str">
        <f>CONCATENATE("Hora Cátedra Enseñanza Media ",D284," hs Esc Esp")</f>
        <v>Hora Cátedra Enseñanza Media 28 hs Esc Esp</v>
      </c>
      <c r="G284" s="72">
        <f t="shared" si="50"/>
        <v>2212</v>
      </c>
      <c r="H284" s="73">
        <f>INT((G284*Valores!$C$2*100))/100</f>
        <v>15214.57</v>
      </c>
      <c r="I284" s="112">
        <v>0</v>
      </c>
      <c r="J284" s="75">
        <f>INT((I284*Valores!$C$2*100)+0.5)/100</f>
        <v>0</v>
      </c>
      <c r="K284" s="102">
        <v>0</v>
      </c>
      <c r="L284" s="75">
        <f>INT((K284*Valores!$C$2*100)+0.5)/100</f>
        <v>0</v>
      </c>
      <c r="M284" s="100">
        <v>0</v>
      </c>
      <c r="N284" s="75">
        <f>INT((M284*Valores!$C$2*100)+0.5)/100</f>
        <v>0</v>
      </c>
      <c r="O284" s="75">
        <f t="shared" si="52"/>
        <v>2750.8634999999999</v>
      </c>
      <c r="P284" s="75">
        <f t="shared" si="53"/>
        <v>0</v>
      </c>
      <c r="Q284" s="101">
        <f>Valores!$C$14*D284</f>
        <v>4651.6399999999994</v>
      </c>
      <c r="R284" s="101">
        <f>IF(D284&lt;15,(Valores!$E$4*D284),Valores!$D$4)</f>
        <v>3076.62</v>
      </c>
      <c r="S284" s="75">
        <v>0</v>
      </c>
      <c r="T284" s="78">
        <f>IF(Valores!$C$45*D284&gt;Valores!$C$43,Valores!$C$43,Valores!$C$45*D284)</f>
        <v>1484.28</v>
      </c>
      <c r="U284" s="101">
        <f>Valores!$C$22*D284</f>
        <v>1640.24</v>
      </c>
      <c r="V284" s="75">
        <f t="shared" si="48"/>
        <v>1640.24</v>
      </c>
      <c r="W284" s="75">
        <v>0</v>
      </c>
      <c r="X284" s="75">
        <v>0</v>
      </c>
      <c r="Y284" s="118">
        <v>0</v>
      </c>
      <c r="Z284" s="75">
        <f>Y284*Valores!$C$2</f>
        <v>0</v>
      </c>
      <c r="AA284" s="75">
        <v>0</v>
      </c>
      <c r="AB284" s="80">
        <f>IF((Valores!$C$32)*D284&gt;Valores!$F$32,Valores!$F$32,(Valores!$C$32)*D284)</f>
        <v>186.48000000000002</v>
      </c>
      <c r="AC284" s="75">
        <f t="shared" si="56"/>
        <v>0</v>
      </c>
      <c r="AD284" s="75">
        <f>IF(Valores!$C$33*D284&gt;Valores!$F$33,Valores!$F$33,Valores!$C$33*D284)</f>
        <v>155.12</v>
      </c>
      <c r="AE284" s="79">
        <v>94</v>
      </c>
      <c r="AF284" s="75">
        <f>INT(((AE284*Valores!$C$2)*100)+0.5)/100</f>
        <v>646.54999999999995</v>
      </c>
      <c r="AG284" s="75">
        <f>IF(Valores!$D$58*'Escala Docente'!D284&gt;Valores!$F$58,Valores!$F$58,Valores!$D$58*'Escala Docente'!D284)</f>
        <v>630.84</v>
      </c>
      <c r="AH284" s="75">
        <f>IF(Valores!$D$60*D284&gt;Valores!$F$60,Valores!$F$60,Valores!$D$60*D284)</f>
        <v>180.32000000000002</v>
      </c>
      <c r="AI284" s="114">
        <f t="shared" si="57"/>
        <v>30617.523499999996</v>
      </c>
      <c r="AJ284" s="101">
        <f>IF(Valores!$C$36*D284&gt;Valores!$F$36,Valores!$F$36,Valores!$C$36*D284)</f>
        <v>1243.76</v>
      </c>
      <c r="AK284" s="78">
        <f>IF(Valores!$C$11*D284&gt;Valores!$F$11,Valores!$F$11,Valores!$C$11*D284)</f>
        <v>0</v>
      </c>
      <c r="AL284" s="78">
        <f>IF(Valores!$C$84*D284&gt;Valores!$C$83,Valores!$C$83,Valores!$C$84*D284)</f>
        <v>2100</v>
      </c>
      <c r="AM284" s="80">
        <f>IF(Valores!$C$57*D284&gt;Valores!$F$57,Valores!$F$57,Valores!$C$57*D284)</f>
        <v>264.32</v>
      </c>
      <c r="AN284" s="82">
        <f t="shared" si="58"/>
        <v>3343.76</v>
      </c>
      <c r="AO284" s="61">
        <f>AI284*-Valores!$C$65</f>
        <v>-3980.2780549999998</v>
      </c>
      <c r="AP284" s="61">
        <f>AI284*-Valores!$C$66</f>
        <v>-153.08761749999999</v>
      </c>
      <c r="AQ284" s="77">
        <f>AI284*-Valores!$C$67</f>
        <v>-1377.7885574999998</v>
      </c>
      <c r="AR284" s="77">
        <f>AI284*-Valores!$C$68</f>
        <v>-826.67313449999983</v>
      </c>
      <c r="AS284" s="77">
        <f>AI284*-Valores!$C$69</f>
        <v>-91.852570499999985</v>
      </c>
      <c r="AT284" s="81">
        <f t="shared" si="54"/>
        <v>28450.129269999998</v>
      </c>
      <c r="AU284" s="81">
        <f t="shared" si="55"/>
        <v>28909.392122499998</v>
      </c>
      <c r="AV284" s="77">
        <f>AI284*Valores!$C$71</f>
        <v>4898.8037599999998</v>
      </c>
      <c r="AW284" s="77">
        <f>AI284*Valores!$C$72</f>
        <v>1377.7885574999998</v>
      </c>
      <c r="AX284" s="77">
        <f>AI284*Valores!$C$73</f>
        <v>306.17523499999999</v>
      </c>
      <c r="AY284" s="77">
        <f>AI284*Valores!$C$75</f>
        <v>1071.6133224999999</v>
      </c>
      <c r="AZ284" s="77">
        <f>AI284*Valores!$C$76</f>
        <v>183.70514099999997</v>
      </c>
      <c r="BA284" s="77">
        <f t="shared" si="59"/>
        <v>1653.3462689999997</v>
      </c>
      <c r="BB284" s="51"/>
      <c r="BC284" s="85">
        <f t="shared" si="49"/>
        <v>112</v>
      </c>
      <c r="BD284" s="27" t="s">
        <v>4</v>
      </c>
    </row>
    <row r="285" spans="1:56" s="27" customFormat="1" ht="11.25" customHeight="1" x14ac:dyDescent="0.2">
      <c r="A285" s="51">
        <v>284</v>
      </c>
      <c r="B285" s="51"/>
      <c r="C285" s="27" t="s">
        <v>522</v>
      </c>
      <c r="D285" s="27">
        <v>29</v>
      </c>
      <c r="E285" s="27">
        <f t="shared" si="51"/>
        <v>34</v>
      </c>
      <c r="F285" s="71" t="str">
        <f>CONCATENATE("Hora Cátedra Enseñanza Media ",D285," hs")</f>
        <v>Hora Cátedra Enseñanza Media 29 hs</v>
      </c>
      <c r="G285" s="72">
        <f t="shared" si="50"/>
        <v>2291</v>
      </c>
      <c r="H285" s="73">
        <f>INT((G285*Valores!$C$2*100))/100</f>
        <v>15757.95</v>
      </c>
      <c r="I285" s="112">
        <v>0</v>
      </c>
      <c r="J285" s="75">
        <f>INT((I285*Valores!$C$2*100)+0.5)/100</f>
        <v>0</v>
      </c>
      <c r="K285" s="102">
        <v>0</v>
      </c>
      <c r="L285" s="75">
        <f>INT((K285*Valores!$C$2*100)+0.5)/100</f>
        <v>0</v>
      </c>
      <c r="M285" s="100">
        <v>0</v>
      </c>
      <c r="N285" s="75">
        <f>INT((M285*Valores!$C$2*100)+0.5)/100</f>
        <v>0</v>
      </c>
      <c r="O285" s="75">
        <f t="shared" si="52"/>
        <v>2849.1089999999999</v>
      </c>
      <c r="P285" s="75">
        <f t="shared" si="53"/>
        <v>0</v>
      </c>
      <c r="Q285" s="101">
        <f>Valores!$C$14*D285</f>
        <v>4817.7699999999995</v>
      </c>
      <c r="R285" s="101">
        <f>IF(D285&lt;15,(Valores!$E$4*D285),Valores!$D$4)</f>
        <v>3076.62</v>
      </c>
      <c r="S285" s="75">
        <v>0</v>
      </c>
      <c r="T285" s="78">
        <f>IF(Valores!$C$45*D285&gt;Valores!$C$43,Valores!$C$43,Valores!$C$45*D285)</f>
        <v>1537.29</v>
      </c>
      <c r="U285" s="101">
        <f>Valores!$C$22*D285</f>
        <v>1698.82</v>
      </c>
      <c r="V285" s="75">
        <f t="shared" si="48"/>
        <v>1698.82</v>
      </c>
      <c r="W285" s="75">
        <v>0</v>
      </c>
      <c r="X285" s="75">
        <v>0</v>
      </c>
      <c r="Y285" s="118">
        <v>0</v>
      </c>
      <c r="Z285" s="75">
        <f>Y285*Valores!$C$2</f>
        <v>0</v>
      </c>
      <c r="AA285" s="75">
        <v>0</v>
      </c>
      <c r="AB285" s="80">
        <f>IF((Valores!$C$32)*D285&gt;Valores!$F$32,Valores!$F$32,(Valores!$C$32)*D285)</f>
        <v>193.14000000000001</v>
      </c>
      <c r="AC285" s="75">
        <f t="shared" si="56"/>
        <v>0</v>
      </c>
      <c r="AD285" s="75">
        <f>IF(Valores!$C$33*D285&gt;Valores!$F$33,Valores!$F$33,Valores!$C$33*D285)</f>
        <v>160.66</v>
      </c>
      <c r="AE285" s="79">
        <v>0</v>
      </c>
      <c r="AF285" s="75">
        <f>INT(((AE285*Valores!$C$2)*100)+0.5)/100</f>
        <v>0</v>
      </c>
      <c r="AG285" s="75">
        <f>IF(Valores!$D$58*'Escala Docente'!D285&gt;Valores!$F$58,Valores!$F$58,Valores!$D$58*'Escala Docente'!D285)</f>
        <v>653.37</v>
      </c>
      <c r="AH285" s="75">
        <f>IF(Valores!$D$60*D285&gt;Valores!$F$60,Valores!$F$60,Valores!$D$60*D285)</f>
        <v>186.76000000000002</v>
      </c>
      <c r="AI285" s="114">
        <f t="shared" si="57"/>
        <v>30931.488999999998</v>
      </c>
      <c r="AJ285" s="101">
        <f>IF(Valores!$C$36*D285&gt;Valores!$F$36,Valores!$F$36,Valores!$C$36*D285)</f>
        <v>1288.18</v>
      </c>
      <c r="AK285" s="78">
        <f>IF(Valores!$C$11*D285&gt;Valores!$F$11,Valores!$F$11,Valores!$C$11*D285)</f>
        <v>0</v>
      </c>
      <c r="AL285" s="78">
        <f>IF(Valores!$C$84*D285&gt;Valores!$C$83,Valores!$C$83,Valores!$C$84*D285)</f>
        <v>2175</v>
      </c>
      <c r="AM285" s="80">
        <f>IF(Valores!$C$57*D285&gt;Valores!$F$57,Valores!$F$57,Valores!$C$57*D285)</f>
        <v>273.76</v>
      </c>
      <c r="AN285" s="82">
        <f t="shared" si="58"/>
        <v>3463.1800000000003</v>
      </c>
      <c r="AO285" s="61">
        <f>AI285*-Valores!$C$65</f>
        <v>-4021.09357</v>
      </c>
      <c r="AP285" s="61">
        <f>AI285*-Valores!$C$66</f>
        <v>-154.657445</v>
      </c>
      <c r="AQ285" s="77">
        <f>AI285*-Valores!$C$67</f>
        <v>-1391.9170049999998</v>
      </c>
      <c r="AR285" s="77">
        <f>AI285*-Valores!$C$68</f>
        <v>-835.15020299999992</v>
      </c>
      <c r="AS285" s="77">
        <f>AI285*-Valores!$C$69</f>
        <v>-92.794466999999997</v>
      </c>
      <c r="AT285" s="81">
        <f t="shared" si="54"/>
        <v>28827.000979999993</v>
      </c>
      <c r="AU285" s="81">
        <f t="shared" si="55"/>
        <v>29290.973314999999</v>
      </c>
      <c r="AV285" s="77">
        <f>AI285*Valores!$C$71</f>
        <v>4949.0382399999999</v>
      </c>
      <c r="AW285" s="77">
        <f>AI285*Valores!$C$72</f>
        <v>1391.9170049999998</v>
      </c>
      <c r="AX285" s="77">
        <f>AI285*Valores!$C$73</f>
        <v>309.31488999999999</v>
      </c>
      <c r="AY285" s="77">
        <f>AI285*Valores!$C$75</f>
        <v>1082.6021149999999</v>
      </c>
      <c r="AZ285" s="77">
        <f>AI285*Valores!$C$76</f>
        <v>185.58893399999999</v>
      </c>
      <c r="BA285" s="77">
        <f t="shared" si="59"/>
        <v>1670.3004060000001</v>
      </c>
      <c r="BB285" s="51"/>
      <c r="BC285" s="51">
        <f t="shared" si="49"/>
        <v>116</v>
      </c>
      <c r="BD285" s="27" t="s">
        <v>8</v>
      </c>
    </row>
    <row r="286" spans="1:56" s="27" customFormat="1" ht="11.25" customHeight="1" x14ac:dyDescent="0.2">
      <c r="A286" s="85">
        <v>285</v>
      </c>
      <c r="B286" s="85" t="s">
        <v>163</v>
      </c>
      <c r="C286" s="86" t="s">
        <v>522</v>
      </c>
      <c r="D286" s="86">
        <v>29</v>
      </c>
      <c r="E286" s="86">
        <f t="shared" si="51"/>
        <v>42</v>
      </c>
      <c r="F286" s="87" t="str">
        <f>CONCATENATE("Hora Cátedra Enseñanza Media ",D286," hs Esc Esp")</f>
        <v>Hora Cátedra Enseñanza Media 29 hs Esc Esp</v>
      </c>
      <c r="G286" s="88">
        <f t="shared" si="50"/>
        <v>2291</v>
      </c>
      <c r="H286" s="89">
        <f>INT((G286*Valores!$C$2*100))/100</f>
        <v>15757.95</v>
      </c>
      <c r="I286" s="103">
        <v>0</v>
      </c>
      <c r="J286" s="91">
        <f>INT((I286*Valores!$C$2*100)+0.5)/100</f>
        <v>0</v>
      </c>
      <c r="K286" s="104">
        <v>0</v>
      </c>
      <c r="L286" s="91">
        <f>INT((K286*Valores!$C$2*100)+0.5)/100</f>
        <v>0</v>
      </c>
      <c r="M286" s="105">
        <v>0</v>
      </c>
      <c r="N286" s="91">
        <f>INT((M286*Valores!$C$2*100)+0.5)/100</f>
        <v>0</v>
      </c>
      <c r="O286" s="91">
        <f t="shared" si="52"/>
        <v>2849.1089999999999</v>
      </c>
      <c r="P286" s="91">
        <f t="shared" si="53"/>
        <v>0</v>
      </c>
      <c r="Q286" s="107">
        <f>Valores!$C$14*D286</f>
        <v>4817.7699999999995</v>
      </c>
      <c r="R286" s="107">
        <f>IF(D286&lt;15,(Valores!$E$4*D286),Valores!$D$4)</f>
        <v>3076.62</v>
      </c>
      <c r="S286" s="91">
        <v>0</v>
      </c>
      <c r="T286" s="94">
        <f>IF(Valores!$C$45*D286&gt;Valores!$C$43,Valores!$C$43,Valores!$C$45*D286)</f>
        <v>1537.29</v>
      </c>
      <c r="U286" s="107">
        <f>Valores!$C$22*D286</f>
        <v>1698.82</v>
      </c>
      <c r="V286" s="91">
        <f t="shared" si="48"/>
        <v>1698.82</v>
      </c>
      <c r="W286" s="91">
        <v>0</v>
      </c>
      <c r="X286" s="91">
        <v>0</v>
      </c>
      <c r="Y286" s="119">
        <v>0</v>
      </c>
      <c r="Z286" s="91">
        <f>Y286*Valores!$C$2</f>
        <v>0</v>
      </c>
      <c r="AA286" s="91">
        <v>0</v>
      </c>
      <c r="AB286" s="96">
        <f>IF((Valores!$C$32)*D286&gt;Valores!$F$32,Valores!$F$32,(Valores!$C$32)*D286)</f>
        <v>193.14000000000001</v>
      </c>
      <c r="AC286" s="91">
        <f t="shared" si="56"/>
        <v>0</v>
      </c>
      <c r="AD286" s="91">
        <f>IF(Valores!$C$33*D286&gt;Valores!$F$33,Valores!$F$33,Valores!$C$33*D286)</f>
        <v>160.66</v>
      </c>
      <c r="AE286" s="95">
        <v>94</v>
      </c>
      <c r="AF286" s="91">
        <f>INT(((AE286*Valores!$C$2)*100)+0.5)/100</f>
        <v>646.54999999999995</v>
      </c>
      <c r="AG286" s="91">
        <f>IF(Valores!$D$58*'Escala Docente'!D286&gt;Valores!$F$58,Valores!$F$58,Valores!$D$58*'Escala Docente'!D286)</f>
        <v>653.37</v>
      </c>
      <c r="AH286" s="91">
        <f>IF(Valores!$D$60*D286&gt;Valores!$F$60,Valores!$F$60,Valores!$D$60*D286)</f>
        <v>186.76000000000002</v>
      </c>
      <c r="AI286" s="115">
        <f t="shared" si="57"/>
        <v>31578.038999999997</v>
      </c>
      <c r="AJ286" s="107">
        <f>IF(Valores!$C$36*D286&gt;Valores!$F$36,Valores!$F$36,Valores!$C$36*D286)</f>
        <v>1288.18</v>
      </c>
      <c r="AK286" s="94">
        <f>IF(Valores!$C$11*D286&gt;Valores!$F$11,Valores!$F$11,Valores!$C$11*D286)</f>
        <v>0</v>
      </c>
      <c r="AL286" s="94">
        <f>IF(Valores!$C$84*D286&gt;Valores!$C$83,Valores!$C$83,Valores!$C$84*D286)</f>
        <v>2175</v>
      </c>
      <c r="AM286" s="96">
        <f>IF(Valores!$C$57*D286&gt;Valores!$F$57,Valores!$F$57,Valores!$C$57*D286)</f>
        <v>273.76</v>
      </c>
      <c r="AN286" s="98">
        <f t="shared" si="58"/>
        <v>3463.1800000000003</v>
      </c>
      <c r="AO286" s="116">
        <f>AI286*-Valores!$C$65</f>
        <v>-4105.1450699999996</v>
      </c>
      <c r="AP286" s="116">
        <f>AI286*-Valores!$C$66</f>
        <v>-157.89019499999998</v>
      </c>
      <c r="AQ286" s="93">
        <f>AI286*-Valores!$C$67</f>
        <v>-1421.0117549999998</v>
      </c>
      <c r="AR286" s="93">
        <f>AI286*-Valores!$C$68</f>
        <v>-852.60705299999995</v>
      </c>
      <c r="AS286" s="93">
        <f>AI286*-Valores!$C$69</f>
        <v>-94.734116999999998</v>
      </c>
      <c r="AT286" s="97">
        <f t="shared" si="54"/>
        <v>29357.171979999999</v>
      </c>
      <c r="AU286" s="97">
        <f t="shared" si="55"/>
        <v>29830.842564999999</v>
      </c>
      <c r="AV286" s="93">
        <f>AI286*Valores!$C$71</f>
        <v>5052.4862399999993</v>
      </c>
      <c r="AW286" s="93">
        <f>AI286*Valores!$C$72</f>
        <v>1421.0117549999998</v>
      </c>
      <c r="AX286" s="93">
        <f>AI286*Valores!$C$73</f>
        <v>315.78038999999995</v>
      </c>
      <c r="AY286" s="93">
        <f>AI286*Valores!$C$75</f>
        <v>1105.2313650000001</v>
      </c>
      <c r="AZ286" s="93">
        <f>AI286*Valores!$C$76</f>
        <v>189.468234</v>
      </c>
      <c r="BA286" s="93">
        <f t="shared" si="59"/>
        <v>1705.2141060000001</v>
      </c>
      <c r="BB286" s="85"/>
      <c r="BC286" s="85">
        <f t="shared" si="49"/>
        <v>116</v>
      </c>
      <c r="BD286" s="86" t="s">
        <v>8</v>
      </c>
    </row>
    <row r="287" spans="1:56" s="27" customFormat="1" ht="11.25" customHeight="1" x14ac:dyDescent="0.2">
      <c r="A287" s="51">
        <v>286</v>
      </c>
      <c r="B287" s="51"/>
      <c r="C287" s="27" t="s">
        <v>522</v>
      </c>
      <c r="D287" s="27">
        <v>30</v>
      </c>
      <c r="E287" s="27">
        <f t="shared" si="51"/>
        <v>34</v>
      </c>
      <c r="F287" s="71" t="str">
        <f>CONCATENATE("Hora Cátedra Enseñanza Media ",D287," hs")</f>
        <v>Hora Cátedra Enseñanza Media 30 hs</v>
      </c>
      <c r="G287" s="72">
        <f t="shared" si="50"/>
        <v>2370</v>
      </c>
      <c r="H287" s="73">
        <f>INT((G287*Valores!$C$2*100))/100</f>
        <v>16301.33</v>
      </c>
      <c r="I287" s="112">
        <v>0</v>
      </c>
      <c r="J287" s="75">
        <f>INT((I287*Valores!$C$2*100)+0.5)/100</f>
        <v>0</v>
      </c>
      <c r="K287" s="102">
        <v>0</v>
      </c>
      <c r="L287" s="75">
        <f>INT((K287*Valores!$C$2*100)+0.5)/100</f>
        <v>0</v>
      </c>
      <c r="M287" s="100">
        <v>0</v>
      </c>
      <c r="N287" s="75">
        <f>INT((M287*Valores!$C$2*100)+0.5)/100</f>
        <v>0</v>
      </c>
      <c r="O287" s="75">
        <f t="shared" si="52"/>
        <v>2947.3544999999999</v>
      </c>
      <c r="P287" s="75">
        <f t="shared" si="53"/>
        <v>0</v>
      </c>
      <c r="Q287" s="101">
        <f>Valores!$C$14*D287</f>
        <v>4983.8999999999996</v>
      </c>
      <c r="R287" s="101">
        <f>IF(D287&lt;15,(Valores!$E$4*D287),Valores!$D$4)</f>
        <v>3076.62</v>
      </c>
      <c r="S287" s="75">
        <v>0</v>
      </c>
      <c r="T287" s="78">
        <f>IF(Valores!$C$45*D287&gt;Valores!$C$43,Valores!$C$43,Valores!$C$45*D287)</f>
        <v>1590.3</v>
      </c>
      <c r="U287" s="101">
        <f>Valores!$C$22*D287</f>
        <v>1757.3999999999999</v>
      </c>
      <c r="V287" s="75">
        <f t="shared" si="48"/>
        <v>1757.3999999999999</v>
      </c>
      <c r="W287" s="75">
        <v>0</v>
      </c>
      <c r="X287" s="75">
        <v>0</v>
      </c>
      <c r="Y287" s="118">
        <v>0</v>
      </c>
      <c r="Z287" s="75">
        <f>Y287*Valores!$C$2</f>
        <v>0</v>
      </c>
      <c r="AA287" s="75">
        <v>0</v>
      </c>
      <c r="AB287" s="80">
        <f>IF((Valores!$C$32)*D287&gt;Valores!$F$32,Valores!$F$32,(Valores!$C$32)*D287)</f>
        <v>199.8</v>
      </c>
      <c r="AC287" s="75">
        <f t="shared" si="56"/>
        <v>0</v>
      </c>
      <c r="AD287" s="75">
        <f>IF(Valores!$C$33*D287&gt;Valores!$F$33,Valores!$F$33,Valores!$C$33*D287)</f>
        <v>166.15</v>
      </c>
      <c r="AE287" s="79">
        <v>0</v>
      </c>
      <c r="AF287" s="75">
        <f>INT(((AE287*Valores!$C$2)*100)+0.5)/100</f>
        <v>0</v>
      </c>
      <c r="AG287" s="75">
        <f>IF(Valores!$D$58*'Escala Docente'!D287&gt;Valores!$F$58,Valores!$F$58,Valores!$D$58*'Escala Docente'!D287)</f>
        <v>675.90000000000009</v>
      </c>
      <c r="AH287" s="75">
        <f>IF(Valores!$D$60*D287&gt;Valores!$F$60,Valores!$F$60,Valores!$D$60*D287)</f>
        <v>193.12</v>
      </c>
      <c r="AI287" s="114">
        <f t="shared" si="57"/>
        <v>31891.874499999998</v>
      </c>
      <c r="AJ287" s="101">
        <f>IF(Valores!$C$36*D287&gt;Valores!$F$36,Valores!$F$36,Valores!$C$36*D287)</f>
        <v>1332.5</v>
      </c>
      <c r="AK287" s="78">
        <f>IF(Valores!$C$11*D287&gt;Valores!$F$11,Valores!$F$11,Valores!$C$11*D287)</f>
        <v>0</v>
      </c>
      <c r="AL287" s="78">
        <f>IF(Valores!$C$84*D287&gt;Valores!$C$83,Valores!$C$83,Valores!$C$84*D287)</f>
        <v>2250</v>
      </c>
      <c r="AM287" s="80">
        <f>IF(Valores!$C$57*D287&gt;Valores!$F$57,Valores!$F$57,Valores!$C$57*D287)</f>
        <v>283.2</v>
      </c>
      <c r="AN287" s="82">
        <f t="shared" si="58"/>
        <v>3582.5</v>
      </c>
      <c r="AO287" s="61">
        <f>AI287*-Valores!$C$65</f>
        <v>-4145.9436850000002</v>
      </c>
      <c r="AP287" s="61">
        <f>AI287*-Valores!$C$66</f>
        <v>-159.4593725</v>
      </c>
      <c r="AQ287" s="77">
        <f>AI287*-Valores!$C$67</f>
        <v>-1435.1343524999997</v>
      </c>
      <c r="AR287" s="77">
        <f>AI287*-Valores!$C$68</f>
        <v>-861.08061149999992</v>
      </c>
      <c r="AS287" s="77">
        <f>AI287*-Valores!$C$69</f>
        <v>-95.6756235</v>
      </c>
      <c r="AT287" s="81">
        <f t="shared" si="54"/>
        <v>29733.837090000001</v>
      </c>
      <c r="AU287" s="81">
        <f t="shared" si="55"/>
        <v>30212.215207499998</v>
      </c>
      <c r="AV287" s="77">
        <f>AI287*Valores!$C$71</f>
        <v>5102.69992</v>
      </c>
      <c r="AW287" s="77">
        <f>AI287*Valores!$C$72</f>
        <v>1435.1343524999997</v>
      </c>
      <c r="AX287" s="77">
        <f>AI287*Valores!$C$73</f>
        <v>318.918745</v>
      </c>
      <c r="AY287" s="77">
        <f>AI287*Valores!$C$75</f>
        <v>1116.2156075</v>
      </c>
      <c r="AZ287" s="77">
        <f>AI287*Valores!$C$76</f>
        <v>191.351247</v>
      </c>
      <c r="BA287" s="77">
        <f t="shared" si="59"/>
        <v>1722.1612229999998</v>
      </c>
      <c r="BB287" s="51"/>
      <c r="BC287" s="51">
        <f t="shared" si="49"/>
        <v>120</v>
      </c>
      <c r="BD287" s="27" t="s">
        <v>4</v>
      </c>
    </row>
    <row r="288" spans="1:56" s="27" customFormat="1" ht="11.25" customHeight="1" x14ac:dyDescent="0.2">
      <c r="A288" s="51">
        <v>287</v>
      </c>
      <c r="B288" s="51"/>
      <c r="C288" s="27" t="s">
        <v>522</v>
      </c>
      <c r="D288" s="27">
        <v>30</v>
      </c>
      <c r="E288" s="27">
        <f t="shared" si="51"/>
        <v>42</v>
      </c>
      <c r="F288" s="71" t="str">
        <f>CONCATENATE("Hora Cátedra Enseñanza Media ",D288," hs Esc Esp")</f>
        <v>Hora Cátedra Enseñanza Media 30 hs Esc Esp</v>
      </c>
      <c r="G288" s="72">
        <f t="shared" si="50"/>
        <v>2370</v>
      </c>
      <c r="H288" s="73">
        <f>INT((G288*Valores!$C$2*100))/100</f>
        <v>16301.33</v>
      </c>
      <c r="I288" s="112">
        <v>0</v>
      </c>
      <c r="J288" s="75">
        <f>INT((I288*Valores!$C$2*100)+0.5)/100</f>
        <v>0</v>
      </c>
      <c r="K288" s="102">
        <v>0</v>
      </c>
      <c r="L288" s="75">
        <f>INT((K288*Valores!$C$2*100)+0.5)/100</f>
        <v>0</v>
      </c>
      <c r="M288" s="100">
        <v>0</v>
      </c>
      <c r="N288" s="75">
        <f>INT((M288*Valores!$C$2*100)+0.5)/100</f>
        <v>0</v>
      </c>
      <c r="O288" s="75">
        <f t="shared" si="52"/>
        <v>2947.3544999999999</v>
      </c>
      <c r="P288" s="75">
        <f t="shared" si="53"/>
        <v>0</v>
      </c>
      <c r="Q288" s="101">
        <f>Valores!$C$14*D288</f>
        <v>4983.8999999999996</v>
      </c>
      <c r="R288" s="101">
        <f>IF(D288&lt;15,(Valores!$E$4*D288),Valores!$D$4)</f>
        <v>3076.62</v>
      </c>
      <c r="S288" s="75">
        <v>0</v>
      </c>
      <c r="T288" s="78">
        <f>IF(Valores!$C$45*D288&gt;Valores!$C$43,Valores!$C$43,Valores!$C$45*D288)</f>
        <v>1590.3</v>
      </c>
      <c r="U288" s="101">
        <f>Valores!$C$22*D288</f>
        <v>1757.3999999999999</v>
      </c>
      <c r="V288" s="75">
        <f t="shared" si="48"/>
        <v>1757.3999999999999</v>
      </c>
      <c r="W288" s="75">
        <v>0</v>
      </c>
      <c r="X288" s="75">
        <v>0</v>
      </c>
      <c r="Y288" s="118">
        <v>0</v>
      </c>
      <c r="Z288" s="75">
        <f>Y288*Valores!$C$2</f>
        <v>0</v>
      </c>
      <c r="AA288" s="75">
        <v>0</v>
      </c>
      <c r="AB288" s="80">
        <f>IF((Valores!$C$32)*D288&gt;Valores!$F$32,Valores!$F$32,(Valores!$C$32)*D288)</f>
        <v>199.8</v>
      </c>
      <c r="AC288" s="75">
        <f t="shared" si="56"/>
        <v>0</v>
      </c>
      <c r="AD288" s="75">
        <f>IF(Valores!$C$33*D288&gt;Valores!$F$33,Valores!$F$33,Valores!$C$33*D288)</f>
        <v>166.15</v>
      </c>
      <c r="AE288" s="79">
        <v>94</v>
      </c>
      <c r="AF288" s="75">
        <f>INT(((AE288*Valores!$C$2)*100)+0.5)/100</f>
        <v>646.54999999999995</v>
      </c>
      <c r="AG288" s="75">
        <f>IF(Valores!$D$58*'Escala Docente'!D288&gt;Valores!$F$58,Valores!$F$58,Valores!$D$58*'Escala Docente'!D288)</f>
        <v>675.90000000000009</v>
      </c>
      <c r="AH288" s="75">
        <f>IF(Valores!$D$60*D288&gt;Valores!$F$60,Valores!$F$60,Valores!$D$60*D288)</f>
        <v>193.12</v>
      </c>
      <c r="AI288" s="114">
        <f t="shared" si="57"/>
        <v>32538.424499999997</v>
      </c>
      <c r="AJ288" s="101">
        <f>IF(Valores!$C$36*D288&gt;Valores!$F$36,Valores!$F$36,Valores!$C$36*D288)</f>
        <v>1332.5</v>
      </c>
      <c r="AK288" s="78">
        <f>IF(Valores!$C$11*D288&gt;Valores!$F$11,Valores!$F$11,Valores!$C$11*D288)</f>
        <v>0</v>
      </c>
      <c r="AL288" s="78">
        <f>IF(Valores!$C$84*D288&gt;Valores!$C$83,Valores!$C$83,Valores!$C$84*D288)</f>
        <v>2250</v>
      </c>
      <c r="AM288" s="80">
        <f>IF(Valores!$C$57*D288&gt;Valores!$F$57,Valores!$F$57,Valores!$C$57*D288)</f>
        <v>283.2</v>
      </c>
      <c r="AN288" s="82">
        <f t="shared" si="58"/>
        <v>3582.5</v>
      </c>
      <c r="AO288" s="61">
        <f>AI288*-Valores!$C$65</f>
        <v>-4229.9951849999998</v>
      </c>
      <c r="AP288" s="61">
        <f>AI288*-Valores!$C$66</f>
        <v>-162.69212249999998</v>
      </c>
      <c r="AQ288" s="77">
        <f>AI288*-Valores!$C$67</f>
        <v>-1464.2291024999997</v>
      </c>
      <c r="AR288" s="77">
        <f>AI288*-Valores!$C$68</f>
        <v>-878.53746149999995</v>
      </c>
      <c r="AS288" s="77">
        <f>AI288*-Valores!$C$69</f>
        <v>-97.615273500000001</v>
      </c>
      <c r="AT288" s="81">
        <f t="shared" si="54"/>
        <v>30264.008089999996</v>
      </c>
      <c r="AU288" s="81">
        <f t="shared" si="55"/>
        <v>30752.084457500001</v>
      </c>
      <c r="AV288" s="77">
        <f>AI288*Valores!$C$71</f>
        <v>5206.1479199999994</v>
      </c>
      <c r="AW288" s="77">
        <f>AI288*Valores!$C$72</f>
        <v>1464.2291024999997</v>
      </c>
      <c r="AX288" s="77">
        <f>AI288*Valores!$C$73</f>
        <v>325.38424499999996</v>
      </c>
      <c r="AY288" s="77">
        <f>AI288*Valores!$C$75</f>
        <v>1138.8448575</v>
      </c>
      <c r="AZ288" s="77">
        <f>AI288*Valores!$C$76</f>
        <v>195.230547</v>
      </c>
      <c r="BA288" s="77">
        <f t="shared" si="59"/>
        <v>1757.0749229999999</v>
      </c>
      <c r="BB288" s="51"/>
      <c r="BC288" s="51">
        <f t="shared" si="49"/>
        <v>120</v>
      </c>
      <c r="BD288" s="27" t="s">
        <v>4</v>
      </c>
    </row>
    <row r="289" spans="1:56" s="27" customFormat="1" ht="11.25" customHeight="1" x14ac:dyDescent="0.2">
      <c r="A289" s="51">
        <v>288</v>
      </c>
      <c r="B289" s="51"/>
      <c r="C289" s="27" t="s">
        <v>522</v>
      </c>
      <c r="D289" s="27">
        <v>31</v>
      </c>
      <c r="E289" s="27">
        <f t="shared" si="51"/>
        <v>34</v>
      </c>
      <c r="F289" s="71" t="str">
        <f>CONCATENATE("Hora Cátedra Enseñanza Media ",D289," hs")</f>
        <v>Hora Cátedra Enseñanza Media 31 hs</v>
      </c>
      <c r="G289" s="72">
        <f t="shared" si="50"/>
        <v>2449</v>
      </c>
      <c r="H289" s="73">
        <f>INT((G289*Valores!$C$2*100))/100</f>
        <v>16844.71</v>
      </c>
      <c r="I289" s="112">
        <v>0</v>
      </c>
      <c r="J289" s="75">
        <f>INT((I289*Valores!$C$2*100)+0.5)/100</f>
        <v>0</v>
      </c>
      <c r="K289" s="102">
        <v>0</v>
      </c>
      <c r="L289" s="75">
        <f>INT((K289*Valores!$C$2*100)+0.5)/100</f>
        <v>0</v>
      </c>
      <c r="M289" s="100">
        <v>0</v>
      </c>
      <c r="N289" s="75">
        <f>INT((M289*Valores!$C$2*100)+0.5)/100</f>
        <v>0</v>
      </c>
      <c r="O289" s="75">
        <f t="shared" si="52"/>
        <v>3045.6</v>
      </c>
      <c r="P289" s="75">
        <f t="shared" si="53"/>
        <v>0</v>
      </c>
      <c r="Q289" s="101">
        <f>Valores!$C$14*D289</f>
        <v>5150.03</v>
      </c>
      <c r="R289" s="101">
        <f>IF(D289&lt;15,(Valores!$E$4*D289),Valores!$D$4)</f>
        <v>3076.62</v>
      </c>
      <c r="S289" s="75">
        <v>0</v>
      </c>
      <c r="T289" s="78">
        <f>IF(Valores!$C$45*D289&gt;Valores!$C$43,Valores!$C$43,Valores!$C$45*D289)</f>
        <v>1643.31</v>
      </c>
      <c r="U289" s="101">
        <f>Valores!$C$22*D289</f>
        <v>1815.98</v>
      </c>
      <c r="V289" s="75">
        <f t="shared" si="48"/>
        <v>1815.98</v>
      </c>
      <c r="W289" s="75">
        <v>0</v>
      </c>
      <c r="X289" s="75">
        <v>0</v>
      </c>
      <c r="Y289" s="118">
        <v>0</v>
      </c>
      <c r="Z289" s="75">
        <f>Y289*Valores!$C$2</f>
        <v>0</v>
      </c>
      <c r="AA289" s="75">
        <v>0</v>
      </c>
      <c r="AB289" s="80">
        <f>IF((Valores!$C$32)*D289&gt;Valores!$F$32,Valores!$F$32,(Valores!$C$32)*D289)</f>
        <v>206.46</v>
      </c>
      <c r="AC289" s="75">
        <f t="shared" si="56"/>
        <v>0</v>
      </c>
      <c r="AD289" s="75">
        <f>IF(Valores!$C$33*D289&gt;Valores!$F$33,Valores!$F$33,Valores!$C$33*D289)</f>
        <v>166.15</v>
      </c>
      <c r="AE289" s="79">
        <v>0</v>
      </c>
      <c r="AF289" s="75">
        <f>INT(((AE289*Valores!$C$2)*100)+0.5)/100</f>
        <v>0</v>
      </c>
      <c r="AG289" s="75">
        <f>IF(Valores!$D$58*'Escala Docente'!D289&gt;Valores!$F$58,Valores!$F$58,Valores!$D$58*'Escala Docente'!D289)</f>
        <v>675.94</v>
      </c>
      <c r="AH289" s="75">
        <f>IF(Valores!$D$60*D289&gt;Valores!$F$60,Valores!$F$60,Valores!$D$60*D289)</f>
        <v>193.12</v>
      </c>
      <c r="AI289" s="114">
        <f t="shared" si="57"/>
        <v>32817.919999999998</v>
      </c>
      <c r="AJ289" s="101">
        <f>IF(Valores!$C$36*D289&gt;Valores!$F$36,Valores!$F$36,Valores!$C$36*D289)</f>
        <v>1332.5</v>
      </c>
      <c r="AK289" s="78">
        <f>IF(Valores!$C$11*D289&gt;Valores!$F$11,Valores!$F$11,Valores!$C$11*D289)</f>
        <v>0</v>
      </c>
      <c r="AL289" s="78">
        <f>IF(Valores!$C$84*D289&gt;Valores!$C$83,Valores!$C$83,Valores!$C$84*D289)</f>
        <v>2325</v>
      </c>
      <c r="AM289" s="80">
        <f>IF(Valores!$C$57*D289&gt;Valores!$F$57,Valores!$F$57,Valores!$C$57*D289)</f>
        <v>283.24</v>
      </c>
      <c r="AN289" s="82">
        <f t="shared" si="58"/>
        <v>3657.5</v>
      </c>
      <c r="AO289" s="61">
        <f>AI289*-Valores!$C$65</f>
        <v>-4266.3296</v>
      </c>
      <c r="AP289" s="61">
        <f>AI289*-Valores!$C$66</f>
        <v>-164.08959999999999</v>
      </c>
      <c r="AQ289" s="77">
        <f>AI289*-Valores!$C$67</f>
        <v>-1476.8063999999999</v>
      </c>
      <c r="AR289" s="77">
        <f>AI289*-Valores!$C$68</f>
        <v>-886.0838399999999</v>
      </c>
      <c r="AS289" s="77">
        <f>AI289*-Valores!$C$69</f>
        <v>-98.453760000000003</v>
      </c>
      <c r="AT289" s="81">
        <f t="shared" si="54"/>
        <v>30568.194399999997</v>
      </c>
      <c r="AU289" s="81">
        <f t="shared" si="55"/>
        <v>31060.463199999998</v>
      </c>
      <c r="AV289" s="77">
        <f>AI289*Valores!$C$71</f>
        <v>5250.8671999999997</v>
      </c>
      <c r="AW289" s="77">
        <f>AI289*Valores!$C$72</f>
        <v>1476.8063999999999</v>
      </c>
      <c r="AX289" s="77">
        <f>AI289*Valores!$C$73</f>
        <v>328.17919999999998</v>
      </c>
      <c r="AY289" s="77">
        <f>AI289*Valores!$C$75</f>
        <v>1148.6272000000001</v>
      </c>
      <c r="AZ289" s="77">
        <f>AI289*Valores!$C$76</f>
        <v>196.90752000000001</v>
      </c>
      <c r="BA289" s="77">
        <f t="shared" si="59"/>
        <v>1772.16768</v>
      </c>
      <c r="BB289" s="51"/>
      <c r="BC289" s="85">
        <f t="shared" ref="BC289:BC301" si="60">4*D289</f>
        <v>124</v>
      </c>
      <c r="BD289" s="27" t="s">
        <v>8</v>
      </c>
    </row>
    <row r="290" spans="1:56" s="27" customFormat="1" ht="11.25" customHeight="1" x14ac:dyDescent="0.2">
      <c r="A290" s="51">
        <v>289</v>
      </c>
      <c r="B290" s="51"/>
      <c r="C290" s="27" t="s">
        <v>522</v>
      </c>
      <c r="D290" s="27">
        <v>31</v>
      </c>
      <c r="E290" s="27">
        <f t="shared" si="51"/>
        <v>42</v>
      </c>
      <c r="F290" s="71" t="str">
        <f>CONCATENATE("Hora Cátedra Enseñanza Media ",D290," hs Esc Esp")</f>
        <v>Hora Cátedra Enseñanza Media 31 hs Esc Esp</v>
      </c>
      <c r="G290" s="72">
        <f t="shared" si="50"/>
        <v>2449</v>
      </c>
      <c r="H290" s="73">
        <f>INT((G290*Valores!$C$2*100))/100</f>
        <v>16844.71</v>
      </c>
      <c r="I290" s="112">
        <v>0</v>
      </c>
      <c r="J290" s="75">
        <f>INT((I290*Valores!$C$2*100)+0.5)/100</f>
        <v>0</v>
      </c>
      <c r="K290" s="102">
        <v>0</v>
      </c>
      <c r="L290" s="75">
        <f>INT((K290*Valores!$C$2*100)+0.5)/100</f>
        <v>0</v>
      </c>
      <c r="M290" s="100">
        <v>0</v>
      </c>
      <c r="N290" s="75">
        <f>INT((M290*Valores!$C$2*100)+0.5)/100</f>
        <v>0</v>
      </c>
      <c r="O290" s="75">
        <f t="shared" si="52"/>
        <v>3045.6</v>
      </c>
      <c r="P290" s="75">
        <f t="shared" si="53"/>
        <v>0</v>
      </c>
      <c r="Q290" s="101">
        <f>Valores!$C$14*D290</f>
        <v>5150.03</v>
      </c>
      <c r="R290" s="101">
        <f>IF(D290&lt;15,(Valores!$E$4*D290),Valores!$D$4)</f>
        <v>3076.62</v>
      </c>
      <c r="S290" s="75">
        <v>0</v>
      </c>
      <c r="T290" s="78">
        <f>IF(Valores!$C$45*D290&gt;Valores!$C$43,Valores!$C$43,Valores!$C$45*D290)</f>
        <v>1643.31</v>
      </c>
      <c r="U290" s="101">
        <f>Valores!$C$22*D290</f>
        <v>1815.98</v>
      </c>
      <c r="V290" s="75">
        <f t="shared" si="48"/>
        <v>1815.98</v>
      </c>
      <c r="W290" s="75">
        <v>0</v>
      </c>
      <c r="X290" s="75">
        <v>0</v>
      </c>
      <c r="Y290" s="118">
        <v>0</v>
      </c>
      <c r="Z290" s="75">
        <f>Y290*Valores!$C$2</f>
        <v>0</v>
      </c>
      <c r="AA290" s="75">
        <v>0</v>
      </c>
      <c r="AB290" s="80">
        <f>IF((Valores!$C$32)*D290&gt;Valores!$F$32,Valores!$F$32,(Valores!$C$32)*D290)</f>
        <v>206.46</v>
      </c>
      <c r="AC290" s="75">
        <f t="shared" si="56"/>
        <v>0</v>
      </c>
      <c r="AD290" s="75">
        <f>IF(Valores!$C$33*D290&gt;Valores!$F$33,Valores!$F$33,Valores!$C$33*D290)</f>
        <v>166.15</v>
      </c>
      <c r="AE290" s="79">
        <v>94</v>
      </c>
      <c r="AF290" s="75">
        <f>INT(((AE290*Valores!$C$2)*100)+0.5)/100</f>
        <v>646.54999999999995</v>
      </c>
      <c r="AG290" s="75">
        <f>IF(Valores!$D$58*'Escala Docente'!D290&gt;Valores!$F$58,Valores!$F$58,Valores!$D$58*'Escala Docente'!D290)</f>
        <v>675.94</v>
      </c>
      <c r="AH290" s="75">
        <f>IF(Valores!$D$60*D290&gt;Valores!$F$60,Valores!$F$60,Valores!$D$60*D290)</f>
        <v>193.12</v>
      </c>
      <c r="AI290" s="114">
        <f t="shared" si="57"/>
        <v>33464.47</v>
      </c>
      <c r="AJ290" s="101">
        <f>IF(Valores!$C$36*D290&gt;Valores!$F$36,Valores!$F$36,Valores!$C$36*D290)</f>
        <v>1332.5</v>
      </c>
      <c r="AK290" s="78">
        <f>IF(Valores!$C$11*D290&gt;Valores!$F$11,Valores!$F$11,Valores!$C$11*D290)</f>
        <v>0</v>
      </c>
      <c r="AL290" s="78">
        <f>IF(Valores!$C$84*D290&gt;Valores!$C$83,Valores!$C$83,Valores!$C$84*D290)</f>
        <v>2325</v>
      </c>
      <c r="AM290" s="80">
        <f>IF(Valores!$C$57*D290&gt;Valores!$F$57,Valores!$F$57,Valores!$C$57*D290)</f>
        <v>283.24</v>
      </c>
      <c r="AN290" s="82">
        <f t="shared" si="58"/>
        <v>3657.5</v>
      </c>
      <c r="AO290" s="61">
        <f>AI290*-Valores!$C$65</f>
        <v>-4350.3811000000005</v>
      </c>
      <c r="AP290" s="61">
        <f>AI290*-Valores!$C$66</f>
        <v>-167.32235</v>
      </c>
      <c r="AQ290" s="77">
        <f>AI290*-Valores!$C$67</f>
        <v>-1505.9011499999999</v>
      </c>
      <c r="AR290" s="77">
        <f>AI290*-Valores!$C$68</f>
        <v>-903.54069000000004</v>
      </c>
      <c r="AS290" s="77">
        <f>AI290*-Valores!$C$69</f>
        <v>-100.39341</v>
      </c>
      <c r="AT290" s="81">
        <f t="shared" si="54"/>
        <v>31098.365400000002</v>
      </c>
      <c r="AU290" s="81">
        <f t="shared" si="55"/>
        <v>31600.332449999998</v>
      </c>
      <c r="AV290" s="77">
        <f>AI290*Valores!$C$71</f>
        <v>5354.3152</v>
      </c>
      <c r="AW290" s="77">
        <f>AI290*Valores!$C$72</f>
        <v>1505.9011499999999</v>
      </c>
      <c r="AX290" s="77">
        <f>AI290*Valores!$C$73</f>
        <v>334.6447</v>
      </c>
      <c r="AY290" s="77">
        <f>AI290*Valores!$C$75</f>
        <v>1171.2564500000001</v>
      </c>
      <c r="AZ290" s="77">
        <f>AI290*Valores!$C$76</f>
        <v>200.78682000000001</v>
      </c>
      <c r="BA290" s="77">
        <f t="shared" si="59"/>
        <v>1807.0813800000001</v>
      </c>
      <c r="BB290" s="51"/>
      <c r="BC290" s="51">
        <f t="shared" si="60"/>
        <v>124</v>
      </c>
      <c r="BD290" s="27" t="s">
        <v>8</v>
      </c>
    </row>
    <row r="291" spans="1:56" s="27" customFormat="1" ht="11.25" customHeight="1" x14ac:dyDescent="0.2">
      <c r="A291" s="85">
        <v>290</v>
      </c>
      <c r="B291" s="85" t="s">
        <v>163</v>
      </c>
      <c r="C291" s="86" t="s">
        <v>522</v>
      </c>
      <c r="D291" s="86">
        <v>32</v>
      </c>
      <c r="E291" s="86">
        <f t="shared" si="51"/>
        <v>34</v>
      </c>
      <c r="F291" s="87" t="str">
        <f>CONCATENATE("Hora Cátedra Enseñanza Media ",D291," hs")</f>
        <v>Hora Cátedra Enseñanza Media 32 hs</v>
      </c>
      <c r="G291" s="88">
        <f t="shared" si="50"/>
        <v>2528</v>
      </c>
      <c r="H291" s="89">
        <f>INT((G291*Valores!$C$2*100))/100</f>
        <v>17388.080000000002</v>
      </c>
      <c r="I291" s="103">
        <v>0</v>
      </c>
      <c r="J291" s="91">
        <f>INT((I291*Valores!$C$2*100)+0.5)/100</f>
        <v>0</v>
      </c>
      <c r="K291" s="104">
        <v>0</v>
      </c>
      <c r="L291" s="91">
        <f>INT((K291*Valores!$C$2*100)+0.5)/100</f>
        <v>0</v>
      </c>
      <c r="M291" s="105">
        <v>0</v>
      </c>
      <c r="N291" s="91">
        <f>INT((M291*Valores!$C$2*100)+0.5)/100</f>
        <v>0</v>
      </c>
      <c r="O291" s="91">
        <f t="shared" si="52"/>
        <v>3143.8440000000005</v>
      </c>
      <c r="P291" s="91">
        <f t="shared" si="53"/>
        <v>0</v>
      </c>
      <c r="Q291" s="107">
        <f>Valores!$C$14*D291</f>
        <v>5316.16</v>
      </c>
      <c r="R291" s="107">
        <f>IF(D291&lt;15,(Valores!$E$4*D291),Valores!$D$4)</f>
        <v>3076.62</v>
      </c>
      <c r="S291" s="91">
        <v>0</v>
      </c>
      <c r="T291" s="94">
        <f>IF(Valores!$C$45*D291&gt;Valores!$C$43,Valores!$C$43,Valores!$C$45*D291)</f>
        <v>1696.32</v>
      </c>
      <c r="U291" s="107">
        <f>Valores!$C$22*D291</f>
        <v>1874.56</v>
      </c>
      <c r="V291" s="91">
        <f t="shared" si="48"/>
        <v>1874.56</v>
      </c>
      <c r="W291" s="91">
        <v>0</v>
      </c>
      <c r="X291" s="91">
        <v>0</v>
      </c>
      <c r="Y291" s="119">
        <v>0</v>
      </c>
      <c r="Z291" s="91">
        <f>Y291*Valores!$C$2</f>
        <v>0</v>
      </c>
      <c r="AA291" s="91">
        <v>0</v>
      </c>
      <c r="AB291" s="96">
        <f>IF((Valores!$C$32)*D291&gt;Valores!$F$32,Valores!$F$32,(Valores!$C$32)*D291)</f>
        <v>213.12</v>
      </c>
      <c r="AC291" s="91">
        <f t="shared" si="56"/>
        <v>0</v>
      </c>
      <c r="AD291" s="91">
        <f>IF(Valores!$C$33*D291&gt;Valores!$F$33,Valores!$F$33,Valores!$C$33*D291)</f>
        <v>166.15</v>
      </c>
      <c r="AE291" s="95">
        <v>0</v>
      </c>
      <c r="AF291" s="91">
        <f>INT(((AE291*Valores!$C$2)*100)+0.5)/100</f>
        <v>0</v>
      </c>
      <c r="AG291" s="91">
        <f>IF(Valores!$D$58*'Escala Docente'!D291&gt;Valores!$F$58,Valores!$F$58,Valores!$D$58*'Escala Docente'!D291)</f>
        <v>675.94</v>
      </c>
      <c r="AH291" s="91">
        <f>IF(Valores!$D$60*D291&gt;Valores!$F$60,Valores!$F$60,Valores!$D$60*D291)</f>
        <v>193.12</v>
      </c>
      <c r="AI291" s="115">
        <f t="shared" si="57"/>
        <v>33743.914000000012</v>
      </c>
      <c r="AJ291" s="107">
        <f>IF(Valores!$C$36*D291&gt;Valores!$F$36,Valores!$F$36,Valores!$C$36*D291)</f>
        <v>1332.5</v>
      </c>
      <c r="AK291" s="94">
        <f>IF(Valores!$C$11*D291&gt;Valores!$F$11,Valores!$F$11,Valores!$C$11*D291)</f>
        <v>0</v>
      </c>
      <c r="AL291" s="94">
        <f>IF(Valores!$C$84*D291&gt;Valores!$C$83,Valores!$C$83,Valores!$C$84*D291)</f>
        <v>2400</v>
      </c>
      <c r="AM291" s="96">
        <f>IF(Valores!$C$57*D291&gt;Valores!$F$57,Valores!$F$57,Valores!$C$57*D291)</f>
        <v>283.24</v>
      </c>
      <c r="AN291" s="98">
        <f t="shared" si="58"/>
        <v>3732.5</v>
      </c>
      <c r="AO291" s="116">
        <f>AI291*-Valores!$C$65</f>
        <v>-4386.7088200000017</v>
      </c>
      <c r="AP291" s="116">
        <f>AI291*-Valores!$C$66</f>
        <v>-168.71957000000006</v>
      </c>
      <c r="AQ291" s="93">
        <f>AI291*-Valores!$C$67</f>
        <v>-1518.4761300000005</v>
      </c>
      <c r="AR291" s="93">
        <f>AI291*-Valores!$C$68</f>
        <v>-911.08567800000026</v>
      </c>
      <c r="AS291" s="93">
        <f>AI291*-Valores!$C$69</f>
        <v>-101.23174200000004</v>
      </c>
      <c r="AT291" s="97">
        <f t="shared" si="54"/>
        <v>31402.509480000008</v>
      </c>
      <c r="AU291" s="97">
        <f t="shared" si="55"/>
        <v>31908.668190000008</v>
      </c>
      <c r="AV291" s="93">
        <f>AI291*Valores!$C$71</f>
        <v>5399.026240000002</v>
      </c>
      <c r="AW291" s="93">
        <f>AI291*Valores!$C$72</f>
        <v>1518.4761300000005</v>
      </c>
      <c r="AX291" s="93">
        <f>AI291*Valores!$C$73</f>
        <v>337.43914000000012</v>
      </c>
      <c r="AY291" s="93">
        <f>AI291*Valores!$C$75</f>
        <v>1181.0369900000005</v>
      </c>
      <c r="AZ291" s="93">
        <f>AI291*Valores!$C$76</f>
        <v>202.46348400000008</v>
      </c>
      <c r="BA291" s="93">
        <f t="shared" si="59"/>
        <v>1822.1713560000007</v>
      </c>
      <c r="BB291" s="85"/>
      <c r="BC291" s="85">
        <f t="shared" si="60"/>
        <v>128</v>
      </c>
      <c r="BD291" s="86" t="s">
        <v>8</v>
      </c>
    </row>
    <row r="292" spans="1:56" s="27" customFormat="1" ht="11.25" customHeight="1" x14ac:dyDescent="0.2">
      <c r="A292" s="51">
        <v>291</v>
      </c>
      <c r="B292" s="51"/>
      <c r="C292" s="27" t="s">
        <v>522</v>
      </c>
      <c r="D292" s="27">
        <v>32</v>
      </c>
      <c r="E292" s="27">
        <f t="shared" si="51"/>
        <v>42</v>
      </c>
      <c r="F292" s="71" t="str">
        <f>CONCATENATE("Hora Cátedra Enseñanza Media ",D292," hs Esc Esp")</f>
        <v>Hora Cátedra Enseñanza Media 32 hs Esc Esp</v>
      </c>
      <c r="G292" s="72">
        <f t="shared" si="50"/>
        <v>2528</v>
      </c>
      <c r="H292" s="73">
        <f>INT((G292*Valores!$C$2*100))/100</f>
        <v>17388.080000000002</v>
      </c>
      <c r="I292" s="112">
        <v>0</v>
      </c>
      <c r="J292" s="75">
        <f>INT((I292*Valores!$C$2*100)+0.5)/100</f>
        <v>0</v>
      </c>
      <c r="K292" s="102">
        <v>0</v>
      </c>
      <c r="L292" s="75">
        <f>INT((K292*Valores!$C$2*100)+0.5)/100</f>
        <v>0</v>
      </c>
      <c r="M292" s="100">
        <v>0</v>
      </c>
      <c r="N292" s="75">
        <f>INT((M292*Valores!$C$2*100)+0.5)/100</f>
        <v>0</v>
      </c>
      <c r="O292" s="75">
        <f t="shared" si="52"/>
        <v>3143.8440000000005</v>
      </c>
      <c r="P292" s="75">
        <f t="shared" si="53"/>
        <v>0</v>
      </c>
      <c r="Q292" s="101">
        <f>Valores!$C$14*D292</f>
        <v>5316.16</v>
      </c>
      <c r="R292" s="101">
        <f>IF(D292&lt;15,(Valores!$E$4*D292),Valores!$D$4)</f>
        <v>3076.62</v>
      </c>
      <c r="S292" s="75">
        <v>0</v>
      </c>
      <c r="T292" s="78">
        <f>IF(Valores!$C$45*D292&gt;Valores!$C$43,Valores!$C$43,Valores!$C$45*D292)</f>
        <v>1696.32</v>
      </c>
      <c r="U292" s="101">
        <f>Valores!$C$22*D292</f>
        <v>1874.56</v>
      </c>
      <c r="V292" s="75">
        <f t="shared" si="48"/>
        <v>1874.56</v>
      </c>
      <c r="W292" s="75">
        <v>0</v>
      </c>
      <c r="X292" s="75">
        <v>0</v>
      </c>
      <c r="Y292" s="118">
        <v>0</v>
      </c>
      <c r="Z292" s="75">
        <f>Y292*Valores!$C$2</f>
        <v>0</v>
      </c>
      <c r="AA292" s="75">
        <v>0</v>
      </c>
      <c r="AB292" s="80">
        <f>IF((Valores!$C$32)*D292&gt;Valores!$F$32,Valores!$F$32,(Valores!$C$32)*D292)</f>
        <v>213.12</v>
      </c>
      <c r="AC292" s="75">
        <f t="shared" si="56"/>
        <v>0</v>
      </c>
      <c r="AD292" s="75">
        <f>IF(Valores!$C$33*D292&gt;Valores!$F$33,Valores!$F$33,Valores!$C$33*D292)</f>
        <v>166.15</v>
      </c>
      <c r="AE292" s="79">
        <v>94</v>
      </c>
      <c r="AF292" s="75">
        <f>INT(((AE292*Valores!$C$2)*100)+0.5)/100</f>
        <v>646.54999999999995</v>
      </c>
      <c r="AG292" s="75">
        <f>IF(Valores!$D$58*'Escala Docente'!D292&gt;Valores!$F$58,Valores!$F$58,Valores!$D$58*'Escala Docente'!D292)</f>
        <v>675.94</v>
      </c>
      <c r="AH292" s="75">
        <f>IF(Valores!$D$60*D292&gt;Valores!$F$60,Valores!$F$60,Valores!$D$60*D292)</f>
        <v>193.12</v>
      </c>
      <c r="AI292" s="114">
        <f t="shared" si="57"/>
        <v>34390.464000000007</v>
      </c>
      <c r="AJ292" s="101">
        <f>IF(Valores!$C$36*D292&gt;Valores!$F$36,Valores!$F$36,Valores!$C$36*D292)</f>
        <v>1332.5</v>
      </c>
      <c r="AK292" s="78">
        <f>IF(Valores!$C$11*D292&gt;Valores!$F$11,Valores!$F$11,Valores!$C$11*D292)</f>
        <v>0</v>
      </c>
      <c r="AL292" s="78">
        <f>IF(Valores!$C$84*D292&gt;Valores!$C$83,Valores!$C$83,Valores!$C$84*D292)</f>
        <v>2400</v>
      </c>
      <c r="AM292" s="80">
        <f>IF(Valores!$C$57*D292&gt;Valores!$F$57,Valores!$F$57,Valores!$C$57*D292)</f>
        <v>283.24</v>
      </c>
      <c r="AN292" s="82">
        <f t="shared" si="58"/>
        <v>3732.5</v>
      </c>
      <c r="AO292" s="61">
        <f>AI292*-Valores!$C$65</f>
        <v>-4470.7603200000012</v>
      </c>
      <c r="AP292" s="61">
        <f>AI292*-Valores!$C$66</f>
        <v>-171.95232000000004</v>
      </c>
      <c r="AQ292" s="77">
        <f>AI292*-Valores!$C$67</f>
        <v>-1547.5708800000002</v>
      </c>
      <c r="AR292" s="77">
        <f>AI292*-Valores!$C$68</f>
        <v>-928.54252800000017</v>
      </c>
      <c r="AS292" s="77">
        <f>AI292*-Valores!$C$69</f>
        <v>-103.17139200000003</v>
      </c>
      <c r="AT292" s="81">
        <f t="shared" si="54"/>
        <v>31932.68048000001</v>
      </c>
      <c r="AU292" s="81">
        <f t="shared" si="55"/>
        <v>32448.537440000011</v>
      </c>
      <c r="AV292" s="77">
        <f>AI292*Valores!$C$71</f>
        <v>5502.4742400000014</v>
      </c>
      <c r="AW292" s="77">
        <f>AI292*Valores!$C$72</f>
        <v>1547.5708800000002</v>
      </c>
      <c r="AX292" s="77">
        <f>AI292*Valores!$C$73</f>
        <v>343.90464000000009</v>
      </c>
      <c r="AY292" s="77">
        <f>AI292*Valores!$C$75</f>
        <v>1203.6662400000005</v>
      </c>
      <c r="AZ292" s="77">
        <f>AI292*Valores!$C$76</f>
        <v>206.34278400000005</v>
      </c>
      <c r="BA292" s="77">
        <f t="shared" si="59"/>
        <v>1857.0850560000006</v>
      </c>
      <c r="BB292" s="51"/>
      <c r="BC292" s="51">
        <f t="shared" si="60"/>
        <v>128</v>
      </c>
      <c r="BD292" s="27" t="s">
        <v>8</v>
      </c>
    </row>
    <row r="293" spans="1:56" s="27" customFormat="1" ht="11.25" customHeight="1" x14ac:dyDescent="0.2">
      <c r="A293" s="51">
        <v>292</v>
      </c>
      <c r="B293" s="51"/>
      <c r="C293" s="27" t="s">
        <v>522</v>
      </c>
      <c r="D293" s="27">
        <v>33</v>
      </c>
      <c r="E293" s="27">
        <f t="shared" si="51"/>
        <v>34</v>
      </c>
      <c r="F293" s="71" t="str">
        <f>CONCATENATE("Hora Cátedra Enseñanza Media ",D293," hs")</f>
        <v>Hora Cátedra Enseñanza Media 33 hs</v>
      </c>
      <c r="G293" s="72">
        <f t="shared" ref="G293:G300" si="61">79*D293</f>
        <v>2607</v>
      </c>
      <c r="H293" s="73">
        <f>INT((G293*Valores!$C$2*100))/100</f>
        <v>17931.46</v>
      </c>
      <c r="I293" s="112">
        <v>0</v>
      </c>
      <c r="J293" s="75">
        <f>INT((I293*Valores!$C$2*100)+0.5)/100</f>
        <v>0</v>
      </c>
      <c r="K293" s="102">
        <v>0</v>
      </c>
      <c r="L293" s="75">
        <f>INT((K293*Valores!$C$2*100)+0.5)/100</f>
        <v>0</v>
      </c>
      <c r="M293" s="100">
        <v>0</v>
      </c>
      <c r="N293" s="75">
        <f>INT((M293*Valores!$C$2*100)+0.5)/100</f>
        <v>0</v>
      </c>
      <c r="O293" s="75">
        <f t="shared" si="52"/>
        <v>3242.0895</v>
      </c>
      <c r="P293" s="75">
        <f t="shared" si="53"/>
        <v>0</v>
      </c>
      <c r="Q293" s="101">
        <f>Valores!$C$14*D293</f>
        <v>5482.29</v>
      </c>
      <c r="R293" s="101">
        <f>IF(D293&lt;15,(Valores!$E$4*D293),Valores!$D$4)</f>
        <v>3076.62</v>
      </c>
      <c r="S293" s="75">
        <v>0</v>
      </c>
      <c r="T293" s="78">
        <f>IF(Valores!$C$45*D293&gt;Valores!$C$43,Valores!$C$43,Valores!$C$45*D293)</f>
        <v>1749.33</v>
      </c>
      <c r="U293" s="101">
        <f>Valores!$C$22*D293</f>
        <v>1933.1399999999999</v>
      </c>
      <c r="V293" s="75">
        <f t="shared" si="48"/>
        <v>1933.1399999999999</v>
      </c>
      <c r="W293" s="75">
        <v>0</v>
      </c>
      <c r="X293" s="75">
        <v>0</v>
      </c>
      <c r="Y293" s="118">
        <v>0</v>
      </c>
      <c r="Z293" s="75">
        <f>Y293*Valores!$C$2</f>
        <v>0</v>
      </c>
      <c r="AA293" s="75">
        <v>0</v>
      </c>
      <c r="AB293" s="80">
        <f>IF((Valores!$C$32)*D293&gt;Valores!$F$32,Valores!$F$32,(Valores!$C$32)*D293)</f>
        <v>219.78</v>
      </c>
      <c r="AC293" s="75">
        <f t="shared" si="56"/>
        <v>0</v>
      </c>
      <c r="AD293" s="75">
        <f>IF(Valores!$C$33*D293&gt;Valores!$F$33,Valores!$F$33,Valores!$C$33*D293)</f>
        <v>166.15</v>
      </c>
      <c r="AE293" s="79">
        <v>0</v>
      </c>
      <c r="AF293" s="75">
        <f>INT(((AE293*Valores!$C$2)*100)+0.5)/100</f>
        <v>0</v>
      </c>
      <c r="AG293" s="75">
        <f>IF(Valores!$D$58*'Escala Docente'!D293&gt;Valores!$F$58,Valores!$F$58,Valores!$D$58*'Escala Docente'!D293)</f>
        <v>675.94</v>
      </c>
      <c r="AH293" s="75">
        <f>IF(Valores!$D$60*D293&gt;Valores!$F$60,Valores!$F$60,Valores!$D$60*D293)</f>
        <v>193.12</v>
      </c>
      <c r="AI293" s="114">
        <f t="shared" si="57"/>
        <v>34669.919500000004</v>
      </c>
      <c r="AJ293" s="101">
        <f>IF(Valores!$C$36*D293&gt;Valores!$F$36,Valores!$F$36,Valores!$C$36*D293)</f>
        <v>1332.5</v>
      </c>
      <c r="AK293" s="78">
        <f>IF(Valores!$C$11*D293&gt;Valores!$F$11,Valores!$F$11,Valores!$C$11*D293)</f>
        <v>0</v>
      </c>
      <c r="AL293" s="78">
        <f>IF(Valores!$C$84*D293&gt;Valores!$C$83,Valores!$C$83,Valores!$C$84*D293)</f>
        <v>2475</v>
      </c>
      <c r="AM293" s="80">
        <f>IF(Valores!$C$57*D293&gt;Valores!$F$57,Valores!$F$57,Valores!$C$57*D293)</f>
        <v>283.24</v>
      </c>
      <c r="AN293" s="82">
        <f t="shared" si="58"/>
        <v>3807.5</v>
      </c>
      <c r="AO293" s="61">
        <f>AI293*-Valores!$C$65</f>
        <v>-4507.089535000001</v>
      </c>
      <c r="AP293" s="61">
        <f>AI293*-Valores!$C$66</f>
        <v>-173.34959750000002</v>
      </c>
      <c r="AQ293" s="77">
        <f>AI293*-Valores!$C$67</f>
        <v>-1560.1463775000002</v>
      </c>
      <c r="AR293" s="77">
        <f>AI293*-Valores!$C$68</f>
        <v>-936.08782650000012</v>
      </c>
      <c r="AS293" s="77">
        <f>AI293*-Valores!$C$69</f>
        <v>-104.00975850000002</v>
      </c>
      <c r="AT293" s="81">
        <f t="shared" si="54"/>
        <v>32236.833990000006</v>
      </c>
      <c r="AU293" s="81">
        <f t="shared" si="55"/>
        <v>32756.882782500008</v>
      </c>
      <c r="AV293" s="77">
        <f>AI293*Valores!$C$71</f>
        <v>5547.1871200000005</v>
      </c>
      <c r="AW293" s="77">
        <f>AI293*Valores!$C$72</f>
        <v>1560.1463775000002</v>
      </c>
      <c r="AX293" s="77">
        <f>AI293*Valores!$C$73</f>
        <v>346.69919500000003</v>
      </c>
      <c r="AY293" s="77">
        <f>AI293*Valores!$C$75</f>
        <v>1213.4471825000003</v>
      </c>
      <c r="AZ293" s="77">
        <f>AI293*Valores!$C$76</f>
        <v>208.01951700000004</v>
      </c>
      <c r="BA293" s="77">
        <f t="shared" si="59"/>
        <v>1872.1756530000005</v>
      </c>
      <c r="BB293" s="51"/>
      <c r="BC293" s="51">
        <f t="shared" si="60"/>
        <v>132</v>
      </c>
      <c r="BD293" s="27" t="s">
        <v>8</v>
      </c>
    </row>
    <row r="294" spans="1:56" s="27" customFormat="1" ht="11.25" customHeight="1" x14ac:dyDescent="0.2">
      <c r="A294" s="51">
        <v>293</v>
      </c>
      <c r="B294" s="51"/>
      <c r="C294" s="27" t="s">
        <v>522</v>
      </c>
      <c r="D294" s="27">
        <v>33</v>
      </c>
      <c r="E294" s="27">
        <f t="shared" si="51"/>
        <v>42</v>
      </c>
      <c r="F294" s="27" t="str">
        <f>CONCATENATE("Hora Cátedra Enseñanza Media ",D294," hs Esc Esp")</f>
        <v>Hora Cátedra Enseñanza Media 33 hs Esc Esp</v>
      </c>
      <c r="G294" s="121">
        <f t="shared" si="61"/>
        <v>2607</v>
      </c>
      <c r="H294" s="61">
        <f>INT((G294*Valores!$C$2*100))/100</f>
        <v>17931.46</v>
      </c>
      <c r="I294" s="122">
        <v>0</v>
      </c>
      <c r="J294" s="101">
        <f>INT((I294*Valores!$C$2*100)+0.5)/100</f>
        <v>0</v>
      </c>
      <c r="K294" s="123">
        <v>0</v>
      </c>
      <c r="L294" s="101">
        <f>INT((K294*Valores!$C$2*100)+0.5)/100</f>
        <v>0</v>
      </c>
      <c r="M294" s="124">
        <v>0</v>
      </c>
      <c r="N294" s="101">
        <f>INT((M294*Valores!$C$2*100)+0.5)/100</f>
        <v>0</v>
      </c>
      <c r="O294" s="101">
        <f t="shared" si="52"/>
        <v>3242.0895</v>
      </c>
      <c r="P294" s="101">
        <f t="shared" si="53"/>
        <v>0</v>
      </c>
      <c r="Q294" s="101">
        <f>Valores!$C$14*D294</f>
        <v>5482.29</v>
      </c>
      <c r="R294" s="101">
        <f>IF(D294&lt;15,(Valores!$E$4*D294),Valores!$D$4)</f>
        <v>3076.62</v>
      </c>
      <c r="S294" s="101">
        <v>0</v>
      </c>
      <c r="T294" s="101">
        <f>IF(Valores!$C$45*D294&gt;Valores!$C$43,Valores!$C$43,Valores!$C$45*D294)</f>
        <v>1749.33</v>
      </c>
      <c r="U294" s="101">
        <f>Valores!$C$22*D294</f>
        <v>1933.1399999999999</v>
      </c>
      <c r="V294" s="101">
        <f t="shared" si="48"/>
        <v>1933.1399999999999</v>
      </c>
      <c r="W294" s="101">
        <v>0</v>
      </c>
      <c r="X294" s="101">
        <v>0</v>
      </c>
      <c r="Y294" s="101">
        <v>0</v>
      </c>
      <c r="Z294" s="101">
        <f>Y294*Valores!$C$2</f>
        <v>0</v>
      </c>
      <c r="AA294" s="101">
        <v>0</v>
      </c>
      <c r="AB294" s="101">
        <f>IF((Valores!$C$32)*D294&gt;Valores!$F$32,Valores!$F$32,(Valores!$C$32)*D294)</f>
        <v>219.78</v>
      </c>
      <c r="AC294" s="101">
        <f t="shared" si="56"/>
        <v>0</v>
      </c>
      <c r="AD294" s="101">
        <f>IF(Valores!$C$33*D294&gt;Valores!$F$33,Valores!$F$33,Valores!$C$33*D294)</f>
        <v>166.15</v>
      </c>
      <c r="AE294" s="125">
        <v>94</v>
      </c>
      <c r="AF294" s="101">
        <f>INT(((AE294*Valores!$C$2)*100)+0.5)/100</f>
        <v>646.54999999999995</v>
      </c>
      <c r="AG294" s="101">
        <f>IF(Valores!$D$58*'Escala Docente'!D294&gt;Valores!$F$58,Valores!$F$58,Valores!$D$58*'Escala Docente'!D294)</f>
        <v>675.94</v>
      </c>
      <c r="AH294" s="101">
        <f>IF(Valores!$D$60*D294&gt;Valores!$F$60,Valores!$F$60,Valores!$D$60*D294)</f>
        <v>193.12</v>
      </c>
      <c r="AI294" s="61">
        <f t="shared" si="57"/>
        <v>35316.469500000007</v>
      </c>
      <c r="AJ294" s="61">
        <f>IF(Valores!$C$36*D294&gt;Valores!$F$36,Valores!$F$36,Valores!$C$36*D294)</f>
        <v>1332.5</v>
      </c>
      <c r="AK294" s="78">
        <f>IF(Valores!$C$11*D294&gt;Valores!$F$11,Valores!$F$11,Valores!$C$11*D294)</f>
        <v>0</v>
      </c>
      <c r="AL294" s="78">
        <f>IF(Valores!$C$84*D294&gt;Valores!$C$83,Valores!$C$83,Valores!$C$84*D294)</f>
        <v>2475</v>
      </c>
      <c r="AM294" s="80">
        <f>IF(Valores!$C$57*D294&gt;Valores!$F$57,Valores!$F$57,Valores!$C$57*D294)</f>
        <v>283.24</v>
      </c>
      <c r="AN294" s="82">
        <f t="shared" si="58"/>
        <v>3807.5</v>
      </c>
      <c r="AO294" s="61">
        <f>AI294*-Valores!$C$65</f>
        <v>-4591.1410350000006</v>
      </c>
      <c r="AP294" s="61">
        <f>AI294*-Valores!$C$66</f>
        <v>-176.58234750000003</v>
      </c>
      <c r="AQ294" s="101">
        <f>AI294*-Valores!$C$67</f>
        <v>-1589.2411275000002</v>
      </c>
      <c r="AR294" s="101">
        <f>AI294*-Valores!$C$68</f>
        <v>-953.54467650000015</v>
      </c>
      <c r="AS294" s="101">
        <f>AI294*-Valores!$C$69</f>
        <v>-105.94940850000002</v>
      </c>
      <c r="AT294" s="114">
        <f t="shared" si="54"/>
        <v>32767.004990000009</v>
      </c>
      <c r="AU294" s="114">
        <f t="shared" si="55"/>
        <v>33296.752032500008</v>
      </c>
      <c r="AV294" s="77">
        <f>AI294*Valores!$C$71</f>
        <v>5650.6351200000008</v>
      </c>
      <c r="AW294" s="77">
        <f>AI294*Valores!$C$72</f>
        <v>1589.2411275000002</v>
      </c>
      <c r="AX294" s="77">
        <f>AI294*Valores!$C$73</f>
        <v>353.16469500000005</v>
      </c>
      <c r="AY294" s="77">
        <f>AI294*Valores!$C$75</f>
        <v>1236.0764325000002</v>
      </c>
      <c r="AZ294" s="77">
        <f>AI294*Valores!$C$76</f>
        <v>211.89881700000004</v>
      </c>
      <c r="BA294" s="77">
        <f t="shared" si="59"/>
        <v>1907.0893530000003</v>
      </c>
      <c r="BC294" s="86">
        <f t="shared" si="60"/>
        <v>132</v>
      </c>
      <c r="BD294" s="27" t="s">
        <v>8</v>
      </c>
    </row>
    <row r="295" spans="1:56" s="27" customFormat="1" ht="11.25" customHeight="1" x14ac:dyDescent="0.2">
      <c r="A295" s="51">
        <v>294</v>
      </c>
      <c r="B295" s="51"/>
      <c r="C295" s="27" t="s">
        <v>522</v>
      </c>
      <c r="D295" s="27">
        <v>34</v>
      </c>
      <c r="E295" s="27">
        <f t="shared" si="51"/>
        <v>34</v>
      </c>
      <c r="F295" s="71" t="str">
        <f>CONCATENATE("Hora Cátedra Enseñanza Media ",D295," hs")</f>
        <v>Hora Cátedra Enseñanza Media 34 hs</v>
      </c>
      <c r="G295" s="72">
        <f t="shared" si="61"/>
        <v>2686</v>
      </c>
      <c r="H295" s="73">
        <f>INT((G295*Valores!$C$2*100))/100</f>
        <v>18474.84</v>
      </c>
      <c r="I295" s="112">
        <v>0</v>
      </c>
      <c r="J295" s="75">
        <f>INT((I295*Valores!$C$2*100)+0.5)/100</f>
        <v>0</v>
      </c>
      <c r="K295" s="102">
        <v>0</v>
      </c>
      <c r="L295" s="75">
        <f>INT((K295*Valores!$C$2*100)+0.5)/100</f>
        <v>0</v>
      </c>
      <c r="M295" s="100">
        <v>0</v>
      </c>
      <c r="N295" s="75">
        <f>INT((M295*Valores!$C$2*100)+0.5)/100</f>
        <v>0</v>
      </c>
      <c r="O295" s="75">
        <f t="shared" si="52"/>
        <v>3340.335</v>
      </c>
      <c r="P295" s="75">
        <f t="shared" si="53"/>
        <v>0</v>
      </c>
      <c r="Q295" s="101">
        <f>Valores!$C$14*D295</f>
        <v>5648.42</v>
      </c>
      <c r="R295" s="101">
        <f>IF(D295&lt;15,(Valores!$E$4*D295),Valores!$D$4)</f>
        <v>3076.62</v>
      </c>
      <c r="S295" s="75">
        <v>0</v>
      </c>
      <c r="T295" s="78">
        <f>IF(Valores!$C$45*D295&gt;Valores!$C$43,Valores!$C$43,Valores!$C$45*D295)</f>
        <v>1802.34</v>
      </c>
      <c r="U295" s="101">
        <f>Valores!$C$22*D295</f>
        <v>1991.72</v>
      </c>
      <c r="V295" s="75">
        <f t="shared" si="48"/>
        <v>1991.72</v>
      </c>
      <c r="W295" s="75">
        <v>0</v>
      </c>
      <c r="X295" s="75">
        <v>0</v>
      </c>
      <c r="Y295" s="118">
        <v>0</v>
      </c>
      <c r="Z295" s="75">
        <f>Y295*Valores!$C$2</f>
        <v>0</v>
      </c>
      <c r="AA295" s="75">
        <v>0</v>
      </c>
      <c r="AB295" s="80">
        <f>IF((Valores!$C$32)*D295&gt;Valores!$F$32,Valores!$F$32,(Valores!$C$32)*D295)</f>
        <v>226.44</v>
      </c>
      <c r="AC295" s="75">
        <f t="shared" si="56"/>
        <v>0</v>
      </c>
      <c r="AD295" s="75">
        <f>IF(Valores!$C$33*D295&gt;Valores!$F$33,Valores!$F$33,Valores!$C$33*D295)</f>
        <v>166.15</v>
      </c>
      <c r="AE295" s="79">
        <v>0</v>
      </c>
      <c r="AF295" s="75">
        <f>INT(((AE295*Valores!$C$2)*100)+0.5)/100</f>
        <v>0</v>
      </c>
      <c r="AG295" s="75">
        <f>IF(Valores!$D$58*'Escala Docente'!D295&gt;Valores!$F$58,Valores!$F$58,Valores!$D$58*'Escala Docente'!D295)</f>
        <v>675.94</v>
      </c>
      <c r="AH295" s="75">
        <f>IF(Valores!$D$60*D295&gt;Valores!$F$60,Valores!$F$60,Valores!$D$60*D295)</f>
        <v>193.12</v>
      </c>
      <c r="AI295" s="114">
        <f t="shared" si="57"/>
        <v>35595.925000000003</v>
      </c>
      <c r="AJ295" s="101">
        <f>IF(Valores!$C$36*D295&gt;Valores!$F$36,Valores!$F$36,Valores!$C$36*D295)</f>
        <v>1332.5</v>
      </c>
      <c r="AK295" s="78">
        <f>IF(Valores!$C$11*D295&gt;Valores!$F$11,Valores!$F$11,Valores!$C$11*D295)</f>
        <v>0</v>
      </c>
      <c r="AL295" s="78">
        <f>IF(Valores!$C$84*D295&gt;Valores!$C$83,Valores!$C$83,Valores!$C$84*D295)</f>
        <v>2550</v>
      </c>
      <c r="AM295" s="80">
        <f>IF(Valores!$C$57*D295&gt;Valores!$F$57,Valores!$F$57,Valores!$C$57*D295)</f>
        <v>283.24</v>
      </c>
      <c r="AN295" s="82">
        <f t="shared" si="58"/>
        <v>3882.5</v>
      </c>
      <c r="AO295" s="61">
        <f>AI295*-Valores!$C$65</f>
        <v>-4627.4702500000003</v>
      </c>
      <c r="AP295" s="61">
        <f>AI295*-Valores!$C$66</f>
        <v>-177.97962500000003</v>
      </c>
      <c r="AQ295" s="77">
        <f>AI295*-Valores!$C$67</f>
        <v>-1601.8166250000002</v>
      </c>
      <c r="AR295" s="77">
        <f>AI295*-Valores!$C$68</f>
        <v>-961.08997500000009</v>
      </c>
      <c r="AS295" s="77">
        <f>AI295*-Valores!$C$69</f>
        <v>-106.78777500000001</v>
      </c>
      <c r="AT295" s="81">
        <f t="shared" si="54"/>
        <v>33071.158500000005</v>
      </c>
      <c r="AU295" s="81">
        <f t="shared" si="55"/>
        <v>33605.097375000005</v>
      </c>
      <c r="AV295" s="77">
        <f>AI295*Valores!$C$71</f>
        <v>5695.3480000000009</v>
      </c>
      <c r="AW295" s="77">
        <f>AI295*Valores!$C$72</f>
        <v>1601.8166250000002</v>
      </c>
      <c r="AX295" s="77">
        <f>AI295*Valores!$C$73</f>
        <v>355.95925000000005</v>
      </c>
      <c r="AY295" s="77">
        <f>AI295*Valores!$C$75</f>
        <v>1245.8573750000003</v>
      </c>
      <c r="AZ295" s="77">
        <f>AI295*Valores!$C$76</f>
        <v>213.57555000000002</v>
      </c>
      <c r="BA295" s="77">
        <f t="shared" si="59"/>
        <v>1922.1799500000002</v>
      </c>
      <c r="BB295" s="51"/>
      <c r="BC295" s="51">
        <f t="shared" si="60"/>
        <v>136</v>
      </c>
      <c r="BD295" s="27" t="s">
        <v>8</v>
      </c>
    </row>
    <row r="296" spans="1:56" s="27" customFormat="1" ht="11.25" customHeight="1" x14ac:dyDescent="0.2">
      <c r="A296" s="85">
        <v>295</v>
      </c>
      <c r="B296" s="85" t="s">
        <v>163</v>
      </c>
      <c r="C296" s="86" t="s">
        <v>522</v>
      </c>
      <c r="D296" s="86">
        <v>34</v>
      </c>
      <c r="E296" s="86">
        <f t="shared" si="51"/>
        <v>42</v>
      </c>
      <c r="F296" s="87" t="str">
        <f>CONCATENATE("Hora Cátedra Enseñanza Media ",D296," hs Esc Esp")</f>
        <v>Hora Cátedra Enseñanza Media 34 hs Esc Esp</v>
      </c>
      <c r="G296" s="88">
        <f t="shared" si="61"/>
        <v>2686</v>
      </c>
      <c r="H296" s="89">
        <f>INT((G296*Valores!$C$2*100))/100</f>
        <v>18474.84</v>
      </c>
      <c r="I296" s="103">
        <v>0</v>
      </c>
      <c r="J296" s="91">
        <f>INT((I296*Valores!$C$2*100)+0.5)/100</f>
        <v>0</v>
      </c>
      <c r="K296" s="104">
        <v>0</v>
      </c>
      <c r="L296" s="91">
        <f>INT((K296*Valores!$C$2*100)+0.5)/100</f>
        <v>0</v>
      </c>
      <c r="M296" s="105">
        <v>0</v>
      </c>
      <c r="N296" s="91">
        <f>INT((M296*Valores!$C$2*100)+0.5)/100</f>
        <v>0</v>
      </c>
      <c r="O296" s="91">
        <f t="shared" si="52"/>
        <v>3340.335</v>
      </c>
      <c r="P296" s="91">
        <f t="shared" si="53"/>
        <v>0</v>
      </c>
      <c r="Q296" s="107">
        <f>Valores!$C$14*D296</f>
        <v>5648.42</v>
      </c>
      <c r="R296" s="107">
        <f>IF(D296&lt;15,(Valores!$E$4*D296),Valores!$D$4)</f>
        <v>3076.62</v>
      </c>
      <c r="S296" s="91">
        <v>0</v>
      </c>
      <c r="T296" s="94">
        <f>IF(Valores!$C$45*D296&gt;Valores!$C$43,Valores!$C$43,Valores!$C$45*D296)</f>
        <v>1802.34</v>
      </c>
      <c r="U296" s="107">
        <f>Valores!$C$22*D296</f>
        <v>1991.72</v>
      </c>
      <c r="V296" s="91">
        <f t="shared" si="48"/>
        <v>1991.72</v>
      </c>
      <c r="W296" s="91">
        <v>0</v>
      </c>
      <c r="X296" s="91">
        <v>0</v>
      </c>
      <c r="Y296" s="119">
        <v>0</v>
      </c>
      <c r="Z296" s="91">
        <f>Y296*Valores!$C$2</f>
        <v>0</v>
      </c>
      <c r="AA296" s="91">
        <v>0</v>
      </c>
      <c r="AB296" s="96">
        <f>IF((Valores!$C$32)*D296&gt;Valores!$F$32,Valores!$F$32,(Valores!$C$32)*D296)</f>
        <v>226.44</v>
      </c>
      <c r="AC296" s="91">
        <f t="shared" si="56"/>
        <v>0</v>
      </c>
      <c r="AD296" s="91">
        <f>IF(Valores!$C$33*D296&gt;Valores!$F$33,Valores!$F$33,Valores!$C$33*D296)</f>
        <v>166.15</v>
      </c>
      <c r="AE296" s="95">
        <v>94</v>
      </c>
      <c r="AF296" s="91">
        <f>INT(((AE296*Valores!$C$2)*100)+0.5)/100</f>
        <v>646.54999999999995</v>
      </c>
      <c r="AG296" s="91">
        <f>IF(Valores!$D$58*'Escala Docente'!D296&gt;Valores!$F$58,Valores!$F$58,Valores!$D$58*'Escala Docente'!D296)</f>
        <v>675.94</v>
      </c>
      <c r="AH296" s="91">
        <f>IF(Valores!$D$60*D296&gt;Valores!$F$60,Valores!$F$60,Valores!$D$60*D296)</f>
        <v>193.12</v>
      </c>
      <c r="AI296" s="115">
        <f t="shared" si="57"/>
        <v>36242.475000000006</v>
      </c>
      <c r="AJ296" s="107">
        <f>IF(Valores!$C$36*D296&gt;Valores!$F$36,Valores!$F$36,Valores!$C$36*D296)</f>
        <v>1332.5</v>
      </c>
      <c r="AK296" s="94">
        <f>IF(Valores!$C$11*D296&gt;Valores!$F$11,Valores!$F$11,Valores!$C$11*D296)</f>
        <v>0</v>
      </c>
      <c r="AL296" s="94">
        <f>IF(Valores!$C$84*D296&gt;Valores!$C$83,Valores!$C$83,Valores!$C$84*D296)</f>
        <v>2550</v>
      </c>
      <c r="AM296" s="96">
        <f>IF(Valores!$C$57*D296&gt;Valores!$F$57,Valores!$F$57,Valores!$C$57*D296)</f>
        <v>283.24</v>
      </c>
      <c r="AN296" s="98">
        <f t="shared" si="58"/>
        <v>3882.5</v>
      </c>
      <c r="AO296" s="116">
        <f>AI296*-Valores!$C$65</f>
        <v>-4711.5217500000008</v>
      </c>
      <c r="AP296" s="116">
        <f>AI296*-Valores!$C$66</f>
        <v>-181.21237500000004</v>
      </c>
      <c r="AQ296" s="93">
        <f>AI296*-Valores!$C$67</f>
        <v>-1630.9113750000001</v>
      </c>
      <c r="AR296" s="93">
        <f>AI296*-Valores!$C$68</f>
        <v>-978.54682500000013</v>
      </c>
      <c r="AS296" s="93">
        <f>AI296*-Valores!$C$69</f>
        <v>-108.72742500000003</v>
      </c>
      <c r="AT296" s="97">
        <f t="shared" si="54"/>
        <v>33601.3295</v>
      </c>
      <c r="AU296" s="97">
        <f t="shared" si="55"/>
        <v>34144.966625000008</v>
      </c>
      <c r="AV296" s="93">
        <f>AI296*Valores!$C$71</f>
        <v>5798.7960000000012</v>
      </c>
      <c r="AW296" s="93">
        <f>AI296*Valores!$C$72</f>
        <v>1630.9113750000001</v>
      </c>
      <c r="AX296" s="93">
        <f>AI296*Valores!$C$73</f>
        <v>362.42475000000007</v>
      </c>
      <c r="AY296" s="93">
        <f>AI296*Valores!$C$75</f>
        <v>1268.4866250000002</v>
      </c>
      <c r="AZ296" s="93">
        <f>AI296*Valores!$C$76</f>
        <v>217.45485000000005</v>
      </c>
      <c r="BA296" s="93">
        <f t="shared" si="59"/>
        <v>1957.0936500000005</v>
      </c>
      <c r="BB296" s="85"/>
      <c r="BC296" s="85">
        <f t="shared" si="60"/>
        <v>136</v>
      </c>
      <c r="BD296" s="86" t="s">
        <v>8</v>
      </c>
    </row>
    <row r="297" spans="1:56" s="27" customFormat="1" ht="11.25" customHeight="1" x14ac:dyDescent="0.2">
      <c r="A297" s="51">
        <v>296</v>
      </c>
      <c r="B297" s="51"/>
      <c r="C297" s="27" t="s">
        <v>522</v>
      </c>
      <c r="D297" s="27">
        <v>35</v>
      </c>
      <c r="E297" s="27">
        <f t="shared" si="51"/>
        <v>34</v>
      </c>
      <c r="F297" s="71" t="str">
        <f>CONCATENATE("Hora Cátedra Enseñanza Media ",D297," hs")</f>
        <v>Hora Cátedra Enseñanza Media 35 hs</v>
      </c>
      <c r="G297" s="72">
        <f t="shared" si="61"/>
        <v>2765</v>
      </c>
      <c r="H297" s="73">
        <f>INT((G297*Valores!$C$2*100))/100</f>
        <v>19018.22</v>
      </c>
      <c r="I297" s="112">
        <v>0</v>
      </c>
      <c r="J297" s="75">
        <f>INT((I297*Valores!$C$2*100)+0.5)/100</f>
        <v>0</v>
      </c>
      <c r="K297" s="102">
        <v>0</v>
      </c>
      <c r="L297" s="75">
        <f>INT((K297*Valores!$C$2*100)+0.5)/100</f>
        <v>0</v>
      </c>
      <c r="M297" s="100">
        <v>0</v>
      </c>
      <c r="N297" s="75">
        <f>INT((M297*Valores!$C$2*100)+0.5)/100</f>
        <v>0</v>
      </c>
      <c r="O297" s="75">
        <f t="shared" si="52"/>
        <v>3438.5804999999996</v>
      </c>
      <c r="P297" s="75">
        <f t="shared" si="53"/>
        <v>0</v>
      </c>
      <c r="Q297" s="101">
        <f>Valores!$C$14*D297</f>
        <v>5814.55</v>
      </c>
      <c r="R297" s="101">
        <f>IF(D297&lt;15,(Valores!$E$4*D297),Valores!$D$4)</f>
        <v>3076.62</v>
      </c>
      <c r="S297" s="75">
        <v>0</v>
      </c>
      <c r="T297" s="78">
        <f>IF(Valores!$C$45*D297&gt;Valores!$C$43,Valores!$C$43,Valores!$C$45*D297)</f>
        <v>1855.35</v>
      </c>
      <c r="U297" s="101">
        <f>Valores!$C$22*D297</f>
        <v>2050.2999999999997</v>
      </c>
      <c r="V297" s="75">
        <f t="shared" si="48"/>
        <v>2050.2999999999997</v>
      </c>
      <c r="W297" s="75">
        <v>0</v>
      </c>
      <c r="X297" s="75">
        <v>0</v>
      </c>
      <c r="Y297" s="118">
        <v>0</v>
      </c>
      <c r="Z297" s="75">
        <f>Y297*Valores!$C$2</f>
        <v>0</v>
      </c>
      <c r="AA297" s="75">
        <v>0</v>
      </c>
      <c r="AB297" s="80">
        <f>IF((Valores!$C$32)*D297&gt;Valores!$F$32,Valores!$F$32,(Valores!$C$32)*D297)</f>
        <v>233.1</v>
      </c>
      <c r="AC297" s="75">
        <f t="shared" si="56"/>
        <v>0</v>
      </c>
      <c r="AD297" s="75">
        <f>IF(Valores!$C$33*D297&gt;Valores!$F$33,Valores!$F$33,Valores!$C$33*D297)</f>
        <v>166.15</v>
      </c>
      <c r="AE297" s="79">
        <v>0</v>
      </c>
      <c r="AF297" s="75">
        <f>INT(((AE297*Valores!$C$2)*100)+0.5)/100</f>
        <v>0</v>
      </c>
      <c r="AG297" s="75">
        <f>IF(Valores!$D$58*'Escala Docente'!D297&gt;Valores!$F$58,Valores!$F$58,Valores!$D$58*'Escala Docente'!D297)</f>
        <v>675.94</v>
      </c>
      <c r="AH297" s="75">
        <f>IF(Valores!$D$60*D297&gt;Valores!$F$60,Valores!$F$60,Valores!$D$60*D297)</f>
        <v>193.12</v>
      </c>
      <c r="AI297" s="114">
        <f t="shared" si="57"/>
        <v>36521.930500000002</v>
      </c>
      <c r="AJ297" s="101">
        <f>IF(Valores!$C$36*D297&gt;Valores!$F$36,Valores!$F$36,Valores!$C$36*D297)</f>
        <v>1332.5</v>
      </c>
      <c r="AK297" s="78">
        <f>IF(Valores!$C$11*D297&gt;Valores!$F$11,Valores!$F$11,Valores!$C$11*D297)</f>
        <v>0</v>
      </c>
      <c r="AL297" s="78">
        <f>IF(Valores!$C$84*D297&gt;Valores!$C$83,Valores!$C$83,Valores!$C$84*D297)</f>
        <v>2625</v>
      </c>
      <c r="AM297" s="80">
        <f>IF(Valores!$C$57*D297&gt;Valores!$F$57,Valores!$F$57,Valores!$C$57*D297)</f>
        <v>283.24</v>
      </c>
      <c r="AN297" s="82">
        <f t="shared" si="58"/>
        <v>3957.5</v>
      </c>
      <c r="AO297" s="61">
        <f>AI297*-Valores!$C$65</f>
        <v>-4747.8509650000005</v>
      </c>
      <c r="AP297" s="61">
        <f>AI297*-Valores!$C$66</f>
        <v>-182.60965250000001</v>
      </c>
      <c r="AQ297" s="77">
        <f>AI297*-Valores!$C$67</f>
        <v>-1643.4868725000001</v>
      </c>
      <c r="AR297" s="77">
        <f>AI297*-Valores!$C$68</f>
        <v>-986.09212350000007</v>
      </c>
      <c r="AS297" s="77">
        <f>AI297*-Valores!$C$69</f>
        <v>-109.5657915</v>
      </c>
      <c r="AT297" s="81">
        <f t="shared" si="54"/>
        <v>33905.483010000004</v>
      </c>
      <c r="AU297" s="81">
        <f t="shared" si="55"/>
        <v>34453.311967500005</v>
      </c>
      <c r="AV297" s="77">
        <f>AI297*Valores!$C$71</f>
        <v>5843.5088800000003</v>
      </c>
      <c r="AW297" s="77">
        <f>AI297*Valores!$C$72</f>
        <v>1643.4868725000001</v>
      </c>
      <c r="AX297" s="77">
        <f>AI297*Valores!$C$73</f>
        <v>365.21930500000002</v>
      </c>
      <c r="AY297" s="77">
        <f>AI297*Valores!$C$75</f>
        <v>1278.2675675000003</v>
      </c>
      <c r="AZ297" s="77">
        <f>AI297*Valores!$C$76</f>
        <v>219.13158300000001</v>
      </c>
      <c r="BA297" s="77">
        <f t="shared" si="59"/>
        <v>1972.1842470000004</v>
      </c>
      <c r="BB297" s="51"/>
      <c r="BC297" s="51">
        <f t="shared" si="60"/>
        <v>140</v>
      </c>
      <c r="BD297" s="27" t="s">
        <v>8</v>
      </c>
    </row>
    <row r="298" spans="1:56" s="27" customFormat="1" ht="11.25" customHeight="1" x14ac:dyDescent="0.2">
      <c r="A298" s="51">
        <v>297</v>
      </c>
      <c r="B298" s="51"/>
      <c r="C298" s="27" t="s">
        <v>522</v>
      </c>
      <c r="D298" s="27">
        <v>35</v>
      </c>
      <c r="E298" s="27">
        <f t="shared" si="51"/>
        <v>42</v>
      </c>
      <c r="F298" s="71" t="str">
        <f>CONCATENATE("Hora Cátedra Enseñanza Media ",D298," hs Esc Esp")</f>
        <v>Hora Cátedra Enseñanza Media 35 hs Esc Esp</v>
      </c>
      <c r="G298" s="72">
        <f t="shared" si="61"/>
        <v>2765</v>
      </c>
      <c r="H298" s="73">
        <f>INT((G298*Valores!$C$2*100))/100</f>
        <v>19018.22</v>
      </c>
      <c r="I298" s="112">
        <v>0</v>
      </c>
      <c r="J298" s="75">
        <f>INT((I298*Valores!$C$2*100)+0.5)/100</f>
        <v>0</v>
      </c>
      <c r="K298" s="102">
        <v>0</v>
      </c>
      <c r="L298" s="75">
        <f>INT((K298*Valores!$C$2*100)+0.5)/100</f>
        <v>0</v>
      </c>
      <c r="M298" s="100">
        <v>0</v>
      </c>
      <c r="N298" s="75">
        <f>INT((M298*Valores!$C$2*100)+0.5)/100</f>
        <v>0</v>
      </c>
      <c r="O298" s="75">
        <f t="shared" si="52"/>
        <v>3438.5804999999996</v>
      </c>
      <c r="P298" s="75">
        <f t="shared" si="53"/>
        <v>0</v>
      </c>
      <c r="Q298" s="101">
        <f>Valores!$C$14*D298</f>
        <v>5814.55</v>
      </c>
      <c r="R298" s="101">
        <f>IF(D298&lt;15,(Valores!$E$4*D298),Valores!$D$4)</f>
        <v>3076.62</v>
      </c>
      <c r="S298" s="75">
        <v>0</v>
      </c>
      <c r="T298" s="78">
        <f>IF(Valores!$C$45*D298&gt;Valores!$C$43,Valores!$C$43,Valores!$C$45*D298)</f>
        <v>1855.35</v>
      </c>
      <c r="U298" s="101">
        <f>Valores!$C$22*D298</f>
        <v>2050.2999999999997</v>
      </c>
      <c r="V298" s="75">
        <f t="shared" si="48"/>
        <v>2050.2999999999997</v>
      </c>
      <c r="W298" s="75">
        <v>0</v>
      </c>
      <c r="X298" s="75">
        <v>0</v>
      </c>
      <c r="Y298" s="118">
        <v>0</v>
      </c>
      <c r="Z298" s="75">
        <f>Y298*Valores!$C$2</f>
        <v>0</v>
      </c>
      <c r="AA298" s="75">
        <v>0</v>
      </c>
      <c r="AB298" s="80">
        <f>IF((Valores!$C$32)*D298&gt;Valores!$F$32,Valores!$F$32,(Valores!$C$32)*D298)</f>
        <v>233.1</v>
      </c>
      <c r="AC298" s="75">
        <f t="shared" si="56"/>
        <v>0</v>
      </c>
      <c r="AD298" s="75">
        <f>IF(Valores!$C$33*D298&gt;Valores!$F$33,Valores!$F$33,Valores!$C$33*D298)</f>
        <v>166.15</v>
      </c>
      <c r="AE298" s="79">
        <v>94</v>
      </c>
      <c r="AF298" s="75">
        <f>INT(((AE298*Valores!$C$2)*100)+0.5)/100</f>
        <v>646.54999999999995</v>
      </c>
      <c r="AG298" s="75">
        <f>IF(Valores!$D$58*'Escala Docente'!D298&gt;Valores!$F$58,Valores!$F$58,Valores!$D$58*'Escala Docente'!D298)</f>
        <v>675.94</v>
      </c>
      <c r="AH298" s="75">
        <f>IF(Valores!$D$60*D298&gt;Valores!$F$60,Valores!$F$60,Valores!$D$60*D298)</f>
        <v>193.12</v>
      </c>
      <c r="AI298" s="114">
        <f t="shared" si="57"/>
        <v>37168.480500000005</v>
      </c>
      <c r="AJ298" s="101">
        <f>IF(Valores!$C$36*D298&gt;Valores!$F$36,Valores!$F$36,Valores!$C$36*D298)</f>
        <v>1332.5</v>
      </c>
      <c r="AK298" s="78">
        <f>IF(Valores!$C$11*D298&gt;Valores!$F$11,Valores!$F$11,Valores!$C$11*D298)</f>
        <v>0</v>
      </c>
      <c r="AL298" s="78">
        <f>IF(Valores!$C$84*D298&gt;Valores!$C$83,Valores!$C$83,Valores!$C$84*D298)</f>
        <v>2625</v>
      </c>
      <c r="AM298" s="80">
        <f>IF(Valores!$C$57*D298&gt;Valores!$F$57,Valores!$F$57,Valores!$C$57*D298)</f>
        <v>283.24</v>
      </c>
      <c r="AN298" s="82">
        <f t="shared" si="58"/>
        <v>3957.5</v>
      </c>
      <c r="AO298" s="61">
        <f>AI298*-Valores!$C$65</f>
        <v>-4831.902465000001</v>
      </c>
      <c r="AP298" s="61">
        <f>AI298*-Valores!$C$66</f>
        <v>-185.84240250000002</v>
      </c>
      <c r="AQ298" s="77">
        <f>AI298*-Valores!$C$67</f>
        <v>-1672.5816225000001</v>
      </c>
      <c r="AR298" s="77">
        <f>AI298*-Valores!$C$68</f>
        <v>-1003.5489735000001</v>
      </c>
      <c r="AS298" s="77">
        <f>AI298*-Valores!$C$69</f>
        <v>-111.50544150000002</v>
      </c>
      <c r="AT298" s="81">
        <f t="shared" si="54"/>
        <v>34435.654010000006</v>
      </c>
      <c r="AU298" s="81">
        <f t="shared" si="55"/>
        <v>34993.181217500009</v>
      </c>
      <c r="AV298" s="77">
        <f>AI298*Valores!$C$71</f>
        <v>5946.9568800000006</v>
      </c>
      <c r="AW298" s="77">
        <f>AI298*Valores!$C$72</f>
        <v>1672.5816225000001</v>
      </c>
      <c r="AX298" s="77">
        <f>AI298*Valores!$C$73</f>
        <v>371.68480500000004</v>
      </c>
      <c r="AY298" s="77">
        <f>AI298*Valores!$C$75</f>
        <v>1300.8968175000002</v>
      </c>
      <c r="AZ298" s="77">
        <f>AI298*Valores!$C$76</f>
        <v>223.01088300000004</v>
      </c>
      <c r="BA298" s="77">
        <f t="shared" si="59"/>
        <v>2007.0979470000002</v>
      </c>
      <c r="BB298" s="51"/>
      <c r="BC298" s="51">
        <f t="shared" si="60"/>
        <v>140</v>
      </c>
      <c r="BD298" s="27" t="s">
        <v>8</v>
      </c>
    </row>
    <row r="299" spans="1:56" s="27" customFormat="1" ht="11.25" customHeight="1" x14ac:dyDescent="0.2">
      <c r="A299" s="51">
        <v>298</v>
      </c>
      <c r="B299" s="51"/>
      <c r="C299" s="27" t="s">
        <v>522</v>
      </c>
      <c r="D299" s="27">
        <v>36</v>
      </c>
      <c r="E299" s="27">
        <f t="shared" si="51"/>
        <v>34</v>
      </c>
      <c r="F299" s="71" t="str">
        <f>CONCATENATE("Hora Cátedra Enseñanza Media ",D299," hs")</f>
        <v>Hora Cátedra Enseñanza Media 36 hs</v>
      </c>
      <c r="G299" s="72">
        <f t="shared" si="61"/>
        <v>2844</v>
      </c>
      <c r="H299" s="73">
        <f>INT((G299*Valores!$C$2*100))/100</f>
        <v>19561.599999999999</v>
      </c>
      <c r="I299" s="112">
        <v>0</v>
      </c>
      <c r="J299" s="75">
        <f>INT((I299*Valores!$C$2*100)+0.5)/100</f>
        <v>0</v>
      </c>
      <c r="K299" s="102">
        <v>0</v>
      </c>
      <c r="L299" s="75">
        <f>INT((K299*Valores!$C$2*100)+0.5)/100</f>
        <v>0</v>
      </c>
      <c r="M299" s="100">
        <v>0</v>
      </c>
      <c r="N299" s="75">
        <f>INT((M299*Valores!$C$2*100)+0.5)/100</f>
        <v>0</v>
      </c>
      <c r="O299" s="75">
        <f t="shared" si="52"/>
        <v>3536.7314999999999</v>
      </c>
      <c r="P299" s="75">
        <f t="shared" si="53"/>
        <v>0</v>
      </c>
      <c r="Q299" s="101">
        <f>Valores!$C$14*D299</f>
        <v>5980.68</v>
      </c>
      <c r="R299" s="101">
        <f>IF(D299&lt;15,(Valores!$E$4*D299),Valores!$D$4)</f>
        <v>3076.62</v>
      </c>
      <c r="S299" s="75">
        <v>0</v>
      </c>
      <c r="T299" s="78">
        <f>IF(Valores!$C$45*D299&gt;Valores!$C$43,Valores!$C$43,Valores!$C$45*D299)</f>
        <v>1907.73</v>
      </c>
      <c r="U299" s="101">
        <f>Valores!$C$22*D299</f>
        <v>2108.88</v>
      </c>
      <c r="V299" s="75">
        <f t="shared" si="48"/>
        <v>2108.88</v>
      </c>
      <c r="W299" s="75">
        <v>0</v>
      </c>
      <c r="X299" s="75">
        <v>0</v>
      </c>
      <c r="Y299" s="118">
        <v>0</v>
      </c>
      <c r="Z299" s="75">
        <f>Y299*Valores!$C$2</f>
        <v>0</v>
      </c>
      <c r="AA299" s="75">
        <v>0</v>
      </c>
      <c r="AB299" s="80">
        <f>IF((Valores!$C$32)*D299&gt;Valores!$F$32,Valores!$F$32,(Valores!$C$32)*D299)</f>
        <v>239.76</v>
      </c>
      <c r="AC299" s="75">
        <f t="shared" si="56"/>
        <v>0</v>
      </c>
      <c r="AD299" s="75">
        <f>IF(Valores!$C$33*D299&gt;Valores!$F$33,Valores!$F$33,Valores!$C$33*D299)</f>
        <v>166.15</v>
      </c>
      <c r="AE299" s="79">
        <v>0</v>
      </c>
      <c r="AF299" s="75">
        <f>INT(((AE299*Valores!$C$2)*100)+0.5)/100</f>
        <v>0</v>
      </c>
      <c r="AG299" s="75">
        <f>IF(Valores!$D$58*'Escala Docente'!D299&gt;Valores!$F$58,Valores!$F$58,Valores!$D$58*'Escala Docente'!D299)</f>
        <v>675.94</v>
      </c>
      <c r="AH299" s="75">
        <f>IF(Valores!$D$60*D299&gt;Valores!$F$60,Valores!$F$60,Valores!$D$60*D299)</f>
        <v>193.12</v>
      </c>
      <c r="AI299" s="114">
        <f t="shared" si="57"/>
        <v>37447.211500000012</v>
      </c>
      <c r="AJ299" s="101">
        <f>IF(Valores!$C$36*D299&gt;Valores!$F$36,Valores!$F$36,Valores!$C$36*D299)</f>
        <v>1332.5</v>
      </c>
      <c r="AK299" s="78">
        <f>IF(Valores!$C$11*D299&gt;Valores!$F$11,Valores!$F$11,Valores!$C$11*D299)</f>
        <v>0</v>
      </c>
      <c r="AL299" s="78">
        <f>IF(Valores!$C$84*D299&gt;Valores!$C$83,Valores!$C$83,Valores!$C$84*D299)</f>
        <v>2700</v>
      </c>
      <c r="AM299" s="80">
        <f>IF(Valores!$C$57*D299&gt;Valores!$F$57,Valores!$F$57,Valores!$C$57*D299)</f>
        <v>283.24</v>
      </c>
      <c r="AN299" s="82">
        <f t="shared" si="58"/>
        <v>4032.5</v>
      </c>
      <c r="AO299" s="61">
        <f>AI299*-Valores!$C$65</f>
        <v>-4868.1374950000018</v>
      </c>
      <c r="AP299" s="61">
        <f>AI299*-Valores!$C$66</f>
        <v>-187.23605750000007</v>
      </c>
      <c r="AQ299" s="77">
        <f>AI299*-Valores!$C$67</f>
        <v>-1685.1245175000006</v>
      </c>
      <c r="AR299" s="77">
        <f>AI299*-Valores!$C$68</f>
        <v>-1011.0747105000003</v>
      </c>
      <c r="AS299" s="77">
        <f>AI299*-Valores!$C$69</f>
        <v>-112.34163450000004</v>
      </c>
      <c r="AT299" s="81">
        <f t="shared" si="54"/>
        <v>34739.213430000011</v>
      </c>
      <c r="AU299" s="81">
        <f t="shared" si="55"/>
        <v>35300.921602500013</v>
      </c>
      <c r="AV299" s="77">
        <f>AI299*Valores!$C$71</f>
        <v>5991.5538400000023</v>
      </c>
      <c r="AW299" s="77">
        <f>AI299*Valores!$C$72</f>
        <v>1685.1245175000006</v>
      </c>
      <c r="AX299" s="77">
        <f>AI299*Valores!$C$73</f>
        <v>374.47211500000014</v>
      </c>
      <c r="AY299" s="77">
        <f>AI299*Valores!$C$75</f>
        <v>1310.6524025000006</v>
      </c>
      <c r="AZ299" s="77">
        <f>AI299*Valores!$C$76</f>
        <v>224.68326900000008</v>
      </c>
      <c r="BA299" s="77">
        <f t="shared" si="59"/>
        <v>2022.1494210000008</v>
      </c>
      <c r="BB299" s="51"/>
      <c r="BC299" s="85">
        <f t="shared" si="60"/>
        <v>144</v>
      </c>
      <c r="BD299" s="27" t="s">
        <v>8</v>
      </c>
    </row>
    <row r="300" spans="1:56" s="27" customFormat="1" ht="11.25" customHeight="1" x14ac:dyDescent="0.2">
      <c r="A300" s="51">
        <v>299</v>
      </c>
      <c r="B300" s="51"/>
      <c r="C300" s="27" t="s">
        <v>522</v>
      </c>
      <c r="D300" s="27">
        <v>36</v>
      </c>
      <c r="E300" s="27">
        <f t="shared" si="51"/>
        <v>42</v>
      </c>
      <c r="F300" s="71" t="str">
        <f>CONCATENATE("Hora Cátedra Enseñanza Media ",D300," hs Esc Esp")</f>
        <v>Hora Cátedra Enseñanza Media 36 hs Esc Esp</v>
      </c>
      <c r="G300" s="72">
        <f t="shared" si="61"/>
        <v>2844</v>
      </c>
      <c r="H300" s="73">
        <f>INT((G300*Valores!$C$2*100))/100</f>
        <v>19561.599999999999</v>
      </c>
      <c r="I300" s="112">
        <v>0</v>
      </c>
      <c r="J300" s="75">
        <f>INT((I300*Valores!$C$2*100)+0.5)/100</f>
        <v>0</v>
      </c>
      <c r="K300" s="102">
        <v>0</v>
      </c>
      <c r="L300" s="75">
        <f>INT((K300*Valores!$C$2*100)+0.5)/100</f>
        <v>0</v>
      </c>
      <c r="M300" s="100">
        <v>0</v>
      </c>
      <c r="N300" s="75">
        <f>INT((M300*Valores!$C$2*100)+0.5)/100</f>
        <v>0</v>
      </c>
      <c r="O300" s="75">
        <f t="shared" si="52"/>
        <v>3536.7314999999999</v>
      </c>
      <c r="P300" s="75">
        <f t="shared" si="53"/>
        <v>0</v>
      </c>
      <c r="Q300" s="101">
        <f>Valores!$C$14*D300</f>
        <v>5980.68</v>
      </c>
      <c r="R300" s="101">
        <f>IF(D300&lt;15,(Valores!$E$4*D300),Valores!$D$4)</f>
        <v>3076.62</v>
      </c>
      <c r="S300" s="75">
        <v>0</v>
      </c>
      <c r="T300" s="78">
        <f>IF(Valores!$C$45*D300&gt;Valores!$C$43,Valores!$C$43,Valores!$C$45*D300)</f>
        <v>1907.73</v>
      </c>
      <c r="U300" s="101">
        <f>Valores!$C$22*D300</f>
        <v>2108.88</v>
      </c>
      <c r="V300" s="75">
        <f t="shared" si="48"/>
        <v>2108.88</v>
      </c>
      <c r="W300" s="75">
        <v>0</v>
      </c>
      <c r="X300" s="75">
        <v>0</v>
      </c>
      <c r="Y300" s="118">
        <v>0</v>
      </c>
      <c r="Z300" s="75">
        <f>Y300*Valores!$C$2</f>
        <v>0</v>
      </c>
      <c r="AA300" s="75">
        <v>0</v>
      </c>
      <c r="AB300" s="80">
        <f>IF((Valores!$C$32)*D300&gt;Valores!$F$32,Valores!$F$32,(Valores!$C$32)*D300)</f>
        <v>239.76</v>
      </c>
      <c r="AC300" s="75">
        <f t="shared" si="56"/>
        <v>0</v>
      </c>
      <c r="AD300" s="75">
        <f>IF(Valores!$C$33*D300&gt;Valores!$F$33,Valores!$F$33,Valores!$C$33*D300)</f>
        <v>166.15</v>
      </c>
      <c r="AE300" s="79">
        <v>94</v>
      </c>
      <c r="AF300" s="75">
        <f>INT(((AE300*Valores!$C$2)*100)+0.5)/100</f>
        <v>646.54999999999995</v>
      </c>
      <c r="AG300" s="75">
        <f>IF(Valores!$D$58*'Escala Docente'!D300&gt;Valores!$F$58,Valores!$F$58,Valores!$D$58*'Escala Docente'!D300)</f>
        <v>675.94</v>
      </c>
      <c r="AH300" s="75">
        <f>IF(Valores!$D$60*D300&gt;Valores!$F$60,Valores!$F$60,Valores!$D$60*D300)</f>
        <v>193.12</v>
      </c>
      <c r="AI300" s="114">
        <f t="shared" si="57"/>
        <v>38093.761500000015</v>
      </c>
      <c r="AJ300" s="101">
        <f>IF(Valores!$C$36*D300&gt;Valores!$F$36,Valores!$F$36,Valores!$C$36*D300)</f>
        <v>1332.5</v>
      </c>
      <c r="AK300" s="78">
        <f>IF(Valores!$C$11*D300&gt;Valores!$F$11,Valores!$F$11,Valores!$C$11*D300)</f>
        <v>0</v>
      </c>
      <c r="AL300" s="78">
        <f>IF(Valores!$C$84*D300&gt;Valores!$C$83,Valores!$C$83,Valores!$C$84*D300)</f>
        <v>2700</v>
      </c>
      <c r="AM300" s="80">
        <f>IF(Valores!$C$57*D300&gt;Valores!$F$57,Valores!$F$57,Valores!$C$57*D300)</f>
        <v>283.24</v>
      </c>
      <c r="AN300" s="82">
        <f t="shared" si="58"/>
        <v>4032.5</v>
      </c>
      <c r="AO300" s="61">
        <f>AI300*-Valores!$C$65</f>
        <v>-4952.1889950000023</v>
      </c>
      <c r="AP300" s="61">
        <f>AI300*-Valores!$C$66</f>
        <v>-190.46880750000008</v>
      </c>
      <c r="AQ300" s="77">
        <f>AI300*-Valores!$C$67</f>
        <v>-1714.2192675000006</v>
      </c>
      <c r="AR300" s="77">
        <f>AI300*-Valores!$C$68</f>
        <v>-1028.5315605000003</v>
      </c>
      <c r="AS300" s="77">
        <f>AI300*-Valores!$C$69</f>
        <v>-114.28128450000004</v>
      </c>
      <c r="AT300" s="81">
        <f t="shared" si="54"/>
        <v>35269.384430000006</v>
      </c>
      <c r="AU300" s="81">
        <f t="shared" si="55"/>
        <v>35840.790852500009</v>
      </c>
      <c r="AV300" s="77">
        <f>AI300*Valores!$C$71</f>
        <v>6095.0018400000026</v>
      </c>
      <c r="AW300" s="77">
        <f>AI300*Valores!$C$72</f>
        <v>1714.2192675000006</v>
      </c>
      <c r="AX300" s="77">
        <f>AI300*Valores!$C$73</f>
        <v>380.93761500000016</v>
      </c>
      <c r="AY300" s="77">
        <f>AI300*Valores!$C$75</f>
        <v>1333.2816525000007</v>
      </c>
      <c r="AZ300" s="77">
        <f>AI300*Valores!$C$76</f>
        <v>228.56256900000008</v>
      </c>
      <c r="BA300" s="77">
        <f t="shared" si="59"/>
        <v>2057.063121000001</v>
      </c>
      <c r="BB300" s="51"/>
      <c r="BC300" s="51">
        <f t="shared" si="60"/>
        <v>144</v>
      </c>
      <c r="BD300" s="27" t="s">
        <v>8</v>
      </c>
    </row>
    <row r="301" spans="1:56" s="27" customFormat="1" ht="11.25" customHeight="1" x14ac:dyDescent="0.2">
      <c r="A301" s="85">
        <v>300</v>
      </c>
      <c r="B301" s="85" t="s">
        <v>163</v>
      </c>
      <c r="C301" s="86" t="s">
        <v>523</v>
      </c>
      <c r="D301" s="86">
        <v>1</v>
      </c>
      <c r="E301" s="86">
        <f t="shared" si="51"/>
        <v>26</v>
      </c>
      <c r="F301" s="87" t="s">
        <v>524</v>
      </c>
      <c r="G301" s="88">
        <v>79</v>
      </c>
      <c r="H301" s="89">
        <f>INT((G301*Valores!$C$2*100))/100</f>
        <v>543.37</v>
      </c>
      <c r="I301" s="103">
        <v>0</v>
      </c>
      <c r="J301" s="91">
        <f>INT((I301*Valores!$C$2*100)+0.5)/100</f>
        <v>0</v>
      </c>
      <c r="K301" s="104">
        <v>0</v>
      </c>
      <c r="L301" s="91">
        <f>INT((K301*Valores!$C$2*100)+0.5)/100</f>
        <v>0</v>
      </c>
      <c r="M301" s="105">
        <v>0</v>
      </c>
      <c r="N301" s="91">
        <f>INT((M301*Valores!$C$2*100)+0.5)/100</f>
        <v>0</v>
      </c>
      <c r="O301" s="91">
        <f t="shared" si="52"/>
        <v>98.244</v>
      </c>
      <c r="P301" s="91">
        <f t="shared" si="53"/>
        <v>0</v>
      </c>
      <c r="Q301" s="107">
        <f>Valores!$C$14*D301</f>
        <v>166.13</v>
      </c>
      <c r="R301" s="107">
        <f>IF(D301&lt;15,(Valores!$E$4*D301),Valores!$D$4)</f>
        <v>205.10999999999999</v>
      </c>
      <c r="S301" s="91">
        <v>0</v>
      </c>
      <c r="T301" s="94">
        <f>IF(Valores!$C$45*D301&gt;Valores!$C$43,Valores!$C$43,Valores!$C$45*D301)</f>
        <v>53.01</v>
      </c>
      <c r="U301" s="107">
        <f>Valores!$C$22*D301</f>
        <v>58.58</v>
      </c>
      <c r="V301" s="91">
        <f t="shared" si="48"/>
        <v>58.58</v>
      </c>
      <c r="W301" s="91">
        <v>0</v>
      </c>
      <c r="X301" s="91">
        <v>0</v>
      </c>
      <c r="Y301" s="119">
        <v>0</v>
      </c>
      <c r="Z301" s="91">
        <f>Y301*Valores!$C$2</f>
        <v>0</v>
      </c>
      <c r="AA301" s="91">
        <v>0</v>
      </c>
      <c r="AB301" s="96">
        <f>IF((Valores!$C$32)*D301&gt;Valores!$F$32,Valores!$F$32,(Valores!$C$32)*D301)</f>
        <v>6.66</v>
      </c>
      <c r="AC301" s="91">
        <f t="shared" si="56"/>
        <v>0</v>
      </c>
      <c r="AD301" s="91">
        <f>IF(Valores!$C$33*D301&gt;Valores!$F$33,Valores!$F$33,Valores!$C$33*D301)</f>
        <v>5.54</v>
      </c>
      <c r="AE301" s="95">
        <v>0</v>
      </c>
      <c r="AF301" s="91">
        <f>INT(((AE301*Valores!$C$2)*100)+0.5)/100</f>
        <v>0</v>
      </c>
      <c r="AG301" s="91">
        <f>IF(Valores!$D$58*'Escala Docente'!D301&gt;Valores!$F$58,Valores!$F$58,Valores!$D$58*'Escala Docente'!D301)</f>
        <v>22.53</v>
      </c>
      <c r="AH301" s="91">
        <f>IF(Valores!$D$60*D301&gt;Valores!$F$60,Valores!$F$60,Valores!$D$60*D301)</f>
        <v>6.44</v>
      </c>
      <c r="AI301" s="115">
        <f t="shared" si="57"/>
        <v>1165.614</v>
      </c>
      <c r="AJ301" s="107">
        <f>IF(Valores!$C$36*D301&gt;Valores!$F$36,Valores!$F$36,Valores!$C$36*D301)</f>
        <v>44.42</v>
      </c>
      <c r="AK301" s="94">
        <f>IF(Valores!$C$11*D301&gt;Valores!$F$11,Valores!$F$11,Valores!$C$11*D301)</f>
        <v>0</v>
      </c>
      <c r="AL301" s="94">
        <f>IF(Valores!$C$84*D301&gt;Valores!$C$83,Valores!$C$83,Valores!$C$84*D301)</f>
        <v>75</v>
      </c>
      <c r="AM301" s="96">
        <f>IF(Valores!$C$57*D301&gt;Valores!$F$57,Valores!$F$57,Valores!$C$57*D301)</f>
        <v>9.44</v>
      </c>
      <c r="AN301" s="98">
        <f t="shared" si="58"/>
        <v>119.42</v>
      </c>
      <c r="AO301" s="116">
        <f>AI301*-Valores!$C$65</f>
        <v>-151.52982</v>
      </c>
      <c r="AP301" s="116">
        <f>AI301*-Valores!$C$66</f>
        <v>-5.8280700000000003</v>
      </c>
      <c r="AQ301" s="93">
        <f>AI301*-Valores!$C$67</f>
        <v>-52.452629999999999</v>
      </c>
      <c r="AR301" s="93">
        <f>AI301*-Valores!$C$68</f>
        <v>-31.471578000000001</v>
      </c>
      <c r="AS301" s="93">
        <f>AI301*-Valores!$C$69</f>
        <v>-3.496842</v>
      </c>
      <c r="AT301" s="97">
        <f t="shared" si="54"/>
        <v>1075.2234800000001</v>
      </c>
      <c r="AU301" s="97">
        <f t="shared" si="55"/>
        <v>1092.7076900000002</v>
      </c>
      <c r="AV301" s="93">
        <f>AI301*Valores!$C$71</f>
        <v>186.49824000000001</v>
      </c>
      <c r="AW301" s="93">
        <f>AI301*Valores!$C$72</f>
        <v>52.452629999999999</v>
      </c>
      <c r="AX301" s="93">
        <f>AI301*Valores!$C$73</f>
        <v>11.656140000000001</v>
      </c>
      <c r="AY301" s="93">
        <f>AI301*Valores!$C$75</f>
        <v>40.796490000000006</v>
      </c>
      <c r="AZ301" s="93">
        <f>AI301*Valores!$C$76</f>
        <v>6.993684</v>
      </c>
      <c r="BA301" s="93">
        <f t="shared" si="59"/>
        <v>62.943156000000009</v>
      </c>
      <c r="BB301" s="85"/>
      <c r="BC301" s="85">
        <f t="shared" si="60"/>
        <v>4</v>
      </c>
      <c r="BD301" s="86" t="s">
        <v>4</v>
      </c>
    </row>
    <row r="302" spans="1:56" s="27" customFormat="1" ht="11.25" customHeight="1" x14ac:dyDescent="0.2">
      <c r="A302" s="51">
        <v>301</v>
      </c>
      <c r="B302" s="51"/>
      <c r="C302" s="27" t="s">
        <v>525</v>
      </c>
      <c r="E302" s="27">
        <f t="shared" si="51"/>
        <v>32</v>
      </c>
      <c r="F302" s="71" t="s">
        <v>526</v>
      </c>
      <c r="G302" s="126">
        <v>220</v>
      </c>
      <c r="H302" s="73">
        <f>INT((G302*Valores!$C$2*100)+0.5)/100</f>
        <v>1513.2</v>
      </c>
      <c r="I302" s="112">
        <v>0</v>
      </c>
      <c r="J302" s="75">
        <f>INT((I302*Valores!$C$2*100)+0.5)/100</f>
        <v>0</v>
      </c>
      <c r="K302" s="102">
        <v>0</v>
      </c>
      <c r="L302" s="75">
        <f>INT((K302*Valores!$C$2*100)+0.5)/100</f>
        <v>0</v>
      </c>
      <c r="M302" s="100">
        <v>0</v>
      </c>
      <c r="N302" s="75">
        <f>INT((M302*Valores!$C$2*100)+0.5)/100</f>
        <v>0</v>
      </c>
      <c r="O302" s="75">
        <f t="shared" si="52"/>
        <v>0</v>
      </c>
      <c r="P302" s="75">
        <f t="shared" si="53"/>
        <v>0</v>
      </c>
      <c r="Q302" s="101">
        <v>0</v>
      </c>
      <c r="R302" s="101">
        <v>0</v>
      </c>
      <c r="S302" s="75">
        <v>0</v>
      </c>
      <c r="T302" s="78">
        <f>Valores!C46</f>
        <v>127.16</v>
      </c>
      <c r="U302" s="101">
        <v>0</v>
      </c>
      <c r="V302" s="75">
        <f t="shared" ref="V302:V327" si="62">U302*(1+$J$2)</f>
        <v>0</v>
      </c>
      <c r="W302" s="75">
        <v>0</v>
      </c>
      <c r="X302" s="75">
        <v>0</v>
      </c>
      <c r="Y302" s="118">
        <v>0</v>
      </c>
      <c r="Z302" s="75">
        <v>0</v>
      </c>
      <c r="AA302" s="75">
        <v>0</v>
      </c>
      <c r="AB302" s="80">
        <v>0</v>
      </c>
      <c r="AC302" s="75">
        <f t="shared" si="56"/>
        <v>0</v>
      </c>
      <c r="AD302" s="75">
        <v>0</v>
      </c>
      <c r="AE302" s="79">
        <v>0</v>
      </c>
      <c r="AF302" s="75">
        <f>INT(((AE302*Valores!$C$2)*100)+0.5)/100</f>
        <v>0</v>
      </c>
      <c r="AG302" s="75">
        <f>Valores!C59</f>
        <v>45.06</v>
      </c>
      <c r="AH302" s="75">
        <f>Valores!C61</f>
        <v>12.87</v>
      </c>
      <c r="AI302" s="114">
        <f t="shared" si="57"/>
        <v>1698.29</v>
      </c>
      <c r="AJ302" s="114"/>
      <c r="AK302" s="78">
        <f>Valores!C12</f>
        <v>0</v>
      </c>
      <c r="AL302" s="78">
        <f>Valores!$C$85</f>
        <v>150</v>
      </c>
      <c r="AM302" s="80">
        <v>0</v>
      </c>
      <c r="AN302" s="82">
        <f t="shared" si="58"/>
        <v>150</v>
      </c>
      <c r="AO302" s="61">
        <f>AI302*-Valores!$C$65</f>
        <v>-220.77770000000001</v>
      </c>
      <c r="AP302" s="61">
        <f>AI302*-Valores!$C$66</f>
        <v>-8.4914500000000004</v>
      </c>
      <c r="AQ302" s="77">
        <f>AI302*-Valores!$C$67</f>
        <v>-76.423049999999989</v>
      </c>
      <c r="AR302" s="77">
        <f>AI302*-Valores!$C$68</f>
        <v>-45.853829999999995</v>
      </c>
      <c r="AS302" s="77">
        <f>AI302*-Valores!$C$69</f>
        <v>-5.0948700000000002</v>
      </c>
      <c r="AT302" s="81">
        <f t="shared" si="54"/>
        <v>1542.5978</v>
      </c>
      <c r="AU302" s="81">
        <f t="shared" si="55"/>
        <v>1568.07215</v>
      </c>
      <c r="AV302" s="77">
        <f>AI302*Valores!$C$71</f>
        <v>271.72640000000001</v>
      </c>
      <c r="AW302" s="77">
        <f>AI302*Valores!$C$72</f>
        <v>76.423049999999989</v>
      </c>
      <c r="AX302" s="77">
        <f>AI302*Valores!$C$73</f>
        <v>16.982900000000001</v>
      </c>
      <c r="AY302" s="77">
        <f>AI302*Valores!$C$75</f>
        <v>59.440150000000003</v>
      </c>
      <c r="AZ302" s="77">
        <f>AI302*Valores!$C$76</f>
        <v>10.18974</v>
      </c>
      <c r="BA302" s="77">
        <f t="shared" si="59"/>
        <v>91.70765999999999</v>
      </c>
      <c r="BB302" s="51"/>
      <c r="BC302" s="51"/>
      <c r="BD302" s="27" t="s">
        <v>4</v>
      </c>
    </row>
    <row r="303" spans="1:56" ht="11.25" customHeight="1" x14ac:dyDescent="0.25">
      <c r="A303" s="51">
        <v>302</v>
      </c>
      <c r="B303" s="51"/>
      <c r="C303" s="127"/>
      <c r="D303" s="128">
        <v>1</v>
      </c>
      <c r="E303" s="128">
        <f t="shared" si="51"/>
        <v>28</v>
      </c>
      <c r="F303" s="53" t="s">
        <v>527</v>
      </c>
      <c r="G303" s="126">
        <v>700</v>
      </c>
      <c r="H303" s="73">
        <f>INT((G303*Valores!$C$2*100)+0.5)/100</f>
        <v>4814.74</v>
      </c>
      <c r="I303" s="112">
        <v>0</v>
      </c>
      <c r="J303" s="75">
        <f>INT((I303*Valores!$C$2*100)+0.5)/100</f>
        <v>0</v>
      </c>
      <c r="K303" s="102">
        <v>0</v>
      </c>
      <c r="L303" s="75">
        <f>INT((K303*Valores!$C$2*100)+0.5)/100</f>
        <v>0</v>
      </c>
      <c r="M303" s="100">
        <v>0</v>
      </c>
      <c r="N303" s="75">
        <f>INT((M303*Valores!$C$2*100)+0.5)/100</f>
        <v>0</v>
      </c>
      <c r="O303" s="75">
        <f t="shared" si="52"/>
        <v>841.48349999999994</v>
      </c>
      <c r="P303" s="75">
        <f t="shared" si="53"/>
        <v>0</v>
      </c>
      <c r="Q303" s="101">
        <v>0</v>
      </c>
      <c r="R303" s="101">
        <v>0</v>
      </c>
      <c r="S303" s="75">
        <v>0</v>
      </c>
      <c r="T303" s="78">
        <f>Valores!$C$45*15</f>
        <v>795.15</v>
      </c>
      <c r="U303" s="101">
        <v>0</v>
      </c>
      <c r="V303" s="75">
        <f t="shared" si="62"/>
        <v>0</v>
      </c>
      <c r="W303" s="75">
        <v>0</v>
      </c>
      <c r="X303" s="75">
        <v>0</v>
      </c>
      <c r="Y303" s="118">
        <v>0</v>
      </c>
      <c r="Z303" s="75">
        <v>0</v>
      </c>
      <c r="AA303" s="75">
        <v>0</v>
      </c>
      <c r="AB303" s="80">
        <v>0</v>
      </c>
      <c r="AC303" s="75">
        <f t="shared" si="56"/>
        <v>0</v>
      </c>
      <c r="AD303" s="75">
        <v>0</v>
      </c>
      <c r="AE303" s="79">
        <v>0</v>
      </c>
      <c r="AF303" s="75">
        <f>INT(((AE303*Valores!$C$2)*100)+0.5)/100</f>
        <v>0</v>
      </c>
      <c r="AG303" s="75"/>
      <c r="AH303" s="75"/>
      <c r="AI303" s="114">
        <f t="shared" si="57"/>
        <v>6451.3734999999997</v>
      </c>
      <c r="AJ303" s="114"/>
      <c r="AK303" s="78">
        <f>Valores!$C$11*15</f>
        <v>0</v>
      </c>
      <c r="AL303" s="78">
        <v>0</v>
      </c>
      <c r="AM303" s="80">
        <v>0</v>
      </c>
      <c r="AN303" s="82">
        <f t="shared" si="58"/>
        <v>0</v>
      </c>
      <c r="AO303" s="61">
        <f>AI303*-Valores!$C$65</f>
        <v>-838.67855499999996</v>
      </c>
      <c r="AP303" s="61">
        <f>AI303*-Valores!$C$66</f>
        <v>-32.256867499999998</v>
      </c>
      <c r="AQ303" s="77">
        <f>AI303*-Valores!$C$67</f>
        <v>-290.31180749999999</v>
      </c>
      <c r="AR303" s="77">
        <f>AI303*-Valores!$C$68</f>
        <v>-174.1870845</v>
      </c>
      <c r="AS303" s="77">
        <f>AI303*-Valores!$C$69</f>
        <v>-19.354120500000001</v>
      </c>
      <c r="AT303" s="81">
        <f t="shared" si="54"/>
        <v>5290.1262699999988</v>
      </c>
      <c r="AU303" s="81">
        <f t="shared" si="55"/>
        <v>5386.8968724999995</v>
      </c>
      <c r="AV303" s="77">
        <f>AI303*Valores!$C$71</f>
        <v>1032.21976</v>
      </c>
      <c r="AW303" s="77">
        <f>AI303*Valores!$C$72</f>
        <v>290.31180749999999</v>
      </c>
      <c r="AX303" s="77">
        <f>AI303*Valores!$C$73</f>
        <v>64.513734999999997</v>
      </c>
      <c r="AY303" s="77">
        <f>AI303*Valores!$C$75</f>
        <v>225.79807250000002</v>
      </c>
      <c r="AZ303" s="77">
        <f>AI303*Valores!$C$76</f>
        <v>38.708241000000001</v>
      </c>
      <c r="BA303" s="77">
        <f t="shared" si="59"/>
        <v>348.37416900000005</v>
      </c>
      <c r="BD303" s="27" t="s">
        <v>4</v>
      </c>
    </row>
    <row r="304" spans="1:56" ht="11.25" customHeight="1" x14ac:dyDescent="0.25">
      <c r="A304" s="51">
        <v>303</v>
      </c>
      <c r="B304" s="51"/>
      <c r="C304" s="15"/>
      <c r="D304" s="128">
        <v>1</v>
      </c>
      <c r="E304" s="128">
        <f t="shared" si="51"/>
        <v>28</v>
      </c>
      <c r="F304" s="53" t="s">
        <v>528</v>
      </c>
      <c r="G304" s="126">
        <v>500</v>
      </c>
      <c r="H304" s="73">
        <f>INT((G304*Valores!$C$2*100)+0.5)/100</f>
        <v>3439.1</v>
      </c>
      <c r="I304" s="112">
        <v>0</v>
      </c>
      <c r="J304" s="75">
        <f>INT((I304*Valores!$C$2*100)+0.5)/100</f>
        <v>0</v>
      </c>
      <c r="K304" s="102">
        <v>0</v>
      </c>
      <c r="L304" s="75">
        <f>INT((K304*Valores!$C$2*100)+0.5)/100</f>
        <v>0</v>
      </c>
      <c r="M304" s="100">
        <v>0</v>
      </c>
      <c r="N304" s="75">
        <f>INT((M304*Valores!$C$2*100)+0.5)/100</f>
        <v>0</v>
      </c>
      <c r="O304" s="75">
        <f t="shared" si="52"/>
        <v>595.38</v>
      </c>
      <c r="P304" s="75">
        <f t="shared" si="53"/>
        <v>0</v>
      </c>
      <c r="Q304" s="101">
        <v>0</v>
      </c>
      <c r="R304" s="101">
        <v>0</v>
      </c>
      <c r="S304" s="75">
        <v>0</v>
      </c>
      <c r="T304" s="78">
        <f>Valores!$C$45*10</f>
        <v>530.1</v>
      </c>
      <c r="U304" s="78">
        <v>0</v>
      </c>
      <c r="V304" s="75">
        <f t="shared" si="62"/>
        <v>0</v>
      </c>
      <c r="W304" s="75">
        <v>0</v>
      </c>
      <c r="X304" s="75">
        <v>0</v>
      </c>
      <c r="Y304" s="118">
        <v>0</v>
      </c>
      <c r="Z304" s="75">
        <v>0</v>
      </c>
      <c r="AA304" s="75">
        <v>0</v>
      </c>
      <c r="AB304" s="80">
        <v>0</v>
      </c>
      <c r="AC304" s="75">
        <f t="shared" si="56"/>
        <v>0</v>
      </c>
      <c r="AD304" s="75">
        <v>0</v>
      </c>
      <c r="AE304" s="79">
        <v>0</v>
      </c>
      <c r="AF304" s="75">
        <f>INT(((AE304*Valores!$C$2)*100)+0.5)/100</f>
        <v>0</v>
      </c>
      <c r="AG304" s="75"/>
      <c r="AH304" s="75"/>
      <c r="AI304" s="114">
        <f t="shared" si="57"/>
        <v>4564.58</v>
      </c>
      <c r="AJ304" s="114"/>
      <c r="AK304" s="78">
        <f>Valores!$C$11*10</f>
        <v>0</v>
      </c>
      <c r="AL304" s="78">
        <v>0</v>
      </c>
      <c r="AM304" s="80">
        <v>0</v>
      </c>
      <c r="AN304" s="82">
        <f t="shared" si="58"/>
        <v>0</v>
      </c>
      <c r="AO304" s="61">
        <f>AI304*-Valores!$C$65</f>
        <v>-593.3954</v>
      </c>
      <c r="AP304" s="61">
        <f>AI304*-Valores!$C$66</f>
        <v>-22.822900000000001</v>
      </c>
      <c r="AQ304" s="77">
        <f>AI304*-Valores!$C$67</f>
        <v>-205.40609999999998</v>
      </c>
      <c r="AR304" s="77">
        <f>AI304*-Valores!$C$68</f>
        <v>-123.24365999999999</v>
      </c>
      <c r="AS304" s="77">
        <f>AI304*-Valores!$C$69</f>
        <v>-13.69374</v>
      </c>
      <c r="AT304" s="81">
        <f t="shared" si="54"/>
        <v>3742.9555999999998</v>
      </c>
      <c r="AU304" s="81">
        <f t="shared" si="55"/>
        <v>3811.4242999999997</v>
      </c>
      <c r="AV304" s="77">
        <f>AI304*Valores!$C$71</f>
        <v>730.33280000000002</v>
      </c>
      <c r="AW304" s="77">
        <f>AI304*Valores!$C$72</f>
        <v>205.40609999999998</v>
      </c>
      <c r="AX304" s="77">
        <f>AI304*Valores!$C$73</f>
        <v>45.645800000000001</v>
      </c>
      <c r="AY304" s="77">
        <f>AI304*Valores!$C$75</f>
        <v>159.7603</v>
      </c>
      <c r="AZ304" s="77">
        <f>AI304*Valores!$C$76</f>
        <v>27.38748</v>
      </c>
      <c r="BA304" s="77">
        <f t="shared" si="59"/>
        <v>246.48732000000001</v>
      </c>
      <c r="BC304" s="129"/>
      <c r="BD304" s="27" t="s">
        <v>4</v>
      </c>
    </row>
    <row r="305" spans="1:56" ht="11.25" customHeight="1" x14ac:dyDescent="0.25">
      <c r="A305" s="51">
        <v>304</v>
      </c>
      <c r="B305" s="51"/>
      <c r="D305" s="128">
        <v>1</v>
      </c>
      <c r="E305" s="128">
        <f t="shared" si="51"/>
        <v>28</v>
      </c>
      <c r="F305" s="53" t="s">
        <v>529</v>
      </c>
      <c r="G305" s="126">
        <v>300</v>
      </c>
      <c r="H305" s="73">
        <f>INT((G305*Valores!$C$2*100)+0.5)/100</f>
        <v>2063.46</v>
      </c>
      <c r="I305" s="112">
        <v>0</v>
      </c>
      <c r="J305" s="75">
        <f>INT((I305*Valores!$C$2*100)+0.5)/100</f>
        <v>0</v>
      </c>
      <c r="K305" s="102">
        <v>0</v>
      </c>
      <c r="L305" s="75">
        <f>INT((K305*Valores!$C$2*100)+0.5)/100</f>
        <v>0</v>
      </c>
      <c r="M305" s="100">
        <v>0</v>
      </c>
      <c r="N305" s="75">
        <f>INT((M305*Valores!$C$2*100)+0.5)/100</f>
        <v>0</v>
      </c>
      <c r="O305" s="75">
        <f t="shared" si="52"/>
        <v>349.2765</v>
      </c>
      <c r="P305" s="75">
        <f t="shared" si="53"/>
        <v>0</v>
      </c>
      <c r="Q305" s="101">
        <v>0</v>
      </c>
      <c r="R305" s="101">
        <v>0</v>
      </c>
      <c r="S305" s="75">
        <v>0</v>
      </c>
      <c r="T305" s="78">
        <f>Valores!$C$45*5</f>
        <v>265.05</v>
      </c>
      <c r="U305" s="101">
        <v>0</v>
      </c>
      <c r="V305" s="75">
        <f t="shared" si="62"/>
        <v>0</v>
      </c>
      <c r="W305" s="75">
        <v>0</v>
      </c>
      <c r="X305" s="75">
        <v>0</v>
      </c>
      <c r="Y305" s="118">
        <v>0</v>
      </c>
      <c r="Z305" s="75">
        <v>0</v>
      </c>
      <c r="AA305" s="75">
        <v>0</v>
      </c>
      <c r="AB305" s="80">
        <v>0</v>
      </c>
      <c r="AC305" s="75">
        <f t="shared" si="56"/>
        <v>0</v>
      </c>
      <c r="AD305" s="75">
        <v>0</v>
      </c>
      <c r="AE305" s="79">
        <v>0</v>
      </c>
      <c r="AF305" s="75">
        <f>INT(((AE305*Valores!$C$2)*100)+0.5)/100</f>
        <v>0</v>
      </c>
      <c r="AG305" s="75"/>
      <c r="AH305" s="75"/>
      <c r="AI305" s="114">
        <f t="shared" si="57"/>
        <v>2677.7865000000002</v>
      </c>
      <c r="AJ305" s="114"/>
      <c r="AK305" s="78">
        <f>Valores!$C$11*5</f>
        <v>0</v>
      </c>
      <c r="AL305" s="78">
        <v>0</v>
      </c>
      <c r="AM305" s="80">
        <v>0</v>
      </c>
      <c r="AN305" s="82">
        <f t="shared" si="58"/>
        <v>0</v>
      </c>
      <c r="AO305" s="61">
        <f>AI305*-Valores!$C$65</f>
        <v>-348.11224500000003</v>
      </c>
      <c r="AP305" s="61">
        <f>AI305*-Valores!$C$66</f>
        <v>-13.388932500000001</v>
      </c>
      <c r="AQ305" s="77">
        <f>AI305*-Valores!$C$67</f>
        <v>-120.5003925</v>
      </c>
      <c r="AR305" s="77">
        <f>AI305*-Valores!$C$68</f>
        <v>-72.300235499999999</v>
      </c>
      <c r="AS305" s="77">
        <f>AI305*-Valores!$C$69</f>
        <v>-8.0333595000000013</v>
      </c>
      <c r="AT305" s="81">
        <f t="shared" si="54"/>
        <v>2195.7849299999998</v>
      </c>
      <c r="AU305" s="81">
        <f t="shared" si="55"/>
        <v>2235.9517274999998</v>
      </c>
      <c r="AV305" s="77">
        <f>AI305*Valores!$C$71</f>
        <v>428.44584000000003</v>
      </c>
      <c r="AW305" s="77">
        <f>AI305*Valores!$C$72</f>
        <v>120.5003925</v>
      </c>
      <c r="AX305" s="77">
        <f>AI305*Valores!$C$73</f>
        <v>26.777865000000002</v>
      </c>
      <c r="AY305" s="77">
        <f>AI305*Valores!$C$75</f>
        <v>93.722527500000012</v>
      </c>
      <c r="AZ305" s="77">
        <f>AI305*Valores!$C$76</f>
        <v>16.066719000000003</v>
      </c>
      <c r="BA305" s="77">
        <f t="shared" si="59"/>
        <v>144.60047100000003</v>
      </c>
      <c r="BD305" s="27" t="s">
        <v>4</v>
      </c>
    </row>
    <row r="306" spans="1:56" ht="11.25" customHeight="1" x14ac:dyDescent="0.25">
      <c r="A306" s="85">
        <v>305</v>
      </c>
      <c r="B306" s="85" t="s">
        <v>163</v>
      </c>
      <c r="C306" s="129"/>
      <c r="D306" s="130">
        <v>1</v>
      </c>
      <c r="E306" s="130">
        <f t="shared" si="51"/>
        <v>25</v>
      </c>
      <c r="F306" s="131" t="s">
        <v>530</v>
      </c>
      <c r="G306" s="132">
        <v>155</v>
      </c>
      <c r="H306" s="89">
        <f>INT((G306*Valores!$C$2*100)+0.5)/100</f>
        <v>1066.1199999999999</v>
      </c>
      <c r="I306" s="103">
        <v>0</v>
      </c>
      <c r="J306" s="91">
        <f>INT((I306*Valores!$C$2*100)+0.5)/100</f>
        <v>0</v>
      </c>
      <c r="K306" s="104">
        <v>0</v>
      </c>
      <c r="L306" s="91">
        <f>INT((K306*Valores!$C$2*100)+0.5)/100</f>
        <v>0</v>
      </c>
      <c r="M306" s="105">
        <v>0</v>
      </c>
      <c r="N306" s="91">
        <f>INT((M306*Valores!$C$2*100)+0.5)/100</f>
        <v>0</v>
      </c>
      <c r="O306" s="91">
        <f t="shared" si="52"/>
        <v>167.86949999999999</v>
      </c>
      <c r="P306" s="91">
        <f t="shared" si="53"/>
        <v>0</v>
      </c>
      <c r="Q306" s="107">
        <v>0</v>
      </c>
      <c r="R306" s="107">
        <v>0</v>
      </c>
      <c r="S306" s="91">
        <v>0</v>
      </c>
      <c r="T306" s="94">
        <f>Valores!$C$45</f>
        <v>53.01</v>
      </c>
      <c r="U306" s="107">
        <v>0</v>
      </c>
      <c r="V306" s="91">
        <f t="shared" si="62"/>
        <v>0</v>
      </c>
      <c r="W306" s="91">
        <v>0</v>
      </c>
      <c r="X306" s="91">
        <v>0</v>
      </c>
      <c r="Y306" s="119">
        <v>0</v>
      </c>
      <c r="Z306" s="91">
        <v>0</v>
      </c>
      <c r="AA306" s="91">
        <v>0</v>
      </c>
      <c r="AB306" s="96">
        <v>0</v>
      </c>
      <c r="AC306" s="91">
        <f t="shared" si="56"/>
        <v>0</v>
      </c>
      <c r="AD306" s="91">
        <v>0</v>
      </c>
      <c r="AE306" s="95">
        <v>0</v>
      </c>
      <c r="AF306" s="91">
        <f>INT(((AE306*Valores!$C$2)*100)+0.5)/100</f>
        <v>0</v>
      </c>
      <c r="AG306" s="91"/>
      <c r="AH306" s="91"/>
      <c r="AI306" s="115">
        <f t="shared" si="57"/>
        <v>1286.9994999999999</v>
      </c>
      <c r="AJ306" s="115"/>
      <c r="AK306" s="94">
        <f>Valores!$C$11*1</f>
        <v>0</v>
      </c>
      <c r="AL306" s="94">
        <v>0</v>
      </c>
      <c r="AM306" s="96">
        <v>0</v>
      </c>
      <c r="AN306" s="98">
        <f t="shared" si="58"/>
        <v>0</v>
      </c>
      <c r="AO306" s="116">
        <f>AI306*-Valores!$C$65</f>
        <v>-167.309935</v>
      </c>
      <c r="AP306" s="116">
        <f>AI306*-Valores!$C$66</f>
        <v>-6.4349974999999997</v>
      </c>
      <c r="AQ306" s="93">
        <f>AI306*-Valores!$C$67</f>
        <v>-57.914977499999992</v>
      </c>
      <c r="AR306" s="93">
        <f>AI306*-Valores!$C$68</f>
        <v>-34.748986499999994</v>
      </c>
      <c r="AS306" s="93">
        <f>AI306*-Valores!$C$69</f>
        <v>-3.8609984999999996</v>
      </c>
      <c r="AT306" s="97">
        <f t="shared" si="54"/>
        <v>1055.3395899999998</v>
      </c>
      <c r="AU306" s="97">
        <f t="shared" si="55"/>
        <v>1074.6445824999998</v>
      </c>
      <c r="AV306" s="93">
        <f>AI306*Valores!$C$71</f>
        <v>205.91991999999999</v>
      </c>
      <c r="AW306" s="93">
        <f>AI306*Valores!$C$72</f>
        <v>57.914977499999992</v>
      </c>
      <c r="AX306" s="93">
        <f>AI306*Valores!$C$73</f>
        <v>12.869994999999999</v>
      </c>
      <c r="AY306" s="93">
        <f>AI306*Valores!$C$75</f>
        <v>45.044982500000003</v>
      </c>
      <c r="AZ306" s="93">
        <f>AI306*Valores!$C$76</f>
        <v>7.7219969999999991</v>
      </c>
      <c r="BA306" s="93">
        <f t="shared" si="59"/>
        <v>69.497973000000002</v>
      </c>
      <c r="BB306" s="129"/>
      <c r="BC306" s="129"/>
      <c r="BD306" s="86"/>
    </row>
    <row r="307" spans="1:56" ht="11.25" customHeight="1" x14ac:dyDescent="0.25">
      <c r="A307" s="51">
        <v>306</v>
      </c>
      <c r="B307" s="51"/>
      <c r="D307" s="128">
        <v>1</v>
      </c>
      <c r="E307" s="128">
        <f t="shared" si="51"/>
        <v>26</v>
      </c>
      <c r="F307" s="53" t="s">
        <v>531</v>
      </c>
      <c r="G307" s="126">
        <f t="shared" ref="G307:G321" si="63">155+G306</f>
        <v>310</v>
      </c>
      <c r="H307" s="73">
        <f>INT((G307*Valores!$C$2*100)+0.5)/100</f>
        <v>2132.2399999999998</v>
      </c>
      <c r="I307" s="112">
        <v>0</v>
      </c>
      <c r="J307" s="75">
        <f>INT((I307*Valores!$C$2*100)+0.5)/100</f>
        <v>0</v>
      </c>
      <c r="K307" s="102">
        <v>0</v>
      </c>
      <c r="L307" s="75">
        <f>INT((K307*Valores!$C$2*100)+0.5)/100</f>
        <v>0</v>
      </c>
      <c r="M307" s="100">
        <v>0</v>
      </c>
      <c r="N307" s="75">
        <f>INT((M307*Valores!$C$2*100)+0.5)/100</f>
        <v>0</v>
      </c>
      <c r="O307" s="75">
        <f t="shared" si="52"/>
        <v>335.73899999999998</v>
      </c>
      <c r="P307" s="75">
        <f t="shared" si="53"/>
        <v>0</v>
      </c>
      <c r="Q307" s="101">
        <v>0</v>
      </c>
      <c r="R307" s="101">
        <v>0</v>
      </c>
      <c r="S307" s="75">
        <v>0</v>
      </c>
      <c r="T307" s="78">
        <f>Valores!$C$45+T306</f>
        <v>106.02</v>
      </c>
      <c r="U307" s="101">
        <v>0</v>
      </c>
      <c r="V307" s="75">
        <f t="shared" si="62"/>
        <v>0</v>
      </c>
      <c r="W307" s="75">
        <v>0</v>
      </c>
      <c r="X307" s="75">
        <v>0</v>
      </c>
      <c r="Y307" s="118">
        <v>0</v>
      </c>
      <c r="Z307" s="75">
        <v>0</v>
      </c>
      <c r="AA307" s="75">
        <v>0</v>
      </c>
      <c r="AB307" s="80">
        <v>0</v>
      </c>
      <c r="AC307" s="75">
        <f t="shared" si="56"/>
        <v>0</v>
      </c>
      <c r="AD307" s="75">
        <v>0</v>
      </c>
      <c r="AE307" s="79">
        <v>0</v>
      </c>
      <c r="AF307" s="75">
        <f>INT(((AE307*Valores!$C$2)*100)+0.5)/100</f>
        <v>0</v>
      </c>
      <c r="AG307" s="75"/>
      <c r="AH307" s="75"/>
      <c r="AI307" s="114">
        <f t="shared" si="57"/>
        <v>2573.9989999999998</v>
      </c>
      <c r="AJ307" s="114"/>
      <c r="AK307" s="78">
        <f>Valores!$C$11+AK306</f>
        <v>0</v>
      </c>
      <c r="AL307" s="78">
        <v>0</v>
      </c>
      <c r="AM307" s="80">
        <v>0</v>
      </c>
      <c r="AN307" s="82">
        <f t="shared" si="58"/>
        <v>0</v>
      </c>
      <c r="AO307" s="61">
        <f>AI307*-Valores!$C$65</f>
        <v>-334.61986999999999</v>
      </c>
      <c r="AP307" s="61">
        <f>AI307*-Valores!$C$66</f>
        <v>-12.869994999999999</v>
      </c>
      <c r="AQ307" s="77">
        <f>AI307*-Valores!$C$67</f>
        <v>-115.82995499999998</v>
      </c>
      <c r="AR307" s="77">
        <f>AI307*-Valores!$C$68</f>
        <v>-69.497972999999988</v>
      </c>
      <c r="AS307" s="77">
        <f>AI307*-Valores!$C$69</f>
        <v>-7.7219969999999991</v>
      </c>
      <c r="AT307" s="81">
        <f t="shared" si="54"/>
        <v>2110.6791799999996</v>
      </c>
      <c r="AU307" s="81">
        <f t="shared" si="55"/>
        <v>2149.2891649999997</v>
      </c>
      <c r="AV307" s="77">
        <f>AI307*Valores!$C$71</f>
        <v>411.83983999999998</v>
      </c>
      <c r="AW307" s="77">
        <f>AI307*Valores!$C$72</f>
        <v>115.82995499999998</v>
      </c>
      <c r="AX307" s="77">
        <f>AI307*Valores!$C$73</f>
        <v>25.739989999999999</v>
      </c>
      <c r="AY307" s="77">
        <f>AI307*Valores!$C$75</f>
        <v>90.089965000000007</v>
      </c>
      <c r="AZ307" s="77">
        <f>AI307*Valores!$C$76</f>
        <v>15.443993999999998</v>
      </c>
      <c r="BA307" s="77">
        <f t="shared" si="59"/>
        <v>138.995946</v>
      </c>
    </row>
    <row r="308" spans="1:56" ht="11.25" customHeight="1" x14ac:dyDescent="0.25">
      <c r="A308" s="51">
        <v>307</v>
      </c>
      <c r="B308" s="51"/>
      <c r="D308" s="128">
        <v>1</v>
      </c>
      <c r="E308" s="128">
        <f t="shared" si="51"/>
        <v>26</v>
      </c>
      <c r="F308" s="53" t="s">
        <v>532</v>
      </c>
      <c r="G308" s="126">
        <f t="shared" si="63"/>
        <v>465</v>
      </c>
      <c r="H308" s="73">
        <f>INT((G308*Valores!$C$2*100)+0.5)/100</f>
        <v>3198.36</v>
      </c>
      <c r="I308" s="112">
        <v>0</v>
      </c>
      <c r="J308" s="75">
        <f>INT((I308*Valores!$C$2*100)+0.5)/100</f>
        <v>0</v>
      </c>
      <c r="K308" s="102">
        <v>0</v>
      </c>
      <c r="L308" s="75">
        <f>INT((K308*Valores!$C$2*100)+0.5)/100</f>
        <v>0</v>
      </c>
      <c r="M308" s="100">
        <v>0</v>
      </c>
      <c r="N308" s="75">
        <f>INT((M308*Valores!$C$2*100)+0.5)/100</f>
        <v>0</v>
      </c>
      <c r="O308" s="75">
        <f t="shared" si="52"/>
        <v>503.60850000000005</v>
      </c>
      <c r="P308" s="75">
        <f t="shared" si="53"/>
        <v>0</v>
      </c>
      <c r="Q308" s="101">
        <v>0</v>
      </c>
      <c r="R308" s="101">
        <v>0</v>
      </c>
      <c r="S308" s="75">
        <v>0</v>
      </c>
      <c r="T308" s="78">
        <f>Valores!$C$45+T307</f>
        <v>159.03</v>
      </c>
      <c r="U308" s="101">
        <v>0</v>
      </c>
      <c r="V308" s="75">
        <f t="shared" si="62"/>
        <v>0</v>
      </c>
      <c r="W308" s="75">
        <v>0</v>
      </c>
      <c r="X308" s="75">
        <v>0</v>
      </c>
      <c r="Y308" s="118">
        <v>0</v>
      </c>
      <c r="Z308" s="75">
        <v>0</v>
      </c>
      <c r="AA308" s="75">
        <v>0</v>
      </c>
      <c r="AB308" s="80">
        <v>0</v>
      </c>
      <c r="AC308" s="75">
        <f t="shared" si="56"/>
        <v>0</v>
      </c>
      <c r="AD308" s="75">
        <v>0</v>
      </c>
      <c r="AE308" s="79">
        <v>0</v>
      </c>
      <c r="AF308" s="75">
        <f>INT(((AE308*Valores!$C$2)*100)+0.5)/100</f>
        <v>0</v>
      </c>
      <c r="AG308" s="75"/>
      <c r="AH308" s="75"/>
      <c r="AI308" s="114">
        <f t="shared" si="57"/>
        <v>3860.9985000000001</v>
      </c>
      <c r="AJ308" s="114"/>
      <c r="AK308" s="78">
        <f>Valores!$C$11+AK307</f>
        <v>0</v>
      </c>
      <c r="AL308" s="78">
        <v>0</v>
      </c>
      <c r="AM308" s="80">
        <v>0</v>
      </c>
      <c r="AN308" s="82">
        <f t="shared" si="58"/>
        <v>0</v>
      </c>
      <c r="AO308" s="61">
        <f>AI308*-Valores!$C$65</f>
        <v>-501.92980500000004</v>
      </c>
      <c r="AP308" s="61">
        <f>AI308*-Valores!$C$66</f>
        <v>-19.304992500000001</v>
      </c>
      <c r="AQ308" s="77">
        <f>AI308*-Valores!$C$67</f>
        <v>-173.7449325</v>
      </c>
      <c r="AR308" s="77">
        <f>AI308*-Valores!$C$68</f>
        <v>-104.2469595</v>
      </c>
      <c r="AS308" s="77">
        <f>AI308*-Valores!$C$69</f>
        <v>-11.582995500000001</v>
      </c>
      <c r="AT308" s="81">
        <f t="shared" si="54"/>
        <v>3166.0187700000001</v>
      </c>
      <c r="AU308" s="81">
        <f t="shared" si="55"/>
        <v>3223.9337474999998</v>
      </c>
      <c r="AV308" s="77">
        <f>AI308*Valores!$C$71</f>
        <v>617.75976000000003</v>
      </c>
      <c r="AW308" s="77">
        <f>AI308*Valores!$C$72</f>
        <v>173.7449325</v>
      </c>
      <c r="AX308" s="77">
        <f>AI308*Valores!$C$73</f>
        <v>38.609985000000002</v>
      </c>
      <c r="AY308" s="77">
        <f>AI308*Valores!$C$75</f>
        <v>135.13494750000001</v>
      </c>
      <c r="AZ308" s="77">
        <f>AI308*Valores!$C$76</f>
        <v>23.165991000000002</v>
      </c>
      <c r="BA308" s="77">
        <f t="shared" si="59"/>
        <v>208.49391900000003</v>
      </c>
    </row>
    <row r="309" spans="1:56" ht="11.25" customHeight="1" x14ac:dyDescent="0.25">
      <c r="A309" s="51">
        <v>308</v>
      </c>
      <c r="B309" s="51"/>
      <c r="D309" s="128">
        <v>1</v>
      </c>
      <c r="E309" s="128">
        <f t="shared" si="51"/>
        <v>26</v>
      </c>
      <c r="F309" s="53" t="s">
        <v>533</v>
      </c>
      <c r="G309" s="126">
        <f t="shared" si="63"/>
        <v>620</v>
      </c>
      <c r="H309" s="73">
        <f>INT((G309*Valores!$C$2*100)+0.5)/100</f>
        <v>4264.4799999999996</v>
      </c>
      <c r="I309" s="112">
        <v>0</v>
      </c>
      <c r="J309" s="75">
        <f>INT((I309*Valores!$C$2*100)+0.5)/100</f>
        <v>0</v>
      </c>
      <c r="K309" s="102">
        <v>0</v>
      </c>
      <c r="L309" s="75">
        <f>INT((K309*Valores!$C$2*100)+0.5)/100</f>
        <v>0</v>
      </c>
      <c r="M309" s="100">
        <v>0</v>
      </c>
      <c r="N309" s="75">
        <f>INT((M309*Valores!$C$2*100)+0.5)/100</f>
        <v>0</v>
      </c>
      <c r="O309" s="75">
        <f t="shared" si="52"/>
        <v>671.47799999999995</v>
      </c>
      <c r="P309" s="75">
        <f t="shared" si="53"/>
        <v>0</v>
      </c>
      <c r="Q309" s="101">
        <v>0</v>
      </c>
      <c r="R309" s="101">
        <v>0</v>
      </c>
      <c r="S309" s="75">
        <v>0</v>
      </c>
      <c r="T309" s="78">
        <f>Valores!$C$45+T308</f>
        <v>212.04</v>
      </c>
      <c r="U309" s="78">
        <v>0</v>
      </c>
      <c r="V309" s="75">
        <f t="shared" si="62"/>
        <v>0</v>
      </c>
      <c r="W309" s="75">
        <v>0</v>
      </c>
      <c r="X309" s="75">
        <v>0</v>
      </c>
      <c r="Y309" s="118">
        <v>0</v>
      </c>
      <c r="Z309" s="75">
        <v>0</v>
      </c>
      <c r="AA309" s="75">
        <v>0</v>
      </c>
      <c r="AB309" s="80">
        <v>0</v>
      </c>
      <c r="AC309" s="75">
        <f t="shared" si="56"/>
        <v>0</v>
      </c>
      <c r="AD309" s="75">
        <v>0</v>
      </c>
      <c r="AE309" s="79">
        <v>0</v>
      </c>
      <c r="AF309" s="75">
        <f>INT(((AE309*Valores!$C$2)*100)+0.5)/100</f>
        <v>0</v>
      </c>
      <c r="AG309" s="75"/>
      <c r="AH309" s="75"/>
      <c r="AI309" s="114">
        <f t="shared" si="57"/>
        <v>5147.9979999999996</v>
      </c>
      <c r="AJ309" s="114"/>
      <c r="AK309" s="78">
        <f>Valores!$C$11+AK308</f>
        <v>0</v>
      </c>
      <c r="AL309" s="78">
        <v>0</v>
      </c>
      <c r="AM309" s="80">
        <v>0</v>
      </c>
      <c r="AN309" s="82">
        <f t="shared" si="58"/>
        <v>0</v>
      </c>
      <c r="AO309" s="61">
        <f>AI309*-Valores!$C$65</f>
        <v>-669.23973999999998</v>
      </c>
      <c r="AP309" s="61">
        <f>AI309*-Valores!$C$66</f>
        <v>-25.739989999999999</v>
      </c>
      <c r="AQ309" s="77">
        <f>AI309*-Valores!$C$67</f>
        <v>-231.65990999999997</v>
      </c>
      <c r="AR309" s="77">
        <f>AI309*-Valores!$C$68</f>
        <v>-138.99594599999998</v>
      </c>
      <c r="AS309" s="77">
        <f>AI309*-Valores!$C$69</f>
        <v>-15.443993999999998</v>
      </c>
      <c r="AT309" s="81">
        <f t="shared" si="54"/>
        <v>4221.3583599999993</v>
      </c>
      <c r="AU309" s="81">
        <f t="shared" si="55"/>
        <v>4298.5783299999994</v>
      </c>
      <c r="AV309" s="77">
        <f>AI309*Valores!$C$71</f>
        <v>823.67967999999996</v>
      </c>
      <c r="AW309" s="77">
        <f>AI309*Valores!$C$72</f>
        <v>231.65990999999997</v>
      </c>
      <c r="AX309" s="77">
        <f>AI309*Valores!$C$73</f>
        <v>51.479979999999998</v>
      </c>
      <c r="AY309" s="77">
        <f>AI309*Valores!$C$75</f>
        <v>180.17993000000001</v>
      </c>
      <c r="AZ309" s="77">
        <f>AI309*Valores!$C$76</f>
        <v>30.887987999999996</v>
      </c>
      <c r="BA309" s="77">
        <f t="shared" si="59"/>
        <v>277.99189200000001</v>
      </c>
      <c r="BC309" s="129"/>
    </row>
    <row r="310" spans="1:56" ht="11.25" customHeight="1" x14ac:dyDescent="0.25">
      <c r="A310" s="51">
        <v>309</v>
      </c>
      <c r="B310" s="51"/>
      <c r="D310" s="128">
        <v>1</v>
      </c>
      <c r="E310" s="128">
        <f t="shared" si="51"/>
        <v>26</v>
      </c>
      <c r="F310" s="53" t="s">
        <v>534</v>
      </c>
      <c r="G310" s="126">
        <f t="shared" si="63"/>
        <v>775</v>
      </c>
      <c r="H310" s="73">
        <f>INT((G310*Valores!$C$2*100)+0.5)/100</f>
        <v>5330.61</v>
      </c>
      <c r="I310" s="112">
        <v>0</v>
      </c>
      <c r="J310" s="75">
        <f>INT((I310*Valores!$C$2*100)+0.5)/100</f>
        <v>0</v>
      </c>
      <c r="K310" s="102">
        <v>0</v>
      </c>
      <c r="L310" s="75">
        <f>INT((K310*Valores!$C$2*100)+0.5)/100</f>
        <v>0</v>
      </c>
      <c r="M310" s="100">
        <v>0</v>
      </c>
      <c r="N310" s="75">
        <f>INT((M310*Valores!$C$2*100)+0.5)/100</f>
        <v>0</v>
      </c>
      <c r="O310" s="75">
        <f t="shared" si="52"/>
        <v>839.34899999999993</v>
      </c>
      <c r="P310" s="75">
        <f t="shared" si="53"/>
        <v>0</v>
      </c>
      <c r="Q310" s="101">
        <v>0</v>
      </c>
      <c r="R310" s="101">
        <v>0</v>
      </c>
      <c r="S310" s="75">
        <v>0</v>
      </c>
      <c r="T310" s="78">
        <f>Valores!$C$45+T309</f>
        <v>265.05</v>
      </c>
      <c r="U310" s="101">
        <v>0</v>
      </c>
      <c r="V310" s="75">
        <f t="shared" si="62"/>
        <v>0</v>
      </c>
      <c r="W310" s="75">
        <v>0</v>
      </c>
      <c r="X310" s="75">
        <v>0</v>
      </c>
      <c r="Y310" s="118">
        <v>0</v>
      </c>
      <c r="Z310" s="75">
        <v>0</v>
      </c>
      <c r="AA310" s="75">
        <v>0</v>
      </c>
      <c r="AB310" s="80">
        <v>0</v>
      </c>
      <c r="AC310" s="75">
        <f t="shared" si="56"/>
        <v>0</v>
      </c>
      <c r="AD310" s="75">
        <v>0</v>
      </c>
      <c r="AE310" s="79">
        <v>0</v>
      </c>
      <c r="AF310" s="75">
        <f>INT(((AE310*Valores!$C$2)*100)+0.5)/100</f>
        <v>0</v>
      </c>
      <c r="AG310" s="75"/>
      <c r="AH310" s="75"/>
      <c r="AI310" s="114">
        <f t="shared" si="57"/>
        <v>6435.009</v>
      </c>
      <c r="AJ310" s="114"/>
      <c r="AK310" s="78">
        <f>Valores!$C$11+AK309</f>
        <v>0</v>
      </c>
      <c r="AL310" s="78">
        <v>0</v>
      </c>
      <c r="AM310" s="80">
        <v>0</v>
      </c>
      <c r="AN310" s="82">
        <f t="shared" si="58"/>
        <v>0</v>
      </c>
      <c r="AO310" s="61">
        <f>AI310*-Valores!$C$65</f>
        <v>-836.55117000000007</v>
      </c>
      <c r="AP310" s="61">
        <f>AI310*-Valores!$C$66</f>
        <v>-32.175044999999997</v>
      </c>
      <c r="AQ310" s="77">
        <f>AI310*-Valores!$C$67</f>
        <v>-289.57540499999999</v>
      </c>
      <c r="AR310" s="77">
        <f>AI310*-Valores!$C$68</f>
        <v>-173.74524299999999</v>
      </c>
      <c r="AS310" s="77">
        <f>AI310*-Valores!$C$69</f>
        <v>-19.305026999999999</v>
      </c>
      <c r="AT310" s="81">
        <f t="shared" si="54"/>
        <v>5276.7073800000007</v>
      </c>
      <c r="AU310" s="81">
        <f t="shared" si="55"/>
        <v>5373.2325149999997</v>
      </c>
      <c r="AV310" s="77">
        <f>AI310*Valores!$C$71</f>
        <v>1029.6014399999999</v>
      </c>
      <c r="AW310" s="77">
        <f>AI310*Valores!$C$72</f>
        <v>289.57540499999999</v>
      </c>
      <c r="AX310" s="77">
        <f>AI310*Valores!$C$73</f>
        <v>64.350089999999994</v>
      </c>
      <c r="AY310" s="77">
        <f>AI310*Valores!$C$75</f>
        <v>225.22531500000002</v>
      </c>
      <c r="AZ310" s="77">
        <f>AI310*Valores!$C$76</f>
        <v>38.610053999999998</v>
      </c>
      <c r="BA310" s="77">
        <f t="shared" si="59"/>
        <v>347.49048600000003</v>
      </c>
    </row>
    <row r="311" spans="1:56" ht="11.25" customHeight="1" x14ac:dyDescent="0.25">
      <c r="A311" s="85">
        <v>310</v>
      </c>
      <c r="B311" s="85" t="s">
        <v>163</v>
      </c>
      <c r="C311" s="133"/>
      <c r="D311" s="130">
        <v>1</v>
      </c>
      <c r="E311" s="130">
        <f t="shared" si="51"/>
        <v>26</v>
      </c>
      <c r="F311" s="131" t="s">
        <v>535</v>
      </c>
      <c r="G311" s="132">
        <f t="shared" si="63"/>
        <v>930</v>
      </c>
      <c r="H311" s="89">
        <f>INT((G311*Valores!$C$2*100)+0.5)/100</f>
        <v>6396.73</v>
      </c>
      <c r="I311" s="103">
        <v>0</v>
      </c>
      <c r="J311" s="91">
        <f>INT((I311*Valores!$C$2*100)+0.5)/100</f>
        <v>0</v>
      </c>
      <c r="K311" s="104">
        <v>0</v>
      </c>
      <c r="L311" s="91">
        <f>INT((K311*Valores!$C$2*100)+0.5)/100</f>
        <v>0</v>
      </c>
      <c r="M311" s="105">
        <v>0</v>
      </c>
      <c r="N311" s="91">
        <f>INT((M311*Valores!$C$2*100)+0.5)/100</f>
        <v>0</v>
      </c>
      <c r="O311" s="91">
        <f t="shared" si="52"/>
        <v>1007.2184999999999</v>
      </c>
      <c r="P311" s="91">
        <f t="shared" si="53"/>
        <v>0</v>
      </c>
      <c r="Q311" s="107">
        <v>0</v>
      </c>
      <c r="R311" s="107">
        <v>0</v>
      </c>
      <c r="S311" s="91">
        <v>0</v>
      </c>
      <c r="T311" s="94">
        <f>Valores!$C$45+T310</f>
        <v>318.06</v>
      </c>
      <c r="U311" s="107">
        <v>0</v>
      </c>
      <c r="V311" s="91">
        <f t="shared" si="62"/>
        <v>0</v>
      </c>
      <c r="W311" s="91">
        <v>0</v>
      </c>
      <c r="X311" s="91">
        <v>0</v>
      </c>
      <c r="Y311" s="119">
        <v>0</v>
      </c>
      <c r="Z311" s="91">
        <v>0</v>
      </c>
      <c r="AA311" s="91">
        <v>0</v>
      </c>
      <c r="AB311" s="96">
        <v>0</v>
      </c>
      <c r="AC311" s="91">
        <f t="shared" si="56"/>
        <v>0</v>
      </c>
      <c r="AD311" s="91">
        <v>0</v>
      </c>
      <c r="AE311" s="95">
        <v>0</v>
      </c>
      <c r="AF311" s="91">
        <f>INT(((AE311*Valores!$C$2)*100)+0.5)/100</f>
        <v>0</v>
      </c>
      <c r="AG311" s="91"/>
      <c r="AH311" s="91"/>
      <c r="AI311" s="115">
        <f t="shared" si="57"/>
        <v>7722.0084999999999</v>
      </c>
      <c r="AJ311" s="115"/>
      <c r="AK311" s="94">
        <f>Valores!$C$11+AK310</f>
        <v>0</v>
      </c>
      <c r="AL311" s="94">
        <v>0</v>
      </c>
      <c r="AM311" s="96">
        <v>0</v>
      </c>
      <c r="AN311" s="98">
        <f t="shared" si="58"/>
        <v>0</v>
      </c>
      <c r="AO311" s="116">
        <f>AI311*-Valores!$C$65</f>
        <v>-1003.8611050000001</v>
      </c>
      <c r="AP311" s="116">
        <f>AI311*-Valores!$C$66</f>
        <v>-38.610042499999999</v>
      </c>
      <c r="AQ311" s="93">
        <f>AI311*-Valores!$C$67</f>
        <v>-347.49038250000001</v>
      </c>
      <c r="AR311" s="93">
        <f>AI311*-Valores!$C$68</f>
        <v>-208.49422949999999</v>
      </c>
      <c r="AS311" s="93">
        <f>AI311*-Valores!$C$69</f>
        <v>-23.1660255</v>
      </c>
      <c r="AT311" s="97">
        <f t="shared" si="54"/>
        <v>6332.0469699999994</v>
      </c>
      <c r="AU311" s="97">
        <f t="shared" si="55"/>
        <v>6447.8770974999998</v>
      </c>
      <c r="AV311" s="93">
        <f>AI311*Valores!$C$71</f>
        <v>1235.52136</v>
      </c>
      <c r="AW311" s="93">
        <f>AI311*Valores!$C$72</f>
        <v>347.49038250000001</v>
      </c>
      <c r="AX311" s="93">
        <f>AI311*Valores!$C$73</f>
        <v>77.220084999999997</v>
      </c>
      <c r="AY311" s="93">
        <f>AI311*Valores!$C$75</f>
        <v>270.27029750000003</v>
      </c>
      <c r="AZ311" s="93">
        <f>AI311*Valores!$C$76</f>
        <v>46.332051</v>
      </c>
      <c r="BA311" s="93">
        <f t="shared" si="59"/>
        <v>416.98845899999998</v>
      </c>
      <c r="BB311" s="129"/>
      <c r="BC311" s="129"/>
      <c r="BD311" s="86"/>
    </row>
    <row r="312" spans="1:56" ht="11.25" customHeight="1" x14ac:dyDescent="0.25">
      <c r="A312" s="51">
        <v>311</v>
      </c>
      <c r="B312" s="51"/>
      <c r="D312" s="128">
        <v>1</v>
      </c>
      <c r="E312" s="128">
        <f t="shared" si="51"/>
        <v>26</v>
      </c>
      <c r="F312" s="53" t="s">
        <v>536</v>
      </c>
      <c r="G312" s="126">
        <f t="shared" si="63"/>
        <v>1085</v>
      </c>
      <c r="H312" s="73">
        <f>INT((G312*Valores!$C$2*100)+0.5)/100</f>
        <v>7462.85</v>
      </c>
      <c r="I312" s="112">
        <v>0</v>
      </c>
      <c r="J312" s="75">
        <f>INT((I312*Valores!$C$2*100)+0.5)/100</f>
        <v>0</v>
      </c>
      <c r="K312" s="102">
        <v>0</v>
      </c>
      <c r="L312" s="75">
        <f>INT((K312*Valores!$C$2*100)+0.5)/100</f>
        <v>0</v>
      </c>
      <c r="M312" s="100">
        <v>0</v>
      </c>
      <c r="N312" s="75">
        <f>INT((M312*Valores!$C$2*100)+0.5)/100</f>
        <v>0</v>
      </c>
      <c r="O312" s="75">
        <f t="shared" si="52"/>
        <v>1175.088</v>
      </c>
      <c r="P312" s="75">
        <f t="shared" si="53"/>
        <v>0</v>
      </c>
      <c r="Q312" s="101">
        <v>0</v>
      </c>
      <c r="R312" s="101">
        <v>0</v>
      </c>
      <c r="S312" s="75">
        <v>0</v>
      </c>
      <c r="T312" s="78">
        <f>Valores!$C$45+T311</f>
        <v>371.07</v>
      </c>
      <c r="U312" s="101">
        <v>0</v>
      </c>
      <c r="V312" s="75">
        <f t="shared" si="62"/>
        <v>0</v>
      </c>
      <c r="W312" s="75">
        <v>0</v>
      </c>
      <c r="X312" s="75">
        <v>0</v>
      </c>
      <c r="Y312" s="118">
        <v>0</v>
      </c>
      <c r="Z312" s="75">
        <v>0</v>
      </c>
      <c r="AA312" s="75">
        <v>0</v>
      </c>
      <c r="AB312" s="80">
        <v>0</v>
      </c>
      <c r="AC312" s="75">
        <f t="shared" si="56"/>
        <v>0</v>
      </c>
      <c r="AD312" s="75">
        <v>0</v>
      </c>
      <c r="AE312" s="79">
        <v>0</v>
      </c>
      <c r="AF312" s="75">
        <f>INT(((AE312*Valores!$C$2)*100)+0.5)/100</f>
        <v>0</v>
      </c>
      <c r="AG312" s="75"/>
      <c r="AH312" s="75"/>
      <c r="AI312" s="114">
        <f t="shared" si="57"/>
        <v>9009.0079999999998</v>
      </c>
      <c r="AJ312" s="114"/>
      <c r="AK312" s="78">
        <f>Valores!$C$11+AK311</f>
        <v>0</v>
      </c>
      <c r="AL312" s="78">
        <v>0</v>
      </c>
      <c r="AM312" s="80">
        <v>0</v>
      </c>
      <c r="AN312" s="82">
        <f t="shared" si="58"/>
        <v>0</v>
      </c>
      <c r="AO312" s="61">
        <f>AI312*-Valores!$C$65</f>
        <v>-1171.1710399999999</v>
      </c>
      <c r="AP312" s="61">
        <f>AI312*-Valores!$C$66</f>
        <v>-45.04504</v>
      </c>
      <c r="AQ312" s="77">
        <f>AI312*-Valores!$C$67</f>
        <v>-405.40535999999997</v>
      </c>
      <c r="AR312" s="77">
        <f>AI312*-Valores!$C$68</f>
        <v>-243.24321599999999</v>
      </c>
      <c r="AS312" s="77">
        <f>AI312*-Valores!$C$69</f>
        <v>-27.027024000000001</v>
      </c>
      <c r="AT312" s="81">
        <f t="shared" si="54"/>
        <v>7387.3865599999981</v>
      </c>
      <c r="AU312" s="81">
        <f t="shared" si="55"/>
        <v>7522.521679999998</v>
      </c>
      <c r="AV312" s="77">
        <f>AI312*Valores!$C$71</f>
        <v>1441.44128</v>
      </c>
      <c r="AW312" s="77">
        <f>AI312*Valores!$C$72</f>
        <v>405.40535999999997</v>
      </c>
      <c r="AX312" s="77">
        <f>AI312*Valores!$C$73</f>
        <v>90.09008</v>
      </c>
      <c r="AY312" s="77">
        <f>AI312*Valores!$C$75</f>
        <v>315.31528000000003</v>
      </c>
      <c r="AZ312" s="77">
        <f>AI312*Valores!$C$76</f>
        <v>54.054048000000002</v>
      </c>
      <c r="BA312" s="77">
        <f t="shared" si="59"/>
        <v>486.48643199999998</v>
      </c>
    </row>
    <row r="313" spans="1:56" ht="11.25" customHeight="1" x14ac:dyDescent="0.25">
      <c r="A313" s="51">
        <v>312</v>
      </c>
      <c r="B313" s="51"/>
      <c r="D313" s="128">
        <v>1</v>
      </c>
      <c r="E313" s="128">
        <f t="shared" si="51"/>
        <v>26</v>
      </c>
      <c r="F313" s="53" t="s">
        <v>537</v>
      </c>
      <c r="G313" s="126">
        <f t="shared" si="63"/>
        <v>1240</v>
      </c>
      <c r="H313" s="73">
        <f>INT((G313*Valores!$C$2*100)+0.5)/100</f>
        <v>8528.9699999999993</v>
      </c>
      <c r="I313" s="112">
        <v>0</v>
      </c>
      <c r="J313" s="75">
        <f>INT((I313*Valores!$C$2*100)+0.5)/100</f>
        <v>0</v>
      </c>
      <c r="K313" s="102">
        <v>0</v>
      </c>
      <c r="L313" s="75">
        <f>INT((K313*Valores!$C$2*100)+0.5)/100</f>
        <v>0</v>
      </c>
      <c r="M313" s="100">
        <v>0</v>
      </c>
      <c r="N313" s="75">
        <f>INT((M313*Valores!$C$2*100)+0.5)/100</f>
        <v>0</v>
      </c>
      <c r="O313" s="75">
        <f t="shared" si="52"/>
        <v>1342.9574999999998</v>
      </c>
      <c r="P313" s="75">
        <f t="shared" si="53"/>
        <v>0</v>
      </c>
      <c r="Q313" s="101">
        <v>0</v>
      </c>
      <c r="R313" s="101">
        <v>0</v>
      </c>
      <c r="S313" s="75">
        <v>0</v>
      </c>
      <c r="T313" s="78">
        <f>Valores!$C$45+T312</f>
        <v>424.08</v>
      </c>
      <c r="U313" s="101">
        <v>0</v>
      </c>
      <c r="V313" s="75">
        <f t="shared" si="62"/>
        <v>0</v>
      </c>
      <c r="W313" s="75">
        <v>0</v>
      </c>
      <c r="X313" s="75">
        <v>0</v>
      </c>
      <c r="Y313" s="118">
        <v>0</v>
      </c>
      <c r="Z313" s="75">
        <v>0</v>
      </c>
      <c r="AA313" s="75">
        <v>0</v>
      </c>
      <c r="AB313" s="80">
        <v>0</v>
      </c>
      <c r="AC313" s="75">
        <f t="shared" si="56"/>
        <v>0</v>
      </c>
      <c r="AD313" s="75">
        <v>0</v>
      </c>
      <c r="AE313" s="79">
        <v>0</v>
      </c>
      <c r="AF313" s="75">
        <f>INT(((AE313*Valores!$C$2)*100)+0.5)/100</f>
        <v>0</v>
      </c>
      <c r="AG313" s="75"/>
      <c r="AH313" s="75"/>
      <c r="AI313" s="114">
        <f t="shared" si="57"/>
        <v>10296.0075</v>
      </c>
      <c r="AJ313" s="114"/>
      <c r="AK313" s="78">
        <f>Valores!$C$11+AK312</f>
        <v>0</v>
      </c>
      <c r="AL313" s="78">
        <v>0</v>
      </c>
      <c r="AM313" s="80">
        <v>0</v>
      </c>
      <c r="AN313" s="82">
        <f t="shared" si="58"/>
        <v>0</v>
      </c>
      <c r="AO313" s="61">
        <f>AI313*-Valores!$C$65</f>
        <v>-1338.4809749999999</v>
      </c>
      <c r="AP313" s="61">
        <f>AI313*-Valores!$C$66</f>
        <v>-51.480037500000002</v>
      </c>
      <c r="AQ313" s="77">
        <f>AI313*-Valores!$C$67</f>
        <v>-463.32033749999999</v>
      </c>
      <c r="AR313" s="77">
        <f>AI313*-Valores!$C$68</f>
        <v>-277.99220249999996</v>
      </c>
      <c r="AS313" s="77">
        <f>AI313*-Valores!$C$69</f>
        <v>-30.888022499999998</v>
      </c>
      <c r="AT313" s="81">
        <f t="shared" si="54"/>
        <v>8442.7261500000004</v>
      </c>
      <c r="AU313" s="81">
        <f t="shared" si="55"/>
        <v>8597.1662625000008</v>
      </c>
      <c r="AV313" s="77">
        <f>AI313*Valores!$C$71</f>
        <v>1647.3612000000001</v>
      </c>
      <c r="AW313" s="77">
        <f>AI313*Valores!$C$72</f>
        <v>463.32033749999999</v>
      </c>
      <c r="AX313" s="77">
        <f>AI313*Valores!$C$73</f>
        <v>102.960075</v>
      </c>
      <c r="AY313" s="77">
        <f>AI313*Valores!$C$75</f>
        <v>360.36026250000003</v>
      </c>
      <c r="AZ313" s="77">
        <f>AI313*Valores!$C$76</f>
        <v>61.776044999999996</v>
      </c>
      <c r="BA313" s="77">
        <f t="shared" si="59"/>
        <v>555.98440500000004</v>
      </c>
    </row>
    <row r="314" spans="1:56" ht="11.25" customHeight="1" x14ac:dyDescent="0.25">
      <c r="A314" s="51">
        <v>313</v>
      </c>
      <c r="B314" s="51"/>
      <c r="D314" s="128">
        <v>1</v>
      </c>
      <c r="E314" s="128">
        <f t="shared" si="51"/>
        <v>26</v>
      </c>
      <c r="F314" s="53" t="s">
        <v>538</v>
      </c>
      <c r="G314" s="126">
        <f t="shared" si="63"/>
        <v>1395</v>
      </c>
      <c r="H314" s="73">
        <f>INT((G314*Valores!$C$2*100)+0.5)/100</f>
        <v>9595.09</v>
      </c>
      <c r="I314" s="112">
        <v>0</v>
      </c>
      <c r="J314" s="75">
        <f>INT((I314*Valores!$C$2*100)+0.5)/100</f>
        <v>0</v>
      </c>
      <c r="K314" s="102">
        <v>0</v>
      </c>
      <c r="L314" s="75">
        <f>INT((K314*Valores!$C$2*100)+0.5)/100</f>
        <v>0</v>
      </c>
      <c r="M314" s="100">
        <v>0</v>
      </c>
      <c r="N314" s="75">
        <f>INT((M314*Valores!$C$2*100)+0.5)/100</f>
        <v>0</v>
      </c>
      <c r="O314" s="75">
        <f t="shared" si="52"/>
        <v>1510.827</v>
      </c>
      <c r="P314" s="75">
        <f t="shared" si="53"/>
        <v>0</v>
      </c>
      <c r="Q314" s="101">
        <v>0</v>
      </c>
      <c r="R314" s="101">
        <v>0</v>
      </c>
      <c r="S314" s="75">
        <v>0</v>
      </c>
      <c r="T314" s="78">
        <f>Valores!$C$45+T313</f>
        <v>477.09</v>
      </c>
      <c r="U314" s="78">
        <v>0</v>
      </c>
      <c r="V314" s="75">
        <f t="shared" si="62"/>
        <v>0</v>
      </c>
      <c r="W314" s="75">
        <v>0</v>
      </c>
      <c r="X314" s="75">
        <v>0</v>
      </c>
      <c r="Y314" s="118">
        <v>0</v>
      </c>
      <c r="Z314" s="75">
        <v>0</v>
      </c>
      <c r="AA314" s="75">
        <v>0</v>
      </c>
      <c r="AB314" s="80">
        <v>0</v>
      </c>
      <c r="AC314" s="75">
        <f t="shared" si="56"/>
        <v>0</v>
      </c>
      <c r="AD314" s="75">
        <v>0</v>
      </c>
      <c r="AE314" s="79">
        <v>0</v>
      </c>
      <c r="AF314" s="75">
        <f>INT(((AE314*Valores!$C$2)*100)+0.5)/100</f>
        <v>0</v>
      </c>
      <c r="AG314" s="75"/>
      <c r="AH314" s="75"/>
      <c r="AI314" s="114">
        <f t="shared" si="57"/>
        <v>11583.007</v>
      </c>
      <c r="AJ314" s="114"/>
      <c r="AK314" s="78">
        <f>Valores!$C$11+AK313</f>
        <v>0</v>
      </c>
      <c r="AL314" s="78">
        <v>0</v>
      </c>
      <c r="AM314" s="80">
        <v>0</v>
      </c>
      <c r="AN314" s="82">
        <f t="shared" si="58"/>
        <v>0</v>
      </c>
      <c r="AO314" s="61">
        <f>AI314*-Valores!$C$65</f>
        <v>-1505.7909099999999</v>
      </c>
      <c r="AP314" s="61">
        <f>AI314*-Valores!$C$66</f>
        <v>-57.915034999999996</v>
      </c>
      <c r="AQ314" s="77">
        <f>AI314*-Valores!$C$67</f>
        <v>-521.23531500000001</v>
      </c>
      <c r="AR314" s="77">
        <f>AI314*-Valores!$C$68</f>
        <v>-312.74118899999996</v>
      </c>
      <c r="AS314" s="77">
        <f>AI314*-Valores!$C$69</f>
        <v>-34.749020999999999</v>
      </c>
      <c r="AT314" s="81">
        <f t="shared" si="54"/>
        <v>9498.06574</v>
      </c>
      <c r="AU314" s="81">
        <f t="shared" si="55"/>
        <v>9671.810845</v>
      </c>
      <c r="AV314" s="77">
        <f>AI314*Valores!$C$71</f>
        <v>1853.2811199999999</v>
      </c>
      <c r="AW314" s="77">
        <f>AI314*Valores!$C$72</f>
        <v>521.23531500000001</v>
      </c>
      <c r="AX314" s="77">
        <f>AI314*Valores!$C$73</f>
        <v>115.83006999999999</v>
      </c>
      <c r="AY314" s="77">
        <f>AI314*Valores!$C$75</f>
        <v>405.40524500000004</v>
      </c>
      <c r="AZ314" s="77">
        <f>AI314*Valores!$C$76</f>
        <v>69.498041999999998</v>
      </c>
      <c r="BA314" s="77">
        <f t="shared" si="59"/>
        <v>625.48237800000004</v>
      </c>
      <c r="BC314" s="129"/>
    </row>
    <row r="315" spans="1:56" ht="11.25" customHeight="1" x14ac:dyDescent="0.25">
      <c r="A315" s="51">
        <v>314</v>
      </c>
      <c r="B315" s="51"/>
      <c r="D315" s="128">
        <v>1</v>
      </c>
      <c r="E315" s="128">
        <f t="shared" si="51"/>
        <v>26</v>
      </c>
      <c r="F315" s="53" t="s">
        <v>539</v>
      </c>
      <c r="G315" s="126">
        <f t="shared" si="63"/>
        <v>1550</v>
      </c>
      <c r="H315" s="73">
        <f>INT((G315*Valores!$C$2*100)+0.5)/100</f>
        <v>10661.21</v>
      </c>
      <c r="I315" s="112">
        <v>0</v>
      </c>
      <c r="J315" s="75">
        <f>INT((I315*Valores!$C$2*100)+0.5)/100</f>
        <v>0</v>
      </c>
      <c r="K315" s="102">
        <v>0</v>
      </c>
      <c r="L315" s="75">
        <f>INT((K315*Valores!$C$2*100)+0.5)/100</f>
        <v>0</v>
      </c>
      <c r="M315" s="100">
        <v>0</v>
      </c>
      <c r="N315" s="75">
        <f>INT((M315*Valores!$C$2*100)+0.5)/100</f>
        <v>0</v>
      </c>
      <c r="O315" s="75">
        <f t="shared" si="52"/>
        <v>1678.6964999999998</v>
      </c>
      <c r="P315" s="75">
        <f t="shared" si="53"/>
        <v>0</v>
      </c>
      <c r="Q315" s="101">
        <v>0</v>
      </c>
      <c r="R315" s="101">
        <v>0</v>
      </c>
      <c r="S315" s="75">
        <v>0</v>
      </c>
      <c r="T315" s="78">
        <f>Valores!$C$45+T314</f>
        <v>530.1</v>
      </c>
      <c r="U315" s="101">
        <v>0</v>
      </c>
      <c r="V315" s="75">
        <f t="shared" si="62"/>
        <v>0</v>
      </c>
      <c r="W315" s="75">
        <v>0</v>
      </c>
      <c r="X315" s="75">
        <v>0</v>
      </c>
      <c r="Y315" s="118">
        <v>0</v>
      </c>
      <c r="Z315" s="75">
        <v>0</v>
      </c>
      <c r="AA315" s="75">
        <v>0</v>
      </c>
      <c r="AB315" s="80">
        <v>0</v>
      </c>
      <c r="AC315" s="75">
        <f t="shared" si="56"/>
        <v>0</v>
      </c>
      <c r="AD315" s="75">
        <v>0</v>
      </c>
      <c r="AE315" s="79">
        <v>0</v>
      </c>
      <c r="AF315" s="75">
        <f>INT(((AE315*Valores!$C$2)*100)+0.5)/100</f>
        <v>0</v>
      </c>
      <c r="AG315" s="75"/>
      <c r="AH315" s="75"/>
      <c r="AI315" s="114">
        <f t="shared" si="57"/>
        <v>12870.0065</v>
      </c>
      <c r="AJ315" s="114"/>
      <c r="AK315" s="78">
        <f>Valores!$C$11+AK314</f>
        <v>0</v>
      </c>
      <c r="AL315" s="78">
        <v>0</v>
      </c>
      <c r="AM315" s="80">
        <v>0</v>
      </c>
      <c r="AN315" s="82">
        <f t="shared" si="58"/>
        <v>0</v>
      </c>
      <c r="AO315" s="61">
        <f>AI315*-Valores!$C$65</f>
        <v>-1673.1008449999999</v>
      </c>
      <c r="AP315" s="61">
        <f>AI315*-Valores!$C$66</f>
        <v>-64.350032499999998</v>
      </c>
      <c r="AQ315" s="77">
        <f>AI315*-Valores!$C$67</f>
        <v>-579.15029249999998</v>
      </c>
      <c r="AR315" s="77">
        <f>AI315*-Valores!$C$68</f>
        <v>-347.49017549999996</v>
      </c>
      <c r="AS315" s="77">
        <f>AI315*-Valores!$C$69</f>
        <v>-38.6100195</v>
      </c>
      <c r="AT315" s="81">
        <f t="shared" si="54"/>
        <v>10553.405329999998</v>
      </c>
      <c r="AU315" s="81">
        <f t="shared" si="55"/>
        <v>10746.455427500001</v>
      </c>
      <c r="AV315" s="77">
        <f>AI315*Valores!$C$71</f>
        <v>2059.2010399999999</v>
      </c>
      <c r="AW315" s="77">
        <f>AI315*Valores!$C$72</f>
        <v>579.15029249999998</v>
      </c>
      <c r="AX315" s="77">
        <f>AI315*Valores!$C$73</f>
        <v>128.700065</v>
      </c>
      <c r="AY315" s="77">
        <f>AI315*Valores!$C$75</f>
        <v>450.45022750000004</v>
      </c>
      <c r="AZ315" s="77">
        <f>AI315*Valores!$C$76</f>
        <v>77.220039</v>
      </c>
      <c r="BA315" s="77">
        <f t="shared" si="59"/>
        <v>694.98035100000004</v>
      </c>
    </row>
    <row r="316" spans="1:56" ht="11.25" customHeight="1" x14ac:dyDescent="0.25">
      <c r="A316" s="85">
        <v>315</v>
      </c>
      <c r="B316" s="85" t="s">
        <v>163</v>
      </c>
      <c r="C316" s="133"/>
      <c r="D316" s="130">
        <v>1</v>
      </c>
      <c r="E316" s="130">
        <f t="shared" si="51"/>
        <v>26</v>
      </c>
      <c r="F316" s="131" t="s">
        <v>540</v>
      </c>
      <c r="G316" s="132">
        <f t="shared" si="63"/>
        <v>1705</v>
      </c>
      <c r="H316" s="89">
        <f>INT((G316*Valores!$C$2*100)+0.5)/100</f>
        <v>11727.33</v>
      </c>
      <c r="I316" s="103">
        <v>0</v>
      </c>
      <c r="J316" s="91">
        <f>INT((I316*Valores!$C$2*100)+0.5)/100</f>
        <v>0</v>
      </c>
      <c r="K316" s="104">
        <v>0</v>
      </c>
      <c r="L316" s="91">
        <f>INT((K316*Valores!$C$2*100)+0.5)/100</f>
        <v>0</v>
      </c>
      <c r="M316" s="105">
        <v>0</v>
      </c>
      <c r="N316" s="91">
        <f>INT((M316*Valores!$C$2*100)+0.5)/100</f>
        <v>0</v>
      </c>
      <c r="O316" s="91">
        <f t="shared" si="52"/>
        <v>1846.566</v>
      </c>
      <c r="P316" s="91">
        <f t="shared" si="53"/>
        <v>0</v>
      </c>
      <c r="Q316" s="107">
        <v>0</v>
      </c>
      <c r="R316" s="107">
        <v>0</v>
      </c>
      <c r="S316" s="91">
        <v>0</v>
      </c>
      <c r="T316" s="94">
        <f>Valores!$C$45+T315</f>
        <v>583.11</v>
      </c>
      <c r="U316" s="107">
        <v>0</v>
      </c>
      <c r="V316" s="91">
        <f t="shared" si="62"/>
        <v>0</v>
      </c>
      <c r="W316" s="91">
        <v>0</v>
      </c>
      <c r="X316" s="91">
        <v>0</v>
      </c>
      <c r="Y316" s="119">
        <v>0</v>
      </c>
      <c r="Z316" s="91">
        <v>0</v>
      </c>
      <c r="AA316" s="91">
        <v>0</v>
      </c>
      <c r="AB316" s="96">
        <v>0</v>
      </c>
      <c r="AC316" s="91">
        <f t="shared" si="56"/>
        <v>0</v>
      </c>
      <c r="AD316" s="91">
        <v>0</v>
      </c>
      <c r="AE316" s="95">
        <v>0</v>
      </c>
      <c r="AF316" s="91">
        <f>INT(((AE316*Valores!$C$2)*100)+0.5)/100</f>
        <v>0</v>
      </c>
      <c r="AG316" s="91"/>
      <c r="AH316" s="91"/>
      <c r="AI316" s="115">
        <f t="shared" si="57"/>
        <v>14157.006000000001</v>
      </c>
      <c r="AJ316" s="115"/>
      <c r="AK316" s="94">
        <f>Valores!$C$11+AK315</f>
        <v>0</v>
      </c>
      <c r="AL316" s="94">
        <v>0</v>
      </c>
      <c r="AM316" s="96">
        <v>0</v>
      </c>
      <c r="AN316" s="98">
        <f t="shared" si="58"/>
        <v>0</v>
      </c>
      <c r="AO316" s="116">
        <f>AI316*-Valores!$C$65</f>
        <v>-1840.4107800000002</v>
      </c>
      <c r="AP316" s="116">
        <f>AI316*-Valores!$C$66</f>
        <v>-70.785030000000006</v>
      </c>
      <c r="AQ316" s="93">
        <f>AI316*-Valores!$C$67</f>
        <v>-637.06527000000006</v>
      </c>
      <c r="AR316" s="93">
        <f>AI316*-Valores!$C$68</f>
        <v>-382.23916200000002</v>
      </c>
      <c r="AS316" s="93">
        <f>AI316*-Valores!$C$69</f>
        <v>-42.471018000000008</v>
      </c>
      <c r="AT316" s="97">
        <f t="shared" si="54"/>
        <v>11608.744920000003</v>
      </c>
      <c r="AU316" s="97">
        <f t="shared" si="55"/>
        <v>11821.100010000002</v>
      </c>
      <c r="AV316" s="93">
        <f>AI316*Valores!$C$71</f>
        <v>2265.1209600000002</v>
      </c>
      <c r="AW316" s="93">
        <f>AI316*Valores!$C$72</f>
        <v>637.06527000000006</v>
      </c>
      <c r="AX316" s="93">
        <f>AI316*Valores!$C$73</f>
        <v>141.57006000000001</v>
      </c>
      <c r="AY316" s="93">
        <f>AI316*Valores!$C$75</f>
        <v>495.4952100000001</v>
      </c>
      <c r="AZ316" s="93">
        <f>AI316*Valores!$C$76</f>
        <v>84.942036000000016</v>
      </c>
      <c r="BA316" s="93">
        <f t="shared" si="59"/>
        <v>764.47832400000016</v>
      </c>
      <c r="BB316" s="129"/>
      <c r="BC316" s="129"/>
      <c r="BD316" s="86"/>
    </row>
    <row r="317" spans="1:56" ht="11.25" customHeight="1" x14ac:dyDescent="0.25">
      <c r="A317" s="51">
        <v>316</v>
      </c>
      <c r="B317" s="51"/>
      <c r="D317" s="128">
        <v>1</v>
      </c>
      <c r="E317" s="128">
        <f t="shared" si="51"/>
        <v>26</v>
      </c>
      <c r="F317" s="53" t="s">
        <v>541</v>
      </c>
      <c r="G317" s="126">
        <f t="shared" si="63"/>
        <v>1860</v>
      </c>
      <c r="H317" s="73">
        <f>INT((G317*Valores!$C$2*100)+0.5)/100</f>
        <v>12793.45</v>
      </c>
      <c r="I317" s="112">
        <v>0</v>
      </c>
      <c r="J317" s="75">
        <f>INT((I317*Valores!$C$2*100)+0.5)/100</f>
        <v>0</v>
      </c>
      <c r="K317" s="102">
        <v>0</v>
      </c>
      <c r="L317" s="75">
        <f>INT((K317*Valores!$C$2*100)+0.5)/100</f>
        <v>0</v>
      </c>
      <c r="M317" s="100">
        <v>0</v>
      </c>
      <c r="N317" s="75">
        <f>INT((M317*Valores!$C$2*100)+0.5)/100</f>
        <v>0</v>
      </c>
      <c r="O317" s="75">
        <f t="shared" si="52"/>
        <v>2014.4355</v>
      </c>
      <c r="P317" s="75">
        <f t="shared" si="53"/>
        <v>0</v>
      </c>
      <c r="Q317" s="101">
        <v>0</v>
      </c>
      <c r="R317" s="101">
        <v>0</v>
      </c>
      <c r="S317" s="75">
        <v>0</v>
      </c>
      <c r="T317" s="78">
        <f>Valores!$C$45+T316</f>
        <v>636.12</v>
      </c>
      <c r="U317" s="101">
        <v>0</v>
      </c>
      <c r="V317" s="75">
        <f t="shared" si="62"/>
        <v>0</v>
      </c>
      <c r="W317" s="75">
        <v>0</v>
      </c>
      <c r="X317" s="75">
        <v>0</v>
      </c>
      <c r="Y317" s="118">
        <v>0</v>
      </c>
      <c r="Z317" s="75">
        <v>0</v>
      </c>
      <c r="AA317" s="75">
        <v>0</v>
      </c>
      <c r="AB317" s="80">
        <v>0</v>
      </c>
      <c r="AC317" s="75">
        <f t="shared" si="56"/>
        <v>0</v>
      </c>
      <c r="AD317" s="75">
        <v>0</v>
      </c>
      <c r="AE317" s="79">
        <v>0</v>
      </c>
      <c r="AF317" s="75">
        <f>INT(((AE317*Valores!$C$2)*100)+0.5)/100</f>
        <v>0</v>
      </c>
      <c r="AG317" s="75"/>
      <c r="AH317" s="75"/>
      <c r="AI317" s="114">
        <f t="shared" si="57"/>
        <v>15444.005500000001</v>
      </c>
      <c r="AJ317" s="114"/>
      <c r="AK317" s="78">
        <f>Valores!$C$11+AK316</f>
        <v>0</v>
      </c>
      <c r="AL317" s="78">
        <v>0</v>
      </c>
      <c r="AM317" s="80">
        <v>0</v>
      </c>
      <c r="AN317" s="82">
        <f t="shared" si="58"/>
        <v>0</v>
      </c>
      <c r="AO317" s="61">
        <f>AI317*-Valores!$C$65</f>
        <v>-2007.7207150000002</v>
      </c>
      <c r="AP317" s="61">
        <f>AI317*-Valores!$C$66</f>
        <v>-77.2200275</v>
      </c>
      <c r="AQ317" s="77">
        <f>AI317*-Valores!$C$67</f>
        <v>-694.98024750000002</v>
      </c>
      <c r="AR317" s="77">
        <f>AI317*-Valores!$C$68</f>
        <v>-416.98814850000002</v>
      </c>
      <c r="AS317" s="77">
        <f>AI317*-Valores!$C$69</f>
        <v>-46.332016500000002</v>
      </c>
      <c r="AT317" s="81">
        <f t="shared" si="54"/>
        <v>12664.084510000002</v>
      </c>
      <c r="AU317" s="81">
        <f t="shared" si="55"/>
        <v>12895.744592500001</v>
      </c>
      <c r="AV317" s="77">
        <f>AI317*Valores!$C$71</f>
        <v>2471.04088</v>
      </c>
      <c r="AW317" s="77">
        <f>AI317*Valores!$C$72</f>
        <v>694.98024750000002</v>
      </c>
      <c r="AX317" s="77">
        <f>AI317*Valores!$C$73</f>
        <v>154.440055</v>
      </c>
      <c r="AY317" s="77">
        <f>AI317*Valores!$C$75</f>
        <v>540.5401925000001</v>
      </c>
      <c r="AZ317" s="77">
        <f>AI317*Valores!$C$76</f>
        <v>92.664033000000003</v>
      </c>
      <c r="BA317" s="77">
        <f t="shared" si="59"/>
        <v>833.97629700000005</v>
      </c>
    </row>
    <row r="318" spans="1:56" ht="11.25" customHeight="1" x14ac:dyDescent="0.25">
      <c r="A318" s="51">
        <v>317</v>
      </c>
      <c r="B318" s="51"/>
      <c r="D318" s="128">
        <v>1</v>
      </c>
      <c r="E318" s="128">
        <f t="shared" si="51"/>
        <v>26</v>
      </c>
      <c r="F318" s="53" t="s">
        <v>542</v>
      </c>
      <c r="G318" s="126">
        <f t="shared" si="63"/>
        <v>2015</v>
      </c>
      <c r="H318" s="73">
        <f>INT((G318*Valores!$C$2*100)+0.5)/100</f>
        <v>13859.57</v>
      </c>
      <c r="I318" s="112">
        <v>0</v>
      </c>
      <c r="J318" s="75">
        <f>INT((I318*Valores!$C$2*100)+0.5)/100</f>
        <v>0</v>
      </c>
      <c r="K318" s="102">
        <v>0</v>
      </c>
      <c r="L318" s="75">
        <f>INT((K318*Valores!$C$2*100)+0.5)/100</f>
        <v>0</v>
      </c>
      <c r="M318" s="100">
        <v>0</v>
      </c>
      <c r="N318" s="75">
        <f>INT((M318*Valores!$C$2*100)+0.5)/100</f>
        <v>0</v>
      </c>
      <c r="O318" s="75">
        <f t="shared" si="52"/>
        <v>2182.3049999999998</v>
      </c>
      <c r="P318" s="75">
        <f t="shared" si="53"/>
        <v>0</v>
      </c>
      <c r="Q318" s="101">
        <v>0</v>
      </c>
      <c r="R318" s="101">
        <v>0</v>
      </c>
      <c r="S318" s="75">
        <v>0</v>
      </c>
      <c r="T318" s="78">
        <f>Valores!$C$45+T317</f>
        <v>689.13</v>
      </c>
      <c r="U318" s="101">
        <v>0</v>
      </c>
      <c r="V318" s="75">
        <f t="shared" si="62"/>
        <v>0</v>
      </c>
      <c r="W318" s="75">
        <v>0</v>
      </c>
      <c r="X318" s="75">
        <v>0</v>
      </c>
      <c r="Y318" s="118">
        <v>0</v>
      </c>
      <c r="Z318" s="75">
        <v>0</v>
      </c>
      <c r="AA318" s="75">
        <v>0</v>
      </c>
      <c r="AB318" s="80">
        <v>0</v>
      </c>
      <c r="AC318" s="75">
        <f t="shared" si="56"/>
        <v>0</v>
      </c>
      <c r="AD318" s="75">
        <v>0</v>
      </c>
      <c r="AE318" s="79">
        <v>0</v>
      </c>
      <c r="AF318" s="75">
        <f>INT(((AE318*Valores!$C$2)*100)+0.5)/100</f>
        <v>0</v>
      </c>
      <c r="AG318" s="75"/>
      <c r="AH318" s="75"/>
      <c r="AI318" s="114">
        <f t="shared" si="57"/>
        <v>16731.005000000001</v>
      </c>
      <c r="AJ318" s="114"/>
      <c r="AK318" s="78">
        <f>Valores!$C$11+AK317</f>
        <v>0</v>
      </c>
      <c r="AL318" s="78">
        <v>0</v>
      </c>
      <c r="AM318" s="80">
        <v>0</v>
      </c>
      <c r="AN318" s="82">
        <f t="shared" si="58"/>
        <v>0</v>
      </c>
      <c r="AO318" s="61">
        <f>AI318*-Valores!$C$65</f>
        <v>-2175.0306500000002</v>
      </c>
      <c r="AP318" s="61">
        <f>AI318*-Valores!$C$66</f>
        <v>-83.655025000000009</v>
      </c>
      <c r="AQ318" s="77">
        <f>AI318*-Valores!$C$67</f>
        <v>-752.89522499999998</v>
      </c>
      <c r="AR318" s="77">
        <f>AI318*-Valores!$C$68</f>
        <v>-451.73713500000002</v>
      </c>
      <c r="AS318" s="77">
        <f>AI318*-Valores!$C$69</f>
        <v>-50.193015000000003</v>
      </c>
      <c r="AT318" s="81">
        <f t="shared" si="54"/>
        <v>13719.4241</v>
      </c>
      <c r="AU318" s="81">
        <f t="shared" si="55"/>
        <v>13970.389175</v>
      </c>
      <c r="AV318" s="77">
        <f>AI318*Valores!$C$71</f>
        <v>2676.9608000000003</v>
      </c>
      <c r="AW318" s="77">
        <f>AI318*Valores!$C$72</f>
        <v>752.89522499999998</v>
      </c>
      <c r="AX318" s="77">
        <f>AI318*Valores!$C$73</f>
        <v>167.31005000000002</v>
      </c>
      <c r="AY318" s="77">
        <f>AI318*Valores!$C$75</f>
        <v>585.58517500000005</v>
      </c>
      <c r="AZ318" s="77">
        <f>AI318*Valores!$C$76</f>
        <v>100.38603000000001</v>
      </c>
      <c r="BA318" s="77">
        <f t="shared" si="59"/>
        <v>903.47427000000016</v>
      </c>
    </row>
    <row r="319" spans="1:56" ht="11.25" customHeight="1" x14ac:dyDescent="0.25">
      <c r="A319" s="51">
        <v>318</v>
      </c>
      <c r="B319" s="51"/>
      <c r="D319" s="128">
        <v>1</v>
      </c>
      <c r="E319" s="128">
        <f t="shared" si="51"/>
        <v>26</v>
      </c>
      <c r="F319" s="53" t="s">
        <v>543</v>
      </c>
      <c r="G319" s="126">
        <f t="shared" si="63"/>
        <v>2170</v>
      </c>
      <c r="H319" s="73">
        <f>INT((G319*Valores!$C$2*100)+0.5)/100</f>
        <v>14925.69</v>
      </c>
      <c r="I319" s="112">
        <v>0</v>
      </c>
      <c r="J319" s="75">
        <f>INT((I319*Valores!$C$2*100)+0.5)/100</f>
        <v>0</v>
      </c>
      <c r="K319" s="102">
        <v>0</v>
      </c>
      <c r="L319" s="75">
        <f>INT((K319*Valores!$C$2*100)+0.5)/100</f>
        <v>0</v>
      </c>
      <c r="M319" s="100">
        <v>0</v>
      </c>
      <c r="N319" s="75">
        <f>INT((M319*Valores!$C$2*100)+0.5)/100</f>
        <v>0</v>
      </c>
      <c r="O319" s="75">
        <f t="shared" si="52"/>
        <v>2350.1745000000001</v>
      </c>
      <c r="P319" s="75">
        <f t="shared" si="53"/>
        <v>0</v>
      </c>
      <c r="Q319" s="101">
        <v>0</v>
      </c>
      <c r="R319" s="101">
        <v>0</v>
      </c>
      <c r="S319" s="75">
        <v>0</v>
      </c>
      <c r="T319" s="78">
        <f>Valores!$C$45+T318</f>
        <v>742.14</v>
      </c>
      <c r="U319" s="78">
        <v>0</v>
      </c>
      <c r="V319" s="75">
        <f t="shared" si="62"/>
        <v>0</v>
      </c>
      <c r="W319" s="75">
        <v>0</v>
      </c>
      <c r="X319" s="75">
        <v>0</v>
      </c>
      <c r="Y319" s="118">
        <v>0</v>
      </c>
      <c r="Z319" s="75">
        <v>0</v>
      </c>
      <c r="AA319" s="75">
        <v>0</v>
      </c>
      <c r="AB319" s="80">
        <v>0</v>
      </c>
      <c r="AC319" s="75">
        <f t="shared" si="56"/>
        <v>0</v>
      </c>
      <c r="AD319" s="75">
        <v>0</v>
      </c>
      <c r="AE319" s="79">
        <v>0</v>
      </c>
      <c r="AF319" s="75">
        <f>INT(((AE319*Valores!$C$2)*100)+0.5)/100</f>
        <v>0</v>
      </c>
      <c r="AG319" s="75"/>
      <c r="AH319" s="75"/>
      <c r="AI319" s="114">
        <f t="shared" si="57"/>
        <v>18018.004499999999</v>
      </c>
      <c r="AJ319" s="114"/>
      <c r="AK319" s="78">
        <f>Valores!$C$11+AK318</f>
        <v>0</v>
      </c>
      <c r="AL319" s="78">
        <v>0</v>
      </c>
      <c r="AM319" s="80">
        <v>0</v>
      </c>
      <c r="AN319" s="82">
        <f t="shared" si="58"/>
        <v>0</v>
      </c>
      <c r="AO319" s="61">
        <f>AI319*-Valores!$C$65</f>
        <v>-2342.3405849999999</v>
      </c>
      <c r="AP319" s="61">
        <f>AI319*-Valores!$C$66</f>
        <v>-90.090022500000003</v>
      </c>
      <c r="AQ319" s="77">
        <f>AI319*-Valores!$C$67</f>
        <v>-810.81020249999995</v>
      </c>
      <c r="AR319" s="77">
        <f>AI319*-Valores!$C$68</f>
        <v>-486.48612149999997</v>
      </c>
      <c r="AS319" s="77">
        <f>AI319*-Valores!$C$69</f>
        <v>-54.054013499999996</v>
      </c>
      <c r="AT319" s="81">
        <f t="shared" si="54"/>
        <v>14774.763689999998</v>
      </c>
      <c r="AU319" s="81">
        <f t="shared" si="55"/>
        <v>15045.033757500001</v>
      </c>
      <c r="AV319" s="77">
        <f>AI319*Valores!$C$71</f>
        <v>2882.8807200000001</v>
      </c>
      <c r="AW319" s="77">
        <f>AI319*Valores!$C$72</f>
        <v>810.81020249999995</v>
      </c>
      <c r="AX319" s="77">
        <f>AI319*Valores!$C$73</f>
        <v>180.18004500000001</v>
      </c>
      <c r="AY319" s="77">
        <f>AI319*Valores!$C$75</f>
        <v>630.6301575</v>
      </c>
      <c r="AZ319" s="77">
        <f>AI319*Valores!$C$76</f>
        <v>108.10802699999999</v>
      </c>
      <c r="BA319" s="77">
        <f t="shared" si="59"/>
        <v>972.97224300000005</v>
      </c>
      <c r="BC319" s="129"/>
    </row>
    <row r="320" spans="1:56" ht="11.25" customHeight="1" x14ac:dyDescent="0.25">
      <c r="A320" s="51">
        <v>319</v>
      </c>
      <c r="B320" s="51"/>
      <c r="D320" s="128">
        <v>1</v>
      </c>
      <c r="E320" s="128">
        <f t="shared" si="51"/>
        <v>26</v>
      </c>
      <c r="F320" s="53" t="s">
        <v>544</v>
      </c>
      <c r="G320" s="126">
        <f t="shared" si="63"/>
        <v>2325</v>
      </c>
      <c r="H320" s="73">
        <f>INT((G320*Valores!$C$2*100)+0.5)/100</f>
        <v>15991.82</v>
      </c>
      <c r="I320" s="112">
        <v>0</v>
      </c>
      <c r="J320" s="75">
        <f>INT((I320*Valores!$C$2*100)+0.5)/100</f>
        <v>0</v>
      </c>
      <c r="K320" s="102">
        <v>0</v>
      </c>
      <c r="L320" s="75">
        <f>INT((K320*Valores!$C$2*100)+0.5)/100</f>
        <v>0</v>
      </c>
      <c r="M320" s="100">
        <v>0</v>
      </c>
      <c r="N320" s="75">
        <f>INT((M320*Valores!$C$2*100)+0.5)/100</f>
        <v>0</v>
      </c>
      <c r="O320" s="75">
        <f t="shared" si="52"/>
        <v>2518.0455000000002</v>
      </c>
      <c r="P320" s="75">
        <f t="shared" si="53"/>
        <v>0</v>
      </c>
      <c r="Q320" s="101">
        <v>0</v>
      </c>
      <c r="R320" s="101">
        <v>0</v>
      </c>
      <c r="S320" s="75">
        <v>0</v>
      </c>
      <c r="T320" s="78">
        <f>Valores!$C$45+T319</f>
        <v>795.15</v>
      </c>
      <c r="U320" s="101">
        <v>0</v>
      </c>
      <c r="V320" s="75">
        <f t="shared" si="62"/>
        <v>0</v>
      </c>
      <c r="W320" s="75">
        <v>0</v>
      </c>
      <c r="X320" s="75">
        <v>0</v>
      </c>
      <c r="Y320" s="118">
        <v>0</v>
      </c>
      <c r="Z320" s="75">
        <v>0</v>
      </c>
      <c r="AA320" s="75">
        <v>0</v>
      </c>
      <c r="AB320" s="80">
        <v>0</v>
      </c>
      <c r="AC320" s="75">
        <f t="shared" si="56"/>
        <v>0</v>
      </c>
      <c r="AD320" s="75">
        <v>0</v>
      </c>
      <c r="AE320" s="79">
        <v>0</v>
      </c>
      <c r="AF320" s="75">
        <f>INT(((AE320*Valores!$C$2)*100)+0.5)/100</f>
        <v>0</v>
      </c>
      <c r="AG320" s="75"/>
      <c r="AH320" s="75"/>
      <c r="AI320" s="114">
        <f t="shared" si="57"/>
        <v>19305.015500000001</v>
      </c>
      <c r="AJ320" s="114"/>
      <c r="AK320" s="78">
        <f>Valores!$C$11+AK319</f>
        <v>0</v>
      </c>
      <c r="AL320" s="78">
        <v>0</v>
      </c>
      <c r="AM320" s="80">
        <v>0</v>
      </c>
      <c r="AN320" s="82">
        <f t="shared" si="58"/>
        <v>0</v>
      </c>
      <c r="AO320" s="61">
        <f>AI320*-Valores!$C$65</f>
        <v>-2509.6520150000001</v>
      </c>
      <c r="AP320" s="61">
        <f>AI320*-Valores!$C$66</f>
        <v>-96.525077500000009</v>
      </c>
      <c r="AQ320" s="77">
        <f>AI320*-Valores!$C$67</f>
        <v>-868.72569750000002</v>
      </c>
      <c r="AR320" s="77">
        <f>AI320*-Valores!$C$68</f>
        <v>-521.23541850000004</v>
      </c>
      <c r="AS320" s="77">
        <f>AI320*-Valores!$C$69</f>
        <v>-57.915046500000003</v>
      </c>
      <c r="AT320" s="81">
        <f t="shared" si="54"/>
        <v>15830.112710000001</v>
      </c>
      <c r="AU320" s="81">
        <f t="shared" si="55"/>
        <v>16119.687942500002</v>
      </c>
      <c r="AV320" s="77">
        <f>AI320*Valores!$C$71</f>
        <v>3088.8024800000003</v>
      </c>
      <c r="AW320" s="77">
        <f>AI320*Valores!$C$72</f>
        <v>868.72569750000002</v>
      </c>
      <c r="AX320" s="77">
        <f>AI320*Valores!$C$73</f>
        <v>193.05015500000002</v>
      </c>
      <c r="AY320" s="77">
        <f>AI320*Valores!$C$75</f>
        <v>675.67554250000012</v>
      </c>
      <c r="AZ320" s="77">
        <f>AI320*Valores!$C$76</f>
        <v>115.83009300000001</v>
      </c>
      <c r="BA320" s="77">
        <f t="shared" si="59"/>
        <v>1042.4708370000001</v>
      </c>
    </row>
    <row r="321" spans="1:56" ht="11.25" customHeight="1" x14ac:dyDescent="0.25">
      <c r="A321" s="85">
        <v>320</v>
      </c>
      <c r="B321" s="85" t="s">
        <v>163</v>
      </c>
      <c r="C321" s="133"/>
      <c r="D321" s="128">
        <v>1</v>
      </c>
      <c r="E321" s="128">
        <f t="shared" si="51"/>
        <v>26</v>
      </c>
      <c r="F321" s="131" t="s">
        <v>545</v>
      </c>
      <c r="G321" s="132">
        <f t="shared" si="63"/>
        <v>2480</v>
      </c>
      <c r="H321" s="89">
        <f>INT((G321*Valores!$C$2*100)+0.5)/100</f>
        <v>17057.939999999999</v>
      </c>
      <c r="I321" s="103">
        <v>0</v>
      </c>
      <c r="J321" s="91">
        <f>INT((I321*Valores!$C$2*100)+0.5)/100</f>
        <v>0</v>
      </c>
      <c r="K321" s="104">
        <v>0</v>
      </c>
      <c r="L321" s="91">
        <f>INT((K321*Valores!$C$2*100)+0.5)/100</f>
        <v>0</v>
      </c>
      <c r="M321" s="105">
        <v>0</v>
      </c>
      <c r="N321" s="91">
        <f>INT((M321*Valores!$C$2*100)+0.5)/100</f>
        <v>0</v>
      </c>
      <c r="O321" s="91">
        <f t="shared" si="52"/>
        <v>2685.9149999999995</v>
      </c>
      <c r="P321" s="91">
        <f t="shared" si="53"/>
        <v>0</v>
      </c>
      <c r="Q321" s="107">
        <v>0</v>
      </c>
      <c r="R321" s="107">
        <v>0</v>
      </c>
      <c r="S321" s="91">
        <v>0</v>
      </c>
      <c r="T321" s="94">
        <f>Valores!$C$45+T320</f>
        <v>848.16</v>
      </c>
      <c r="U321" s="107">
        <v>0</v>
      </c>
      <c r="V321" s="91">
        <f t="shared" si="62"/>
        <v>0</v>
      </c>
      <c r="W321" s="91">
        <v>0</v>
      </c>
      <c r="X321" s="91">
        <v>0</v>
      </c>
      <c r="Y321" s="119">
        <v>0</v>
      </c>
      <c r="Z321" s="91">
        <v>0</v>
      </c>
      <c r="AA321" s="91">
        <v>0</v>
      </c>
      <c r="AB321" s="96">
        <v>0</v>
      </c>
      <c r="AC321" s="91">
        <f t="shared" si="56"/>
        <v>0</v>
      </c>
      <c r="AD321" s="91">
        <v>0</v>
      </c>
      <c r="AE321" s="95">
        <v>0</v>
      </c>
      <c r="AF321" s="91">
        <f>INT(((AE321*Valores!$C$2)*100)+0.5)/100</f>
        <v>0</v>
      </c>
      <c r="AG321" s="91"/>
      <c r="AH321" s="91"/>
      <c r="AI321" s="115">
        <f t="shared" si="57"/>
        <v>20592.014999999999</v>
      </c>
      <c r="AJ321" s="115"/>
      <c r="AK321" s="94">
        <f>Valores!$C$11+AK320</f>
        <v>0</v>
      </c>
      <c r="AL321" s="94">
        <v>0</v>
      </c>
      <c r="AM321" s="96">
        <v>0</v>
      </c>
      <c r="AN321" s="98">
        <f t="shared" si="58"/>
        <v>0</v>
      </c>
      <c r="AO321" s="116">
        <f>AI321*-Valores!$C$65</f>
        <v>-2676.9619499999999</v>
      </c>
      <c r="AP321" s="116">
        <f>AI321*-Valores!$C$66</f>
        <v>-102.960075</v>
      </c>
      <c r="AQ321" s="93">
        <f>AI321*-Valores!$C$67</f>
        <v>-926.64067499999999</v>
      </c>
      <c r="AR321" s="93">
        <f>AI321*-Valores!$C$68</f>
        <v>-555.98440499999992</v>
      </c>
      <c r="AS321" s="93">
        <f>AI321*-Valores!$C$69</f>
        <v>-61.776044999999996</v>
      </c>
      <c r="AT321" s="97">
        <f t="shared" si="54"/>
        <v>16885.452300000001</v>
      </c>
      <c r="AU321" s="97">
        <f t="shared" si="55"/>
        <v>17194.332525000002</v>
      </c>
      <c r="AV321" s="93">
        <f>AI321*Valores!$C$71</f>
        <v>3294.7224000000001</v>
      </c>
      <c r="AW321" s="93">
        <f>AI321*Valores!$C$72</f>
        <v>926.64067499999999</v>
      </c>
      <c r="AX321" s="93">
        <f>AI321*Valores!$C$73</f>
        <v>205.92015000000001</v>
      </c>
      <c r="AY321" s="93">
        <f>AI321*Valores!$C$75</f>
        <v>720.72052500000007</v>
      </c>
      <c r="AZ321" s="93">
        <f>AI321*Valores!$C$76</f>
        <v>123.55208999999999</v>
      </c>
      <c r="BA321" s="93">
        <f t="shared" si="59"/>
        <v>1111.9688100000001</v>
      </c>
      <c r="BB321" s="129"/>
      <c r="BC321" s="129"/>
      <c r="BD321" s="86"/>
    </row>
    <row r="322" spans="1:56" ht="11.25" customHeight="1" x14ac:dyDescent="0.25">
      <c r="A322" s="51">
        <v>321</v>
      </c>
      <c r="B322" s="51"/>
      <c r="C322" s="134" t="s">
        <v>525</v>
      </c>
      <c r="D322" s="128">
        <v>1</v>
      </c>
      <c r="E322" s="128">
        <f t="shared" si="51"/>
        <v>40</v>
      </c>
      <c r="F322" s="53" t="s">
        <v>546</v>
      </c>
      <c r="G322" s="126">
        <v>250</v>
      </c>
      <c r="H322" s="73">
        <f>INT((G322*Valores!$C$2*100)+0.5)/100</f>
        <v>1719.55</v>
      </c>
      <c r="I322" s="112">
        <v>0</v>
      </c>
      <c r="J322" s="75">
        <f>INT((I322*Valores!$C$2*100)+0.5)/100</f>
        <v>0</v>
      </c>
      <c r="K322" s="102">
        <v>0</v>
      </c>
      <c r="L322" s="75">
        <f>INT((K322*Valores!$C$2*100)+0.5)/100</f>
        <v>0</v>
      </c>
      <c r="M322" s="100">
        <v>0</v>
      </c>
      <c r="N322" s="75">
        <f>INT((M322*Valores!$C$2*100)+0.5)/100</f>
        <v>0</v>
      </c>
      <c r="O322" s="75">
        <f t="shared" si="52"/>
        <v>0</v>
      </c>
      <c r="P322" s="75">
        <f t="shared" si="53"/>
        <v>0</v>
      </c>
      <c r="Q322" s="101">
        <v>0</v>
      </c>
      <c r="R322" s="101">
        <v>0</v>
      </c>
      <c r="S322" s="75">
        <v>0</v>
      </c>
      <c r="T322" s="78">
        <f>Valores!$C$46</f>
        <v>127.16</v>
      </c>
      <c r="U322" s="101">
        <v>0</v>
      </c>
      <c r="V322" s="75">
        <f t="shared" si="62"/>
        <v>0</v>
      </c>
      <c r="W322" s="75">
        <v>0</v>
      </c>
      <c r="X322" s="75">
        <v>0</v>
      </c>
      <c r="Y322" s="118">
        <v>0</v>
      </c>
      <c r="Z322" s="75">
        <v>0</v>
      </c>
      <c r="AA322" s="75">
        <v>0</v>
      </c>
      <c r="AB322" s="80">
        <v>0</v>
      </c>
      <c r="AC322" s="75">
        <f t="shared" si="56"/>
        <v>0</v>
      </c>
      <c r="AD322" s="75">
        <v>0</v>
      </c>
      <c r="AE322" s="79">
        <v>0</v>
      </c>
      <c r="AF322" s="75">
        <f>INT(((AE322*Valores!$C$2)*100)+0.5)/100</f>
        <v>0</v>
      </c>
      <c r="AG322" s="75"/>
      <c r="AH322" s="75"/>
      <c r="AI322" s="114">
        <f t="shared" si="57"/>
        <v>1846.71</v>
      </c>
      <c r="AJ322" s="114"/>
      <c r="AK322" s="78">
        <f>Valores!$C$12</f>
        <v>0</v>
      </c>
      <c r="AL322" s="78">
        <v>0</v>
      </c>
      <c r="AM322" s="80">
        <v>0</v>
      </c>
      <c r="AN322" s="82">
        <f t="shared" si="58"/>
        <v>0</v>
      </c>
      <c r="AO322" s="61">
        <f>AI322*-Valores!$C$65</f>
        <v>-240.07230000000001</v>
      </c>
      <c r="AP322" s="61">
        <f>AI322*-Valores!$C$66</f>
        <v>-9.233550000000001</v>
      </c>
      <c r="AQ322" s="77">
        <f>AI322*-Valores!$C$67</f>
        <v>-83.101950000000002</v>
      </c>
      <c r="AR322" s="77">
        <f>AI322*-Valores!$C$68</f>
        <v>-49.861170000000001</v>
      </c>
      <c r="AS322" s="77">
        <f>AI322*-Valores!$C$69</f>
        <v>-5.5401300000000004</v>
      </c>
      <c r="AT322" s="81">
        <f t="shared" si="54"/>
        <v>1514.3022000000001</v>
      </c>
      <c r="AU322" s="81">
        <f t="shared" si="55"/>
        <v>1542.0028500000001</v>
      </c>
      <c r="AV322" s="77">
        <f>AI322*Valores!$C$71</f>
        <v>295.47360000000003</v>
      </c>
      <c r="AW322" s="77">
        <f>AI322*Valores!$C$72</f>
        <v>83.101950000000002</v>
      </c>
      <c r="AX322" s="77">
        <f>AI322*Valores!$C$73</f>
        <v>18.467100000000002</v>
      </c>
      <c r="AY322" s="77">
        <f>AI322*Valores!$C$75</f>
        <v>64.634850000000014</v>
      </c>
      <c r="AZ322" s="77">
        <f>AI322*Valores!$C$76</f>
        <v>11.080260000000001</v>
      </c>
      <c r="BA322" s="77">
        <f t="shared" si="59"/>
        <v>99.722340000000003</v>
      </c>
      <c r="BD322" s="27" t="s">
        <v>4</v>
      </c>
    </row>
    <row r="323" spans="1:56" ht="11.25" customHeight="1" x14ac:dyDescent="0.25">
      <c r="A323" s="51">
        <v>322</v>
      </c>
      <c r="B323" s="51"/>
      <c r="C323" s="135" t="s">
        <v>525</v>
      </c>
      <c r="D323" s="128">
        <v>1</v>
      </c>
      <c r="E323" s="128">
        <f t="shared" si="51"/>
        <v>40</v>
      </c>
      <c r="F323" s="53" t="s">
        <v>547</v>
      </c>
      <c r="G323" s="126">
        <v>226</v>
      </c>
      <c r="H323" s="73">
        <f>INT((G323*Valores!$C$2*100)+0.5)/100</f>
        <v>1554.47</v>
      </c>
      <c r="I323" s="112">
        <v>0</v>
      </c>
      <c r="J323" s="75">
        <f>INT((I323*Valores!$C$2*100)+0.5)/100</f>
        <v>0</v>
      </c>
      <c r="K323" s="102">
        <v>0</v>
      </c>
      <c r="L323" s="75">
        <f>INT((K323*Valores!$C$2*100)+0.5)/100</f>
        <v>0</v>
      </c>
      <c r="M323" s="100">
        <v>0</v>
      </c>
      <c r="N323" s="75">
        <f>INT((M323*Valores!$C$2*100)+0.5)/100</f>
        <v>0</v>
      </c>
      <c r="O323" s="75">
        <f t="shared" si="52"/>
        <v>0</v>
      </c>
      <c r="P323" s="75">
        <f t="shared" si="53"/>
        <v>0</v>
      </c>
      <c r="Q323" s="101">
        <v>0</v>
      </c>
      <c r="R323" s="101">
        <v>0</v>
      </c>
      <c r="S323" s="75">
        <v>0</v>
      </c>
      <c r="T323" s="78">
        <f>Valores!$C$46</f>
        <v>127.16</v>
      </c>
      <c r="U323" s="101">
        <v>0</v>
      </c>
      <c r="V323" s="75">
        <f t="shared" si="62"/>
        <v>0</v>
      </c>
      <c r="W323" s="75">
        <v>0</v>
      </c>
      <c r="X323" s="75">
        <v>0</v>
      </c>
      <c r="Y323" s="118">
        <v>0</v>
      </c>
      <c r="Z323" s="75">
        <v>0</v>
      </c>
      <c r="AA323" s="75">
        <v>0</v>
      </c>
      <c r="AB323" s="80">
        <v>0</v>
      </c>
      <c r="AC323" s="75">
        <f t="shared" si="56"/>
        <v>0</v>
      </c>
      <c r="AD323" s="75">
        <v>0</v>
      </c>
      <c r="AE323" s="79">
        <v>0</v>
      </c>
      <c r="AF323" s="75">
        <f>INT(((AE323*Valores!$C$2)*100)+0.5)/100</f>
        <v>0</v>
      </c>
      <c r="AG323" s="75"/>
      <c r="AH323" s="75"/>
      <c r="AI323" s="114">
        <f t="shared" si="57"/>
        <v>1681.63</v>
      </c>
      <c r="AJ323" s="114"/>
      <c r="AK323" s="78">
        <f>Valores!$C$12</f>
        <v>0</v>
      </c>
      <c r="AL323" s="78">
        <v>0</v>
      </c>
      <c r="AM323" s="80">
        <v>0</v>
      </c>
      <c r="AN323" s="82">
        <f t="shared" si="58"/>
        <v>0</v>
      </c>
      <c r="AO323" s="61">
        <f>AI323*-Valores!$C$65</f>
        <v>-218.61190000000002</v>
      </c>
      <c r="AP323" s="61">
        <f>AI323*-Valores!$C$66</f>
        <v>-8.4081500000000009</v>
      </c>
      <c r="AQ323" s="77">
        <f>AI323*-Valores!$C$67</f>
        <v>-75.673349999999999</v>
      </c>
      <c r="AR323" s="77">
        <f>AI323*-Valores!$C$68</f>
        <v>-45.40401</v>
      </c>
      <c r="AS323" s="77">
        <f>AI323*-Valores!$C$69</f>
        <v>-5.0448900000000005</v>
      </c>
      <c r="AT323" s="81">
        <f t="shared" si="54"/>
        <v>1378.9366</v>
      </c>
      <c r="AU323" s="81">
        <f t="shared" si="55"/>
        <v>1404.1610500000002</v>
      </c>
      <c r="AV323" s="77">
        <f>AI323*Valores!$C$71</f>
        <v>269.06080000000003</v>
      </c>
      <c r="AW323" s="77">
        <f>AI323*Valores!$C$72</f>
        <v>75.673349999999999</v>
      </c>
      <c r="AX323" s="77">
        <f>AI323*Valores!$C$73</f>
        <v>16.816300000000002</v>
      </c>
      <c r="AY323" s="77">
        <f>AI323*Valores!$C$75</f>
        <v>58.857050000000008</v>
      </c>
      <c r="AZ323" s="77">
        <f>AI323*Valores!$C$76</f>
        <v>10.089780000000001</v>
      </c>
      <c r="BA323" s="77">
        <f t="shared" si="59"/>
        <v>90.808020000000013</v>
      </c>
      <c r="BD323" s="27" t="s">
        <v>4</v>
      </c>
    </row>
    <row r="324" spans="1:56" ht="11.25" customHeight="1" x14ac:dyDescent="0.25">
      <c r="A324" s="51">
        <v>323</v>
      </c>
      <c r="B324" s="51"/>
      <c r="C324" s="135" t="s">
        <v>525</v>
      </c>
      <c r="D324" s="128">
        <v>1</v>
      </c>
      <c r="E324" s="128">
        <f t="shared" si="51"/>
        <v>40</v>
      </c>
      <c r="F324" s="53" t="s">
        <v>548</v>
      </c>
      <c r="G324" s="126">
        <v>222</v>
      </c>
      <c r="H324" s="73">
        <f>INT((G324*Valores!$C$2*100)+0.5)/100</f>
        <v>1526.96</v>
      </c>
      <c r="I324" s="112">
        <v>0</v>
      </c>
      <c r="J324" s="75">
        <f>INT((I324*Valores!$C$2*100)+0.5)/100</f>
        <v>0</v>
      </c>
      <c r="K324" s="102">
        <v>0</v>
      </c>
      <c r="L324" s="75">
        <f>INT((K324*Valores!$C$2*100)+0.5)/100</f>
        <v>0</v>
      </c>
      <c r="M324" s="100">
        <v>0</v>
      </c>
      <c r="N324" s="75">
        <f>INT((M324*Valores!$C$2*100)+0.5)/100</f>
        <v>0</v>
      </c>
      <c r="O324" s="75">
        <f t="shared" si="52"/>
        <v>0</v>
      </c>
      <c r="P324" s="75">
        <f t="shared" si="53"/>
        <v>0</v>
      </c>
      <c r="Q324" s="101">
        <v>0</v>
      </c>
      <c r="R324" s="101">
        <v>0</v>
      </c>
      <c r="S324" s="75">
        <v>0</v>
      </c>
      <c r="T324" s="78">
        <f>Valores!$C$46</f>
        <v>127.16</v>
      </c>
      <c r="U324" s="101">
        <v>0</v>
      </c>
      <c r="V324" s="75">
        <f t="shared" si="62"/>
        <v>0</v>
      </c>
      <c r="W324" s="75">
        <v>0</v>
      </c>
      <c r="X324" s="75">
        <v>0</v>
      </c>
      <c r="Y324" s="118">
        <v>0</v>
      </c>
      <c r="Z324" s="75">
        <v>0</v>
      </c>
      <c r="AA324" s="75">
        <v>0</v>
      </c>
      <c r="AB324" s="80">
        <v>0</v>
      </c>
      <c r="AC324" s="75">
        <f t="shared" si="56"/>
        <v>0</v>
      </c>
      <c r="AD324" s="75">
        <v>0</v>
      </c>
      <c r="AE324" s="79">
        <v>0</v>
      </c>
      <c r="AF324" s="75">
        <f>INT(((AE324*Valores!$C$2)*100)+0.5)/100</f>
        <v>0</v>
      </c>
      <c r="AG324" s="75"/>
      <c r="AH324" s="75"/>
      <c r="AI324" s="114">
        <f t="shared" si="57"/>
        <v>1654.1200000000001</v>
      </c>
      <c r="AJ324" s="114"/>
      <c r="AK324" s="78">
        <f>Valores!$C$12</f>
        <v>0</v>
      </c>
      <c r="AL324" s="78">
        <v>0</v>
      </c>
      <c r="AM324" s="80">
        <v>0</v>
      </c>
      <c r="AN324" s="82">
        <f t="shared" si="58"/>
        <v>0</v>
      </c>
      <c r="AO324" s="61">
        <f>AI324*-Valores!$C$65</f>
        <v>-215.03560000000002</v>
      </c>
      <c r="AP324" s="61">
        <f>AI324*-Valores!$C$66</f>
        <v>-8.2706</v>
      </c>
      <c r="AQ324" s="77">
        <f>AI324*-Valores!$C$67</f>
        <v>-74.435400000000001</v>
      </c>
      <c r="AR324" s="77">
        <f>AI324*-Valores!$C$68</f>
        <v>-44.661239999999999</v>
      </c>
      <c r="AS324" s="77">
        <f>AI324*-Valores!$C$69</f>
        <v>-4.9623600000000003</v>
      </c>
      <c r="AT324" s="81">
        <f t="shared" si="54"/>
        <v>1356.3784000000001</v>
      </c>
      <c r="AU324" s="81">
        <f t="shared" si="55"/>
        <v>1381.1902000000002</v>
      </c>
      <c r="AV324" s="77">
        <f>AI324*Valores!$C$71</f>
        <v>264.6592</v>
      </c>
      <c r="AW324" s="77">
        <f>AI324*Valores!$C$72</f>
        <v>74.435400000000001</v>
      </c>
      <c r="AX324" s="77">
        <f>AI324*Valores!$C$73</f>
        <v>16.5412</v>
      </c>
      <c r="AY324" s="77">
        <f>AI324*Valores!$C$75</f>
        <v>57.894200000000012</v>
      </c>
      <c r="AZ324" s="77">
        <f>AI324*Valores!$C$76</f>
        <v>9.9247200000000007</v>
      </c>
      <c r="BA324" s="77">
        <f t="shared" si="59"/>
        <v>89.322480000000013</v>
      </c>
      <c r="BD324" s="27" t="s">
        <v>4</v>
      </c>
    </row>
    <row r="325" spans="1:56" ht="11.25" customHeight="1" x14ac:dyDescent="0.25">
      <c r="A325" s="51">
        <v>324</v>
      </c>
      <c r="B325" s="51"/>
      <c r="C325" s="135" t="s">
        <v>525</v>
      </c>
      <c r="D325" s="128">
        <v>1</v>
      </c>
      <c r="E325" s="128">
        <f t="shared" si="51"/>
        <v>40</v>
      </c>
      <c r="F325" s="53" t="s">
        <v>549</v>
      </c>
      <c r="G325" s="126">
        <v>226</v>
      </c>
      <c r="H325" s="73">
        <f>INT((G325*Valores!$C$2*100)+0.5)/100</f>
        <v>1554.47</v>
      </c>
      <c r="I325" s="112">
        <v>0</v>
      </c>
      <c r="J325" s="75">
        <f>INT((I325*Valores!$C$2*100)+0.5)/100</f>
        <v>0</v>
      </c>
      <c r="K325" s="102">
        <v>0</v>
      </c>
      <c r="L325" s="75">
        <f>INT((K325*Valores!$C$2*100)+0.5)/100</f>
        <v>0</v>
      </c>
      <c r="M325" s="100">
        <v>0</v>
      </c>
      <c r="N325" s="75">
        <f>INT((M325*Valores!$C$2*100)+0.5)/100</f>
        <v>0</v>
      </c>
      <c r="O325" s="75">
        <f t="shared" si="52"/>
        <v>0</v>
      </c>
      <c r="P325" s="75">
        <f t="shared" si="53"/>
        <v>0</v>
      </c>
      <c r="Q325" s="101">
        <v>0</v>
      </c>
      <c r="R325" s="101">
        <v>0</v>
      </c>
      <c r="S325" s="75">
        <v>0</v>
      </c>
      <c r="T325" s="78">
        <f>Valores!$C$46</f>
        <v>127.16</v>
      </c>
      <c r="U325" s="78">
        <v>0</v>
      </c>
      <c r="V325" s="75">
        <f t="shared" si="62"/>
        <v>0</v>
      </c>
      <c r="W325" s="75">
        <v>0</v>
      </c>
      <c r="X325" s="75">
        <v>0</v>
      </c>
      <c r="Y325" s="118">
        <v>0</v>
      </c>
      <c r="Z325" s="75">
        <v>0</v>
      </c>
      <c r="AA325" s="75">
        <v>0</v>
      </c>
      <c r="AB325" s="80">
        <v>0</v>
      </c>
      <c r="AC325" s="75">
        <f t="shared" si="56"/>
        <v>0</v>
      </c>
      <c r="AD325" s="75">
        <v>0</v>
      </c>
      <c r="AE325" s="79">
        <v>0</v>
      </c>
      <c r="AF325" s="75">
        <f>INT(((AE325*Valores!$C$2)*100)+0.5)/100</f>
        <v>0</v>
      </c>
      <c r="AG325" s="75"/>
      <c r="AH325" s="75"/>
      <c r="AI325" s="114">
        <f t="shared" si="57"/>
        <v>1681.63</v>
      </c>
      <c r="AJ325" s="114"/>
      <c r="AK325" s="78">
        <f>Valores!$C$12</f>
        <v>0</v>
      </c>
      <c r="AL325" s="78">
        <v>0</v>
      </c>
      <c r="AM325" s="80">
        <v>0</v>
      </c>
      <c r="AN325" s="82">
        <f t="shared" si="58"/>
        <v>0</v>
      </c>
      <c r="AO325" s="61">
        <f>AI325*-Valores!$C$65</f>
        <v>-218.61190000000002</v>
      </c>
      <c r="AP325" s="61">
        <f>AI325*-Valores!$C$66</f>
        <v>-8.4081500000000009</v>
      </c>
      <c r="AQ325" s="77">
        <f>AI325*-Valores!$C$67</f>
        <v>-75.673349999999999</v>
      </c>
      <c r="AR325" s="77">
        <f>AI325*-Valores!$C$68</f>
        <v>-45.40401</v>
      </c>
      <c r="AS325" s="77">
        <f>AI325*-Valores!$C$69</f>
        <v>-5.0448900000000005</v>
      </c>
      <c r="AT325" s="81">
        <f t="shared" si="54"/>
        <v>1378.9366</v>
      </c>
      <c r="AU325" s="81">
        <f t="shared" si="55"/>
        <v>1404.1610500000002</v>
      </c>
      <c r="AV325" s="77">
        <f>AI325*Valores!$C$71</f>
        <v>269.06080000000003</v>
      </c>
      <c r="AW325" s="77">
        <f>AI325*Valores!$C$72</f>
        <v>75.673349999999999</v>
      </c>
      <c r="AX325" s="77">
        <f>AI325*Valores!$C$73</f>
        <v>16.816300000000002</v>
      </c>
      <c r="AY325" s="77">
        <f>AI325*Valores!$C$75</f>
        <v>58.857050000000008</v>
      </c>
      <c r="AZ325" s="77">
        <f>AI325*Valores!$C$76</f>
        <v>10.089780000000001</v>
      </c>
      <c r="BA325" s="77">
        <f t="shared" si="59"/>
        <v>90.808020000000013</v>
      </c>
      <c r="BC325" s="129"/>
      <c r="BD325" s="27" t="s">
        <v>4</v>
      </c>
    </row>
    <row r="326" spans="1:56" ht="11.25" customHeight="1" x14ac:dyDescent="0.25">
      <c r="A326" s="85">
        <v>325</v>
      </c>
      <c r="B326" s="85" t="s">
        <v>163</v>
      </c>
      <c r="C326" s="136" t="s">
        <v>525</v>
      </c>
      <c r="D326" s="128">
        <v>1</v>
      </c>
      <c r="E326" s="128">
        <f t="shared" si="51"/>
        <v>43</v>
      </c>
      <c r="F326" s="131" t="s">
        <v>550</v>
      </c>
      <c r="G326" s="132">
        <v>220</v>
      </c>
      <c r="H326" s="89">
        <f>INT((G326*Valores!$C$2*100)+0.5)/100</f>
        <v>1513.2</v>
      </c>
      <c r="I326" s="103">
        <v>0</v>
      </c>
      <c r="J326" s="91">
        <f>INT((I326*Valores!$C$2*100)+0.5)/100</f>
        <v>0</v>
      </c>
      <c r="K326" s="104">
        <v>0</v>
      </c>
      <c r="L326" s="91">
        <f>INT((K326*Valores!$C$2*100)+0.5)/100</f>
        <v>0</v>
      </c>
      <c r="M326" s="105">
        <v>0</v>
      </c>
      <c r="N326" s="91">
        <f>INT((M326*Valores!$C$2*100)+0.5)/100</f>
        <v>0</v>
      </c>
      <c r="O326" s="91">
        <f t="shared" si="52"/>
        <v>0</v>
      </c>
      <c r="P326" s="91">
        <f t="shared" si="53"/>
        <v>0</v>
      </c>
      <c r="Q326" s="107">
        <v>0</v>
      </c>
      <c r="R326" s="107">
        <v>0</v>
      </c>
      <c r="S326" s="91">
        <v>0</v>
      </c>
      <c r="T326" s="94">
        <f>Valores!$C$46</f>
        <v>127.16</v>
      </c>
      <c r="U326" s="107">
        <v>0</v>
      </c>
      <c r="V326" s="91">
        <f t="shared" si="62"/>
        <v>0</v>
      </c>
      <c r="W326" s="91">
        <v>0</v>
      </c>
      <c r="X326" s="91">
        <v>0</v>
      </c>
      <c r="Y326" s="119">
        <v>0</v>
      </c>
      <c r="Z326" s="91">
        <v>0</v>
      </c>
      <c r="AA326" s="91">
        <v>0</v>
      </c>
      <c r="AB326" s="96">
        <v>0</v>
      </c>
      <c r="AC326" s="91">
        <f t="shared" si="56"/>
        <v>0</v>
      </c>
      <c r="AD326" s="91">
        <v>0</v>
      </c>
      <c r="AE326" s="95">
        <v>0</v>
      </c>
      <c r="AF326" s="91">
        <f>INT(((AE326*Valores!$C$2)*100)+0.5)/100</f>
        <v>0</v>
      </c>
      <c r="AG326" s="91"/>
      <c r="AH326" s="91"/>
      <c r="AI326" s="115">
        <f t="shared" si="57"/>
        <v>1640.3600000000001</v>
      </c>
      <c r="AJ326" s="115"/>
      <c r="AK326" s="94">
        <f>Valores!$C$12</f>
        <v>0</v>
      </c>
      <c r="AL326" s="94">
        <v>0</v>
      </c>
      <c r="AM326" s="96">
        <v>0</v>
      </c>
      <c r="AN326" s="98">
        <f t="shared" si="58"/>
        <v>0</v>
      </c>
      <c r="AO326" s="116">
        <f>AI326*-Valores!$C$65</f>
        <v>-213.24680000000004</v>
      </c>
      <c r="AP326" s="116">
        <f>AI326*-Valores!$C$66</f>
        <v>-8.2018000000000004</v>
      </c>
      <c r="AQ326" s="93">
        <f>AI326*-Valores!$C$67</f>
        <v>-73.816200000000009</v>
      </c>
      <c r="AR326" s="93">
        <f>AI326*-Valores!$C$68</f>
        <v>-44.289720000000003</v>
      </c>
      <c r="AS326" s="93">
        <f>AI326*-Valores!$C$69</f>
        <v>-4.9210800000000008</v>
      </c>
      <c r="AT326" s="97">
        <f t="shared" si="54"/>
        <v>1345.0952</v>
      </c>
      <c r="AU326" s="97">
        <f t="shared" si="55"/>
        <v>1369.7005999999999</v>
      </c>
      <c r="AV326" s="93">
        <f>AI326*Valores!$C$71</f>
        <v>262.45760000000001</v>
      </c>
      <c r="AW326" s="93">
        <f>AI326*Valores!$C$72</f>
        <v>73.816200000000009</v>
      </c>
      <c r="AX326" s="93">
        <f>AI326*Valores!$C$73</f>
        <v>16.403600000000001</v>
      </c>
      <c r="AY326" s="93">
        <f>AI326*Valores!$C$75</f>
        <v>57.412600000000012</v>
      </c>
      <c r="AZ326" s="93">
        <f>AI326*Valores!$C$76</f>
        <v>9.8421600000000016</v>
      </c>
      <c r="BA326" s="93">
        <f t="shared" si="59"/>
        <v>88.579440000000019</v>
      </c>
      <c r="BB326" s="129"/>
      <c r="BC326" s="129"/>
      <c r="BD326" s="86" t="s">
        <v>4</v>
      </c>
    </row>
    <row r="327" spans="1:56" ht="11.25" customHeight="1" x14ac:dyDescent="0.25">
      <c r="A327" s="51">
        <v>326</v>
      </c>
      <c r="B327" s="51"/>
      <c r="C327" s="134" t="s">
        <v>525</v>
      </c>
      <c r="E327" s="128">
        <f>LEN(F327)</f>
        <v>46</v>
      </c>
      <c r="F327" s="53" t="s">
        <v>551</v>
      </c>
      <c r="G327" s="126">
        <v>212</v>
      </c>
      <c r="H327" s="73">
        <f>INT((G327*Valores!$C$2*100)+0.5)/100</f>
        <v>1458.18</v>
      </c>
      <c r="I327" s="112">
        <v>0</v>
      </c>
      <c r="J327" s="75">
        <f>INT((I327*Valores!$C$2*100)+0.5)/100</f>
        <v>0</v>
      </c>
      <c r="K327" s="102">
        <v>0</v>
      </c>
      <c r="L327" s="75">
        <f>INT((K327*Valores!$C$2*100)+0.5)/100</f>
        <v>0</v>
      </c>
      <c r="M327" s="100">
        <v>0</v>
      </c>
      <c r="N327" s="75">
        <f>INT((M327*Valores!$C$2*100)+0.5)/100</f>
        <v>0</v>
      </c>
      <c r="O327" s="75">
        <f>IF($J$2=0,IF(C327&lt;&gt;"13-930",(SUM(H327,J327,L327,N327,Z327,U327,T327)*$O$2),0),0)</f>
        <v>0</v>
      </c>
      <c r="P327" s="75">
        <f t="shared" si="53"/>
        <v>0</v>
      </c>
      <c r="Q327" s="101">
        <v>0</v>
      </c>
      <c r="R327" s="101">
        <v>0</v>
      </c>
      <c r="S327" s="75">
        <v>0</v>
      </c>
      <c r="T327" s="78">
        <f>Valores!$C$46</f>
        <v>127.16</v>
      </c>
      <c r="U327" s="101">
        <v>0</v>
      </c>
      <c r="V327" s="75">
        <f t="shared" si="62"/>
        <v>0</v>
      </c>
      <c r="W327" s="75">
        <v>0</v>
      </c>
      <c r="X327" s="75">
        <v>0</v>
      </c>
      <c r="Y327" s="118">
        <v>0</v>
      </c>
      <c r="Z327" s="75">
        <v>0</v>
      </c>
      <c r="AA327" s="75">
        <v>0</v>
      </c>
      <c r="AB327" s="80">
        <v>0</v>
      </c>
      <c r="AC327" s="75">
        <f t="shared" si="56"/>
        <v>0</v>
      </c>
      <c r="AD327" s="75">
        <v>0</v>
      </c>
      <c r="AE327" s="79">
        <v>0</v>
      </c>
      <c r="AF327" s="75">
        <f>INT(((AE327*Valores!$C$2)*100)+0.5)/100</f>
        <v>0</v>
      </c>
      <c r="AG327" s="75"/>
      <c r="AH327" s="75"/>
      <c r="AI327" s="114">
        <f t="shared" si="57"/>
        <v>1585.3400000000001</v>
      </c>
      <c r="AJ327" s="114"/>
      <c r="AK327" s="78">
        <f>Valores!$C$12</f>
        <v>0</v>
      </c>
      <c r="AL327" s="78">
        <v>0</v>
      </c>
      <c r="AM327" s="80">
        <v>0</v>
      </c>
      <c r="AN327" s="82">
        <f t="shared" si="58"/>
        <v>0</v>
      </c>
      <c r="AO327" s="61">
        <f>AI327*-Valores!$C$65</f>
        <v>-206.09420000000003</v>
      </c>
      <c r="AP327" s="61">
        <f>AI327*-Valores!$C$66</f>
        <v>-7.9267000000000012</v>
      </c>
      <c r="AQ327" s="77">
        <f>AI327*-Valores!$C$67</f>
        <v>-71.340299999999999</v>
      </c>
      <c r="AR327" s="77">
        <f>AI327*-Valores!$C$68</f>
        <v>-42.804180000000002</v>
      </c>
      <c r="AS327" s="77">
        <f>AI327*-Valores!$C$69</f>
        <v>-4.7560200000000004</v>
      </c>
      <c r="AT327" s="81">
        <f t="shared" si="54"/>
        <v>1299.9788000000001</v>
      </c>
      <c r="AU327" s="81">
        <f t="shared" si="55"/>
        <v>1323.7589</v>
      </c>
      <c r="AV327" s="77">
        <f>AI327*Valores!$C$71</f>
        <v>253.65440000000004</v>
      </c>
      <c r="AW327" s="77">
        <f>AI327*Valores!$C$72</f>
        <v>71.340299999999999</v>
      </c>
      <c r="AX327" s="77">
        <f>AI327*Valores!$C$73</f>
        <v>15.853400000000002</v>
      </c>
      <c r="AY327" s="77">
        <f>AI327*Valores!$C$75</f>
        <v>55.486900000000013</v>
      </c>
      <c r="AZ327" s="77">
        <f>AI327*Valores!$C$76</f>
        <v>9.5120400000000007</v>
      </c>
      <c r="BA327" s="77">
        <f t="shared" si="59"/>
        <v>85.608360000000005</v>
      </c>
      <c r="BD327" s="27" t="s">
        <v>4</v>
      </c>
    </row>
    <row r="329" spans="1:56" ht="11.25" customHeight="1" x14ac:dyDescent="0.25">
      <c r="J329" s="18"/>
      <c r="P329" s="18"/>
      <c r="Q329" s="18"/>
      <c r="R329" s="18"/>
      <c r="S329" s="18"/>
      <c r="T329" s="18"/>
      <c r="U329" s="18"/>
      <c r="V329" s="18"/>
      <c r="W329" s="18"/>
      <c r="X329" s="18"/>
      <c r="Y329" s="137">
        <f>Y47-Y54</f>
        <v>0</v>
      </c>
      <c r="Z329" s="18"/>
      <c r="AA329" s="18"/>
      <c r="AB329" s="18"/>
      <c r="AC329" s="18"/>
      <c r="AD329" s="18"/>
      <c r="AI329" s="138"/>
      <c r="AJ329" s="139"/>
    </row>
  </sheetData>
  <autoFilter ref="A6:BD327"/>
  <mergeCells count="10">
    <mergeCell ref="C1:AM1"/>
    <mergeCell ref="AM2:AM3"/>
    <mergeCell ref="I3:J3"/>
    <mergeCell ref="K3:L3"/>
    <mergeCell ref="G5:H5"/>
    <mergeCell ref="I5:J5"/>
    <mergeCell ref="K5:L5"/>
    <mergeCell ref="M5:N5"/>
    <mergeCell ref="Y5:Z5"/>
    <mergeCell ref="AE5:AF5"/>
  </mergeCells>
  <conditionalFormatting sqref="C257:AC257 AE257:AL257 AK192:AL257 C258:AL327 AM7:BD327 C7:AL256">
    <cfRule type="expression" dxfId="65" priority="2">
      <formula>$BD7="SI"</formula>
    </cfRule>
  </conditionalFormatting>
  <conditionalFormatting sqref="AD257">
    <cfRule type="expression" dxfId="64" priority="3">
      <formula>$BD257="SI"</formula>
    </cfRule>
  </conditionalFormatting>
  <conditionalFormatting sqref="BD192:BD321 BD93 AW89:BA91 BB7:BB93 AN7:AV87 AN89:AV90 AN92:BA93 C322:BD327 C94:BC321 C7:AM93">
    <cfRule type="expression" dxfId="63" priority="4">
      <formula>#REF!="x"</formula>
    </cfRule>
  </conditionalFormatting>
  <conditionalFormatting sqref="BD89:BD91 AN91:AV91">
    <cfRule type="expression" dxfId="62" priority="5">
      <formula>#REF!="x"</formula>
    </cfRule>
  </conditionalFormatting>
  <conditionalFormatting sqref="BD92">
    <cfRule type="expression" dxfId="61" priority="6">
      <formula>#REF!="x"</formula>
    </cfRule>
  </conditionalFormatting>
  <conditionalFormatting sqref="BD7:BD88 AN88:AV88 AV8:AV327 AW7:BA327 AN8:AN327">
    <cfRule type="expression" dxfId="60" priority="7">
      <formula>#REF!="x"</formula>
    </cfRule>
  </conditionalFormatting>
  <conditionalFormatting sqref="BD94:BD191">
    <cfRule type="expression" dxfId="59" priority="8">
      <formula>#REF!="x"</formula>
    </cfRule>
  </conditionalFormatting>
  <conditionalFormatting sqref="BC7:BC88">
    <cfRule type="expression" dxfId="58" priority="9">
      <formula>#REF!="x"</formula>
    </cfRule>
  </conditionalFormatting>
  <conditionalFormatting sqref="BC89:BC91">
    <cfRule type="expression" dxfId="57" priority="10">
      <formula>#REF!="x"</formula>
    </cfRule>
  </conditionalFormatting>
  <conditionalFormatting sqref="BC92:BC93">
    <cfRule type="expression" dxfId="56" priority="11">
      <formula>#REF!="x"</formula>
    </cfRule>
  </conditionalFormatting>
  <conditionalFormatting sqref="AP7">
    <cfRule type="expression" dxfId="55" priority="12">
      <formula>#REF!="x"</formula>
    </cfRule>
  </conditionalFormatting>
  <conditionalFormatting sqref="AP7">
    <cfRule type="expression" dxfId="54" priority="13">
      <formula>#REF!="x"</formula>
    </cfRule>
  </conditionalFormatting>
  <conditionalFormatting sqref="AM94">
    <cfRule type="expression" dxfId="53" priority="15">
      <formula>#REF!="x"</formula>
    </cfRule>
  </conditionalFormatting>
  <conditionalFormatting sqref="AM99">
    <cfRule type="expression" dxfId="52" priority="16">
      <formula>#REF!="x"</formula>
    </cfRule>
  </conditionalFormatting>
  <conditionalFormatting sqref="AM103">
    <cfRule type="expression" dxfId="51" priority="17">
      <formula>#REF!="x"</formula>
    </cfRule>
  </conditionalFormatting>
  <conditionalFormatting sqref="AM104">
    <cfRule type="expression" dxfId="50" priority="18">
      <formula>#REF!="x"</formula>
    </cfRule>
  </conditionalFormatting>
  <conditionalFormatting sqref="AM105">
    <cfRule type="expression" dxfId="49" priority="19">
      <formula>#REF!="x"</formula>
    </cfRule>
  </conditionalFormatting>
  <conditionalFormatting sqref="AM106">
    <cfRule type="expression" dxfId="48" priority="20">
      <formula>#REF!="x"</formula>
    </cfRule>
  </conditionalFormatting>
  <conditionalFormatting sqref="AM107">
    <cfRule type="expression" dxfId="47" priority="21">
      <formula>#REF!="x"</formula>
    </cfRule>
  </conditionalFormatting>
  <conditionalFormatting sqref="AM108">
    <cfRule type="expression" dxfId="46" priority="22">
      <formula>#REF!="x"</formula>
    </cfRule>
  </conditionalFormatting>
  <conditionalFormatting sqref="AM109">
    <cfRule type="expression" dxfId="45" priority="23">
      <formula>#REF!="x"</formula>
    </cfRule>
  </conditionalFormatting>
  <conditionalFormatting sqref="AM110">
    <cfRule type="expression" dxfId="44" priority="24">
      <formula>#REF!="x"</formula>
    </cfRule>
  </conditionalFormatting>
  <conditionalFormatting sqref="AM111">
    <cfRule type="expression" dxfId="43" priority="25">
      <formula>#REF!="x"</formula>
    </cfRule>
  </conditionalFormatting>
  <conditionalFormatting sqref="AM113">
    <cfRule type="expression" dxfId="42" priority="26">
      <formula>#REF!="x"</formula>
    </cfRule>
  </conditionalFormatting>
  <conditionalFormatting sqref="AM114">
    <cfRule type="expression" dxfId="41" priority="27">
      <formula>#REF!="x"</formula>
    </cfRule>
  </conditionalFormatting>
  <conditionalFormatting sqref="AM117">
    <cfRule type="expression" dxfId="40" priority="28">
      <formula>#REF!="x"</formula>
    </cfRule>
  </conditionalFormatting>
  <conditionalFormatting sqref="AM119">
    <cfRule type="expression" dxfId="39" priority="29">
      <formula>#REF!="x"</formula>
    </cfRule>
  </conditionalFormatting>
  <conditionalFormatting sqref="AM122">
    <cfRule type="expression" dxfId="38" priority="30">
      <formula>#REF!="x"</formula>
    </cfRule>
  </conditionalFormatting>
  <conditionalFormatting sqref="AM123">
    <cfRule type="expression" dxfId="37" priority="31">
      <formula>#REF!="x"</formula>
    </cfRule>
  </conditionalFormatting>
  <conditionalFormatting sqref="AM124">
    <cfRule type="expression" dxfId="36" priority="32">
      <formula>#REF!="x"</formula>
    </cfRule>
  </conditionalFormatting>
  <conditionalFormatting sqref="AM125">
    <cfRule type="expression" dxfId="35" priority="33">
      <formula>#REF!="x"</formula>
    </cfRule>
  </conditionalFormatting>
  <conditionalFormatting sqref="AM126">
    <cfRule type="expression" dxfId="34" priority="34">
      <formula>#REF!="x"</formula>
    </cfRule>
  </conditionalFormatting>
  <conditionalFormatting sqref="AM128">
    <cfRule type="expression" dxfId="33" priority="35">
      <formula>#REF!="x"</formula>
    </cfRule>
  </conditionalFormatting>
  <conditionalFormatting sqref="AM129">
    <cfRule type="expression" dxfId="32" priority="36">
      <formula>#REF!="x"</formula>
    </cfRule>
  </conditionalFormatting>
  <conditionalFormatting sqref="AM131">
    <cfRule type="expression" dxfId="31" priority="37">
      <formula>#REF!="x"</formula>
    </cfRule>
  </conditionalFormatting>
  <conditionalFormatting sqref="AM132">
    <cfRule type="expression" dxfId="30" priority="38">
      <formula>#REF!="x"</formula>
    </cfRule>
  </conditionalFormatting>
  <conditionalFormatting sqref="AM133">
    <cfRule type="expression" dxfId="29" priority="39">
      <formula>#REF!="x"</formula>
    </cfRule>
  </conditionalFormatting>
  <conditionalFormatting sqref="AM134">
    <cfRule type="expression" dxfId="28" priority="40">
      <formula>#REF!="x"</formula>
    </cfRule>
  </conditionalFormatting>
  <conditionalFormatting sqref="AM135">
    <cfRule type="expression" dxfId="27" priority="41">
      <formula>#REF!="x"</formula>
    </cfRule>
  </conditionalFormatting>
  <conditionalFormatting sqref="AM136">
    <cfRule type="expression" dxfId="26" priority="42">
      <formula>#REF!="x"</formula>
    </cfRule>
  </conditionalFormatting>
  <conditionalFormatting sqref="AM139">
    <cfRule type="expression" dxfId="25" priority="43">
      <formula>#REF!="x"</formula>
    </cfRule>
  </conditionalFormatting>
  <conditionalFormatting sqref="AM141">
    <cfRule type="expression" dxfId="24" priority="44">
      <formula>#REF!="x"</formula>
    </cfRule>
  </conditionalFormatting>
  <conditionalFormatting sqref="AM142">
    <cfRule type="expression" dxfId="23" priority="45">
      <formula>#REF!="x"</formula>
    </cfRule>
  </conditionalFormatting>
  <conditionalFormatting sqref="AM145">
    <cfRule type="expression" dxfId="22" priority="46">
      <formula>#REF!="x"</formula>
    </cfRule>
  </conditionalFormatting>
  <conditionalFormatting sqref="AM146">
    <cfRule type="expression" dxfId="21" priority="47">
      <formula>#REF!="x"</formula>
    </cfRule>
  </conditionalFormatting>
  <conditionalFormatting sqref="AM147">
    <cfRule type="expression" dxfId="20" priority="48">
      <formula>#REF!="x"</formula>
    </cfRule>
  </conditionalFormatting>
  <conditionalFormatting sqref="AM150">
    <cfRule type="expression" dxfId="19" priority="49">
      <formula>#REF!="x"</formula>
    </cfRule>
  </conditionalFormatting>
  <conditionalFormatting sqref="AM153">
    <cfRule type="expression" dxfId="18" priority="50">
      <formula>#REF!="x"</formula>
    </cfRule>
  </conditionalFormatting>
  <conditionalFormatting sqref="AM154">
    <cfRule type="expression" dxfId="17" priority="51">
      <formula>#REF!="x"</formula>
    </cfRule>
  </conditionalFormatting>
  <conditionalFormatting sqref="AM156">
    <cfRule type="expression" dxfId="16" priority="52">
      <formula>#REF!="x"</formula>
    </cfRule>
  </conditionalFormatting>
  <conditionalFormatting sqref="AM159">
    <cfRule type="expression" dxfId="15" priority="53">
      <formula>#REF!="x"</formula>
    </cfRule>
  </conditionalFormatting>
  <conditionalFormatting sqref="AM160">
    <cfRule type="expression" dxfId="14" priority="54">
      <formula>#REF!="x"</formula>
    </cfRule>
  </conditionalFormatting>
  <conditionalFormatting sqref="AM162">
    <cfRule type="expression" dxfId="13" priority="55">
      <formula>#REF!="x"</formula>
    </cfRule>
  </conditionalFormatting>
  <conditionalFormatting sqref="AM163">
    <cfRule type="expression" dxfId="12" priority="56">
      <formula>#REF!="x"</formula>
    </cfRule>
  </conditionalFormatting>
  <conditionalFormatting sqref="AM164">
    <cfRule type="expression" dxfId="11" priority="57">
      <formula>#REF!="x"</formula>
    </cfRule>
  </conditionalFormatting>
  <conditionalFormatting sqref="AM174">
    <cfRule type="expression" dxfId="10" priority="58">
      <formula>#REF!="x"</formula>
    </cfRule>
  </conditionalFormatting>
  <conditionalFormatting sqref="AM175:AM179">
    <cfRule type="expression" dxfId="9" priority="59">
      <formula>#REF!="x"</formula>
    </cfRule>
  </conditionalFormatting>
  <conditionalFormatting sqref="AM179">
    <cfRule type="expression" dxfId="8" priority="60">
      <formula>#REF!="x"</formula>
    </cfRule>
  </conditionalFormatting>
  <conditionalFormatting sqref="AM180">
    <cfRule type="expression" dxfId="7" priority="61">
      <formula>#REF!="x"</formula>
    </cfRule>
  </conditionalFormatting>
  <conditionalFormatting sqref="AM183">
    <cfRule type="expression" dxfId="6" priority="62">
      <formula>#REF!="x"</formula>
    </cfRule>
  </conditionalFormatting>
  <conditionalFormatting sqref="AM184">
    <cfRule type="expression" dxfId="5" priority="63">
      <formula>#REF!="x"</formula>
    </cfRule>
  </conditionalFormatting>
  <conditionalFormatting sqref="AM185">
    <cfRule type="expression" dxfId="4" priority="64">
      <formula>#REF!="x"</formula>
    </cfRule>
  </conditionalFormatting>
  <conditionalFormatting sqref="AM190">
    <cfRule type="expression" dxfId="3" priority="65">
      <formula>#REF!="x"</formula>
    </cfRule>
  </conditionalFormatting>
  <conditionalFormatting sqref="AM191">
    <cfRule type="expression" dxfId="2" priority="66">
      <formula>#REF!="x"</formula>
    </cfRule>
  </conditionalFormatting>
  <conditionalFormatting sqref="AM181:AM182">
    <cfRule type="expression" dxfId="1" priority="67">
      <formula>#REF!="x"</formula>
    </cfRule>
  </conditionalFormatting>
  <conditionalFormatting sqref="AM180">
    <cfRule type="expression" dxfId="0" priority="68">
      <formula>#REF!="x"</formula>
    </cfRule>
  </conditionalFormatting>
  <dataValidations count="1">
    <dataValidation type="list" allowBlank="1" showInputMessage="1" showErrorMessage="1" error="VALOR INCORRECTO" sqref="H4 AM4">
      <formula1>$AN$3:$AN$4</formula1>
      <formula2>0</formula2>
    </dataValidation>
  </dataValidations>
  <pageMargins left="0" right="0" top="0.74791666666666701" bottom="0.31458333333333299" header="0.39374999999999999" footer="0"/>
  <pageSetup paperSize="9" scale="110" firstPageNumber="0" orientation="portrait" r:id="rId1"/>
  <headerFooter>
    <oddHeader>&amp;LMinisterio de EducaciónDirección de Recursos Humanos&amp;C&amp;F&amp;RValor del Punto:</oddHeader>
    <oddFooter>&amp;L&amp;D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zoomScale="130" zoomScaleNormal="13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17" sqref="D17"/>
    </sheetView>
  </sheetViews>
  <sheetFormatPr baseColWidth="10" defaultColWidth="9.109375" defaultRowHeight="13.2" x14ac:dyDescent="0.25"/>
  <cols>
    <col min="1" max="1" width="4.6640625" customWidth="1"/>
    <col min="2" max="2" width="31" customWidth="1"/>
    <col min="3" max="3" width="7.5546875" customWidth="1"/>
    <col min="4" max="4" width="6.88671875" customWidth="1"/>
    <col min="5" max="5" width="10.5546875" customWidth="1"/>
    <col min="6" max="6" width="8.109375" customWidth="1"/>
    <col min="7" max="7" width="7.109375" customWidth="1"/>
    <col min="8" max="8" width="9" customWidth="1"/>
    <col min="9" max="9" width="7.109375" customWidth="1"/>
    <col min="10" max="10" width="8" customWidth="1"/>
    <col min="11" max="11" width="7.44140625" customWidth="1"/>
    <col min="12" max="12" width="12.44140625" hidden="1" customWidth="1"/>
    <col min="13" max="13" width="6.33203125" hidden="1" customWidth="1"/>
    <col min="14" max="15" width="11.5546875" hidden="1"/>
    <col min="16" max="16" width="2.5546875" customWidth="1"/>
    <col min="17" max="17" width="7" customWidth="1"/>
    <col min="18" max="18" width="7.109375" customWidth="1"/>
    <col min="19" max="19" width="6.5546875" customWidth="1"/>
    <col min="20" max="20" width="7.109375" customWidth="1"/>
    <col min="21" max="21" width="5.88671875" customWidth="1"/>
    <col min="22" max="22" width="7" customWidth="1"/>
    <col min="23" max="23" width="6" customWidth="1"/>
    <col min="24" max="24" width="8.33203125" customWidth="1"/>
    <col min="25" max="1025" width="10.6640625" customWidth="1"/>
  </cols>
  <sheetData>
    <row r="1" spans="1:33" ht="25.5" customHeight="1" x14ac:dyDescent="0.25">
      <c r="A1" s="208" t="str">
        <f ca="1">MID(CELL("FILENAME",L41),FIND("[",CELL("FILENAME",L41))+1,FIND("]",CELL("FILENAME",L41))-FIND("[",CELL("FILENAME",L41))-1)</f>
        <v>Esc Doc 2019 04 Cba v1 1.xlsx</v>
      </c>
      <c r="B1" s="208"/>
      <c r="C1" s="208"/>
      <c r="D1" s="208"/>
      <c r="E1" s="208"/>
      <c r="F1" s="208"/>
      <c r="G1" s="208"/>
      <c r="H1" s="208"/>
      <c r="I1" s="208"/>
      <c r="J1" s="208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</row>
    <row r="2" spans="1:33" x14ac:dyDescent="0.25">
      <c r="A2" s="209" t="s">
        <v>69</v>
      </c>
      <c r="B2" s="209"/>
      <c r="C2" s="141">
        <v>0</v>
      </c>
      <c r="D2" s="141"/>
      <c r="E2" s="141"/>
      <c r="F2" s="141"/>
      <c r="G2" s="142"/>
      <c r="H2" s="141"/>
      <c r="I2" s="143"/>
      <c r="J2" s="144"/>
      <c r="K2" s="145"/>
      <c r="Y2" s="73"/>
    </row>
    <row r="3" spans="1:33" ht="12.75" customHeight="1" x14ac:dyDescent="0.25">
      <c r="G3" s="146"/>
      <c r="H3" s="147"/>
      <c r="I3" s="147"/>
      <c r="J3" s="147"/>
      <c r="K3" s="148"/>
      <c r="Q3" s="210" t="s">
        <v>552</v>
      </c>
      <c r="R3" s="210"/>
      <c r="S3" s="210"/>
      <c r="T3" s="211" t="s">
        <v>553</v>
      </c>
      <c r="U3" s="211"/>
      <c r="V3" s="211"/>
      <c r="W3" s="211"/>
      <c r="Y3" s="73"/>
    </row>
    <row r="4" spans="1:33" ht="16.8" x14ac:dyDescent="0.25">
      <c r="A4" s="43"/>
      <c r="B4" s="43"/>
      <c r="C4" s="149" t="s">
        <v>554</v>
      </c>
      <c r="D4" s="150" t="s">
        <v>77</v>
      </c>
      <c r="E4" s="150" t="s">
        <v>555</v>
      </c>
      <c r="F4" s="150" t="s">
        <v>556</v>
      </c>
      <c r="G4" s="151" t="s">
        <v>78</v>
      </c>
      <c r="H4" s="152" t="s">
        <v>79</v>
      </c>
      <c r="I4" s="153" t="s">
        <v>557</v>
      </c>
      <c r="J4" s="154" t="s">
        <v>558</v>
      </c>
      <c r="K4" s="155" t="s">
        <v>557</v>
      </c>
      <c r="Q4" s="156" t="s">
        <v>559</v>
      </c>
      <c r="R4" s="157" t="s">
        <v>560</v>
      </c>
      <c r="S4" s="157" t="s">
        <v>561</v>
      </c>
      <c r="T4" s="158" t="s">
        <v>562</v>
      </c>
      <c r="U4" s="159" t="s">
        <v>563</v>
      </c>
      <c r="V4" s="159" t="s">
        <v>564</v>
      </c>
      <c r="W4" s="159" t="s">
        <v>561</v>
      </c>
      <c r="X4" s="160" t="s">
        <v>565</v>
      </c>
      <c r="Y4" s="160" t="s">
        <v>566</v>
      </c>
    </row>
    <row r="5" spans="1:33" x14ac:dyDescent="0.25">
      <c r="A5" s="52" t="s">
        <v>111</v>
      </c>
      <c r="B5" s="54" t="s">
        <v>112</v>
      </c>
      <c r="C5" s="161" t="s">
        <v>114</v>
      </c>
      <c r="D5" s="162" t="s">
        <v>121</v>
      </c>
      <c r="E5" s="162" t="s">
        <v>567</v>
      </c>
      <c r="F5" s="163"/>
      <c r="G5" s="163" t="s">
        <v>122</v>
      </c>
      <c r="H5" s="163" t="s">
        <v>123</v>
      </c>
      <c r="I5" s="164" t="s">
        <v>568</v>
      </c>
      <c r="J5" s="165" t="s">
        <v>569</v>
      </c>
      <c r="K5" s="164" t="s">
        <v>570</v>
      </c>
      <c r="L5" s="166" t="s">
        <v>571</v>
      </c>
      <c r="Q5" s="167">
        <v>0.13500000000000001</v>
      </c>
      <c r="R5" s="168">
        <v>2.5000000000000001E-2</v>
      </c>
      <c r="S5" s="169">
        <v>4.4999999999999998E-2</v>
      </c>
      <c r="T5" s="170">
        <v>0.16</v>
      </c>
      <c r="U5" s="171">
        <v>0.01</v>
      </c>
      <c r="V5" s="172">
        <v>2.5000000000000001E-2</v>
      </c>
      <c r="W5" s="172">
        <v>3.5000000000000003E-2</v>
      </c>
      <c r="Y5" s="73"/>
    </row>
    <row r="6" spans="1:33" ht="12.75" customHeight="1" x14ac:dyDescent="0.25">
      <c r="A6" s="27" t="s">
        <v>572</v>
      </c>
      <c r="B6" s="71" t="s">
        <v>573</v>
      </c>
      <c r="C6" s="73">
        <f>C9/1.6*1.8</f>
        <v>7750.89</v>
      </c>
      <c r="D6" s="73">
        <f t="shared" ref="D6:D32" si="0">IF($C$2=0,C6*0.15,0)</f>
        <v>1162.6334999999999</v>
      </c>
      <c r="E6" s="73">
        <v>0</v>
      </c>
      <c r="F6" s="73"/>
      <c r="G6" s="73">
        <f>C6*VLOOKUP($C$2,Valores!$I$1:$J$53,2,0)</f>
        <v>0</v>
      </c>
      <c r="H6" s="73">
        <f>H9/1.6*1.8</f>
        <v>5167.2712499999998</v>
      </c>
      <c r="I6" s="81">
        <f t="shared" ref="I6:I32" si="1">SUM(C6:H6)</f>
        <v>14080.794749999999</v>
      </c>
      <c r="J6" s="73">
        <v>0</v>
      </c>
      <c r="K6" s="82">
        <f t="shared" ref="K6:K32" si="2">SUM(J6)</f>
        <v>0</v>
      </c>
      <c r="Q6" s="73">
        <f t="shared" ref="Q6:Q28" si="3">I6*$Q$5</f>
        <v>1900.9072912500001</v>
      </c>
      <c r="R6" s="73">
        <f t="shared" ref="R6:R28" si="4">I6*$R$5</f>
        <v>352.01986875</v>
      </c>
      <c r="S6" s="73">
        <f t="shared" ref="S6:S28" si="5">I6*$S$5</f>
        <v>633.63576374999991</v>
      </c>
      <c r="T6" s="73">
        <f t="shared" ref="T6:T28" si="6">I6*$T$5</f>
        <v>2252.9271599999997</v>
      </c>
      <c r="U6" s="73">
        <f t="shared" ref="U6:U28" si="7">I6*$U$5</f>
        <v>140.80794749999998</v>
      </c>
      <c r="V6" s="73">
        <f t="shared" ref="V6:V28" si="8">I6*$V$5</f>
        <v>352.01986875</v>
      </c>
      <c r="W6" s="73">
        <f t="shared" ref="W6:W28" si="9">I6*$W$5</f>
        <v>492.82781625000001</v>
      </c>
      <c r="X6" s="73">
        <f t="shared" ref="X6:X28" si="10">I6+K6+T6+U6+V6+W6</f>
        <v>17319.377542499999</v>
      </c>
      <c r="Y6" s="73">
        <f t="shared" ref="Y6:Y28" si="11">+I6-SUM(Q6:S6)</f>
        <v>11194.231826249999</v>
      </c>
    </row>
    <row r="7" spans="1:33" ht="12.75" customHeight="1" x14ac:dyDescent="0.25">
      <c r="A7" s="173" t="s">
        <v>574</v>
      </c>
      <c r="B7" s="71" t="s">
        <v>575</v>
      </c>
      <c r="C7" s="73">
        <f>C10/1.6*1.8</f>
        <v>15514.02</v>
      </c>
      <c r="D7" s="73">
        <f t="shared" si="0"/>
        <v>2327.1030000000001</v>
      </c>
      <c r="E7" s="73">
        <v>0</v>
      </c>
      <c r="F7" s="73"/>
      <c r="G7" s="73">
        <f>C7*VLOOKUP($C$2,Valores!$I$1:$J$53,2,0)</f>
        <v>0</v>
      </c>
      <c r="H7" s="73">
        <f>H10/1.6*1.8</f>
        <v>10334.508749999999</v>
      </c>
      <c r="I7" s="81">
        <f t="shared" si="1"/>
        <v>28175.63175</v>
      </c>
      <c r="J7" s="73">
        <v>0</v>
      </c>
      <c r="K7" s="82">
        <f t="shared" si="2"/>
        <v>0</v>
      </c>
      <c r="M7" s="71" t="s">
        <v>554</v>
      </c>
      <c r="N7" s="174">
        <v>5361.09</v>
      </c>
      <c r="O7" s="174">
        <v>446.76</v>
      </c>
      <c r="Q7" s="73">
        <f t="shared" si="3"/>
        <v>3803.7102862500005</v>
      </c>
      <c r="R7" s="73">
        <f t="shared" si="4"/>
        <v>704.39079375000006</v>
      </c>
      <c r="S7" s="73">
        <f t="shared" si="5"/>
        <v>1267.9034287499999</v>
      </c>
      <c r="T7" s="73">
        <f t="shared" si="6"/>
        <v>4508.1010800000004</v>
      </c>
      <c r="U7" s="73">
        <f t="shared" si="7"/>
        <v>281.75631750000002</v>
      </c>
      <c r="V7" s="73">
        <f t="shared" si="8"/>
        <v>704.39079375000006</v>
      </c>
      <c r="W7" s="73">
        <f t="shared" si="9"/>
        <v>986.14711125000008</v>
      </c>
      <c r="X7" s="73">
        <f t="shared" si="10"/>
        <v>34656.027052500001</v>
      </c>
      <c r="Y7" s="73">
        <f t="shared" si="11"/>
        <v>22399.62724125</v>
      </c>
    </row>
    <row r="8" spans="1:33" ht="12.75" customHeight="1" x14ac:dyDescent="0.25">
      <c r="A8" s="173" t="s">
        <v>576</v>
      </c>
      <c r="B8" s="71" t="s">
        <v>577</v>
      </c>
      <c r="C8" s="73">
        <f>C11/1.6*1.8</f>
        <v>31028.04</v>
      </c>
      <c r="D8" s="73">
        <f t="shared" si="0"/>
        <v>4654.2060000000001</v>
      </c>
      <c r="E8" s="73">
        <v>0</v>
      </c>
      <c r="F8" s="73"/>
      <c r="G8" s="73">
        <f>C8*VLOOKUP($C$2,Valores!$I$1:$J$53,2,0)</f>
        <v>0</v>
      </c>
      <c r="H8" s="73">
        <f>H11/1.6*1.8</f>
        <v>20669.017499999998</v>
      </c>
      <c r="I8" s="81">
        <f t="shared" si="1"/>
        <v>56351.263500000001</v>
      </c>
      <c r="J8" s="73">
        <v>0</v>
      </c>
      <c r="K8" s="82">
        <f t="shared" si="2"/>
        <v>0</v>
      </c>
      <c r="M8" s="71" t="s">
        <v>578</v>
      </c>
      <c r="N8" s="174">
        <v>1068</v>
      </c>
      <c r="O8" s="174">
        <v>89</v>
      </c>
      <c r="Q8" s="73">
        <f t="shared" si="3"/>
        <v>7607.4205725000011</v>
      </c>
      <c r="R8" s="73">
        <f t="shared" si="4"/>
        <v>1408.7815875000001</v>
      </c>
      <c r="S8" s="73">
        <f t="shared" si="5"/>
        <v>2535.8068574999998</v>
      </c>
      <c r="T8" s="73">
        <f t="shared" si="6"/>
        <v>9016.2021600000007</v>
      </c>
      <c r="U8" s="73">
        <f t="shared" si="7"/>
        <v>563.51263500000005</v>
      </c>
      <c r="V8" s="73">
        <f t="shared" si="8"/>
        <v>1408.7815875000001</v>
      </c>
      <c r="W8" s="73">
        <f t="shared" si="9"/>
        <v>1972.2942225000002</v>
      </c>
      <c r="X8" s="73">
        <f t="shared" si="10"/>
        <v>69312.054105000003</v>
      </c>
      <c r="Y8" s="73">
        <f t="shared" si="11"/>
        <v>44799.2544825</v>
      </c>
    </row>
    <row r="9" spans="1:33" ht="12.75" customHeight="1" x14ac:dyDescent="0.25">
      <c r="A9" s="175" t="s">
        <v>579</v>
      </c>
      <c r="B9" s="176" t="s">
        <v>580</v>
      </c>
      <c r="C9" s="177">
        <v>6889.68</v>
      </c>
      <c r="D9" s="177">
        <f t="shared" si="0"/>
        <v>1033.452</v>
      </c>
      <c r="E9" s="177">
        <v>0</v>
      </c>
      <c r="F9" s="177"/>
      <c r="G9" s="177">
        <f>C9*VLOOKUP($C$2,Valores!$I$1:$J$53,2,0)</f>
        <v>0</v>
      </c>
      <c r="H9" s="177">
        <v>4593.13</v>
      </c>
      <c r="I9" s="178">
        <f t="shared" si="1"/>
        <v>12516.262000000001</v>
      </c>
      <c r="J9" s="177">
        <v>888.69</v>
      </c>
      <c r="K9" s="179">
        <f t="shared" si="2"/>
        <v>888.69</v>
      </c>
      <c r="M9" s="71" t="s">
        <v>581</v>
      </c>
      <c r="N9" s="174">
        <v>1614.8240000000001</v>
      </c>
      <c r="O9" s="174">
        <v>134.578666666667</v>
      </c>
      <c r="Q9" s="73">
        <f t="shared" si="3"/>
        <v>1689.6953700000001</v>
      </c>
      <c r="R9" s="73">
        <f t="shared" si="4"/>
        <v>312.90655000000004</v>
      </c>
      <c r="S9" s="73">
        <f t="shared" si="5"/>
        <v>563.23179000000005</v>
      </c>
      <c r="T9" s="73">
        <f t="shared" si="6"/>
        <v>2002.6019200000001</v>
      </c>
      <c r="U9" s="73">
        <f t="shared" si="7"/>
        <v>125.16262</v>
      </c>
      <c r="V9" s="73">
        <f t="shared" si="8"/>
        <v>312.90655000000004</v>
      </c>
      <c r="W9" s="73">
        <f t="shared" si="9"/>
        <v>438.06917000000004</v>
      </c>
      <c r="X9" s="73">
        <f t="shared" si="10"/>
        <v>16283.692260000002</v>
      </c>
      <c r="Y9" s="73">
        <f t="shared" si="11"/>
        <v>9950.4282899999998</v>
      </c>
    </row>
    <row r="10" spans="1:33" ht="12.75" customHeight="1" x14ac:dyDescent="0.25">
      <c r="A10" s="175" t="s">
        <v>582</v>
      </c>
      <c r="B10" s="176" t="s">
        <v>583</v>
      </c>
      <c r="C10" s="177">
        <v>13790.24</v>
      </c>
      <c r="D10" s="177">
        <f t="shared" si="0"/>
        <v>2068.5360000000001</v>
      </c>
      <c r="E10" s="177">
        <v>0</v>
      </c>
      <c r="F10" s="177"/>
      <c r="G10" s="177">
        <f>C10*VLOOKUP($C$2,Valores!$I$1:$J$53,2,0)</f>
        <v>0</v>
      </c>
      <c r="H10" s="177">
        <v>9186.23</v>
      </c>
      <c r="I10" s="178">
        <f t="shared" si="1"/>
        <v>25045.006000000001</v>
      </c>
      <c r="J10" s="177">
        <v>1064.02</v>
      </c>
      <c r="K10" s="179">
        <f t="shared" si="2"/>
        <v>1064.02</v>
      </c>
      <c r="M10" s="71" t="s">
        <v>584</v>
      </c>
      <c r="N10" s="174">
        <v>250.08</v>
      </c>
      <c r="O10" s="174">
        <v>20.84</v>
      </c>
      <c r="Q10" s="73">
        <f t="shared" si="3"/>
        <v>3381.0758100000003</v>
      </c>
      <c r="R10" s="73">
        <f t="shared" si="4"/>
        <v>626.12515000000008</v>
      </c>
      <c r="S10" s="73">
        <f t="shared" si="5"/>
        <v>1127.0252700000001</v>
      </c>
      <c r="T10" s="73">
        <f t="shared" si="6"/>
        <v>4007.2009600000001</v>
      </c>
      <c r="U10" s="73">
        <f t="shared" si="7"/>
        <v>250.45006000000001</v>
      </c>
      <c r="V10" s="73">
        <f t="shared" si="8"/>
        <v>626.12515000000008</v>
      </c>
      <c r="W10" s="73">
        <f t="shared" si="9"/>
        <v>876.57521000000008</v>
      </c>
      <c r="X10" s="73">
        <f t="shared" si="10"/>
        <v>31869.377379999998</v>
      </c>
      <c r="Y10" s="73">
        <f t="shared" si="11"/>
        <v>19910.779770000001</v>
      </c>
    </row>
    <row r="11" spans="1:33" ht="12.75" customHeight="1" x14ac:dyDescent="0.25">
      <c r="A11" s="173" t="s">
        <v>585</v>
      </c>
      <c r="B11" s="71" t="s">
        <v>586</v>
      </c>
      <c r="C11" s="73">
        <f>C10*2</f>
        <v>27580.48</v>
      </c>
      <c r="D11" s="73">
        <f t="shared" si="0"/>
        <v>4137.0720000000001</v>
      </c>
      <c r="E11" s="73">
        <v>0</v>
      </c>
      <c r="F11" s="73"/>
      <c r="G11" s="73">
        <f>C11*VLOOKUP($C$2,Valores!$I$1:$J$53,2,0)</f>
        <v>0</v>
      </c>
      <c r="H11" s="73">
        <f>H10*2</f>
        <v>18372.46</v>
      </c>
      <c r="I11" s="81">
        <f t="shared" si="1"/>
        <v>50090.012000000002</v>
      </c>
      <c r="J11" s="73">
        <v>0</v>
      </c>
      <c r="K11" s="82">
        <f t="shared" si="2"/>
        <v>0</v>
      </c>
      <c r="M11" s="71" t="s">
        <v>587</v>
      </c>
      <c r="N11" s="174">
        <v>546</v>
      </c>
      <c r="O11" s="174">
        <v>45.5</v>
      </c>
      <c r="Q11" s="73">
        <f t="shared" si="3"/>
        <v>6762.1516200000005</v>
      </c>
      <c r="R11" s="73">
        <f t="shared" si="4"/>
        <v>1252.2503000000002</v>
      </c>
      <c r="S11" s="73">
        <f t="shared" si="5"/>
        <v>2254.0505400000002</v>
      </c>
      <c r="T11" s="73">
        <f t="shared" si="6"/>
        <v>8014.4019200000002</v>
      </c>
      <c r="U11" s="73">
        <f t="shared" si="7"/>
        <v>500.90012000000002</v>
      </c>
      <c r="V11" s="73">
        <f t="shared" si="8"/>
        <v>1252.2503000000002</v>
      </c>
      <c r="W11" s="73">
        <f t="shared" si="9"/>
        <v>1753.1504200000002</v>
      </c>
      <c r="X11" s="73">
        <f t="shared" si="10"/>
        <v>61610.714760000003</v>
      </c>
      <c r="Y11" s="73">
        <f t="shared" si="11"/>
        <v>39821.559540000002</v>
      </c>
    </row>
    <row r="12" spans="1:33" ht="12.75" customHeight="1" x14ac:dyDescent="0.25">
      <c r="A12" s="173" t="s">
        <v>588</v>
      </c>
      <c r="B12" s="71" t="s">
        <v>589</v>
      </c>
      <c r="C12" s="73">
        <f>C9/1.6*1.4</f>
        <v>6028.47</v>
      </c>
      <c r="D12" s="73">
        <f t="shared" si="0"/>
        <v>904.27049999999997</v>
      </c>
      <c r="E12" s="73">
        <v>0</v>
      </c>
      <c r="F12" s="73"/>
      <c r="G12" s="73">
        <f>C12*VLOOKUP($C$2,Valores!$I$1:$J$53,2,0)</f>
        <v>0</v>
      </c>
      <c r="H12" s="73">
        <f>H9/1.6*1.4</f>
        <v>4018.9887499999995</v>
      </c>
      <c r="I12" s="81">
        <f t="shared" si="1"/>
        <v>10951.72925</v>
      </c>
      <c r="J12" s="73">
        <v>0</v>
      </c>
      <c r="K12" s="82">
        <f t="shared" si="2"/>
        <v>0</v>
      </c>
      <c r="M12" s="71" t="s">
        <v>590</v>
      </c>
      <c r="N12" s="174">
        <v>62.04</v>
      </c>
      <c r="O12" s="174">
        <v>5.17</v>
      </c>
      <c r="Q12" s="73">
        <f t="shared" si="3"/>
        <v>1478.4834487500002</v>
      </c>
      <c r="R12" s="73">
        <f t="shared" si="4"/>
        <v>273.79323125000002</v>
      </c>
      <c r="S12" s="73">
        <f t="shared" si="5"/>
        <v>492.82781625000001</v>
      </c>
      <c r="T12" s="73">
        <f t="shared" si="6"/>
        <v>1752.2766800000002</v>
      </c>
      <c r="U12" s="73">
        <f t="shared" si="7"/>
        <v>109.51729250000001</v>
      </c>
      <c r="V12" s="73">
        <f t="shared" si="8"/>
        <v>273.79323125000002</v>
      </c>
      <c r="W12" s="73">
        <f t="shared" si="9"/>
        <v>383.31052375000007</v>
      </c>
      <c r="X12" s="73">
        <f t="shared" si="10"/>
        <v>13470.626977500002</v>
      </c>
      <c r="Y12" s="73">
        <f t="shared" si="11"/>
        <v>8706.6247537500003</v>
      </c>
    </row>
    <row r="13" spans="1:33" ht="12.75" customHeight="1" x14ac:dyDescent="0.25">
      <c r="A13" s="173" t="s">
        <v>591</v>
      </c>
      <c r="B13" s="71" t="s">
        <v>592</v>
      </c>
      <c r="C13" s="73">
        <f>C10/1.6*1.4</f>
        <v>12066.46</v>
      </c>
      <c r="D13" s="73">
        <f t="shared" si="0"/>
        <v>1809.9689999999998</v>
      </c>
      <c r="E13" s="73">
        <v>0</v>
      </c>
      <c r="F13" s="73"/>
      <c r="G13" s="73">
        <f>C13*VLOOKUP($C$2,Valores!$I$1:$J$53,2,0)</f>
        <v>0</v>
      </c>
      <c r="H13" s="73">
        <f>H10/1.6*1.4</f>
        <v>8037.9512499999983</v>
      </c>
      <c r="I13" s="81">
        <f t="shared" si="1"/>
        <v>21914.380249999995</v>
      </c>
      <c r="J13" s="73">
        <v>0</v>
      </c>
      <c r="K13" s="82">
        <f t="shared" si="2"/>
        <v>0</v>
      </c>
      <c r="M13" s="71" t="s">
        <v>593</v>
      </c>
      <c r="N13" s="174">
        <v>175</v>
      </c>
      <c r="O13" s="174"/>
      <c r="Q13" s="73">
        <f t="shared" si="3"/>
        <v>2958.4413337499996</v>
      </c>
      <c r="R13" s="73">
        <f t="shared" si="4"/>
        <v>547.85950624999987</v>
      </c>
      <c r="S13" s="73">
        <f t="shared" si="5"/>
        <v>986.14711124999974</v>
      </c>
      <c r="T13" s="73">
        <f t="shared" si="6"/>
        <v>3506.3008399999994</v>
      </c>
      <c r="U13" s="73">
        <f t="shared" si="7"/>
        <v>219.14380249999996</v>
      </c>
      <c r="V13" s="73">
        <f t="shared" si="8"/>
        <v>547.85950624999987</v>
      </c>
      <c r="W13" s="73">
        <f t="shared" si="9"/>
        <v>767.00330874999986</v>
      </c>
      <c r="X13" s="73">
        <f t="shared" si="10"/>
        <v>26954.687707499994</v>
      </c>
      <c r="Y13" s="73">
        <f t="shared" si="11"/>
        <v>17421.932298749995</v>
      </c>
    </row>
    <row r="14" spans="1:33" ht="12.75" customHeight="1" x14ac:dyDescent="0.25">
      <c r="A14" s="173" t="s">
        <v>594</v>
      </c>
      <c r="B14" s="71" t="s">
        <v>595</v>
      </c>
      <c r="C14" s="73">
        <f>C11/1.6*1.4</f>
        <v>24132.92</v>
      </c>
      <c r="D14" s="73">
        <f t="shared" si="0"/>
        <v>3619.9379999999996</v>
      </c>
      <c r="E14" s="73">
        <v>0</v>
      </c>
      <c r="F14" s="73"/>
      <c r="G14" s="73">
        <f>C14*VLOOKUP($C$2,Valores!$I$1:$J$53,2,0)</f>
        <v>0</v>
      </c>
      <c r="H14" s="73">
        <f>H11/1.6*1.4</f>
        <v>16075.902499999997</v>
      </c>
      <c r="I14" s="81">
        <f t="shared" si="1"/>
        <v>43828.760499999989</v>
      </c>
      <c r="J14" s="73">
        <v>0</v>
      </c>
      <c r="K14" s="82">
        <f t="shared" si="2"/>
        <v>0</v>
      </c>
      <c r="M14" s="71" t="s">
        <v>596</v>
      </c>
      <c r="N14" s="174">
        <v>50</v>
      </c>
      <c r="O14" s="174"/>
      <c r="Q14" s="73">
        <f t="shared" si="3"/>
        <v>5916.8826674999991</v>
      </c>
      <c r="R14" s="73">
        <f t="shared" si="4"/>
        <v>1095.7190124999997</v>
      </c>
      <c r="S14" s="73">
        <f t="shared" si="5"/>
        <v>1972.2942224999995</v>
      </c>
      <c r="T14" s="73">
        <f t="shared" si="6"/>
        <v>7012.6016799999989</v>
      </c>
      <c r="U14" s="73">
        <f t="shared" si="7"/>
        <v>438.28760499999993</v>
      </c>
      <c r="V14" s="73">
        <f t="shared" si="8"/>
        <v>1095.7190124999997</v>
      </c>
      <c r="W14" s="73">
        <f t="shared" si="9"/>
        <v>1534.0066174999997</v>
      </c>
      <c r="X14" s="73">
        <f t="shared" si="10"/>
        <v>53909.375414999988</v>
      </c>
      <c r="Y14" s="73">
        <f t="shared" si="11"/>
        <v>34843.864597499989</v>
      </c>
    </row>
    <row r="15" spans="1:33" ht="12.75" customHeight="1" x14ac:dyDescent="0.25">
      <c r="A15" s="173" t="s">
        <v>597</v>
      </c>
      <c r="B15" s="71" t="s">
        <v>598</v>
      </c>
      <c r="C15" s="73">
        <f>C9/1.6*1.2</f>
        <v>5167.26</v>
      </c>
      <c r="D15" s="73">
        <f t="shared" si="0"/>
        <v>775.08900000000006</v>
      </c>
      <c r="E15" s="73">
        <v>0</v>
      </c>
      <c r="F15" s="73"/>
      <c r="G15" s="73">
        <f>C15*VLOOKUP($C$2,Valores!$I$1:$J$53,2,0)</f>
        <v>0</v>
      </c>
      <c r="H15" s="73">
        <f>H9/1.6*1.2</f>
        <v>3444.8474999999994</v>
      </c>
      <c r="I15" s="81">
        <f t="shared" si="1"/>
        <v>9387.1965</v>
      </c>
      <c r="J15" s="73">
        <v>0</v>
      </c>
      <c r="K15" s="82">
        <f t="shared" si="2"/>
        <v>0</v>
      </c>
      <c r="M15" s="71" t="s">
        <v>599</v>
      </c>
      <c r="N15" s="174">
        <v>51.6</v>
      </c>
      <c r="O15" s="174">
        <v>4.3</v>
      </c>
      <c r="Q15" s="73">
        <f t="shared" si="3"/>
        <v>1267.2715275</v>
      </c>
      <c r="R15" s="73">
        <f t="shared" si="4"/>
        <v>234.6799125</v>
      </c>
      <c r="S15" s="73">
        <f t="shared" si="5"/>
        <v>422.42384249999998</v>
      </c>
      <c r="T15" s="73">
        <f t="shared" si="6"/>
        <v>1501.95144</v>
      </c>
      <c r="U15" s="73">
        <f t="shared" si="7"/>
        <v>93.871965000000003</v>
      </c>
      <c r="V15" s="73">
        <f t="shared" si="8"/>
        <v>234.6799125</v>
      </c>
      <c r="W15" s="73">
        <f t="shared" si="9"/>
        <v>328.55187750000005</v>
      </c>
      <c r="X15" s="73">
        <f t="shared" si="10"/>
        <v>11546.251695000001</v>
      </c>
      <c r="Y15" s="73">
        <f t="shared" si="11"/>
        <v>7462.8212174999999</v>
      </c>
    </row>
    <row r="16" spans="1:33" ht="12.75" customHeight="1" x14ac:dyDescent="0.25">
      <c r="A16" s="173" t="s">
        <v>600</v>
      </c>
      <c r="B16" s="71" t="s">
        <v>601</v>
      </c>
      <c r="C16" s="73">
        <f>C10/1.6*1.2</f>
        <v>10342.679999999998</v>
      </c>
      <c r="D16" s="73">
        <f t="shared" si="0"/>
        <v>1551.4019999999998</v>
      </c>
      <c r="E16" s="73">
        <v>0</v>
      </c>
      <c r="F16" s="73"/>
      <c r="G16" s="73">
        <f>C16*VLOOKUP($C$2,Valores!$I$1:$J$53,2,0)</f>
        <v>0</v>
      </c>
      <c r="H16" s="73">
        <f>H10/1.6*1.2</f>
        <v>6889.6724999999988</v>
      </c>
      <c r="I16" s="81">
        <f t="shared" si="1"/>
        <v>18783.754499999995</v>
      </c>
      <c r="J16" s="73">
        <v>0</v>
      </c>
      <c r="K16" s="82">
        <f t="shared" si="2"/>
        <v>0</v>
      </c>
      <c r="M16" s="180" t="s">
        <v>93</v>
      </c>
      <c r="N16" s="181">
        <f>SUM(N7:N15)</f>
        <v>9178.6340000000018</v>
      </c>
      <c r="O16" s="174">
        <f>INT((SUM(O7:O15)*100)+0.5)/100</f>
        <v>746.15</v>
      </c>
      <c r="Q16" s="73">
        <f t="shared" si="3"/>
        <v>2535.8068574999998</v>
      </c>
      <c r="R16" s="73">
        <f t="shared" si="4"/>
        <v>469.59386249999989</v>
      </c>
      <c r="S16" s="73">
        <f t="shared" si="5"/>
        <v>845.26895249999973</v>
      </c>
      <c r="T16" s="73">
        <f t="shared" si="6"/>
        <v>3005.4007199999992</v>
      </c>
      <c r="U16" s="73">
        <f t="shared" si="7"/>
        <v>187.83754499999995</v>
      </c>
      <c r="V16" s="73">
        <f t="shared" si="8"/>
        <v>469.59386249999989</v>
      </c>
      <c r="W16" s="73">
        <f t="shared" si="9"/>
        <v>657.43140749999986</v>
      </c>
      <c r="X16" s="73">
        <f t="shared" si="10"/>
        <v>23104.018034999994</v>
      </c>
      <c r="Y16" s="73">
        <f t="shared" si="11"/>
        <v>14933.084827499995</v>
      </c>
    </row>
    <row r="17" spans="1:25" ht="12.75" customHeight="1" x14ac:dyDescent="0.25">
      <c r="A17" s="173" t="s">
        <v>602</v>
      </c>
      <c r="B17" s="71" t="s">
        <v>603</v>
      </c>
      <c r="C17" s="73">
        <f>C11/1.6*1.2</f>
        <v>20685.359999999997</v>
      </c>
      <c r="D17" s="73">
        <f t="shared" si="0"/>
        <v>3102.8039999999996</v>
      </c>
      <c r="E17" s="73">
        <v>0</v>
      </c>
      <c r="F17" s="73"/>
      <c r="G17" s="73">
        <f>C17*VLOOKUP($C$2,Valores!$I$1:$J$53,2,0)</f>
        <v>0</v>
      </c>
      <c r="H17" s="73">
        <f>H11/1.6*1.2</f>
        <v>13779.344999999998</v>
      </c>
      <c r="I17" s="81">
        <f t="shared" si="1"/>
        <v>37567.508999999991</v>
      </c>
      <c r="J17" s="73">
        <v>0</v>
      </c>
      <c r="K17" s="82">
        <f t="shared" si="2"/>
        <v>0</v>
      </c>
      <c r="M17" s="71"/>
      <c r="N17" s="174"/>
      <c r="O17" s="174">
        <f>O16*12*1.2</f>
        <v>10744.56</v>
      </c>
      <c r="Q17" s="73">
        <f t="shared" si="3"/>
        <v>5071.6137149999995</v>
      </c>
      <c r="R17" s="73">
        <f t="shared" si="4"/>
        <v>939.18772499999977</v>
      </c>
      <c r="S17" s="73">
        <f t="shared" si="5"/>
        <v>1690.5379049999995</v>
      </c>
      <c r="T17" s="73">
        <f t="shared" si="6"/>
        <v>6010.8014399999984</v>
      </c>
      <c r="U17" s="73">
        <f t="shared" si="7"/>
        <v>375.6750899999999</v>
      </c>
      <c r="V17" s="73">
        <f t="shared" si="8"/>
        <v>939.18772499999977</v>
      </c>
      <c r="W17" s="73">
        <f t="shared" si="9"/>
        <v>1314.8628149999997</v>
      </c>
      <c r="X17" s="73">
        <f t="shared" si="10"/>
        <v>46208.036069999987</v>
      </c>
      <c r="Y17" s="73">
        <f t="shared" si="11"/>
        <v>29866.169654999991</v>
      </c>
    </row>
    <row r="18" spans="1:25" ht="12.75" customHeight="1" x14ac:dyDescent="0.25">
      <c r="A18" s="173" t="s">
        <v>604</v>
      </c>
      <c r="B18" s="71" t="s">
        <v>605</v>
      </c>
      <c r="C18" s="73">
        <f>C6/1.6</f>
        <v>4844.3062499999996</v>
      </c>
      <c r="D18" s="73">
        <f t="shared" si="0"/>
        <v>726.64593749999995</v>
      </c>
      <c r="E18" s="73">
        <v>0</v>
      </c>
      <c r="F18" s="73"/>
      <c r="G18" s="73">
        <f>C18*VLOOKUP($C$2,Valores!$I$1:$J$53,2,0)</f>
        <v>0</v>
      </c>
      <c r="H18" s="73">
        <f>H6/1.6</f>
        <v>3229.5445312499996</v>
      </c>
      <c r="I18" s="81">
        <f t="shared" si="1"/>
        <v>8800.4967187499988</v>
      </c>
      <c r="J18" s="73">
        <v>0</v>
      </c>
      <c r="K18" s="82">
        <f t="shared" si="2"/>
        <v>0</v>
      </c>
      <c r="M18" s="71" t="s">
        <v>606</v>
      </c>
      <c r="N18" s="174">
        <v>200.04</v>
      </c>
      <c r="O18" s="174">
        <v>16.670000000000002</v>
      </c>
      <c r="P18" s="73"/>
      <c r="Q18" s="73">
        <f t="shared" si="3"/>
        <v>1188.06705703125</v>
      </c>
      <c r="R18" s="73">
        <f t="shared" si="4"/>
        <v>220.01241796874999</v>
      </c>
      <c r="S18" s="73">
        <f t="shared" si="5"/>
        <v>396.02235234374996</v>
      </c>
      <c r="T18" s="73">
        <f t="shared" si="6"/>
        <v>1408.0794749999998</v>
      </c>
      <c r="U18" s="73">
        <f t="shared" si="7"/>
        <v>88.004967187499986</v>
      </c>
      <c r="V18" s="73">
        <f t="shared" si="8"/>
        <v>220.01241796874999</v>
      </c>
      <c r="W18" s="73">
        <f t="shared" si="9"/>
        <v>308.01738515624999</v>
      </c>
      <c r="X18" s="73">
        <f t="shared" si="10"/>
        <v>10824.6109640625</v>
      </c>
      <c r="Y18" s="73">
        <f t="shared" si="11"/>
        <v>6996.3948914062494</v>
      </c>
    </row>
    <row r="19" spans="1:25" ht="12.75" customHeight="1" x14ac:dyDescent="0.25">
      <c r="A19" s="173" t="s">
        <v>607</v>
      </c>
      <c r="B19" s="71" t="s">
        <v>608</v>
      </c>
      <c r="C19" s="73">
        <f>C10/1.6</f>
        <v>8618.9</v>
      </c>
      <c r="D19" s="73">
        <f t="shared" si="0"/>
        <v>1292.8349999999998</v>
      </c>
      <c r="E19" s="73">
        <v>0</v>
      </c>
      <c r="F19" s="73"/>
      <c r="G19" s="73">
        <f>C19*VLOOKUP($C$2,Valores!$I$1:$J$53,2,0)</f>
        <v>0</v>
      </c>
      <c r="H19" s="73">
        <f>H10/1.6</f>
        <v>5741.3937499999993</v>
      </c>
      <c r="I19" s="81">
        <f t="shared" si="1"/>
        <v>15653.128749999998</v>
      </c>
      <c r="J19" s="73">
        <v>0</v>
      </c>
      <c r="K19" s="82">
        <f t="shared" si="2"/>
        <v>0</v>
      </c>
      <c r="M19" s="71" t="s">
        <v>609</v>
      </c>
      <c r="N19" s="174" t="e">
        <f>#REF!</f>
        <v>#REF!</v>
      </c>
      <c r="O19" s="174">
        <f>390/12</f>
        <v>32.5</v>
      </c>
      <c r="Q19" s="73">
        <f t="shared" si="3"/>
        <v>2113.1723812499999</v>
      </c>
      <c r="R19" s="73">
        <f t="shared" si="4"/>
        <v>391.32821874999996</v>
      </c>
      <c r="S19" s="73">
        <f t="shared" si="5"/>
        <v>704.39079374999983</v>
      </c>
      <c r="T19" s="73">
        <f t="shared" si="6"/>
        <v>2504.5005999999998</v>
      </c>
      <c r="U19" s="73">
        <f t="shared" si="7"/>
        <v>156.53128749999999</v>
      </c>
      <c r="V19" s="73">
        <f t="shared" si="8"/>
        <v>391.32821874999996</v>
      </c>
      <c r="W19" s="73">
        <f t="shared" si="9"/>
        <v>547.85950624999998</v>
      </c>
      <c r="X19" s="73">
        <f t="shared" si="10"/>
        <v>19253.348362500001</v>
      </c>
      <c r="Y19" s="73">
        <f t="shared" si="11"/>
        <v>12444.237356249998</v>
      </c>
    </row>
    <row r="20" spans="1:25" ht="12.75" customHeight="1" x14ac:dyDescent="0.25">
      <c r="A20" s="173" t="s">
        <v>610</v>
      </c>
      <c r="B20" s="71" t="s">
        <v>611</v>
      </c>
      <c r="C20" s="73">
        <f>C11/1.6</f>
        <v>17237.8</v>
      </c>
      <c r="D20" s="73">
        <f t="shared" si="0"/>
        <v>2585.6699999999996</v>
      </c>
      <c r="E20" s="73">
        <v>0</v>
      </c>
      <c r="F20" s="73"/>
      <c r="G20" s="73">
        <f>C20*VLOOKUP($C$2,Valores!$I$1:$J$53,2,0)</f>
        <v>0</v>
      </c>
      <c r="H20" s="73">
        <f>H11/1.6</f>
        <v>11482.787499999999</v>
      </c>
      <c r="I20" s="81">
        <f t="shared" si="1"/>
        <v>31306.257499999996</v>
      </c>
      <c r="J20" s="73">
        <v>0</v>
      </c>
      <c r="K20" s="82">
        <f t="shared" si="2"/>
        <v>0</v>
      </c>
      <c r="M20" s="180" t="s">
        <v>97</v>
      </c>
      <c r="N20" s="181" t="e">
        <f>SUM(N18:N19)</f>
        <v>#REF!</v>
      </c>
      <c r="O20" s="174">
        <f>SUM(O18:O19)*12</f>
        <v>590.04</v>
      </c>
      <c r="Q20" s="73">
        <f t="shared" si="3"/>
        <v>4226.3447624999999</v>
      </c>
      <c r="R20" s="73">
        <f t="shared" si="4"/>
        <v>782.65643749999992</v>
      </c>
      <c r="S20" s="73">
        <f t="shared" si="5"/>
        <v>1408.7815874999997</v>
      </c>
      <c r="T20" s="73">
        <f t="shared" si="6"/>
        <v>5009.0011999999997</v>
      </c>
      <c r="U20" s="73">
        <f t="shared" si="7"/>
        <v>313.06257499999998</v>
      </c>
      <c r="V20" s="73">
        <f t="shared" si="8"/>
        <v>782.65643749999992</v>
      </c>
      <c r="W20" s="73">
        <f t="shared" si="9"/>
        <v>1095.7190125</v>
      </c>
      <c r="X20" s="73">
        <f t="shared" si="10"/>
        <v>38506.696725000002</v>
      </c>
      <c r="Y20" s="73">
        <f t="shared" si="11"/>
        <v>24888.474712499996</v>
      </c>
    </row>
    <row r="21" spans="1:25" ht="12.75" customHeight="1" x14ac:dyDescent="0.25">
      <c r="A21" s="173" t="s">
        <v>612</v>
      </c>
      <c r="B21" s="71" t="s">
        <v>613</v>
      </c>
      <c r="C21" s="73">
        <v>688.97</v>
      </c>
      <c r="D21" s="73">
        <f t="shared" si="0"/>
        <v>103.3455</v>
      </c>
      <c r="E21" s="73">
        <v>0</v>
      </c>
      <c r="F21" s="73"/>
      <c r="G21" s="73">
        <f>C21*VLOOKUP($C$2,Valores!$I$1:$J$53,2,0)</f>
        <v>0</v>
      </c>
      <c r="H21" s="73">
        <v>459.31490000000002</v>
      </c>
      <c r="I21" s="81">
        <f t="shared" si="1"/>
        <v>1251.6304</v>
      </c>
      <c r="J21" s="73">
        <v>88.67</v>
      </c>
      <c r="K21" s="82">
        <f t="shared" si="2"/>
        <v>88.67</v>
      </c>
      <c r="M21" s="180"/>
      <c r="N21" s="181"/>
      <c r="O21" s="174"/>
      <c r="Q21" s="73">
        <f t="shared" si="3"/>
        <v>168.97010400000002</v>
      </c>
      <c r="R21" s="73">
        <f t="shared" si="4"/>
        <v>31.290760000000002</v>
      </c>
      <c r="S21" s="73">
        <f t="shared" si="5"/>
        <v>56.323367999999995</v>
      </c>
      <c r="T21" s="73">
        <f t="shared" si="6"/>
        <v>200.260864</v>
      </c>
      <c r="U21" s="73">
        <f t="shared" si="7"/>
        <v>12.516304</v>
      </c>
      <c r="V21" s="73">
        <f t="shared" si="8"/>
        <v>31.290760000000002</v>
      </c>
      <c r="W21" s="73">
        <f t="shared" si="9"/>
        <v>43.807064000000004</v>
      </c>
      <c r="X21" s="73">
        <f t="shared" si="10"/>
        <v>1628.1753920000003</v>
      </c>
      <c r="Y21" s="73">
        <f t="shared" si="11"/>
        <v>995.04616799999997</v>
      </c>
    </row>
    <row r="22" spans="1:25" ht="12.75" customHeight="1" x14ac:dyDescent="0.25">
      <c r="A22" s="173" t="s">
        <v>612</v>
      </c>
      <c r="B22" s="71" t="s">
        <v>614</v>
      </c>
      <c r="C22" s="73">
        <v>1377.94</v>
      </c>
      <c r="D22" s="73">
        <f t="shared" si="0"/>
        <v>206.691</v>
      </c>
      <c r="E22" s="73">
        <v>0</v>
      </c>
      <c r="F22" s="73"/>
      <c r="G22" s="73">
        <f>C22*VLOOKUP($C$2,Valores!$I$1:$J$53,2,0)</f>
        <v>0</v>
      </c>
      <c r="H22" s="73">
        <v>918.63</v>
      </c>
      <c r="I22" s="81">
        <f t="shared" si="1"/>
        <v>2503.261</v>
      </c>
      <c r="J22" s="73">
        <v>177.34</v>
      </c>
      <c r="K22" s="82">
        <f t="shared" si="2"/>
        <v>177.34</v>
      </c>
      <c r="M22" s="180"/>
      <c r="N22" s="181"/>
      <c r="O22" s="174"/>
      <c r="Q22" s="73">
        <f t="shared" si="3"/>
        <v>337.94023500000003</v>
      </c>
      <c r="R22" s="73">
        <f t="shared" si="4"/>
        <v>62.581524999999999</v>
      </c>
      <c r="S22" s="73">
        <f t="shared" si="5"/>
        <v>112.646745</v>
      </c>
      <c r="T22" s="73">
        <f t="shared" si="6"/>
        <v>400.52176000000003</v>
      </c>
      <c r="U22" s="73">
        <f t="shared" si="7"/>
        <v>25.032610000000002</v>
      </c>
      <c r="V22" s="73">
        <f t="shared" si="8"/>
        <v>62.581524999999999</v>
      </c>
      <c r="W22" s="73">
        <f t="shared" si="9"/>
        <v>87.614135000000005</v>
      </c>
      <c r="X22" s="73">
        <f t="shared" si="10"/>
        <v>3256.3510300000003</v>
      </c>
      <c r="Y22" s="73">
        <f t="shared" si="11"/>
        <v>1990.0924949999999</v>
      </c>
    </row>
    <row r="23" spans="1:25" ht="12.75" customHeight="1" x14ac:dyDescent="0.25">
      <c r="A23" s="173" t="s">
        <v>612</v>
      </c>
      <c r="B23" s="71" t="s">
        <v>615</v>
      </c>
      <c r="C23" s="73">
        <v>2066.9</v>
      </c>
      <c r="D23" s="73">
        <f t="shared" si="0"/>
        <v>310.03500000000003</v>
      </c>
      <c r="E23" s="73">
        <v>0</v>
      </c>
      <c r="F23" s="73"/>
      <c r="G23" s="73">
        <f>C23*VLOOKUP($C$2,Valores!$I$1:$J$53,2,0)</f>
        <v>0</v>
      </c>
      <c r="H23" s="73">
        <f>$H$21*3</f>
        <v>1377.9447</v>
      </c>
      <c r="I23" s="81">
        <f t="shared" si="1"/>
        <v>3754.8797</v>
      </c>
      <c r="J23" s="73">
        <v>266.01</v>
      </c>
      <c r="K23" s="82">
        <f t="shared" si="2"/>
        <v>266.01</v>
      </c>
      <c r="M23" s="180"/>
      <c r="N23" s="181"/>
      <c r="O23" s="174"/>
      <c r="Q23" s="73">
        <f t="shared" si="3"/>
        <v>506.90875950000003</v>
      </c>
      <c r="R23" s="73">
        <f t="shared" si="4"/>
        <v>93.871992500000005</v>
      </c>
      <c r="S23" s="73">
        <f t="shared" si="5"/>
        <v>168.96958649999999</v>
      </c>
      <c r="T23" s="73">
        <f t="shared" si="6"/>
        <v>600.78075200000001</v>
      </c>
      <c r="U23" s="73">
        <f t="shared" si="7"/>
        <v>37.548797</v>
      </c>
      <c r="V23" s="73">
        <f t="shared" si="8"/>
        <v>93.871992500000005</v>
      </c>
      <c r="W23" s="73">
        <f t="shared" si="9"/>
        <v>131.42078950000001</v>
      </c>
      <c r="X23" s="73">
        <f t="shared" si="10"/>
        <v>4884.5120309999993</v>
      </c>
      <c r="Y23" s="73">
        <f t="shared" si="11"/>
        <v>2985.1293615</v>
      </c>
    </row>
    <row r="24" spans="1:25" ht="12.75" customHeight="1" x14ac:dyDescent="0.25">
      <c r="A24" s="173" t="s">
        <v>612</v>
      </c>
      <c r="B24" s="71" t="s">
        <v>616</v>
      </c>
      <c r="C24" s="73">
        <v>2755.87</v>
      </c>
      <c r="D24" s="73">
        <f t="shared" si="0"/>
        <v>413.38049999999998</v>
      </c>
      <c r="E24" s="73">
        <v>0</v>
      </c>
      <c r="F24" s="73"/>
      <c r="G24" s="73">
        <f>C24*VLOOKUP($C$2,Valores!$I$1:$J$53,2,0)</f>
        <v>0</v>
      </c>
      <c r="H24" s="73">
        <v>1837.25</v>
      </c>
      <c r="I24" s="81">
        <f t="shared" si="1"/>
        <v>5006.5005000000001</v>
      </c>
      <c r="J24" s="73">
        <v>354.68</v>
      </c>
      <c r="K24" s="82">
        <f t="shared" si="2"/>
        <v>354.68</v>
      </c>
      <c r="M24" s="180"/>
      <c r="N24" s="181"/>
      <c r="O24" s="174"/>
      <c r="Q24" s="73">
        <f t="shared" si="3"/>
        <v>675.87756750000005</v>
      </c>
      <c r="R24" s="73">
        <f t="shared" si="4"/>
        <v>125.16251250000001</v>
      </c>
      <c r="S24" s="73">
        <f t="shared" si="5"/>
        <v>225.29252249999999</v>
      </c>
      <c r="T24" s="73">
        <f t="shared" si="6"/>
        <v>801.04007999999999</v>
      </c>
      <c r="U24" s="73">
        <f t="shared" si="7"/>
        <v>50.065004999999999</v>
      </c>
      <c r="V24" s="73">
        <f t="shared" si="8"/>
        <v>125.16251250000001</v>
      </c>
      <c r="W24" s="73">
        <f t="shared" si="9"/>
        <v>175.22751750000003</v>
      </c>
      <c r="X24" s="73">
        <f t="shared" si="10"/>
        <v>6512.675615000001</v>
      </c>
      <c r="Y24" s="73">
        <f t="shared" si="11"/>
        <v>3980.1678975</v>
      </c>
    </row>
    <row r="25" spans="1:25" ht="12.75" customHeight="1" x14ac:dyDescent="0.25">
      <c r="A25" s="173" t="s">
        <v>612</v>
      </c>
      <c r="B25" s="71" t="s">
        <v>617</v>
      </c>
      <c r="C25" s="73">
        <v>3444.84</v>
      </c>
      <c r="D25" s="73">
        <f t="shared" si="0"/>
        <v>516.726</v>
      </c>
      <c r="E25" s="73">
        <v>0</v>
      </c>
      <c r="F25" s="73"/>
      <c r="G25" s="73">
        <f>C25*VLOOKUP($C$2,Valores!$I$1:$J$53,2,0)</f>
        <v>0</v>
      </c>
      <c r="H25" s="73">
        <v>2296.5700000000002</v>
      </c>
      <c r="I25" s="81">
        <f t="shared" si="1"/>
        <v>6258.1360000000004</v>
      </c>
      <c r="J25" s="73">
        <v>443.35</v>
      </c>
      <c r="K25" s="82">
        <f t="shared" si="2"/>
        <v>443.35</v>
      </c>
      <c r="M25" s="180"/>
      <c r="N25" s="181"/>
      <c r="O25" s="174"/>
      <c r="Q25" s="73">
        <f t="shared" si="3"/>
        <v>844.84836000000007</v>
      </c>
      <c r="R25" s="73">
        <f t="shared" si="4"/>
        <v>156.45340000000002</v>
      </c>
      <c r="S25" s="73">
        <f t="shared" si="5"/>
        <v>281.61612000000002</v>
      </c>
      <c r="T25" s="73">
        <f t="shared" si="6"/>
        <v>1001.3017600000001</v>
      </c>
      <c r="U25" s="73">
        <f t="shared" si="7"/>
        <v>62.581360000000004</v>
      </c>
      <c r="V25" s="73">
        <f t="shared" si="8"/>
        <v>156.45340000000002</v>
      </c>
      <c r="W25" s="73">
        <f t="shared" si="9"/>
        <v>219.03476000000003</v>
      </c>
      <c r="X25" s="73">
        <f t="shared" si="10"/>
        <v>8140.857280000002</v>
      </c>
      <c r="Y25" s="73">
        <f t="shared" si="11"/>
        <v>4975.2181200000005</v>
      </c>
    </row>
    <row r="26" spans="1:25" ht="12.75" customHeight="1" x14ac:dyDescent="0.25">
      <c r="A26" s="173" t="s">
        <v>612</v>
      </c>
      <c r="B26" s="71" t="s">
        <v>618</v>
      </c>
      <c r="C26" s="73">
        <v>4133.8100000000004</v>
      </c>
      <c r="D26" s="73">
        <f t="shared" si="0"/>
        <v>620.07150000000001</v>
      </c>
      <c r="E26" s="73">
        <v>0</v>
      </c>
      <c r="F26" s="73"/>
      <c r="G26" s="73">
        <f>C26*VLOOKUP($C$2,Valores!$I$1:$J$53,2,0)</f>
        <v>0</v>
      </c>
      <c r="H26" s="73">
        <v>2755.88</v>
      </c>
      <c r="I26" s="81">
        <f t="shared" si="1"/>
        <v>7509.7615000000005</v>
      </c>
      <c r="J26" s="73">
        <v>532.01</v>
      </c>
      <c r="K26" s="82">
        <f t="shared" si="2"/>
        <v>532.01</v>
      </c>
      <c r="M26" s="180"/>
      <c r="N26" s="181"/>
      <c r="O26" s="174"/>
      <c r="Q26" s="73">
        <f t="shared" si="3"/>
        <v>1013.8178025000001</v>
      </c>
      <c r="R26" s="73">
        <f t="shared" si="4"/>
        <v>187.74403750000002</v>
      </c>
      <c r="S26" s="73">
        <f t="shared" si="5"/>
        <v>337.93926750000003</v>
      </c>
      <c r="T26" s="73">
        <f t="shared" si="6"/>
        <v>1201.5618400000001</v>
      </c>
      <c r="U26" s="73">
        <f t="shared" si="7"/>
        <v>75.097615000000005</v>
      </c>
      <c r="V26" s="73">
        <f t="shared" si="8"/>
        <v>187.74403750000002</v>
      </c>
      <c r="W26" s="73">
        <f t="shared" si="9"/>
        <v>262.84165250000007</v>
      </c>
      <c r="X26" s="73">
        <f t="shared" si="10"/>
        <v>9769.0166450000015</v>
      </c>
      <c r="Y26" s="73">
        <f t="shared" si="11"/>
        <v>5970.2603925000003</v>
      </c>
    </row>
    <row r="27" spans="1:25" ht="12.75" customHeight="1" x14ac:dyDescent="0.25">
      <c r="A27" s="173" t="s">
        <v>612</v>
      </c>
      <c r="B27" s="71" t="s">
        <v>619</v>
      </c>
      <c r="C27" s="73">
        <v>4822.78</v>
      </c>
      <c r="D27" s="73">
        <f t="shared" si="0"/>
        <v>723.41699999999992</v>
      </c>
      <c r="E27" s="73">
        <v>0</v>
      </c>
      <c r="F27" s="73"/>
      <c r="G27" s="73">
        <f>C27*VLOOKUP($C$2,Valores!$I$1:$J$53,2,0)</f>
        <v>0</v>
      </c>
      <c r="H27" s="73">
        <v>3215.19</v>
      </c>
      <c r="I27" s="81">
        <f t="shared" si="1"/>
        <v>8761.3870000000006</v>
      </c>
      <c r="J27" s="73">
        <v>620.67999999999995</v>
      </c>
      <c r="K27" s="82">
        <f t="shared" si="2"/>
        <v>620.67999999999995</v>
      </c>
      <c r="M27" s="180"/>
      <c r="N27" s="181"/>
      <c r="O27" s="174"/>
      <c r="Q27" s="73">
        <f t="shared" si="3"/>
        <v>1182.7872450000002</v>
      </c>
      <c r="R27" s="73">
        <f t="shared" si="4"/>
        <v>219.03467500000002</v>
      </c>
      <c r="S27" s="73">
        <f t="shared" si="5"/>
        <v>394.26241500000003</v>
      </c>
      <c r="T27" s="73">
        <f t="shared" si="6"/>
        <v>1401.8219200000001</v>
      </c>
      <c r="U27" s="73">
        <f t="shared" si="7"/>
        <v>87.613870000000006</v>
      </c>
      <c r="V27" s="73">
        <f t="shared" si="8"/>
        <v>219.03467500000002</v>
      </c>
      <c r="W27" s="73">
        <f t="shared" si="9"/>
        <v>306.64854500000007</v>
      </c>
      <c r="X27" s="73">
        <f t="shared" si="10"/>
        <v>11397.186010000001</v>
      </c>
      <c r="Y27" s="73">
        <f t="shared" si="11"/>
        <v>6965.3026650000002</v>
      </c>
    </row>
    <row r="28" spans="1:25" ht="12.75" customHeight="1" x14ac:dyDescent="0.25">
      <c r="A28" s="173" t="s">
        <v>612</v>
      </c>
      <c r="B28" s="71" t="s">
        <v>620</v>
      </c>
      <c r="C28" s="73">
        <v>5511.75</v>
      </c>
      <c r="D28" s="73">
        <f t="shared" si="0"/>
        <v>826.76249999999993</v>
      </c>
      <c r="E28" s="73">
        <v>0</v>
      </c>
      <c r="F28" s="73"/>
      <c r="G28" s="73">
        <f>C28*VLOOKUP($C$2,Valores!$I$1:$J$53,2,0)</f>
        <v>0</v>
      </c>
      <c r="H28" s="73">
        <v>3674.5</v>
      </c>
      <c r="I28" s="81">
        <f t="shared" si="1"/>
        <v>10013.012500000001</v>
      </c>
      <c r="J28" s="73">
        <v>709.35</v>
      </c>
      <c r="K28" s="82">
        <f t="shared" si="2"/>
        <v>709.35</v>
      </c>
      <c r="M28" s="180"/>
      <c r="N28" s="181"/>
      <c r="O28" s="174"/>
      <c r="Q28" s="73">
        <f t="shared" si="3"/>
        <v>1351.7566875000002</v>
      </c>
      <c r="R28" s="73">
        <f t="shared" si="4"/>
        <v>250.32531250000002</v>
      </c>
      <c r="S28" s="73">
        <f t="shared" si="5"/>
        <v>450.58556250000004</v>
      </c>
      <c r="T28" s="73">
        <f t="shared" si="6"/>
        <v>1602.0820000000001</v>
      </c>
      <c r="U28" s="73">
        <f t="shared" si="7"/>
        <v>100.13012500000001</v>
      </c>
      <c r="V28" s="73">
        <f t="shared" si="8"/>
        <v>250.32531250000002</v>
      </c>
      <c r="W28" s="73">
        <f t="shared" si="9"/>
        <v>350.45543750000007</v>
      </c>
      <c r="X28" s="73">
        <f t="shared" si="10"/>
        <v>13025.355375000001</v>
      </c>
      <c r="Y28" s="73">
        <f t="shared" si="11"/>
        <v>7960.3449375</v>
      </c>
    </row>
    <row r="29" spans="1:25" ht="12.75" customHeight="1" x14ac:dyDescent="0.25">
      <c r="A29" s="173" t="s">
        <v>612</v>
      </c>
      <c r="B29" s="71" t="s">
        <v>621</v>
      </c>
      <c r="C29" s="73">
        <v>6200.71</v>
      </c>
      <c r="D29" s="73">
        <f t="shared" si="0"/>
        <v>930.10649999999998</v>
      </c>
      <c r="E29" s="73"/>
      <c r="F29" s="73"/>
      <c r="G29" s="73">
        <f>C29*VLOOKUP($C$2,Valores!$I$1:$J$53,2,0)</f>
        <v>0</v>
      </c>
      <c r="H29" s="73">
        <v>4133.82</v>
      </c>
      <c r="I29" s="81">
        <f t="shared" si="1"/>
        <v>11264.636500000001</v>
      </c>
      <c r="J29" s="73">
        <v>798.02</v>
      </c>
      <c r="K29" s="82">
        <f t="shared" si="2"/>
        <v>798.02</v>
      </c>
      <c r="M29" s="180"/>
      <c r="N29" s="181"/>
      <c r="O29" s="174"/>
      <c r="Q29" s="73"/>
      <c r="R29" s="73"/>
      <c r="S29" s="73"/>
      <c r="T29" s="73"/>
      <c r="U29" s="73"/>
      <c r="V29" s="73"/>
      <c r="W29" s="73"/>
      <c r="X29" s="73"/>
      <c r="Y29" s="73"/>
    </row>
    <row r="30" spans="1:25" ht="12.75" customHeight="1" x14ac:dyDescent="0.25">
      <c r="A30" s="173" t="s">
        <v>612</v>
      </c>
      <c r="B30" s="71" t="s">
        <v>622</v>
      </c>
      <c r="C30" s="73">
        <v>6889.68</v>
      </c>
      <c r="D30" s="73">
        <f t="shared" si="0"/>
        <v>1033.452</v>
      </c>
      <c r="E30" s="73"/>
      <c r="F30" s="73"/>
      <c r="G30" s="73">
        <f>C30*VLOOKUP($C$2,Valores!$I$1:$J$53,2,0)</f>
        <v>0</v>
      </c>
      <c r="H30" s="73">
        <v>4593.13</v>
      </c>
      <c r="I30" s="81">
        <f t="shared" si="1"/>
        <v>12516.262000000001</v>
      </c>
      <c r="J30" s="73">
        <v>886.69</v>
      </c>
      <c r="K30" s="82">
        <f t="shared" si="2"/>
        <v>886.69</v>
      </c>
      <c r="M30" s="180"/>
      <c r="N30" s="181"/>
      <c r="O30" s="174"/>
      <c r="Q30" s="73"/>
      <c r="R30" s="73"/>
      <c r="S30" s="73"/>
      <c r="T30" s="73"/>
      <c r="U30" s="73"/>
      <c r="V30" s="73"/>
      <c r="W30" s="73"/>
      <c r="X30" s="73"/>
      <c r="Y30" s="73"/>
    </row>
    <row r="31" spans="1:25" ht="12.75" customHeight="1" x14ac:dyDescent="0.25">
      <c r="A31" s="173" t="s">
        <v>612</v>
      </c>
      <c r="B31" s="71" t="s">
        <v>623</v>
      </c>
      <c r="C31" s="73">
        <v>7878.65</v>
      </c>
      <c r="D31" s="73">
        <f t="shared" si="0"/>
        <v>1181.7974999999999</v>
      </c>
      <c r="E31" s="73"/>
      <c r="F31" s="73"/>
      <c r="G31" s="73">
        <f>C31*VLOOKUP($C$2,Valores!$I$1:$J$53,2,0)</f>
        <v>0</v>
      </c>
      <c r="H31" s="73">
        <v>5052.4399999999996</v>
      </c>
      <c r="I31" s="81">
        <f t="shared" si="1"/>
        <v>14112.887500000001</v>
      </c>
      <c r="J31" s="73">
        <v>975.36</v>
      </c>
      <c r="K31" s="82">
        <f t="shared" si="2"/>
        <v>975.36</v>
      </c>
      <c r="M31" s="180"/>
      <c r="N31" s="181"/>
      <c r="O31" s="174"/>
      <c r="Q31" s="73"/>
      <c r="R31" s="73"/>
      <c r="S31" s="73"/>
      <c r="T31" s="73"/>
      <c r="U31" s="73"/>
      <c r="V31" s="73"/>
      <c r="W31" s="73"/>
      <c r="X31" s="73"/>
      <c r="Y31" s="73"/>
    </row>
    <row r="32" spans="1:25" ht="12.75" customHeight="1" x14ac:dyDescent="0.25">
      <c r="A32" s="173" t="s">
        <v>612</v>
      </c>
      <c r="B32" s="71" t="s">
        <v>624</v>
      </c>
      <c r="C32" s="73">
        <v>8567.6200000000008</v>
      </c>
      <c r="D32" s="73">
        <f t="shared" si="0"/>
        <v>1285.143</v>
      </c>
      <c r="E32" s="73"/>
      <c r="F32" s="73"/>
      <c r="G32" s="73">
        <f>C32*VLOOKUP($C$2,Valores!$I$1:$J$53,2,0)</f>
        <v>0</v>
      </c>
      <c r="H32" s="73">
        <v>5511.75</v>
      </c>
      <c r="I32" s="81">
        <f t="shared" si="1"/>
        <v>15364.513000000001</v>
      </c>
      <c r="J32" s="73">
        <v>1064.03</v>
      </c>
      <c r="K32" s="82">
        <f t="shared" si="2"/>
        <v>1064.03</v>
      </c>
      <c r="M32" s="180"/>
      <c r="N32" s="181"/>
      <c r="O32" s="174"/>
      <c r="Q32" s="73"/>
      <c r="R32" s="73"/>
      <c r="S32" s="73"/>
      <c r="T32" s="73"/>
      <c r="U32" s="73"/>
      <c r="V32" s="73"/>
      <c r="W32" s="73"/>
      <c r="X32" s="73"/>
      <c r="Y32" s="73"/>
    </row>
    <row r="33" spans="1:25" ht="12.75" customHeight="1" x14ac:dyDescent="0.25">
      <c r="A33" s="173"/>
      <c r="B33" s="71"/>
      <c r="C33" s="73"/>
      <c r="D33" s="73"/>
      <c r="E33" s="73"/>
      <c r="F33" s="73"/>
      <c r="G33" s="73"/>
      <c r="H33" s="73"/>
      <c r="I33" s="81"/>
      <c r="J33" s="73"/>
      <c r="K33" s="82"/>
      <c r="M33" s="180"/>
      <c r="N33" s="181"/>
      <c r="O33" s="174"/>
      <c r="Q33" s="73"/>
      <c r="R33" s="73"/>
      <c r="S33" s="73"/>
      <c r="T33" s="73"/>
      <c r="U33" s="73"/>
      <c r="V33" s="73"/>
      <c r="W33" s="73"/>
      <c r="X33" s="73">
        <f>I33+K33+T33+U33+V33+W33</f>
        <v>0</v>
      </c>
      <c r="Y33" s="73">
        <f>+I33-SUM(Q33:S33)</f>
        <v>0</v>
      </c>
    </row>
    <row r="34" spans="1:25" ht="12.75" customHeight="1" x14ac:dyDescent="0.25">
      <c r="A34" s="182"/>
      <c r="B34" s="183"/>
      <c r="C34" s="184"/>
      <c r="D34" s="184"/>
      <c r="E34" s="184"/>
      <c r="F34" s="184"/>
      <c r="G34" s="184"/>
      <c r="H34" s="184"/>
      <c r="I34" s="185"/>
      <c r="J34" s="184"/>
      <c r="K34" s="186"/>
      <c r="M34" s="180"/>
      <c r="N34" s="181"/>
      <c r="O34" s="174"/>
      <c r="Q34" s="187">
        <v>0.11</v>
      </c>
      <c r="R34" s="187">
        <v>0.05</v>
      </c>
      <c r="S34" s="188">
        <v>4.4999999999999998E-2</v>
      </c>
      <c r="T34" s="189">
        <v>0.16</v>
      </c>
      <c r="U34" s="190">
        <v>0</v>
      </c>
      <c r="V34" s="191">
        <v>0</v>
      </c>
      <c r="W34" s="191">
        <v>3.5000000000000003E-2</v>
      </c>
      <c r="X34" s="73" t="s">
        <v>625</v>
      </c>
      <c r="Y34" s="73"/>
    </row>
    <row r="35" spans="1:25" ht="12.75" customHeight="1" x14ac:dyDescent="0.25">
      <c r="A35" s="173" t="s">
        <v>626</v>
      </c>
      <c r="B35" s="71" t="s">
        <v>627</v>
      </c>
      <c r="C35" s="73">
        <v>51328.46</v>
      </c>
      <c r="D35" s="73">
        <v>0</v>
      </c>
      <c r="E35" s="73">
        <v>574.89</v>
      </c>
      <c r="F35" s="73">
        <v>4043.48</v>
      </c>
      <c r="G35" s="73">
        <f>C35*0.0225*$C$2</f>
        <v>0</v>
      </c>
      <c r="H35" s="73">
        <v>0</v>
      </c>
      <c r="I35" s="81">
        <f t="shared" ref="I35:I47" si="12">SUM(C35:H35)</f>
        <v>55946.83</v>
      </c>
      <c r="J35" s="73">
        <v>0</v>
      </c>
      <c r="K35" s="73">
        <f>SUM(J35)</f>
        <v>0</v>
      </c>
      <c r="L35" s="192" t="s">
        <v>628</v>
      </c>
      <c r="Q35" s="73">
        <f>I35*$Q$5</f>
        <v>7552.8220500000007</v>
      </c>
      <c r="R35" s="73">
        <f>I35*$R$5</f>
        <v>1398.6707500000002</v>
      </c>
      <c r="S35" s="73">
        <f t="shared" ref="S35:S47" si="13">I35*$S$5</f>
        <v>2517.6073499999998</v>
      </c>
      <c r="T35" s="73">
        <f t="shared" ref="T35:T47" si="14">I35*$T$34</f>
        <v>8951.4928</v>
      </c>
      <c r="U35" s="73">
        <f t="shared" ref="U35:U47" si="15">I35*$U$34</f>
        <v>0</v>
      </c>
      <c r="V35" s="73">
        <f t="shared" ref="V35:V47" si="16">I35*$V$34</f>
        <v>0</v>
      </c>
      <c r="W35" s="73">
        <f t="shared" ref="W35:W47" si="17">I35*$W$34</f>
        <v>1958.1390500000002</v>
      </c>
      <c r="X35" s="73">
        <f t="shared" ref="X35:X47" si="18">I35+K35+T35+U35+V35+W35</f>
        <v>66856.461850000007</v>
      </c>
      <c r="Y35" s="73">
        <f t="shared" ref="Y35:Y47" si="19">+I35-SUM(Q35:S35)</f>
        <v>44477.729850000003</v>
      </c>
    </row>
    <row r="36" spans="1:25" ht="12.75" customHeight="1" x14ac:dyDescent="0.25">
      <c r="A36" s="173" t="s">
        <v>629</v>
      </c>
      <c r="B36" s="71" t="s">
        <v>630</v>
      </c>
      <c r="C36" s="73">
        <v>0</v>
      </c>
      <c r="D36" s="73">
        <v>0</v>
      </c>
      <c r="E36" s="73">
        <v>0</v>
      </c>
      <c r="F36" s="73">
        <v>0</v>
      </c>
      <c r="G36" s="73">
        <v>0</v>
      </c>
      <c r="H36" s="73">
        <v>0</v>
      </c>
      <c r="I36" s="81">
        <f t="shared" si="12"/>
        <v>0</v>
      </c>
      <c r="J36" s="73">
        <v>0</v>
      </c>
      <c r="K36" s="73">
        <f>SUM(J36)</f>
        <v>0</v>
      </c>
      <c r="L36" s="192" t="s">
        <v>631</v>
      </c>
      <c r="M36" s="71" t="s">
        <v>632</v>
      </c>
      <c r="N36" s="174">
        <v>5314.29</v>
      </c>
      <c r="O36" s="174">
        <v>3542.86</v>
      </c>
      <c r="Q36" s="73">
        <f>I36*$Q$5</f>
        <v>0</v>
      </c>
      <c r="R36" s="73">
        <f>I36*$R$5</f>
        <v>0</v>
      </c>
      <c r="S36" s="73">
        <f t="shared" si="13"/>
        <v>0</v>
      </c>
      <c r="T36" s="73">
        <f t="shared" si="14"/>
        <v>0</v>
      </c>
      <c r="U36" s="73">
        <f t="shared" si="15"/>
        <v>0</v>
      </c>
      <c r="V36" s="73">
        <f t="shared" si="16"/>
        <v>0</v>
      </c>
      <c r="W36" s="73">
        <f t="shared" si="17"/>
        <v>0</v>
      </c>
      <c r="X36" s="73">
        <f t="shared" si="18"/>
        <v>0</v>
      </c>
      <c r="Y36" s="73">
        <f t="shared" si="19"/>
        <v>0</v>
      </c>
    </row>
    <row r="37" spans="1:25" ht="12.75" customHeight="1" x14ac:dyDescent="0.25">
      <c r="A37" s="173" t="s">
        <v>633</v>
      </c>
      <c r="B37" s="71" t="s">
        <v>634</v>
      </c>
      <c r="C37" s="73">
        <v>140966.51</v>
      </c>
      <c r="D37" s="73">
        <v>0</v>
      </c>
      <c r="E37" s="73">
        <v>0</v>
      </c>
      <c r="F37" s="73">
        <v>0</v>
      </c>
      <c r="G37" s="73">
        <v>0</v>
      </c>
      <c r="H37" s="73">
        <v>0</v>
      </c>
      <c r="I37" s="81">
        <f t="shared" si="12"/>
        <v>140966.51</v>
      </c>
      <c r="J37" s="73">
        <v>0</v>
      </c>
      <c r="K37" s="73">
        <f>SUM(J37)</f>
        <v>0</v>
      </c>
      <c r="L37" s="192" t="s">
        <v>635</v>
      </c>
      <c r="M37" s="71" t="s">
        <v>636</v>
      </c>
      <c r="N37" s="174">
        <v>10628.58</v>
      </c>
      <c r="O37" s="174">
        <v>7085.72</v>
      </c>
      <c r="Q37" s="73">
        <f>I37*0.088</f>
        <v>12405.052879999999</v>
      </c>
      <c r="R37" s="73">
        <f>I37*0.07203875</f>
        <v>10155.0511722625</v>
      </c>
      <c r="S37" s="73">
        <f t="shared" si="13"/>
        <v>6343.4929499999998</v>
      </c>
      <c r="T37" s="73">
        <f t="shared" si="14"/>
        <v>22554.641600000003</v>
      </c>
      <c r="U37" s="73">
        <f t="shared" si="15"/>
        <v>0</v>
      </c>
      <c r="V37" s="73">
        <f t="shared" si="16"/>
        <v>0</v>
      </c>
      <c r="W37" s="73">
        <f t="shared" si="17"/>
        <v>4933.8278500000006</v>
      </c>
      <c r="X37" s="73">
        <f t="shared" si="18"/>
        <v>168454.97945000001</v>
      </c>
      <c r="Y37" s="73">
        <f t="shared" si="19"/>
        <v>112062.91299773751</v>
      </c>
    </row>
    <row r="38" spans="1:25" ht="12.75" customHeight="1" x14ac:dyDescent="0.25">
      <c r="A38" s="173" t="s">
        <v>637</v>
      </c>
      <c r="B38" s="71" t="s">
        <v>638</v>
      </c>
      <c r="C38" s="73">
        <v>122846.6</v>
      </c>
      <c r="D38" s="73">
        <v>0</v>
      </c>
      <c r="E38" s="73">
        <v>0</v>
      </c>
      <c r="F38" s="73">
        <v>0</v>
      </c>
      <c r="G38" s="73">
        <v>0</v>
      </c>
      <c r="H38" s="73">
        <v>0</v>
      </c>
      <c r="I38" s="81">
        <f t="shared" si="12"/>
        <v>122846.6</v>
      </c>
      <c r="J38" s="73"/>
      <c r="K38" s="73"/>
      <c r="L38" s="192"/>
      <c r="Q38" s="73">
        <f>I38*0.0826645</f>
        <v>10155.0527657</v>
      </c>
      <c r="R38" s="73">
        <f>I38*0.0773355</f>
        <v>9500.4032342999999</v>
      </c>
      <c r="S38" s="73">
        <f t="shared" si="13"/>
        <v>5528.0969999999998</v>
      </c>
      <c r="T38" s="73">
        <f t="shared" si="14"/>
        <v>19655.456000000002</v>
      </c>
      <c r="U38" s="73">
        <f t="shared" si="15"/>
        <v>0</v>
      </c>
      <c r="V38" s="73">
        <f t="shared" si="16"/>
        <v>0</v>
      </c>
      <c r="W38" s="73">
        <f t="shared" si="17"/>
        <v>4299.6310000000003</v>
      </c>
      <c r="X38" s="73">
        <f t="shared" si="18"/>
        <v>146801.68700000001</v>
      </c>
      <c r="Y38" s="73">
        <f t="shared" si="19"/>
        <v>97663.047000000006</v>
      </c>
    </row>
    <row r="39" spans="1:25" ht="12.75" customHeight="1" x14ac:dyDescent="0.25">
      <c r="A39" s="173" t="s">
        <v>639</v>
      </c>
      <c r="B39" s="71" t="s">
        <v>640</v>
      </c>
      <c r="C39" s="73">
        <v>91295.03</v>
      </c>
      <c r="D39" s="73">
        <v>0</v>
      </c>
      <c r="E39" s="73">
        <v>0</v>
      </c>
      <c r="F39" s="73">
        <v>0</v>
      </c>
      <c r="G39" s="73">
        <v>0</v>
      </c>
      <c r="H39" s="73">
        <v>0</v>
      </c>
      <c r="I39" s="81">
        <f t="shared" si="12"/>
        <v>91295.03</v>
      </c>
      <c r="J39" s="73">
        <v>0</v>
      </c>
      <c r="K39" s="73">
        <f t="shared" ref="K39:K47" si="20">SUM(J39)</f>
        <v>0</v>
      </c>
      <c r="L39" s="192" t="s">
        <v>628</v>
      </c>
      <c r="Q39" s="73">
        <f>I39*$Q$34</f>
        <v>10042.453299999999</v>
      </c>
      <c r="R39" s="73">
        <f>I39*$R$34</f>
        <v>4564.7515000000003</v>
      </c>
      <c r="S39" s="73">
        <f t="shared" si="13"/>
        <v>4108.2763500000001</v>
      </c>
      <c r="T39" s="73">
        <f t="shared" si="14"/>
        <v>14607.2048</v>
      </c>
      <c r="U39" s="73">
        <f t="shared" si="15"/>
        <v>0</v>
      </c>
      <c r="V39" s="73">
        <f t="shared" si="16"/>
        <v>0</v>
      </c>
      <c r="W39" s="73">
        <f t="shared" si="17"/>
        <v>3195.3260500000001</v>
      </c>
      <c r="X39" s="73">
        <f t="shared" si="18"/>
        <v>109097.56085000001</v>
      </c>
      <c r="Y39" s="73">
        <f t="shared" si="19"/>
        <v>72579.548849999992</v>
      </c>
    </row>
    <row r="40" spans="1:25" ht="12.75" customHeight="1" x14ac:dyDescent="0.25">
      <c r="A40" s="173" t="s">
        <v>641</v>
      </c>
      <c r="B40" s="71" t="s">
        <v>642</v>
      </c>
      <c r="C40" s="73">
        <v>0</v>
      </c>
      <c r="D40" s="73">
        <v>0</v>
      </c>
      <c r="E40" s="73">
        <v>0</v>
      </c>
      <c r="F40" s="73">
        <v>0</v>
      </c>
      <c r="G40" s="73">
        <v>0</v>
      </c>
      <c r="H40" s="73">
        <v>0</v>
      </c>
      <c r="I40" s="81">
        <f t="shared" si="12"/>
        <v>0</v>
      </c>
      <c r="J40" s="73">
        <v>0</v>
      </c>
      <c r="K40" s="73">
        <f t="shared" si="20"/>
        <v>0</v>
      </c>
      <c r="L40" s="192" t="s">
        <v>628</v>
      </c>
      <c r="Q40" s="73">
        <f>I40*$Q$5</f>
        <v>0</v>
      </c>
      <c r="R40" s="73">
        <f>I40*$R$5</f>
        <v>0</v>
      </c>
      <c r="S40" s="73">
        <f t="shared" si="13"/>
        <v>0</v>
      </c>
      <c r="T40" s="73">
        <f t="shared" si="14"/>
        <v>0</v>
      </c>
      <c r="U40" s="73">
        <f t="shared" si="15"/>
        <v>0</v>
      </c>
      <c r="V40" s="73">
        <f t="shared" si="16"/>
        <v>0</v>
      </c>
      <c r="W40" s="73">
        <f t="shared" si="17"/>
        <v>0</v>
      </c>
      <c r="X40" s="73">
        <f t="shared" si="18"/>
        <v>0</v>
      </c>
      <c r="Y40" s="73">
        <f t="shared" si="19"/>
        <v>0</v>
      </c>
    </row>
    <row r="41" spans="1:25" x14ac:dyDescent="0.25">
      <c r="A41" s="173" t="s">
        <v>643</v>
      </c>
      <c r="B41" s="71" t="s">
        <v>644</v>
      </c>
      <c r="C41" s="73">
        <v>0</v>
      </c>
      <c r="D41" s="73">
        <v>0</v>
      </c>
      <c r="E41" s="73">
        <v>0</v>
      </c>
      <c r="F41" s="73">
        <v>0</v>
      </c>
      <c r="G41" s="73">
        <v>0</v>
      </c>
      <c r="H41" s="73">
        <v>0</v>
      </c>
      <c r="I41" s="81">
        <f t="shared" si="12"/>
        <v>0</v>
      </c>
      <c r="J41" s="73">
        <v>0</v>
      </c>
      <c r="K41" s="73">
        <f t="shared" si="20"/>
        <v>0</v>
      </c>
      <c r="L41" s="192" t="s">
        <v>628</v>
      </c>
      <c r="Q41" s="73">
        <f>I41*$Q$5</f>
        <v>0</v>
      </c>
      <c r="R41" s="73">
        <f>I41*$R$5</f>
        <v>0</v>
      </c>
      <c r="S41" s="73">
        <f t="shared" si="13"/>
        <v>0</v>
      </c>
      <c r="T41" s="73">
        <f t="shared" si="14"/>
        <v>0</v>
      </c>
      <c r="U41" s="73">
        <f t="shared" si="15"/>
        <v>0</v>
      </c>
      <c r="V41" s="73">
        <f t="shared" si="16"/>
        <v>0</v>
      </c>
      <c r="W41" s="73">
        <f t="shared" si="17"/>
        <v>0</v>
      </c>
      <c r="X41" s="73">
        <f t="shared" si="18"/>
        <v>0</v>
      </c>
      <c r="Y41" s="73">
        <f t="shared" si="19"/>
        <v>0</v>
      </c>
    </row>
    <row r="42" spans="1:25" x14ac:dyDescent="0.25">
      <c r="A42" s="173" t="s">
        <v>645</v>
      </c>
      <c r="B42" s="71" t="s">
        <v>646</v>
      </c>
      <c r="C42" s="73">
        <v>0</v>
      </c>
      <c r="D42" s="73">
        <v>0</v>
      </c>
      <c r="E42" s="73">
        <v>0</v>
      </c>
      <c r="F42" s="73">
        <v>0</v>
      </c>
      <c r="G42" s="73">
        <v>0</v>
      </c>
      <c r="H42" s="73">
        <v>0</v>
      </c>
      <c r="I42" s="81">
        <f t="shared" si="12"/>
        <v>0</v>
      </c>
      <c r="J42" s="73">
        <v>0</v>
      </c>
      <c r="K42" s="73">
        <f t="shared" si="20"/>
        <v>0</v>
      </c>
      <c r="L42" s="192" t="s">
        <v>628</v>
      </c>
      <c r="Q42" s="73">
        <f>I42*$Q$5</f>
        <v>0</v>
      </c>
      <c r="R42" s="73">
        <f>I42*$R$5</f>
        <v>0</v>
      </c>
      <c r="S42" s="73">
        <f t="shared" si="13"/>
        <v>0</v>
      </c>
      <c r="T42" s="73">
        <f t="shared" si="14"/>
        <v>0</v>
      </c>
      <c r="U42" s="73">
        <f t="shared" si="15"/>
        <v>0</v>
      </c>
      <c r="V42" s="73">
        <f t="shared" si="16"/>
        <v>0</v>
      </c>
      <c r="W42" s="73">
        <f t="shared" si="17"/>
        <v>0</v>
      </c>
      <c r="X42" s="73">
        <f t="shared" si="18"/>
        <v>0</v>
      </c>
      <c r="Y42" s="73">
        <f t="shared" si="19"/>
        <v>0</v>
      </c>
    </row>
    <row r="43" spans="1:25" x14ac:dyDescent="0.25">
      <c r="A43" s="173" t="s">
        <v>647</v>
      </c>
      <c r="B43" s="71" t="s">
        <v>648</v>
      </c>
      <c r="C43" s="73">
        <v>51328.46</v>
      </c>
      <c r="D43" s="73">
        <v>0</v>
      </c>
      <c r="E43" s="73">
        <v>574.89</v>
      </c>
      <c r="F43" s="73">
        <v>4043.48</v>
      </c>
      <c r="G43" s="73">
        <f>C43*0.0225*$C$2</f>
        <v>0</v>
      </c>
      <c r="H43" s="73">
        <v>0</v>
      </c>
      <c r="I43" s="81">
        <f t="shared" si="12"/>
        <v>55946.83</v>
      </c>
      <c r="J43" s="73">
        <v>0</v>
      </c>
      <c r="K43" s="73">
        <f t="shared" si="20"/>
        <v>0</v>
      </c>
      <c r="L43" s="192"/>
      <c r="Q43" s="73">
        <f>I43*$Q$34</f>
        <v>6154.1513000000004</v>
      </c>
      <c r="R43" s="73">
        <f>I43*$R$34</f>
        <v>2797.3415000000005</v>
      </c>
      <c r="S43" s="73">
        <f t="shared" si="13"/>
        <v>2517.6073499999998</v>
      </c>
      <c r="T43" s="73">
        <f t="shared" si="14"/>
        <v>8951.4928</v>
      </c>
      <c r="U43" s="73">
        <f t="shared" si="15"/>
        <v>0</v>
      </c>
      <c r="V43" s="73">
        <f t="shared" si="16"/>
        <v>0</v>
      </c>
      <c r="W43" s="73">
        <f t="shared" si="17"/>
        <v>1958.1390500000002</v>
      </c>
      <c r="X43" s="73">
        <f t="shared" si="18"/>
        <v>66856.461850000007</v>
      </c>
      <c r="Y43" s="73">
        <f t="shared" si="19"/>
        <v>44477.729850000003</v>
      </c>
    </row>
    <row r="44" spans="1:25" ht="12.75" customHeight="1" x14ac:dyDescent="0.25">
      <c r="A44" s="173" t="s">
        <v>649</v>
      </c>
      <c r="B44" s="71" t="s">
        <v>650</v>
      </c>
      <c r="C44" s="73">
        <v>0</v>
      </c>
      <c r="D44" s="73">
        <v>0</v>
      </c>
      <c r="E44" s="73">
        <v>0</v>
      </c>
      <c r="F44" s="73">
        <v>0</v>
      </c>
      <c r="G44" s="73">
        <v>0</v>
      </c>
      <c r="H44" s="73">
        <v>0</v>
      </c>
      <c r="I44" s="81">
        <f t="shared" si="12"/>
        <v>0</v>
      </c>
      <c r="J44" s="73">
        <v>0</v>
      </c>
      <c r="K44" s="73">
        <f t="shared" si="20"/>
        <v>0</v>
      </c>
      <c r="L44" s="192" t="s">
        <v>631</v>
      </c>
      <c r="Q44" s="73">
        <f>I44*$Q$5</f>
        <v>0</v>
      </c>
      <c r="R44" s="73">
        <f>I44*$R$5</f>
        <v>0</v>
      </c>
      <c r="S44" s="73">
        <f t="shared" si="13"/>
        <v>0</v>
      </c>
      <c r="T44" s="73">
        <f t="shared" si="14"/>
        <v>0</v>
      </c>
      <c r="U44" s="73">
        <f t="shared" si="15"/>
        <v>0</v>
      </c>
      <c r="V44" s="73">
        <f t="shared" si="16"/>
        <v>0</v>
      </c>
      <c r="W44" s="73">
        <f t="shared" si="17"/>
        <v>0</v>
      </c>
      <c r="X44" s="73">
        <f t="shared" si="18"/>
        <v>0</v>
      </c>
      <c r="Y44" s="73">
        <f t="shared" si="19"/>
        <v>0</v>
      </c>
    </row>
    <row r="45" spans="1:25" ht="12.75" customHeight="1" x14ac:dyDescent="0.25">
      <c r="A45" s="173" t="s">
        <v>651</v>
      </c>
      <c r="B45" s="71" t="s">
        <v>652</v>
      </c>
      <c r="C45" s="73">
        <v>0</v>
      </c>
      <c r="D45" s="73">
        <v>0</v>
      </c>
      <c r="E45" s="73">
        <v>0</v>
      </c>
      <c r="F45" s="73">
        <v>0</v>
      </c>
      <c r="G45" s="73">
        <v>0</v>
      </c>
      <c r="H45" s="73">
        <v>0</v>
      </c>
      <c r="I45" s="81">
        <f t="shared" si="12"/>
        <v>0</v>
      </c>
      <c r="J45" s="73">
        <v>0</v>
      </c>
      <c r="K45" s="73">
        <f t="shared" si="20"/>
        <v>0</v>
      </c>
      <c r="L45" s="192" t="s">
        <v>631</v>
      </c>
      <c r="Q45" s="73">
        <f>I45*$Q$5</f>
        <v>0</v>
      </c>
      <c r="R45" s="73">
        <f>I45*$R$5</f>
        <v>0</v>
      </c>
      <c r="S45" s="73">
        <f t="shared" si="13"/>
        <v>0</v>
      </c>
      <c r="T45" s="73">
        <f t="shared" si="14"/>
        <v>0</v>
      </c>
      <c r="U45" s="73">
        <f t="shared" si="15"/>
        <v>0</v>
      </c>
      <c r="V45" s="73">
        <f t="shared" si="16"/>
        <v>0</v>
      </c>
      <c r="W45" s="73">
        <f t="shared" si="17"/>
        <v>0</v>
      </c>
      <c r="X45" s="73">
        <f t="shared" si="18"/>
        <v>0</v>
      </c>
      <c r="Y45" s="73">
        <f t="shared" si="19"/>
        <v>0</v>
      </c>
    </row>
    <row r="46" spans="1:25" ht="12.75" customHeight="1" x14ac:dyDescent="0.25">
      <c r="A46" s="173" t="s">
        <v>653</v>
      </c>
      <c r="B46" s="71" t="s">
        <v>654</v>
      </c>
      <c r="C46" s="73">
        <v>0</v>
      </c>
      <c r="D46" s="73">
        <v>0</v>
      </c>
      <c r="E46" s="73">
        <v>0</v>
      </c>
      <c r="F46" s="73">
        <v>0</v>
      </c>
      <c r="G46" s="73">
        <v>0</v>
      </c>
      <c r="H46" s="73">
        <v>0</v>
      </c>
      <c r="I46" s="81">
        <f t="shared" si="12"/>
        <v>0</v>
      </c>
      <c r="J46" s="73">
        <v>0</v>
      </c>
      <c r="K46" s="73">
        <f t="shared" si="20"/>
        <v>0</v>
      </c>
      <c r="L46" s="192" t="s">
        <v>631</v>
      </c>
      <c r="Q46" s="73">
        <f>I46*$Q$5</f>
        <v>0</v>
      </c>
      <c r="R46" s="73">
        <f>I46*$R$5</f>
        <v>0</v>
      </c>
      <c r="S46" s="73">
        <f t="shared" si="13"/>
        <v>0</v>
      </c>
      <c r="T46" s="73">
        <f t="shared" si="14"/>
        <v>0</v>
      </c>
      <c r="U46" s="73">
        <f t="shared" si="15"/>
        <v>0</v>
      </c>
      <c r="V46" s="73">
        <f t="shared" si="16"/>
        <v>0</v>
      </c>
      <c r="W46" s="73">
        <f t="shared" si="17"/>
        <v>0</v>
      </c>
      <c r="X46" s="73">
        <f t="shared" si="18"/>
        <v>0</v>
      </c>
      <c r="Y46" s="73">
        <f t="shared" si="19"/>
        <v>0</v>
      </c>
    </row>
    <row r="47" spans="1:25" ht="12.75" customHeight="1" x14ac:dyDescent="0.25">
      <c r="A47" s="173" t="s">
        <v>655</v>
      </c>
      <c r="B47" s="71" t="s">
        <v>656</v>
      </c>
      <c r="C47" s="73">
        <v>0</v>
      </c>
      <c r="D47" s="73">
        <v>0</v>
      </c>
      <c r="E47" s="73">
        <v>0</v>
      </c>
      <c r="F47" s="73">
        <v>0</v>
      </c>
      <c r="G47" s="73">
        <v>0</v>
      </c>
      <c r="H47" s="73">
        <v>0</v>
      </c>
      <c r="I47" s="81">
        <f t="shared" si="12"/>
        <v>0</v>
      </c>
      <c r="J47" s="73">
        <v>0</v>
      </c>
      <c r="K47" s="73">
        <f t="shared" si="20"/>
        <v>0</v>
      </c>
      <c r="L47" s="192" t="s">
        <v>631</v>
      </c>
      <c r="Q47" s="73">
        <f>I47*$Q$5</f>
        <v>0</v>
      </c>
      <c r="R47" s="73">
        <f>I47*$R$5</f>
        <v>0</v>
      </c>
      <c r="S47" s="73">
        <f t="shared" si="13"/>
        <v>0</v>
      </c>
      <c r="T47" s="73">
        <f t="shared" si="14"/>
        <v>0</v>
      </c>
      <c r="U47" s="73">
        <f t="shared" si="15"/>
        <v>0</v>
      </c>
      <c r="V47" s="73">
        <f t="shared" si="16"/>
        <v>0</v>
      </c>
      <c r="W47" s="73">
        <f t="shared" si="17"/>
        <v>0</v>
      </c>
      <c r="X47" s="73">
        <f t="shared" si="18"/>
        <v>0</v>
      </c>
      <c r="Y47" s="73">
        <f t="shared" si="19"/>
        <v>0</v>
      </c>
    </row>
  </sheetData>
  <autoFilter ref="A5:K37"/>
  <mergeCells count="4">
    <mergeCell ref="A1:J1"/>
    <mergeCell ref="A2:B2"/>
    <mergeCell ref="Q3:S3"/>
    <mergeCell ref="T3:W3"/>
  </mergeCells>
  <pageMargins left="1" right="1" top="1" bottom="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Valores</vt:lpstr>
      <vt:lpstr>Escala Docente</vt:lpstr>
      <vt:lpstr>UPC</vt:lpstr>
      <vt:lpstr>'Escala Docente'!Área_de_impresión</vt:lpstr>
      <vt:lpstr>UPC!Área_de_impresión</vt:lpstr>
      <vt:lpstr>Valores!Área_de_impresión</vt:lpstr>
      <vt:lpstr>'Escala Docente'!Títulos_a_imprimir</vt:lpstr>
    </vt:vector>
  </TitlesOfParts>
  <Company>casa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pccasa</dc:creator>
  <cp:lastModifiedBy>Gabriel Alurralde</cp:lastModifiedBy>
  <cp:revision>1</cp:revision>
  <cp:lastPrinted>2019-04-23T20:29:56Z</cp:lastPrinted>
  <dcterms:created xsi:type="dcterms:W3CDTF">2005-08-10T23:49:01Z</dcterms:created>
  <dcterms:modified xsi:type="dcterms:W3CDTF">2019-05-14T12:30:31Z</dcterms:modified>
  <dc:language>es-AR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casa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WorkbookGuid">
    <vt:lpwstr>a6233bce-2774-4ad5-a7b4-2ab968ab89b0</vt:lpwstr>
  </property>
</Properties>
</file>