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345" tabRatio="500" activeTab="1"/>
  </bookViews>
  <sheets>
    <sheet name="Valores" sheetId="1" r:id="rId1"/>
    <sheet name="Escala Docente" sheetId="2" r:id="rId2"/>
    <sheet name="UPC" sheetId="3" state="hidden" r:id="rId3"/>
  </sheets>
  <definedNames>
    <definedName name="_xlnm._FilterDatabase" localSheetId="1" hidden="1">'Escala Docente'!$A$6:$BD$327</definedName>
    <definedName name="_xlnm._FilterDatabase" localSheetId="2" hidden="1">'UPC'!$A$5:$K$37</definedName>
    <definedName name="_xlnm._FilterDatabase" localSheetId="0" hidden="1">'Valores'!$A$1:$J$79</definedName>
    <definedName name="_xlnm.Print_Area" localSheetId="1">'Escala Docente'!$C$5:$AM$327</definedName>
    <definedName name="_xlnm.Print_Area" localSheetId="2">'UPC'!$A$2:$J$37</definedName>
    <definedName name="_xlnm.Print_Area" localSheetId="0">'Valores'!$A$1:$F$60</definedName>
    <definedName name="wrn.Planilla._.de._.Sueldos._.Docentes." localSheetId="1">{#N/A,#N/A,TRUE,"CARGOS"}</definedName>
    <definedName name="wrn.Planilla._.de._.Sueldos._.Docentes.">{#N/A,#N/A,TRUE,"CARGOS"}</definedName>
    <definedName name="_xlnm.Print_Titles" localSheetId="1">'Escala Docente'!$C:$F,'Escala Docente'!$5:$6</definedName>
  </definedNames>
  <calcPr calcId="162913"/>
  <extLst/>
</workbook>
</file>

<file path=xl/sharedStrings.xml><?xml version="1.0" encoding="utf-8"?>
<sst xmlns="http://schemas.openxmlformats.org/spreadsheetml/2006/main" count="1260" uniqueCount="664">
  <si>
    <t>CONTROL</t>
  </si>
  <si>
    <t>TOPE</t>
  </si>
  <si>
    <t>Años</t>
  </si>
  <si>
    <t>Porcentaje</t>
  </si>
  <si>
    <t>SI</t>
  </si>
  <si>
    <t>Valor del Punto</t>
  </si>
  <si>
    <t>Bon. Por Minoridad</t>
  </si>
  <si>
    <t>Estado Docente %</t>
  </si>
  <si>
    <t>NO</t>
  </si>
  <si>
    <t>Mat. Did. Mensual Secr y Prosecr</t>
  </si>
  <si>
    <t>Mat. Did. Mensual Prec Bibl y Ay Téc</t>
  </si>
  <si>
    <t>Mat. Did. Mensual Dir y Frente Alumnos</t>
  </si>
  <si>
    <t>Mat. Did. Mensual Superv jor compl y min</t>
  </si>
  <si>
    <t>Mat. Did. Mens (5%)</t>
  </si>
  <si>
    <t>Mat. Did. Hs.</t>
  </si>
  <si>
    <t>Mat. Did. 930</t>
  </si>
  <si>
    <t>Ad Rem Hs</t>
  </si>
  <si>
    <t>Adic Rem Cgo 1 DIRECTOR CORO</t>
  </si>
  <si>
    <t>Adic Rem Cgo 2 DIR ENS SUP</t>
  </si>
  <si>
    <t>Adic Rem Cgo 4 SUBINSP GRAL</t>
  </si>
  <si>
    <t>Adic Rem Cgo 5 SUPERV</t>
  </si>
  <si>
    <t>Adic Rem Cgo 6 ASESOR TECNICO</t>
  </si>
  <si>
    <t>Adic Rem Cgo 7 SECR DOCENTE</t>
  </si>
  <si>
    <t>Prom hs</t>
  </si>
  <si>
    <t>Prom Cgos 1</t>
  </si>
  <si>
    <t>Prom Cgos 2</t>
  </si>
  <si>
    <t>Supl. Cap 01</t>
  </si>
  <si>
    <t>Supl. Cap 02</t>
  </si>
  <si>
    <t>ARD Cgo</t>
  </si>
  <si>
    <t>NARD Cgo</t>
  </si>
  <si>
    <t>Ad. Rem. Doc HS</t>
  </si>
  <si>
    <t>Nvo Ad. Rem Doc HS</t>
  </si>
  <si>
    <t>Corr pauta FONID CGO</t>
  </si>
  <si>
    <t>Corr pauta FONID HS</t>
  </si>
  <si>
    <t>Ad. Extr</t>
  </si>
  <si>
    <t>Gto. Inh. Lab. Doc 01</t>
  </si>
  <si>
    <t>Gto. Inh. Lab. Doc 02</t>
  </si>
  <si>
    <t>Gto. Inh. Lab. Doc 03</t>
  </si>
  <si>
    <t>Gto. Inh. Lab. Doc 04</t>
  </si>
  <si>
    <t>Gto. Inh. Lab. Doc (5%)</t>
  </si>
  <si>
    <t>Gto. Inh. Lab. Doc hs</t>
  </si>
  <si>
    <t>Gto. Inh. Lab. Doc 930</t>
  </si>
  <si>
    <t>Fonid hs</t>
  </si>
  <si>
    <t>Fonid cgos</t>
  </si>
  <si>
    <t>Adelanto Fonid cgos 01</t>
  </si>
  <si>
    <t>Adelanto Fonid cgos 02</t>
  </si>
  <si>
    <t>Adelanto Fonid cgos 03</t>
  </si>
  <si>
    <t>Adelanto Fonid cgos 04</t>
  </si>
  <si>
    <t>Adelanto Fonid cgos 05</t>
  </si>
  <si>
    <t>Adelanto Fonid cgos 06</t>
  </si>
  <si>
    <t>Adelanto Fonid HS 900</t>
  </si>
  <si>
    <t>Adelanto Fonid HS 910</t>
  </si>
  <si>
    <t>Ap Mat Did Rem.</t>
  </si>
  <si>
    <t>Ap Mat Did Rem. 930</t>
  </si>
  <si>
    <t>Ap Mat Did Rem.Compl</t>
  </si>
  <si>
    <t>Ap Mat Did Rem.Compl 930</t>
  </si>
  <si>
    <t>Correccion Pauta Salarial</t>
  </si>
  <si>
    <t xml:space="preserve">Aporte Jubil </t>
  </si>
  <si>
    <t>Aporte Jubil Compl</t>
  </si>
  <si>
    <t>Aporte APROSS</t>
  </si>
  <si>
    <t>Aporte DIPE</t>
  </si>
  <si>
    <t>Aporte DIPE ANSSAL</t>
  </si>
  <si>
    <t>Contr Patr Jub</t>
  </si>
  <si>
    <t>Contr Patr Jub Compl</t>
  </si>
  <si>
    <t>Contr Patr Adicional</t>
  </si>
  <si>
    <t>Contr Patr APROSS</t>
  </si>
  <si>
    <t>Contr Patr DIPE ANSSAL</t>
  </si>
  <si>
    <t>Contr Patr OS DIPE</t>
  </si>
  <si>
    <t>Fondo</t>
  </si>
  <si>
    <t>ANTIGÜEDAD (EN AÑOS)</t>
  </si>
  <si>
    <t>ZONA DESFAVORABLE (EN NUMEROS)</t>
  </si>
  <si>
    <t>Valor Punto:$</t>
  </si>
  <si>
    <t>COBRA ADEL INC DOC (SI/NO)</t>
  </si>
  <si>
    <t xml:space="preserve">Basico </t>
  </si>
  <si>
    <t>Ded. Funcional</t>
  </si>
  <si>
    <t>Ded. Excl.</t>
  </si>
  <si>
    <t>Compl. Esp.</t>
  </si>
  <si>
    <t>Compl. Inicial</t>
  </si>
  <si>
    <t>Antig</t>
  </si>
  <si>
    <t xml:space="preserve">Ad. Rem </t>
  </si>
  <si>
    <t>Est. Doc</t>
  </si>
  <si>
    <t>Supl. Cap.</t>
  </si>
  <si>
    <t>Gtos. Inh. Lab. Doc.</t>
  </si>
  <si>
    <t>P.Cal Ed.</t>
  </si>
  <si>
    <t>Func. Jer</t>
  </si>
  <si>
    <t>Pr.Jor Func.</t>
  </si>
  <si>
    <t>Pr.Jor Pts.</t>
  </si>
  <si>
    <t>Bon Minor.</t>
  </si>
  <si>
    <t>Ad R Doc</t>
  </si>
  <si>
    <t>Zona</t>
  </si>
  <si>
    <t>Nuevo  A.R.D.</t>
  </si>
  <si>
    <t>Fun. Dif</t>
  </si>
  <si>
    <t>Ap Mat Did Rem. Compl</t>
  </si>
  <si>
    <t>Total Rem</t>
  </si>
  <si>
    <t>Corrección Pauta Salarial sobre FONID</t>
  </si>
  <si>
    <t>M.Did Men.</t>
  </si>
  <si>
    <t>Adel Inc Docente</t>
  </si>
  <si>
    <t>Total No Rem</t>
  </si>
  <si>
    <t>Ap Pers Jub</t>
  </si>
  <si>
    <t>Ap Pers Jub Compl</t>
  </si>
  <si>
    <t>APROSS</t>
  </si>
  <si>
    <t>OS DIPE</t>
  </si>
  <si>
    <t>DIPE ANSSAL</t>
  </si>
  <si>
    <t>LIQUIDO C/ OS APROSS</t>
  </si>
  <si>
    <t>LIQUIDO C/ OS DIPE</t>
  </si>
  <si>
    <t>Contr Patronal Jub</t>
  </si>
  <si>
    <t>Contr Patr Jub Adic</t>
  </si>
  <si>
    <t>HS FONID</t>
  </si>
  <si>
    <t>HS SEM</t>
  </si>
  <si>
    <t>LIQ PN</t>
  </si>
  <si>
    <t>NRO</t>
  </si>
  <si>
    <t>CGO</t>
  </si>
  <si>
    <t>DENOMINACION</t>
  </si>
  <si>
    <t>P001</t>
  </si>
  <si>
    <t>C100003</t>
  </si>
  <si>
    <t>P1723</t>
  </si>
  <si>
    <t>C117230</t>
  </si>
  <si>
    <t>P1763</t>
  </si>
  <si>
    <t>C117630</t>
  </si>
  <si>
    <t>P1821</t>
  </si>
  <si>
    <t>C118210</t>
  </si>
  <si>
    <t>C130300</t>
  </si>
  <si>
    <t>C118360</t>
  </si>
  <si>
    <t>C110230</t>
  </si>
  <si>
    <t>C117730</t>
  </si>
  <si>
    <t>C117430</t>
  </si>
  <si>
    <t>C112620</t>
  </si>
  <si>
    <t>C118420</t>
  </si>
  <si>
    <t>C117930</t>
  </si>
  <si>
    <t>C117830</t>
  </si>
  <si>
    <t>P1803</t>
  </si>
  <si>
    <t>C118030</t>
  </si>
  <si>
    <t>C118510</t>
  </si>
  <si>
    <t>C 117900</t>
  </si>
  <si>
    <t>C118460</t>
  </si>
  <si>
    <t>C114200</t>
  </si>
  <si>
    <t>P1839</t>
  </si>
  <si>
    <t>C118390</t>
  </si>
  <si>
    <t>C120170</t>
  </si>
  <si>
    <t>C121170</t>
  </si>
  <si>
    <t>TR</t>
  </si>
  <si>
    <t>C117530</t>
  </si>
  <si>
    <t>C130030</t>
  </si>
  <si>
    <t>TNR</t>
  </si>
  <si>
    <t>C660060</t>
  </si>
  <si>
    <t>C660070</t>
  </si>
  <si>
    <t>C660300</t>
  </si>
  <si>
    <t>C672400</t>
  </si>
  <si>
    <t>C672440</t>
  </si>
  <si>
    <t>C662200</t>
  </si>
  <si>
    <t>C662300</t>
  </si>
  <si>
    <t>C662400</t>
  </si>
  <si>
    <t>C670920</t>
  </si>
  <si>
    <t>C661460</t>
  </si>
  <si>
    <t>C661470</t>
  </si>
  <si>
    <t>13-001</t>
  </si>
  <si>
    <t>Director D.E.M.E.S.</t>
  </si>
  <si>
    <t>13-002</t>
  </si>
  <si>
    <t>Director D.N.I.P.y P</t>
  </si>
  <si>
    <t>13-003</t>
  </si>
  <si>
    <t>Asesor Técnico</t>
  </si>
  <si>
    <t>13-004</t>
  </si>
  <si>
    <t>Director D.I.I.E.</t>
  </si>
  <si>
    <t>x</t>
  </si>
  <si>
    <t>13-005</t>
  </si>
  <si>
    <t>Director D.I.P.E.</t>
  </si>
  <si>
    <t>13-006</t>
  </si>
  <si>
    <t>Director D.A.E.I.</t>
  </si>
  <si>
    <t>13-007</t>
  </si>
  <si>
    <t>Director D.E.A</t>
  </si>
  <si>
    <t>13-009</t>
  </si>
  <si>
    <t>Director D.E.F.</t>
  </si>
  <si>
    <t>13-010</t>
  </si>
  <si>
    <t>Subdirector D.I.I.E.</t>
  </si>
  <si>
    <t>13-011</t>
  </si>
  <si>
    <t>Subdirector D.E.M.E.S.</t>
  </si>
  <si>
    <t>13-012</t>
  </si>
  <si>
    <t>Subdirector Perfecc. Educativo</t>
  </si>
  <si>
    <t>13-013</t>
  </si>
  <si>
    <t>Subdirector D.N.I.P.y P.</t>
  </si>
  <si>
    <t>13-014</t>
  </si>
  <si>
    <t>Subdirector D.I.P.E.</t>
  </si>
  <si>
    <t>13-015</t>
  </si>
  <si>
    <t>Inspector Gral. D.N.I.P. y P.</t>
  </si>
  <si>
    <t>13-016</t>
  </si>
  <si>
    <t>Subdirector D.A.E.I.</t>
  </si>
  <si>
    <t>13-017</t>
  </si>
  <si>
    <t>Subdirector D.E.F.</t>
  </si>
  <si>
    <t>13-018</t>
  </si>
  <si>
    <t>Subdirector D.E.A.</t>
  </si>
  <si>
    <t>13-019</t>
  </si>
  <si>
    <t>Inspector Gral.D.E.M.E.S.</t>
  </si>
  <si>
    <t>13-020</t>
  </si>
  <si>
    <t xml:space="preserve">Inspector Gral. De Adultos </t>
  </si>
  <si>
    <t>13-021</t>
  </si>
  <si>
    <t>Inspector Gral. D.I.P.E.</t>
  </si>
  <si>
    <t>13-023</t>
  </si>
  <si>
    <t>Inspector Gral. D.E.F.</t>
  </si>
  <si>
    <t>13-024</t>
  </si>
  <si>
    <t>Subinspector Gral. D.E.M.E.S.</t>
  </si>
  <si>
    <t>13-025</t>
  </si>
  <si>
    <t>Subinspector Gral. D.E.F.</t>
  </si>
  <si>
    <t>13-030</t>
  </si>
  <si>
    <t>Subinspector Gral. D.N.I.P. y P.</t>
  </si>
  <si>
    <t>13-035</t>
  </si>
  <si>
    <t>Inspector Gral. Instituto del Menor</t>
  </si>
  <si>
    <t>13-040</t>
  </si>
  <si>
    <t>Inspector D.E.M.E.S.</t>
  </si>
  <si>
    <t>13-041</t>
  </si>
  <si>
    <t>Inspector de Jovenes y Adultos</t>
  </si>
  <si>
    <t>13-045</t>
  </si>
  <si>
    <t>Inspector D.E.F.</t>
  </si>
  <si>
    <t>13-050</t>
  </si>
  <si>
    <t>Inspector Educación Complem.</t>
  </si>
  <si>
    <t>13-055</t>
  </si>
  <si>
    <t>Inspector Instituto del Menor</t>
  </si>
  <si>
    <t>13-060</t>
  </si>
  <si>
    <t>Jefe Departamento Nutrición</t>
  </si>
  <si>
    <t>13-065</t>
  </si>
  <si>
    <t>Inspector D.N.I.P.y P.</t>
  </si>
  <si>
    <t>13-070</t>
  </si>
  <si>
    <t>Supervisor Enseñanza Religiosa</t>
  </si>
  <si>
    <t>13-080</t>
  </si>
  <si>
    <t>Jefe Departamento Planeamiento</t>
  </si>
  <si>
    <t>13-085</t>
  </si>
  <si>
    <t>13-090</t>
  </si>
  <si>
    <t>Analista Mayor Planeamiento</t>
  </si>
  <si>
    <t>13-095</t>
  </si>
  <si>
    <t>Analista Principal Planeamiento</t>
  </si>
  <si>
    <t>13-100</t>
  </si>
  <si>
    <t>Presidente Junta Clas. Primaria</t>
  </si>
  <si>
    <t>13-101</t>
  </si>
  <si>
    <t>Vocal Junta Clas. Primaria</t>
  </si>
  <si>
    <t>13-102</t>
  </si>
  <si>
    <t>Miembro Vocal de Junta D.E.M.E.S.</t>
  </si>
  <si>
    <t>13-105</t>
  </si>
  <si>
    <t>Director de 1ª Enseñanza Superior</t>
  </si>
  <si>
    <t>13-110</t>
  </si>
  <si>
    <t>Director de 2ª Enseñanza Superior</t>
  </si>
  <si>
    <t>13-115</t>
  </si>
  <si>
    <t>Vicedirector de Enseñ. Superior</t>
  </si>
  <si>
    <t>13-120</t>
  </si>
  <si>
    <t>Regente de Enseñ. Superior</t>
  </si>
  <si>
    <t>13-140</t>
  </si>
  <si>
    <t>Director de 1ª Ens. Media J. Comp</t>
  </si>
  <si>
    <t>13-143</t>
  </si>
  <si>
    <t>Director de 2ª Ens. Media J. Comp</t>
  </si>
  <si>
    <t>13-145</t>
  </si>
  <si>
    <t>Director de 3ª Ens. Media J. Comp</t>
  </si>
  <si>
    <t>13-150</t>
  </si>
  <si>
    <t>Director de 1ª Ens. Media</t>
  </si>
  <si>
    <t>13-153</t>
  </si>
  <si>
    <t>Director de 1ª Ens. Especial</t>
  </si>
  <si>
    <t>13-155</t>
  </si>
  <si>
    <t>Director de 2ª Ens. Media</t>
  </si>
  <si>
    <t>13-157</t>
  </si>
  <si>
    <t>Director de 2ª Ens. Especial</t>
  </si>
  <si>
    <t>13-160</t>
  </si>
  <si>
    <t>Director de 3ª Ens. Media</t>
  </si>
  <si>
    <t>13-163</t>
  </si>
  <si>
    <t>Director de 3ª Ens. Especial</t>
  </si>
  <si>
    <t>13-164</t>
  </si>
  <si>
    <t>Vicedirector Ens. Media J. Compl.</t>
  </si>
  <si>
    <t>13-165</t>
  </si>
  <si>
    <t>Vicedirector de 1ª  Ens. Media</t>
  </si>
  <si>
    <t>13-167</t>
  </si>
  <si>
    <t>Vicedirector de 1ª  Ens. Especial</t>
  </si>
  <si>
    <t>13-170</t>
  </si>
  <si>
    <t>Vicedirector de 2ª  Ens. Media</t>
  </si>
  <si>
    <t>13-173</t>
  </si>
  <si>
    <t>Vicedirector de 2ª  Ens. Especial</t>
  </si>
  <si>
    <t>13-175</t>
  </si>
  <si>
    <t>Vicedirector de 3ª  Ens. Media</t>
  </si>
  <si>
    <t>13-178</t>
  </si>
  <si>
    <t>Vicedirector de 3ª  Ens. Especial</t>
  </si>
  <si>
    <t>13-179</t>
  </si>
  <si>
    <t>Asesor Pedagógico Proyecto 13</t>
  </si>
  <si>
    <t>13-180</t>
  </si>
  <si>
    <t>Regente de 1ª Ens. Media</t>
  </si>
  <si>
    <t>13-181</t>
  </si>
  <si>
    <t>Regente de 1ª Ens. Media J. Com.</t>
  </si>
  <si>
    <t>13-183</t>
  </si>
  <si>
    <t>Regente de 1ª Ens. Primaria</t>
  </si>
  <si>
    <t>13-184</t>
  </si>
  <si>
    <t>Regente de 2ª Ens. Media J. Com.</t>
  </si>
  <si>
    <t>13-185</t>
  </si>
  <si>
    <t>Regente Educación Artística</t>
  </si>
  <si>
    <t>13-186</t>
  </si>
  <si>
    <t>Regente de 3ª Ens. Media J. Com.</t>
  </si>
  <si>
    <t>13-187</t>
  </si>
  <si>
    <t>Director de Coro</t>
  </si>
  <si>
    <t>13-188</t>
  </si>
  <si>
    <t>Director de Coro Jornada Reducida</t>
  </si>
  <si>
    <t>13-189</t>
  </si>
  <si>
    <t>Director de Orquesta de Ctro.Educ</t>
  </si>
  <si>
    <t>13-190</t>
  </si>
  <si>
    <t>Jefe Gabinete Psicopedagógico</t>
  </si>
  <si>
    <t>13-195</t>
  </si>
  <si>
    <t>Regente de 2ª Ens. Media</t>
  </si>
  <si>
    <t>13-196</t>
  </si>
  <si>
    <t>Regente de 3ª Ens. Media</t>
  </si>
  <si>
    <t>13-197</t>
  </si>
  <si>
    <t>Regente de 2ª Ens. Primaria</t>
  </si>
  <si>
    <t>13-200</t>
  </si>
  <si>
    <t>Subregente de 1ª Ens. Media</t>
  </si>
  <si>
    <t>13-203</t>
  </si>
  <si>
    <t>Subregente de 1ª Ens. Primaria</t>
  </si>
  <si>
    <t>13-205</t>
  </si>
  <si>
    <t>Jefe Departamento Didáctico</t>
  </si>
  <si>
    <t>13-210</t>
  </si>
  <si>
    <t>Coordinador Curso Ens. Superior</t>
  </si>
  <si>
    <t>13-215</t>
  </si>
  <si>
    <t>Coordinador Curso Ens. Media</t>
  </si>
  <si>
    <t>13-250</t>
  </si>
  <si>
    <t>Director Cantina Base</t>
  </si>
  <si>
    <t>13-255</t>
  </si>
  <si>
    <t>Director de 1ª Ens. Primaria</t>
  </si>
  <si>
    <t>Director de 1ª Ens. Primaria (Jardin Inf)</t>
  </si>
  <si>
    <t>13-256</t>
  </si>
  <si>
    <t>Director de 1ª Ens. Prim.T. P. P.</t>
  </si>
  <si>
    <t>13-260</t>
  </si>
  <si>
    <t>Director de 2ª Ens. Primaria</t>
  </si>
  <si>
    <t>Director de 2ª Ens. Primaria (Jardin Inf)</t>
  </si>
  <si>
    <t>13-265</t>
  </si>
  <si>
    <t>Director de 3ª Ens. Primaria</t>
  </si>
  <si>
    <t>Director de 3ª Ens. Primaria (Jardin Inf)</t>
  </si>
  <si>
    <t>13-270</t>
  </si>
  <si>
    <t>Vicedirector Ens. Primaria</t>
  </si>
  <si>
    <t>13-290</t>
  </si>
  <si>
    <t>Regente Ctro. Educ. Complemen.</t>
  </si>
  <si>
    <t>13-293</t>
  </si>
  <si>
    <t>Dir. 1ª Ctro. Dep. Educ. Física</t>
  </si>
  <si>
    <t>13-294</t>
  </si>
  <si>
    <t>Dir. 2ª Ctro. Dep. Educ. Física</t>
  </si>
  <si>
    <t>13-295</t>
  </si>
  <si>
    <t>Dir. 3ª Ctro. Dep. Educ. Física</t>
  </si>
  <si>
    <t>13-298</t>
  </si>
  <si>
    <t>Coordinador Reg. Educ. Física</t>
  </si>
  <si>
    <t>13-300</t>
  </si>
  <si>
    <t>Vicedirec. de 1ª Ctro.Dep.Ed.F.</t>
  </si>
  <si>
    <t>13-301</t>
  </si>
  <si>
    <t>Vicedirec. de 2ª Ctro.Dep.Ed.F.</t>
  </si>
  <si>
    <t>13-302</t>
  </si>
  <si>
    <t>Vicedirec. de 3ª Ctro.Dep.Ed.F.</t>
  </si>
  <si>
    <t>13-305</t>
  </si>
  <si>
    <t>Secretario (Enseñanza Superior)</t>
  </si>
  <si>
    <t>13-307</t>
  </si>
  <si>
    <t>Prosecr. Docente Ens. Superior</t>
  </si>
  <si>
    <t>13-310</t>
  </si>
  <si>
    <t>Secretario Doc. de 1ª Ens. Media</t>
  </si>
  <si>
    <t>13-315</t>
  </si>
  <si>
    <t>Secretario Doc. de 2ª Ens. Media</t>
  </si>
  <si>
    <t>13-320</t>
  </si>
  <si>
    <t>Secretario Doc. de 3ª Ens. Media</t>
  </si>
  <si>
    <t>13-325</t>
  </si>
  <si>
    <t>Prosecr. Doc. de 1ª Ens. Media</t>
  </si>
  <si>
    <t>13-330</t>
  </si>
  <si>
    <t>Prosecr. Doc. de 2ª Ens. Media</t>
  </si>
  <si>
    <t>13-335</t>
  </si>
  <si>
    <t>Prosecr. Doc. de 3ª Ens. Media</t>
  </si>
  <si>
    <t>13-340</t>
  </si>
  <si>
    <t>Secretario Docente Ens. Especial</t>
  </si>
  <si>
    <t>13-345</t>
  </si>
  <si>
    <t>Prosecr. Docente Ens. Especial</t>
  </si>
  <si>
    <t>13-350</t>
  </si>
  <si>
    <t>Secr. Doc. de 1ª Ens. Primaria</t>
  </si>
  <si>
    <t>13-355</t>
  </si>
  <si>
    <t>Secr. Doc. de 2ª Ens. Primaria</t>
  </si>
  <si>
    <t>13-360</t>
  </si>
  <si>
    <t>Secr. Doc. de 3ª Ens. Primaria</t>
  </si>
  <si>
    <t>13-365</t>
  </si>
  <si>
    <t>Secr. Doc. de 4ª Ens. Primaria</t>
  </si>
  <si>
    <t>13-370</t>
  </si>
  <si>
    <t>Secr. Doc. de 5ª Ens. Primaria</t>
  </si>
  <si>
    <t>13-420</t>
  </si>
  <si>
    <t>Jefe de Internado</t>
  </si>
  <si>
    <t>13-425</t>
  </si>
  <si>
    <t>Jefe Enseñanza Practica de 1ª</t>
  </si>
  <si>
    <t>13-430</t>
  </si>
  <si>
    <t>Jefe Enseñanza Practica de 2ª</t>
  </si>
  <si>
    <t>13-435</t>
  </si>
  <si>
    <t>Jefe Enseñanza Practica de 3ª</t>
  </si>
  <si>
    <t>13-436</t>
  </si>
  <si>
    <t>Instructor Jor. Compl. Agr.</t>
  </si>
  <si>
    <t>13-437</t>
  </si>
  <si>
    <t>Jefe Sección Jorn. Completa</t>
  </si>
  <si>
    <t>13-438</t>
  </si>
  <si>
    <t>Instructor Enfermería</t>
  </si>
  <si>
    <t>13-440</t>
  </si>
  <si>
    <t>Encar.Secc.Gab.Psicop.(Med. y Sup.)</t>
  </si>
  <si>
    <t>13-443</t>
  </si>
  <si>
    <t>Encar.Secc.Gab.Psicop.(Especial)</t>
  </si>
  <si>
    <t>13-444</t>
  </si>
  <si>
    <t>Jefe de Gabinete Psicoped. (Primar.)</t>
  </si>
  <si>
    <t>13-445</t>
  </si>
  <si>
    <t>Ayudante de Gab. Psic. Ens. M y Sup</t>
  </si>
  <si>
    <t>13-447</t>
  </si>
  <si>
    <t>Ayudante de Gab. Psic. Ens. Esp.</t>
  </si>
  <si>
    <t>13-448</t>
  </si>
  <si>
    <t>Ayudante de Gab. Psic. Ens. Prim.</t>
  </si>
  <si>
    <t>13-450</t>
  </si>
  <si>
    <t>Maestro de Grupo Escolar</t>
  </si>
  <si>
    <t>13-455</t>
  </si>
  <si>
    <t>Maestro de Grado Ens. Especial</t>
  </si>
  <si>
    <t>13-457</t>
  </si>
  <si>
    <t>Reeducador Especial</t>
  </si>
  <si>
    <t>13-460</t>
  </si>
  <si>
    <t>Encargado de Taller</t>
  </si>
  <si>
    <t>13-463</t>
  </si>
  <si>
    <t>Jefe de Trabajos Prácticos</t>
  </si>
  <si>
    <t>13-464</t>
  </si>
  <si>
    <t>Jefe de Laboratorio</t>
  </si>
  <si>
    <t>13-465</t>
  </si>
  <si>
    <t>Jefe de Gabinete Contabilidad</t>
  </si>
  <si>
    <t>13-466</t>
  </si>
  <si>
    <t>Jefe de Dpto. Educ. Física</t>
  </si>
  <si>
    <t>13-470</t>
  </si>
  <si>
    <t>Prof. Ctro. Depor. Educ. Física</t>
  </si>
  <si>
    <t>13-472</t>
  </si>
  <si>
    <t>Jefe de Ens. Pract. Ens. Especial</t>
  </si>
  <si>
    <t>13-473</t>
  </si>
  <si>
    <t>Jefe de Sección Ens. Practica</t>
  </si>
  <si>
    <t>13-475</t>
  </si>
  <si>
    <t>Maestra de Grado Ens. Primaria</t>
  </si>
  <si>
    <t>13-476</t>
  </si>
  <si>
    <t>Maestro Grado Pasividad Perman.</t>
  </si>
  <si>
    <t>13-477</t>
  </si>
  <si>
    <t>Maestro de D. E. A.</t>
  </si>
  <si>
    <t>13-480</t>
  </si>
  <si>
    <t>Maestro de Jardín de Infantes</t>
  </si>
  <si>
    <t>13-484</t>
  </si>
  <si>
    <t>Maestro Ens. Practica Ens. Esp.</t>
  </si>
  <si>
    <t>13-485</t>
  </si>
  <si>
    <t>Maestro Enseñanza Practica</t>
  </si>
  <si>
    <t>13-486</t>
  </si>
  <si>
    <t>Maestro de Grado Artístico</t>
  </si>
  <si>
    <t>13-487</t>
  </si>
  <si>
    <t>Maestro de Grado Artístico Jorn. Red.</t>
  </si>
  <si>
    <t>13-488</t>
  </si>
  <si>
    <t>Maestro de Grado de Adultos</t>
  </si>
  <si>
    <t>13-490</t>
  </si>
  <si>
    <t>Maestro Cultura General</t>
  </si>
  <si>
    <t>13-495</t>
  </si>
  <si>
    <t>Bibliotecario Jefe</t>
  </si>
  <si>
    <t>13-500</t>
  </si>
  <si>
    <t>Bibliotecario</t>
  </si>
  <si>
    <t>13-505</t>
  </si>
  <si>
    <t>Ayudante Técnico</t>
  </si>
  <si>
    <t>13-507</t>
  </si>
  <si>
    <t>Jefe de Preceptores J. Completa</t>
  </si>
  <si>
    <t>13-510</t>
  </si>
  <si>
    <t>Jefe de Preceptores</t>
  </si>
  <si>
    <t>13-512</t>
  </si>
  <si>
    <t>Subjefe de Preceptores de 1ª</t>
  </si>
  <si>
    <t>13-514</t>
  </si>
  <si>
    <t>Maestro Cultura Rural Dom</t>
  </si>
  <si>
    <t>13-515</t>
  </si>
  <si>
    <t>Maestro Materia Especial</t>
  </si>
  <si>
    <t>Maestro Mat. Esp. - Ex. Cons. Menor</t>
  </si>
  <si>
    <t>Maestro Mat. Esp. - Ex. Cons. Menor Jubilado</t>
  </si>
  <si>
    <t>13-517</t>
  </si>
  <si>
    <t>Maestro Esp Artística</t>
  </si>
  <si>
    <t>13-520</t>
  </si>
  <si>
    <t>Preceptor</t>
  </si>
  <si>
    <t>Preceptor Escuela de Mod Especial</t>
  </si>
  <si>
    <t>13-700</t>
  </si>
  <si>
    <t>Director de 1ª Inst. del Menor</t>
  </si>
  <si>
    <t>13-705</t>
  </si>
  <si>
    <t>Director de 2ª Inst. del Menor</t>
  </si>
  <si>
    <t>13-710</t>
  </si>
  <si>
    <t>Director de 3ª Inst. del Menor</t>
  </si>
  <si>
    <t>13-715</t>
  </si>
  <si>
    <t>Vicedir de 1ª Instit. del Menor</t>
  </si>
  <si>
    <t>13-720</t>
  </si>
  <si>
    <t>Vicedir de 2ª Instit. del Menor</t>
  </si>
  <si>
    <t>13-725</t>
  </si>
  <si>
    <t>Vicedir de 3ª Instit. del Menor</t>
  </si>
  <si>
    <t>13-730</t>
  </si>
  <si>
    <t>Regente de Instituto del Menor</t>
  </si>
  <si>
    <t>13-732</t>
  </si>
  <si>
    <t>Secr. Doc. de 1ª Inst. Menor</t>
  </si>
  <si>
    <t>13-733</t>
  </si>
  <si>
    <t>Secr. Doc. de 2ª Inst. Menor</t>
  </si>
  <si>
    <t>13-735</t>
  </si>
  <si>
    <t>Maestro de Inst. de Menores</t>
  </si>
  <si>
    <t>13-740</t>
  </si>
  <si>
    <t>Dir. de 1ª Jornada Completa</t>
  </si>
  <si>
    <t>13-743</t>
  </si>
  <si>
    <t>Dir. de 2ª Jornada Completa</t>
  </si>
  <si>
    <t>13-745</t>
  </si>
  <si>
    <t>Dir. de 3ª Jornada Completa</t>
  </si>
  <si>
    <t>13-747</t>
  </si>
  <si>
    <t>Vicedirector Jornada Completa</t>
  </si>
  <si>
    <t>13-748</t>
  </si>
  <si>
    <t>Maestro Grado Jorn. Completa</t>
  </si>
  <si>
    <t>13-749</t>
  </si>
  <si>
    <t>Maestro Ram. Esp. Jor. Compl.</t>
  </si>
  <si>
    <t>13-750</t>
  </si>
  <si>
    <t>Director Escuela Hogar</t>
  </si>
  <si>
    <t>13-760</t>
  </si>
  <si>
    <t>Director 2ª Anexo Albergue</t>
  </si>
  <si>
    <t>13-765</t>
  </si>
  <si>
    <t>Director 3ª Anexo Albergue</t>
  </si>
  <si>
    <t>13-767</t>
  </si>
  <si>
    <t>Maestro Anexo Albergue</t>
  </si>
  <si>
    <t>13-769</t>
  </si>
  <si>
    <t>Maestro Ram. Esp. An. Alber.</t>
  </si>
  <si>
    <t>13-770</t>
  </si>
  <si>
    <t>Vicedir. Esc. Hogar Te.</t>
  </si>
  <si>
    <t>13-775</t>
  </si>
  <si>
    <t>Secretario Téc. Esc. Hogar</t>
  </si>
  <si>
    <t>13-780</t>
  </si>
  <si>
    <t>Jefe Serv. Soc. Esc. Hogar</t>
  </si>
  <si>
    <t>13-785</t>
  </si>
  <si>
    <t>Visitador Higiene Social</t>
  </si>
  <si>
    <t>13-795</t>
  </si>
  <si>
    <t>Maestro Grado Esc. Hogar</t>
  </si>
  <si>
    <t>13-797</t>
  </si>
  <si>
    <t>Preceptor Jor Compl, Esc Hogar, An Alb</t>
  </si>
  <si>
    <t>13-800</t>
  </si>
  <si>
    <t>Mtro. Mat. Esp. Esc. Hogar</t>
  </si>
  <si>
    <t>13-900</t>
  </si>
  <si>
    <t>13-910</t>
  </si>
  <si>
    <t>13-920</t>
  </si>
  <si>
    <t>Hs. Cat. Ley 22416 01 Hora</t>
  </si>
  <si>
    <t>13-930</t>
  </si>
  <si>
    <t>Jornada Extendida Modulo de 2 hs</t>
  </si>
  <si>
    <t>Prol Jor Dir B1 (25 + 15 Hs)</t>
  </si>
  <si>
    <t>Prol Jor Dir B2 (25 + 10 Hs)</t>
  </si>
  <si>
    <t>Prol Jor Dir B3 (25 + 05 Hs)</t>
  </si>
  <si>
    <t>Prol Jor (13-515) 01 hora</t>
  </si>
  <si>
    <t>Prol Jor (13-515) 02 horas</t>
  </si>
  <si>
    <t>Prol Jor (13-515) 03 horas</t>
  </si>
  <si>
    <t>Prol Jor (13-515) 04 horas</t>
  </si>
  <si>
    <t>Prol Jor (13-515) 05 horas</t>
  </si>
  <si>
    <t>Prol Jor (13-515) 06 horas</t>
  </si>
  <si>
    <t>Prol Jor (13-515) 07 horas</t>
  </si>
  <si>
    <t>Prol Jor (13-515) 08 horas</t>
  </si>
  <si>
    <t>Prol Jor (13-515) 09 horas</t>
  </si>
  <si>
    <t>Prol Jor (13-515) 10 horas</t>
  </si>
  <si>
    <t>Prol Jor (13-515) 11 horas</t>
  </si>
  <si>
    <t>Prol Jor (13-515) 12 horas</t>
  </si>
  <si>
    <t>Prol Jor (13-515) 13 horas</t>
  </si>
  <si>
    <t>Prol Jor (13-515) 14 horas</t>
  </si>
  <si>
    <t>Prol Jor (13-515) 15 horas</t>
  </si>
  <si>
    <t>Prol Jor (13-515) 16 horas</t>
  </si>
  <si>
    <t>Jorn Ext Dir Prim de 1°  Por mod de 2 hs</t>
  </si>
  <si>
    <t>Jorn Ext Dir Prim de 2°  Por mod de 2 hs</t>
  </si>
  <si>
    <t>Jorn Ext Dir Prim de 3°  Por mod de 2 hs</t>
  </si>
  <si>
    <t>Jorn Ext Vice Dir Prim   Por mod de 2 hs</t>
  </si>
  <si>
    <t>Jorn Ext Maestra Gr. Prim   Por mod de 2 hs</t>
  </si>
  <si>
    <t>Jorn Ext Maestra Mat Especial  Por mod de 2 hs</t>
  </si>
  <si>
    <t>Aportes Personales</t>
  </si>
  <si>
    <t>Contribuciones Patronales</t>
  </si>
  <si>
    <t>Basico</t>
  </si>
  <si>
    <t>Adic. Equip Escal. Gral. RM</t>
  </si>
  <si>
    <t>Titulo</t>
  </si>
  <si>
    <t>Total</t>
  </si>
  <si>
    <t>M.Did. Anual</t>
  </si>
  <si>
    <t>Ap. Jub.</t>
  </si>
  <si>
    <t>Ap. Jub. Compl</t>
  </si>
  <si>
    <t>Ob Soc</t>
  </si>
  <si>
    <t>Jub.</t>
  </si>
  <si>
    <t>Jub. Adic</t>
  </si>
  <si>
    <t>Jub. Compl</t>
  </si>
  <si>
    <t>COSTO</t>
  </si>
  <si>
    <t>LIQUIDO</t>
  </si>
  <si>
    <t>C130230</t>
  </si>
  <si>
    <t>Remun</t>
  </si>
  <si>
    <t>C117330</t>
  </si>
  <si>
    <t>No Rem</t>
  </si>
  <si>
    <t>EQUIV</t>
  </si>
  <si>
    <t>45-100</t>
  </si>
  <si>
    <t>Titular Ded Simple</t>
  </si>
  <si>
    <t>45-110</t>
  </si>
  <si>
    <t>Titular Ded Semiexclusiva</t>
  </si>
  <si>
    <t>45-120</t>
  </si>
  <si>
    <t>Titular Ded Exclusiva</t>
  </si>
  <si>
    <t>Adic Rem</t>
  </si>
  <si>
    <t>45-200</t>
  </si>
  <si>
    <t>Asociado Ded Simple</t>
  </si>
  <si>
    <t>Est Doc</t>
  </si>
  <si>
    <t>45-210</t>
  </si>
  <si>
    <t>Asiciado  Ded Semiexclusiva</t>
  </si>
  <si>
    <t>Gildo</t>
  </si>
  <si>
    <t>45-220</t>
  </si>
  <si>
    <t>Asociado Ded Exclusiva</t>
  </si>
  <si>
    <t>Prom. Cal. Ed</t>
  </si>
  <si>
    <t>45-300</t>
  </si>
  <si>
    <t>Adjunto Ded Simple</t>
  </si>
  <si>
    <t>Ad. Rem Doc</t>
  </si>
  <si>
    <t>45-310</t>
  </si>
  <si>
    <t>Adjunto  Ded Semiexclusiva</t>
  </si>
  <si>
    <t>Ap. Mat</t>
  </si>
  <si>
    <t>45-320</t>
  </si>
  <si>
    <t>Adjunto Ded Exclusiva</t>
  </si>
  <si>
    <t>Ap. Mat.</t>
  </si>
  <si>
    <t>45-400</t>
  </si>
  <si>
    <t>Jefe Trabajos Practicos Ded Simple</t>
  </si>
  <si>
    <t>Nvo Ad. Rem. Doc</t>
  </si>
  <si>
    <t>45-410</t>
  </si>
  <si>
    <t>Jefe Trabajos Practicos Ded Semiexclusiva</t>
  </si>
  <si>
    <t>45-420</t>
  </si>
  <si>
    <t>Jefe Trabajos Practicos Ded Exclusiva</t>
  </si>
  <si>
    <t>45-500</t>
  </si>
  <si>
    <t>Ayudante Trabajos Practicos Ded Simple</t>
  </si>
  <si>
    <t>Mat. Did.</t>
  </si>
  <si>
    <t>45-510</t>
  </si>
  <si>
    <t>Ayudante Jefe Trabajos Practicos Ded Semiexclusiva</t>
  </si>
  <si>
    <t>Fonid</t>
  </si>
  <si>
    <t>45-520</t>
  </si>
  <si>
    <t>Ayudante  Trabajos Practicos Ded Exclusiva</t>
  </si>
  <si>
    <t>45-900</t>
  </si>
  <si>
    <t>Horas Universitarias 01</t>
  </si>
  <si>
    <t>Horas Universitarias 02</t>
  </si>
  <si>
    <t>Horas Universitarias 03</t>
  </si>
  <si>
    <t>Horas Universitarias 04</t>
  </si>
  <si>
    <t>Horas Universitarias 05</t>
  </si>
  <si>
    <t>Horas Universitarias 06</t>
  </si>
  <si>
    <t>Horas Universitarias 07</t>
  </si>
  <si>
    <t>Horas Universitarias 08</t>
  </si>
  <si>
    <t>Horas Universitarias 09</t>
  </si>
  <si>
    <t>Horas Universitarias 10</t>
  </si>
  <si>
    <t>Horas Universitarias 11</t>
  </si>
  <si>
    <t>Horas Universitarias 12</t>
  </si>
  <si>
    <t xml:space="preserve"> </t>
  </si>
  <si>
    <t>46-100</t>
  </si>
  <si>
    <t>Decano</t>
  </si>
  <si>
    <t>0101024</t>
  </si>
  <si>
    <t>46-110</t>
  </si>
  <si>
    <t>Vicedecano</t>
  </si>
  <si>
    <t>0205005</t>
  </si>
  <si>
    <t>según pn 45 200</t>
  </si>
  <si>
    <t>46-120</t>
  </si>
  <si>
    <t>Rector</t>
  </si>
  <si>
    <t>0101023</t>
  </si>
  <si>
    <t>según pn 45 210</t>
  </si>
  <si>
    <t>46-125</t>
  </si>
  <si>
    <t>Vicerector</t>
  </si>
  <si>
    <t>46-130</t>
  </si>
  <si>
    <t>Secretario Academico</t>
  </si>
  <si>
    <t>46-140</t>
  </si>
  <si>
    <t>Secretario de Extension</t>
  </si>
  <si>
    <t>46-150</t>
  </si>
  <si>
    <t>Secretario de Ciencia y Tecnologia</t>
  </si>
  <si>
    <t>46-160</t>
  </si>
  <si>
    <t>Secretario General</t>
  </si>
  <si>
    <t>46-165</t>
  </si>
  <si>
    <t>Director</t>
  </si>
  <si>
    <t>46-170</t>
  </si>
  <si>
    <t>Subsecretario Academico</t>
  </si>
  <si>
    <t>46-180</t>
  </si>
  <si>
    <t>Subsecretario de Formación y Vinculación Institucional</t>
  </si>
  <si>
    <t>46-190</t>
  </si>
  <si>
    <t>Subsecretario de Coordinación Administrativa</t>
  </si>
  <si>
    <t>46-200</t>
  </si>
  <si>
    <t>Subsecretaria de Asuntos Estudiantiles y Egresados</t>
  </si>
  <si>
    <t>Bon Compensatoria Cargos</t>
  </si>
  <si>
    <t>Bon Compe Cargos Dir Med Esp y Sup</t>
  </si>
  <si>
    <t>Bon Compe Cargos Superv y Jor Completa</t>
  </si>
  <si>
    <t>Bon Compensatoria Hs</t>
  </si>
  <si>
    <t>Bon Compensatoria Jornada Extendida</t>
  </si>
  <si>
    <t>Bonificación Compensatoria</t>
  </si>
  <si>
    <t>C102190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</si>
</sst>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 * #,##0.00_ ;_ * \-#,##0.00_ ;_ * &quot;-&quot;??_ ;_ @_ "/>
    <numFmt numFmtId="164" formatCode="0.000000"/>
    <numFmt numFmtId="165" formatCode="_ * #,##0.00_ ;_ * \-#,##0.00_ ;_ * \-??_ ;_ @_ "/>
    <numFmt numFmtId="166" formatCode="0.00000"/>
    <numFmt numFmtId="167" formatCode="#,##0.00_ ;\-#,##0.00\ "/>
    <numFmt numFmtId="168" formatCode="_-* #,##0.00\ _€_-;\-* #,##0.00\ _€_-;_-* \-??\ _€_-;_-@_-"/>
    <numFmt numFmtId="169" formatCode="_ * #,##0.00000_ ;_ * \-#,##0.00000_ ;_ * \-??_ ;_ @_ "/>
    <numFmt numFmtId="170" formatCode="0\ %"/>
    <numFmt numFmtId="171" formatCode="0.0000%"/>
    <numFmt numFmtId="172" formatCode="0.00\ %"/>
    <numFmt numFmtId="173" formatCode="_-* #,##0_-;\-* #,##0_-;_-* \-_-;_-@_-"/>
    <numFmt numFmtId="174" formatCode="_ &quot;$ &quot;* #,##0.00_ ;_ &quot;$ &quot;* \-#,##0.00_ ;_ &quot;$ &quot;* \-??_ ;_ @_ "/>
    <numFmt numFmtId="175" formatCode="_ * #,##0_ ;_ * \-#,##0_ ;_ * \-??_ ;_ @_ "/>
    <numFmt numFmtId="176" formatCode="0_ ;\-0\ "/>
    <numFmt numFmtId="177" formatCode="0.0000"/>
  </numFmts>
  <fonts count="22">
    <font>
      <sz val="10"/>
      <name val="Arial"/>
      <family val="2"/>
    </font>
    <font>
      <sz val="10"/>
      <color rgb="FF000000"/>
      <name val="MS Sans Serif"/>
      <family val="2"/>
    </font>
    <font>
      <sz val="6"/>
      <color rgb="FF000000"/>
      <name val="Times New Roman"/>
      <family val="1"/>
    </font>
    <font>
      <b/>
      <sz val="6"/>
      <color rgb="FF000000"/>
      <name val="Times New Roman"/>
      <family val="1"/>
    </font>
    <font>
      <sz val="7"/>
      <color rgb="FF000000"/>
      <name val="Times New Roman"/>
      <family val="1"/>
    </font>
    <font>
      <b/>
      <sz val="20"/>
      <color rgb="FF000000"/>
      <name val="Times New Roman"/>
      <family val="1"/>
    </font>
    <font>
      <sz val="20"/>
      <color rgb="FF000000"/>
      <name val="Times New Roman"/>
      <family val="1"/>
    </font>
    <font>
      <b/>
      <sz val="10"/>
      <color rgb="FF000000"/>
      <name val="Times New Roman"/>
      <family val="1"/>
    </font>
    <font>
      <sz val="6"/>
      <color rgb="FFFFFFFF"/>
      <name val="Times New Roman"/>
      <family val="1"/>
    </font>
    <font>
      <u val="single"/>
      <sz val="10"/>
      <color rgb="FF0000FF"/>
      <name val="Arial"/>
      <family val="2"/>
    </font>
    <font>
      <sz val="5"/>
      <color rgb="FF000000"/>
      <name val="Times New Roman"/>
      <family val="1"/>
    </font>
    <font>
      <sz val="7"/>
      <color rgb="FFFFFFFF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b/>
      <sz val="7"/>
      <color rgb="FF00000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color rgb="FFC6D9F1"/>
      <name val="Times New Roman"/>
      <family val="1"/>
    </font>
    <font>
      <sz val="10"/>
      <color rgb="FF00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EEECE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Border="0" applyProtection="0">
      <alignment/>
    </xf>
    <xf numFmtId="174" fontId="0" fillId="0" borderId="0" applyBorder="0" applyProtection="0">
      <alignment/>
    </xf>
    <xf numFmtId="170" fontId="0" fillId="0" borderId="0" applyBorder="0" applyProtection="0">
      <alignment/>
    </xf>
    <xf numFmtId="0" fontId="9" fillId="0" borderId="0" applyBorder="0" applyProtection="0">
      <alignment/>
    </xf>
    <xf numFmtId="0" fontId="1" fillId="0" borderId="0">
      <alignment/>
      <protection/>
    </xf>
  </cellStyleXfs>
  <cellXfs count="211">
    <xf numFmtId="0" fontId="0" fillId="0" borderId="0" xfId="0"/>
    <xf numFmtId="0" fontId="0" fillId="0" borderId="0" xfId="0" applyFont="1"/>
    <xf numFmtId="0" fontId="0" fillId="0" borderId="0" xfId="0" applyFont="1"/>
    <xf numFmtId="2" fontId="0" fillId="0" borderId="0" xfId="0" applyNumberFormat="1"/>
    <xf numFmtId="165" fontId="0" fillId="0" borderId="0" xfId="20" applyFont="1" applyBorder="1" applyAlignment="1" applyProtection="1">
      <alignment/>
      <protection/>
    </xf>
    <xf numFmtId="165" fontId="0" fillId="0" borderId="0" xfId="0" applyNumberFormat="1"/>
    <xf numFmtId="165" fontId="0" fillId="0" borderId="0" xfId="0" applyNumberFormat="1"/>
    <xf numFmtId="166" fontId="0" fillId="0" borderId="0" xfId="0" applyNumberFormat="1"/>
    <xf numFmtId="165" fontId="0" fillId="0" borderId="0" xfId="20" applyFont="1" applyBorder="1" applyAlignment="1" applyProtection="1">
      <alignment/>
      <protection/>
    </xf>
    <xf numFmtId="167" fontId="0" fillId="0" borderId="0" xfId="0" applyNumberFormat="1"/>
    <xf numFmtId="168" fontId="0" fillId="0" borderId="0" xfId="0" applyNumberFormat="1"/>
    <xf numFmtId="4" fontId="0" fillId="0" borderId="0" xfId="0" applyNumberFormat="1"/>
    <xf numFmtId="169" fontId="0" fillId="0" borderId="0" xfId="0" applyNumberFormat="1"/>
    <xf numFmtId="164" fontId="0" fillId="0" borderId="0" xfId="0" applyNumberFormat="1"/>
    <xf numFmtId="171" fontId="0" fillId="0" borderId="0" xfId="22" applyNumberFormat="1" applyFont="1" applyBorder="1" applyAlignment="1" applyProtection="1">
      <alignment/>
      <protection/>
    </xf>
    <xf numFmtId="172" fontId="0" fillId="0" borderId="0" xfId="22" applyNumberFormat="1" applyFont="1" applyBorder="1" applyAlignment="1" applyProtection="1">
      <alignment/>
      <protection/>
    </xf>
    <xf numFmtId="0" fontId="2" fillId="0" borderId="0" xfId="24" applyFont="1" applyBorder="1" applyAlignment="1">
      <alignment horizontal="center"/>
      <protection/>
    </xf>
    <xf numFmtId="0" fontId="2" fillId="0" borderId="0" xfId="24" applyFont="1" applyBorder="1">
      <alignment/>
      <protection/>
    </xf>
    <xf numFmtId="0" fontId="3" fillId="0" borderId="0" xfId="24" applyFont="1" applyBorder="1" applyAlignment="1">
      <alignment horizontal="right"/>
      <protection/>
    </xf>
    <xf numFmtId="165" fontId="2" fillId="0" borderId="0" xfId="24" applyNumberFormat="1" applyFont="1" applyBorder="1" applyAlignment="1" applyProtection="1">
      <alignment/>
      <protection/>
    </xf>
    <xf numFmtId="173" fontId="2" fillId="0" borderId="0" xfId="24" applyNumberFormat="1" applyFont="1" applyBorder="1" applyAlignment="1">
      <alignment horizontal="right" wrapText="1"/>
      <protection/>
    </xf>
    <xf numFmtId="165" fontId="2" fillId="0" borderId="0" xfId="24" applyNumberFormat="1" applyFont="1" applyBorder="1" applyAlignment="1">
      <alignment/>
      <protection/>
    </xf>
    <xf numFmtId="175" fontId="2" fillId="0" borderId="0" xfId="21" applyNumberFormat="1" applyFont="1" applyBorder="1" applyAlignment="1" applyProtection="1">
      <alignment horizontal="right"/>
      <protection/>
    </xf>
    <xf numFmtId="165" fontId="2" fillId="0" borderId="0" xfId="24" applyNumberFormat="1" applyFont="1" applyBorder="1">
      <alignment/>
      <protection/>
    </xf>
    <xf numFmtId="175" fontId="2" fillId="0" borderId="0" xfId="24" applyNumberFormat="1" applyFont="1" applyBorder="1" applyAlignment="1">
      <alignment horizontal="right"/>
      <protection/>
    </xf>
    <xf numFmtId="173" fontId="2" fillId="0" borderId="0" xfId="24" applyNumberFormat="1" applyFont="1" applyBorder="1" applyAlignment="1">
      <alignment horizontal="right"/>
      <protection/>
    </xf>
    <xf numFmtId="165" fontId="2" fillId="0" borderId="0" xfId="20" applyFont="1" applyBorder="1" applyAlignment="1" applyProtection="1">
      <alignment/>
      <protection/>
    </xf>
    <xf numFmtId="165" fontId="3" fillId="0" borderId="0" xfId="24" applyNumberFormat="1" applyFont="1" applyBorder="1">
      <alignment/>
      <protection/>
    </xf>
    <xf numFmtId="0" fontId="4" fillId="0" borderId="0" xfId="24" applyFont="1" applyBorder="1">
      <alignment/>
      <protection/>
    </xf>
    <xf numFmtId="0" fontId="6" fillId="0" borderId="0" xfId="24" applyFont="1" applyBorder="1" applyAlignment="1">
      <alignment horizontal="center" vertical="center" wrapText="1"/>
      <protection/>
    </xf>
    <xf numFmtId="0" fontId="7" fillId="0" borderId="0" xfId="24" applyFont="1" applyBorder="1" applyAlignment="1">
      <alignment horizontal="center"/>
      <protection/>
    </xf>
    <xf numFmtId="0" fontId="7" fillId="0" borderId="0" xfId="24" applyFont="1" applyBorder="1" applyAlignment="1">
      <alignment/>
      <protection/>
    </xf>
    <xf numFmtId="176" fontId="2" fillId="0" borderId="0" xfId="24" applyNumberFormat="1" applyFont="1" applyBorder="1" applyAlignment="1" applyProtection="1">
      <alignment horizontal="center"/>
      <protection/>
    </xf>
    <xf numFmtId="165" fontId="8" fillId="0" borderId="0" xfId="24" applyNumberFormat="1" applyFont="1" applyBorder="1">
      <alignment/>
      <protection/>
    </xf>
    <xf numFmtId="165" fontId="9" fillId="0" borderId="0" xfId="23" applyNumberFormat="1" applyBorder="1" applyAlignment="1" applyProtection="1">
      <alignment/>
      <protection/>
    </xf>
    <xf numFmtId="0" fontId="11" fillId="0" borderId="0" xfId="24" applyFont="1" applyBorder="1">
      <alignment/>
      <protection/>
    </xf>
    <xf numFmtId="177" fontId="14" fillId="0" borderId="0" xfId="21" applyNumberFormat="1" applyFont="1" applyBorder="1" applyAlignment="1" applyProtection="1">
      <alignment vertical="center"/>
      <protection/>
    </xf>
    <xf numFmtId="177" fontId="15" fillId="0" borderId="0" xfId="21" applyNumberFormat="1" applyFont="1" applyBorder="1" applyAlignment="1" applyProtection="1">
      <alignment vertical="center"/>
      <protection/>
    </xf>
    <xf numFmtId="177" fontId="15" fillId="0" borderId="0" xfId="21" applyNumberFormat="1" applyFont="1" applyBorder="1" applyAlignment="1" applyProtection="1">
      <alignment horizontal="center"/>
      <protection/>
    </xf>
    <xf numFmtId="177" fontId="14" fillId="0" borderId="0" xfId="21" applyNumberFormat="1" applyFont="1" applyBorder="1" applyAlignment="1" applyProtection="1">
      <alignment horizontal="center"/>
      <protection/>
    </xf>
    <xf numFmtId="177" fontId="16" fillId="0" borderId="0" xfId="21" applyNumberFormat="1" applyFont="1" applyBorder="1" applyAlignment="1" applyProtection="1">
      <alignment horizontal="center"/>
      <protection/>
    </xf>
    <xf numFmtId="0" fontId="7" fillId="0" borderId="0" xfId="24" applyFont="1" applyAlignment="1">
      <alignment horizontal="center"/>
      <protection/>
    </xf>
    <xf numFmtId="165" fontId="2" fillId="0" borderId="0" xfId="20" applyFont="1" applyBorder="1" applyAlignment="1" applyProtection="1">
      <alignment horizontal="center"/>
      <protection/>
    </xf>
    <xf numFmtId="2" fontId="2" fillId="0" borderId="0" xfId="24" applyNumberFormat="1" applyFont="1" applyBorder="1" applyAlignment="1">
      <alignment horizontal="center"/>
      <protection/>
    </xf>
    <xf numFmtId="0" fontId="2" fillId="0" borderId="1" xfId="24" applyFont="1" applyBorder="1">
      <alignment/>
      <protection/>
    </xf>
    <xf numFmtId="165" fontId="3" fillId="0" borderId="1" xfId="24" applyNumberFormat="1" applyFont="1" applyBorder="1" applyAlignment="1">
      <alignment horizontal="center" vertical="center" wrapText="1"/>
      <protection/>
    </xf>
    <xf numFmtId="165" fontId="3" fillId="0" borderId="1" xfId="24" applyNumberFormat="1" applyFont="1" applyBorder="1" applyAlignment="1">
      <alignment horizontal="center" vertical="center"/>
      <protection/>
    </xf>
    <xf numFmtId="165" fontId="3" fillId="0" borderId="1" xfId="20" applyFont="1" applyBorder="1" applyAlignment="1" applyProtection="1">
      <alignment vertical="center" wrapText="1"/>
      <protection/>
    </xf>
    <xf numFmtId="165" fontId="17" fillId="0" borderId="1" xfId="24" applyNumberFormat="1" applyFont="1" applyBorder="1" applyAlignment="1">
      <alignment horizontal="center" vertical="center" wrapText="1"/>
      <protection/>
    </xf>
    <xf numFmtId="165" fontId="3" fillId="0" borderId="1" xfId="20" applyFont="1" applyBorder="1" applyAlignment="1" applyProtection="1">
      <alignment horizontal="center" vertical="center" wrapText="1"/>
      <protection/>
    </xf>
    <xf numFmtId="165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0" xfId="24" applyFont="1" applyBorder="1" applyAlignment="1">
      <alignment horizontal="center"/>
      <protection/>
    </xf>
    <xf numFmtId="0" fontId="4" fillId="0" borderId="2" xfId="24" applyFont="1" applyBorder="1" applyAlignment="1">
      <alignment/>
      <protection/>
    </xf>
    <xf numFmtId="0" fontId="4" fillId="0" borderId="0" xfId="24" applyFont="1" applyBorder="1" applyAlignment="1">
      <alignment/>
      <protection/>
    </xf>
    <xf numFmtId="165" fontId="4" fillId="0" borderId="2" xfId="24" applyNumberFormat="1" applyFont="1" applyBorder="1" applyAlignment="1">
      <alignment/>
      <protection/>
    </xf>
    <xf numFmtId="0" fontId="17" fillId="0" borderId="3" xfId="24" applyFont="1" applyBorder="1" applyAlignment="1">
      <alignment horizontal="right"/>
      <protection/>
    </xf>
    <xf numFmtId="165" fontId="4" fillId="0" borderId="4" xfId="24" applyNumberFormat="1" applyFont="1" applyBorder="1" applyAlignment="1" applyProtection="1">
      <alignment/>
      <protection/>
    </xf>
    <xf numFmtId="173" fontId="17" fillId="0" borderId="3" xfId="24" applyNumberFormat="1" applyFont="1" applyBorder="1" applyAlignment="1">
      <alignment horizontal="right" wrapText="1"/>
      <protection/>
    </xf>
    <xf numFmtId="165" fontId="4" fillId="0" borderId="4" xfId="24" applyNumberFormat="1" applyFont="1" applyBorder="1" applyAlignment="1">
      <alignment/>
      <protection/>
    </xf>
    <xf numFmtId="175" fontId="17" fillId="0" borderId="3" xfId="21" applyNumberFormat="1" applyFont="1" applyBorder="1" applyAlignment="1" applyProtection="1">
      <alignment horizontal="right"/>
      <protection/>
    </xf>
    <xf numFmtId="175" fontId="17" fillId="0" borderId="3" xfId="24" applyNumberFormat="1" applyFont="1" applyBorder="1" applyAlignment="1">
      <alignment horizontal="right"/>
      <protection/>
    </xf>
    <xf numFmtId="165" fontId="4" fillId="0" borderId="0" xfId="24" applyNumberFormat="1" applyFont="1" applyBorder="1" applyAlignment="1">
      <alignment/>
      <protection/>
    </xf>
    <xf numFmtId="173" fontId="17" fillId="0" borderId="3" xfId="24" applyNumberFormat="1" applyFont="1" applyBorder="1" applyAlignment="1">
      <alignment horizontal="right"/>
      <protection/>
    </xf>
    <xf numFmtId="165" fontId="4" fillId="0" borderId="2" xfId="20" applyFont="1" applyBorder="1" applyAlignment="1" applyProtection="1">
      <alignment/>
      <protection/>
    </xf>
    <xf numFmtId="165" fontId="17" fillId="0" borderId="2" xfId="24" applyNumberFormat="1" applyFont="1" applyBorder="1" applyAlignment="1">
      <alignment horizontal="center" vertical="center"/>
      <protection/>
    </xf>
    <xf numFmtId="165" fontId="4" fillId="0" borderId="2" xfId="24" applyNumberFormat="1" applyFont="1" applyBorder="1" applyAlignment="1">
      <alignment horizontal="center" vertical="center"/>
      <protection/>
    </xf>
    <xf numFmtId="165" fontId="17" fillId="0" borderId="2" xfId="24" applyNumberFormat="1" applyFont="1" applyBorder="1" applyAlignment="1">
      <alignment horizontal="center" vertical="center" wrapText="1"/>
      <protection/>
    </xf>
    <xf numFmtId="165" fontId="4" fillId="0" borderId="2" xfId="24" applyNumberFormat="1" applyFont="1" applyBorder="1" applyAlignment="1">
      <alignment horizontal="center" vertical="center" wrapText="1"/>
      <protection/>
    </xf>
    <xf numFmtId="165" fontId="17" fillId="0" borderId="2" xfId="24" applyNumberFormat="1" applyFont="1" applyBorder="1" applyAlignment="1">
      <alignment/>
      <protection/>
    </xf>
    <xf numFmtId="0" fontId="4" fillId="0" borderId="2" xfId="24" applyFont="1" applyBorder="1" applyAlignment="1">
      <alignment horizontal="center"/>
      <protection/>
    </xf>
    <xf numFmtId="0" fontId="4" fillId="0" borderId="2" xfId="24" applyFont="1" applyBorder="1">
      <alignment/>
      <protection/>
    </xf>
    <xf numFmtId="0" fontId="4" fillId="0" borderId="0" xfId="24" applyFont="1" applyBorder="1" applyAlignment="1">
      <alignment horizontal="left" wrapText="1"/>
      <protection/>
    </xf>
    <xf numFmtId="175" fontId="17" fillId="0" borderId="0" xfId="24" applyNumberFormat="1" applyFont="1" applyBorder="1" applyAlignment="1">
      <alignment horizontal="right"/>
      <protection/>
    </xf>
    <xf numFmtId="165" fontId="4" fillId="0" borderId="0" xfId="24" applyNumberFormat="1" applyFont="1" applyBorder="1" applyAlignment="1" applyProtection="1">
      <alignment/>
      <protection/>
    </xf>
    <xf numFmtId="173" fontId="17" fillId="0" borderId="0" xfId="24" applyNumberFormat="1" applyFont="1" applyBorder="1" applyAlignment="1">
      <alignment horizontal="right" wrapText="1"/>
      <protection/>
    </xf>
    <xf numFmtId="165" fontId="4" fillId="0" borderId="0" xfId="24" applyNumberFormat="1" applyFont="1" applyBorder="1" applyAlignment="1" applyProtection="1">
      <alignment horizontal="right"/>
      <protection/>
    </xf>
    <xf numFmtId="175" fontId="17" fillId="0" borderId="0" xfId="21" applyNumberFormat="1" applyFont="1" applyBorder="1" applyAlignment="1" applyProtection="1">
      <alignment horizontal="right" wrapText="1"/>
      <protection/>
    </xf>
    <xf numFmtId="165" fontId="4" fillId="0" borderId="0" xfId="24" applyNumberFormat="1" applyFont="1" applyBorder="1" applyAlignment="1">
      <alignment horizontal="right" wrapText="1"/>
      <protection/>
    </xf>
    <xf numFmtId="165" fontId="18" fillId="0" borderId="0" xfId="24" applyNumberFormat="1" applyFont="1" applyBorder="1" applyAlignment="1" applyProtection="1">
      <alignment horizontal="right"/>
      <protection/>
    </xf>
    <xf numFmtId="173" fontId="17" fillId="0" borderId="0" xfId="24" applyNumberFormat="1" applyFont="1" applyBorder="1" applyAlignment="1" applyProtection="1">
      <alignment horizontal="right"/>
      <protection/>
    </xf>
    <xf numFmtId="165" fontId="4" fillId="0" borderId="0" xfId="20" applyFont="1" applyBorder="1" applyAlignment="1" applyProtection="1">
      <alignment horizontal="right"/>
      <protection/>
    </xf>
    <xf numFmtId="165" fontId="17" fillId="0" borderId="0" xfId="24" applyNumberFormat="1" applyFont="1" applyBorder="1" applyAlignment="1">
      <alignment horizontal="right" wrapText="1"/>
      <protection/>
    </xf>
    <xf numFmtId="165" fontId="17" fillId="0" borderId="0" xfId="24" applyNumberFormat="1" applyFont="1" applyBorder="1" applyAlignment="1">
      <alignment wrapText="1"/>
      <protection/>
    </xf>
    <xf numFmtId="165" fontId="4" fillId="0" borderId="0" xfId="24" applyNumberFormat="1" applyFont="1" applyBorder="1" applyAlignment="1">
      <alignment wrapText="1"/>
      <protection/>
    </xf>
    <xf numFmtId="165" fontId="18" fillId="0" borderId="0" xfId="24" applyNumberFormat="1" applyFont="1" applyBorder="1" applyAlignment="1" applyProtection="1">
      <alignment/>
      <protection/>
    </xf>
    <xf numFmtId="0" fontId="4" fillId="0" borderId="5" xfId="24" applyFont="1" applyBorder="1" applyAlignment="1">
      <alignment horizontal="center"/>
      <protection/>
    </xf>
    <xf numFmtId="0" fontId="4" fillId="0" borderId="5" xfId="24" applyFont="1" applyBorder="1">
      <alignment/>
      <protection/>
    </xf>
    <xf numFmtId="0" fontId="4" fillId="0" borderId="5" xfId="24" applyFont="1" applyBorder="1" applyAlignment="1">
      <alignment horizontal="left" wrapText="1"/>
      <protection/>
    </xf>
    <xf numFmtId="175" fontId="17" fillId="0" borderId="5" xfId="24" applyNumberFormat="1" applyFont="1" applyBorder="1" applyAlignment="1">
      <alignment horizontal="right"/>
      <protection/>
    </xf>
    <xf numFmtId="165" fontId="4" fillId="0" borderId="5" xfId="24" applyNumberFormat="1" applyFont="1" applyBorder="1" applyAlignment="1" applyProtection="1">
      <alignment/>
      <protection/>
    </xf>
    <xf numFmtId="173" fontId="17" fillId="0" borderId="5" xfId="24" applyNumberFormat="1" applyFont="1" applyBorder="1" applyAlignment="1">
      <alignment horizontal="right" wrapText="1"/>
      <protection/>
    </xf>
    <xf numFmtId="165" fontId="4" fillId="0" borderId="5" xfId="24" applyNumberFormat="1" applyFont="1" applyBorder="1" applyAlignment="1" applyProtection="1">
      <alignment horizontal="right"/>
      <protection/>
    </xf>
    <xf numFmtId="175" fontId="17" fillId="0" borderId="5" xfId="21" applyNumberFormat="1" applyFont="1" applyBorder="1" applyAlignment="1" applyProtection="1">
      <alignment horizontal="right" wrapText="1"/>
      <protection/>
    </xf>
    <xf numFmtId="165" fontId="4" fillId="0" borderId="5" xfId="24" applyNumberFormat="1" applyFont="1" applyBorder="1" applyAlignment="1">
      <alignment horizontal="right" wrapText="1"/>
      <protection/>
    </xf>
    <xf numFmtId="165" fontId="18" fillId="0" borderId="5" xfId="24" applyNumberFormat="1" applyFont="1" applyBorder="1" applyAlignment="1" applyProtection="1">
      <alignment horizontal="right"/>
      <protection/>
    </xf>
    <xf numFmtId="173" fontId="17" fillId="0" borderId="5" xfId="24" applyNumberFormat="1" applyFont="1" applyBorder="1" applyAlignment="1" applyProtection="1">
      <alignment horizontal="right"/>
      <protection/>
    </xf>
    <xf numFmtId="165" fontId="4" fillId="0" borderId="5" xfId="20" applyFont="1" applyBorder="1" applyAlignment="1" applyProtection="1">
      <alignment horizontal="right"/>
      <protection/>
    </xf>
    <xf numFmtId="165" fontId="17" fillId="0" borderId="5" xfId="24" applyNumberFormat="1" applyFont="1" applyBorder="1" applyAlignment="1">
      <alignment horizontal="right" wrapText="1"/>
      <protection/>
    </xf>
    <xf numFmtId="165" fontId="17" fillId="0" borderId="5" xfId="24" applyNumberFormat="1" applyFont="1" applyBorder="1" applyAlignment="1">
      <alignment wrapText="1"/>
      <protection/>
    </xf>
    <xf numFmtId="165" fontId="4" fillId="0" borderId="5" xfId="24" applyNumberFormat="1" applyFont="1" applyBorder="1" applyAlignment="1">
      <alignment wrapText="1"/>
      <protection/>
    </xf>
    <xf numFmtId="175" fontId="17" fillId="0" borderId="0" xfId="24" applyNumberFormat="1" applyFont="1" applyBorder="1" applyAlignment="1" applyProtection="1">
      <alignment horizontal="right"/>
      <protection/>
    </xf>
    <xf numFmtId="165" fontId="4" fillId="0" borderId="0" xfId="24" applyNumberFormat="1" applyFont="1" applyBorder="1" applyAlignment="1">
      <alignment horizontal="right"/>
      <protection/>
    </xf>
    <xf numFmtId="175" fontId="17" fillId="0" borderId="0" xfId="21" applyNumberFormat="1" applyFont="1" applyBorder="1" applyAlignment="1" applyProtection="1">
      <alignment horizontal="right"/>
      <protection/>
    </xf>
    <xf numFmtId="173" fontId="17" fillId="0" borderId="5" xfId="24" applyNumberFormat="1" applyFont="1" applyBorder="1" applyAlignment="1" applyProtection="1">
      <alignment horizontal="right" wrapText="1"/>
      <protection/>
    </xf>
    <xf numFmtId="175" fontId="17" fillId="0" borderId="5" xfId="21" applyNumberFormat="1" applyFont="1" applyBorder="1" applyAlignment="1" applyProtection="1">
      <alignment horizontal="right"/>
      <protection/>
    </xf>
    <xf numFmtId="175" fontId="17" fillId="0" borderId="5" xfId="24" applyNumberFormat="1" applyFont="1" applyBorder="1" applyAlignment="1" applyProtection="1">
      <alignment horizontal="right"/>
      <protection/>
    </xf>
    <xf numFmtId="165" fontId="18" fillId="0" borderId="0" xfId="24" applyNumberFormat="1" applyFont="1" applyBorder="1" applyAlignment="1">
      <alignment horizontal="right"/>
      <protection/>
    </xf>
    <xf numFmtId="165" fontId="4" fillId="0" borderId="5" xfId="24" applyNumberFormat="1" applyFont="1" applyBorder="1" applyAlignment="1">
      <alignment horizontal="right"/>
      <protection/>
    </xf>
    <xf numFmtId="165" fontId="18" fillId="0" borderId="5" xfId="24" applyNumberFormat="1" applyFont="1" applyBorder="1" applyAlignment="1">
      <alignment horizontal="right"/>
      <protection/>
    </xf>
    <xf numFmtId="165" fontId="18" fillId="0" borderId="0" xfId="24" applyNumberFormat="1" applyFont="1" applyBorder="1" applyAlignment="1">
      <alignment horizontal="right" wrapText="1"/>
      <protection/>
    </xf>
    <xf numFmtId="165" fontId="18" fillId="0" borderId="5" xfId="24" applyNumberFormat="1" applyFont="1" applyBorder="1" applyAlignment="1">
      <alignment horizontal="right" wrapText="1"/>
      <protection/>
    </xf>
    <xf numFmtId="165" fontId="18" fillId="2" borderId="0" xfId="24" applyNumberFormat="1" applyFont="1" applyFill="1" applyBorder="1" applyAlignment="1" applyProtection="1">
      <alignment horizontal="right"/>
      <protection/>
    </xf>
    <xf numFmtId="173" fontId="17" fillId="0" borderId="0" xfId="24" applyNumberFormat="1" applyFont="1" applyBorder="1" applyAlignment="1" applyProtection="1">
      <alignment horizontal="right" wrapText="1"/>
      <protection/>
    </xf>
    <xf numFmtId="173" fontId="19" fillId="0" borderId="0" xfId="24" applyNumberFormat="1" applyFont="1" applyBorder="1" applyAlignment="1" applyProtection="1">
      <alignment horizontal="right"/>
      <protection/>
    </xf>
    <xf numFmtId="165" fontId="17" fillId="0" borderId="0" xfId="24" applyNumberFormat="1" applyFont="1" applyBorder="1" applyAlignment="1">
      <alignment horizontal="right"/>
      <protection/>
    </xf>
    <xf numFmtId="165" fontId="17" fillId="0" borderId="5" xfId="24" applyNumberFormat="1" applyFont="1" applyBorder="1" applyAlignment="1">
      <alignment horizontal="right"/>
      <protection/>
    </xf>
    <xf numFmtId="165" fontId="4" fillId="0" borderId="5" xfId="24" applyNumberFormat="1" applyFont="1" applyBorder="1" applyAlignment="1">
      <alignment/>
      <protection/>
    </xf>
    <xf numFmtId="165" fontId="18" fillId="2" borderId="0" xfId="24" applyNumberFormat="1" applyFont="1" applyFill="1" applyBorder="1" applyAlignment="1">
      <alignment horizontal="right"/>
      <protection/>
    </xf>
    <xf numFmtId="165" fontId="17" fillId="0" borderId="0" xfId="24" applyNumberFormat="1" applyFont="1" applyBorder="1" applyAlignment="1" applyProtection="1">
      <alignment horizontal="right"/>
      <protection/>
    </xf>
    <xf numFmtId="165" fontId="17" fillId="0" borderId="5" xfId="24" applyNumberFormat="1" applyFont="1" applyBorder="1" applyAlignment="1" applyProtection="1">
      <alignment horizontal="right"/>
      <protection/>
    </xf>
    <xf numFmtId="0" fontId="4" fillId="0" borderId="6" xfId="24" applyFont="1" applyBorder="1" applyAlignment="1">
      <alignment horizontal="center"/>
      <protection/>
    </xf>
    <xf numFmtId="0" fontId="17" fillId="0" borderId="0" xfId="24" applyFont="1" applyBorder="1" applyAlignment="1">
      <alignment horizontal="right"/>
      <protection/>
    </xf>
    <xf numFmtId="173" fontId="4" fillId="0" borderId="0" xfId="24" applyNumberFormat="1" applyFont="1" applyBorder="1" applyAlignment="1">
      <alignment horizontal="right" wrapText="1"/>
      <protection/>
    </xf>
    <xf numFmtId="175" fontId="4" fillId="0" borderId="0" xfId="21" applyNumberFormat="1" applyFont="1" applyBorder="1" applyAlignment="1" applyProtection="1">
      <alignment horizontal="right"/>
      <protection/>
    </xf>
    <xf numFmtId="175" fontId="4" fillId="0" borderId="0" xfId="24" applyNumberFormat="1" applyFont="1" applyBorder="1" applyAlignment="1">
      <alignment horizontal="right"/>
      <protection/>
    </xf>
    <xf numFmtId="173" fontId="4" fillId="0" borderId="0" xfId="24" applyNumberFormat="1" applyFont="1" applyBorder="1" applyAlignment="1">
      <alignment horizontal="right"/>
      <protection/>
    </xf>
    <xf numFmtId="175" fontId="17" fillId="0" borderId="0" xfId="20" applyNumberFormat="1" applyFont="1" applyBorder="1" applyAlignment="1" applyProtection="1">
      <alignment horizontal="right"/>
      <protection/>
    </xf>
    <xf numFmtId="0" fontId="3" fillId="0" borderId="0" xfId="24" applyFont="1" applyBorder="1" applyAlignment="1">
      <alignment horizontal="left"/>
      <protection/>
    </xf>
    <xf numFmtId="1" fontId="0" fillId="0" borderId="0" xfId="0" applyNumberFormat="1" applyBorder="1"/>
    <xf numFmtId="0" fontId="2" fillId="0" borderId="5" xfId="24" applyFont="1" applyBorder="1" applyAlignment="1">
      <alignment horizontal="center"/>
      <protection/>
    </xf>
    <xf numFmtId="1" fontId="0" fillId="0" borderId="5" xfId="0" applyNumberFormat="1" applyBorder="1"/>
    <xf numFmtId="0" fontId="4" fillId="0" borderId="5" xfId="24" applyFont="1" applyBorder="1" applyAlignment="1">
      <alignment/>
      <protection/>
    </xf>
    <xf numFmtId="175" fontId="17" fillId="0" borderId="5" xfId="20" applyNumberFormat="1" applyFont="1" applyBorder="1" applyAlignment="1" applyProtection="1">
      <alignment horizontal="right"/>
      <protection/>
    </xf>
    <xf numFmtId="0" fontId="2" fillId="0" borderId="5" xfId="24" applyFont="1" applyBorder="1">
      <alignment/>
      <protection/>
    </xf>
    <xf numFmtId="0" fontId="8" fillId="0" borderId="0" xfId="24" applyFont="1" applyBorder="1">
      <alignment/>
      <protection/>
    </xf>
    <xf numFmtId="0" fontId="20" fillId="0" borderId="0" xfId="24" applyFont="1" applyBorder="1">
      <alignment/>
      <protection/>
    </xf>
    <xf numFmtId="0" fontId="8" fillId="0" borderId="5" xfId="24" applyFont="1" applyBorder="1">
      <alignment/>
      <protection/>
    </xf>
    <xf numFmtId="173" fontId="2" fillId="0" borderId="0" xfId="24" applyNumberFormat="1" applyFont="1" applyBorder="1" applyAlignment="1" applyProtection="1">
      <alignment/>
      <protection/>
    </xf>
    <xf numFmtId="165" fontId="12" fillId="0" borderId="0" xfId="24" applyNumberFormat="1" applyFont="1" applyBorder="1">
      <alignment/>
      <protection/>
    </xf>
    <xf numFmtId="165" fontId="21" fillId="0" borderId="0" xfId="24" applyNumberFormat="1" applyFont="1" applyBorder="1">
      <alignment/>
      <protection/>
    </xf>
    <xf numFmtId="0" fontId="5" fillId="0" borderId="0" xfId="24" applyFont="1" applyBorder="1" applyAlignment="1">
      <alignment vertical="center" wrapText="1"/>
      <protection/>
    </xf>
    <xf numFmtId="0" fontId="7" fillId="0" borderId="7" xfId="24" applyFont="1" applyBorder="1" applyAlignment="1">
      <alignment/>
      <protection/>
    </xf>
    <xf numFmtId="0" fontId="7" fillId="0" borderId="8" xfId="24" applyFont="1" applyBorder="1" applyAlignment="1">
      <alignment/>
      <protection/>
    </xf>
    <xf numFmtId="176" fontId="2" fillId="0" borderId="7" xfId="24" applyNumberFormat="1" applyFont="1" applyBorder="1" applyAlignment="1" applyProtection="1">
      <alignment/>
      <protection/>
    </xf>
    <xf numFmtId="0" fontId="0" fillId="0" borderId="7" xfId="0" applyBorder="1"/>
    <xf numFmtId="0" fontId="0" fillId="0" borderId="9" xfId="0" applyBorder="1"/>
    <xf numFmtId="0" fontId="0" fillId="0" borderId="3" xfId="0" applyBorder="1"/>
    <xf numFmtId="0" fontId="0" fillId="0" borderId="5" xfId="0" applyBorder="1"/>
    <xf numFmtId="0" fontId="0" fillId="0" borderId="4" xfId="0" applyBorder="1"/>
    <xf numFmtId="0" fontId="3" fillId="0" borderId="10" xfId="24" applyFont="1" applyBorder="1" applyAlignment="1">
      <alignment horizontal="center"/>
      <protection/>
    </xf>
    <xf numFmtId="165" fontId="3" fillId="0" borderId="11" xfId="24" applyNumberFormat="1" applyFont="1" applyBorder="1" applyAlignment="1">
      <alignment horizontal="center" wrapText="1"/>
      <protection/>
    </xf>
    <xf numFmtId="165" fontId="3" fillId="0" borderId="4" xfId="24" applyNumberFormat="1" applyFont="1" applyBorder="1" applyAlignment="1">
      <alignment horizontal="center"/>
      <protection/>
    </xf>
    <xf numFmtId="165" fontId="3" fillId="0" borderId="2" xfId="24" applyNumberFormat="1" applyFont="1" applyBorder="1" applyAlignment="1">
      <alignment horizontal="center" wrapText="1"/>
      <protection/>
    </xf>
    <xf numFmtId="165" fontId="17" fillId="0" borderId="12" xfId="24" applyNumberFormat="1" applyFont="1" applyBorder="1" applyAlignment="1">
      <alignment horizontal="center" vertical="center" wrapText="1"/>
      <protection/>
    </xf>
    <xf numFmtId="165" fontId="3" fillId="0" borderId="4" xfId="24" applyNumberFormat="1" applyFont="1" applyBorder="1" applyAlignment="1">
      <alignment horizontal="center" wrapText="1"/>
      <protection/>
    </xf>
    <xf numFmtId="165" fontId="3" fillId="0" borderId="12" xfId="24" applyNumberFormat="1" applyFont="1" applyBorder="1" applyAlignment="1">
      <alignment horizontal="center" vertical="center" wrapText="1"/>
      <protection/>
    </xf>
    <xf numFmtId="0" fontId="3" fillId="3" borderId="11" xfId="24" applyFont="1" applyFill="1" applyBorder="1" applyAlignment="1">
      <alignment horizontal="center" wrapText="1"/>
      <protection/>
    </xf>
    <xf numFmtId="0" fontId="3" fillId="3" borderId="10" xfId="24" applyFont="1" applyFill="1" applyBorder="1" applyAlignment="1">
      <alignment horizontal="center" wrapText="1"/>
      <protection/>
    </xf>
    <xf numFmtId="0" fontId="3" fillId="4" borderId="11" xfId="24" applyFont="1" applyFill="1" applyBorder="1" applyAlignment="1">
      <alignment horizontal="center" wrapText="1"/>
      <protection/>
    </xf>
    <xf numFmtId="0" fontId="3" fillId="4" borderId="10" xfId="24" applyFont="1" applyFill="1" applyBorder="1" applyAlignment="1">
      <alignment horizontal="center" wrapText="1"/>
      <protection/>
    </xf>
    <xf numFmtId="0" fontId="3" fillId="0" borderId="0" xfId="24" applyFont="1" applyBorder="1" applyAlignment="1">
      <alignment horizontal="center" wrapText="1"/>
      <protection/>
    </xf>
    <xf numFmtId="165" fontId="4" fillId="0" borderId="11" xfId="24" applyNumberFormat="1" applyFont="1" applyBorder="1" applyAlignment="1" applyProtection="1">
      <alignment horizontal="center"/>
      <protection/>
    </xf>
    <xf numFmtId="165" fontId="4" fillId="0" borderId="11" xfId="24" applyNumberFormat="1" applyFont="1" applyBorder="1" applyAlignment="1">
      <alignment horizontal="center"/>
      <protection/>
    </xf>
    <xf numFmtId="165" fontId="4" fillId="0" borderId="2" xfId="24" applyNumberFormat="1" applyFont="1" applyBorder="1" applyAlignment="1">
      <alignment horizontal="center"/>
      <protection/>
    </xf>
    <xf numFmtId="165" fontId="17" fillId="0" borderId="2" xfId="24" applyNumberFormat="1" applyFont="1" applyBorder="1" applyAlignment="1">
      <alignment horizontal="center"/>
      <protection/>
    </xf>
    <xf numFmtId="165" fontId="4" fillId="0" borderId="4" xfId="24" applyNumberFormat="1" applyFont="1" applyBorder="1" applyAlignment="1">
      <alignment horizontal="center"/>
      <protection/>
    </xf>
    <xf numFmtId="165" fontId="4" fillId="0" borderId="13" xfId="24" applyNumberFormat="1" applyFont="1" applyBorder="1" applyAlignment="1">
      <alignment horizontal="center"/>
      <protection/>
    </xf>
    <xf numFmtId="172" fontId="4" fillId="3" borderId="2" xfId="22" applyNumberFormat="1" applyFont="1" applyFill="1" applyBorder="1" applyAlignment="1" applyProtection="1">
      <alignment horizontal="center"/>
      <protection/>
    </xf>
    <xf numFmtId="172" fontId="4" fillId="3" borderId="4" xfId="22" applyNumberFormat="1" applyFont="1" applyFill="1" applyBorder="1" applyAlignment="1" applyProtection="1">
      <alignment horizontal="center"/>
      <protection/>
    </xf>
    <xf numFmtId="172" fontId="4" fillId="3" borderId="4" xfId="24" applyNumberFormat="1" applyFont="1" applyFill="1" applyBorder="1" applyAlignment="1">
      <alignment horizontal="center"/>
      <protection/>
    </xf>
    <xf numFmtId="172" fontId="4" fillId="4" borderId="2" xfId="22" applyNumberFormat="1" applyFont="1" applyFill="1" applyBorder="1" applyAlignment="1" applyProtection="1">
      <alignment horizontal="center"/>
      <protection/>
    </xf>
    <xf numFmtId="172" fontId="4" fillId="4" borderId="4" xfId="22" applyNumberFormat="1" applyFont="1" applyFill="1" applyBorder="1" applyAlignment="1" applyProtection="1">
      <alignment horizontal="center"/>
      <protection/>
    </xf>
    <xf numFmtId="172" fontId="4" fillId="4" borderId="4" xfId="24" applyNumberFormat="1" applyFont="1" applyFill="1" applyBorder="1" applyAlignment="1">
      <alignment horizontal="center"/>
      <protection/>
    </xf>
    <xf numFmtId="0" fontId="18" fillId="0" borderId="0" xfId="0" applyFont="1"/>
    <xf numFmtId="2" fontId="4" fillId="0" borderId="0" xfId="24" applyNumberFormat="1" applyFont="1" applyBorder="1" applyAlignment="1">
      <alignment horizontal="right" wrapText="1"/>
      <protection/>
    </xf>
    <xf numFmtId="0" fontId="4" fillId="2" borderId="0" xfId="24" applyFont="1" applyFill="1" applyBorder="1">
      <alignment/>
      <protection/>
    </xf>
    <xf numFmtId="0" fontId="4" fillId="2" borderId="0" xfId="24" applyFont="1" applyFill="1" applyBorder="1" applyAlignment="1">
      <alignment horizontal="left" wrapText="1"/>
      <protection/>
    </xf>
    <xf numFmtId="165" fontId="4" fillId="2" borderId="0" xfId="24" applyNumberFormat="1" applyFont="1" applyFill="1" applyBorder="1" applyAlignment="1" applyProtection="1">
      <alignment/>
      <protection/>
    </xf>
    <xf numFmtId="165" fontId="17" fillId="2" borderId="0" xfId="24" applyNumberFormat="1" applyFont="1" applyFill="1" applyBorder="1" applyAlignment="1">
      <alignment horizontal="right" wrapText="1"/>
      <protection/>
    </xf>
    <xf numFmtId="165" fontId="17" fillId="2" borderId="0" xfId="24" applyNumberFormat="1" applyFont="1" applyFill="1" applyBorder="1" applyAlignment="1">
      <alignment wrapText="1"/>
      <protection/>
    </xf>
    <xf numFmtId="0" fontId="17" fillId="0" borderId="0" xfId="24" applyFont="1" applyBorder="1" applyAlignment="1">
      <alignment horizontal="left" wrapText="1"/>
      <protection/>
    </xf>
    <xf numFmtId="2" fontId="17" fillId="0" borderId="0" xfId="24" applyNumberFormat="1" applyFont="1" applyBorder="1" applyAlignment="1">
      <alignment horizontal="right" wrapText="1"/>
      <protection/>
    </xf>
    <xf numFmtId="0" fontId="18" fillId="5" borderId="0" xfId="0" applyFont="1" applyFill="1"/>
    <xf numFmtId="0" fontId="4" fillId="5" borderId="0" xfId="24" applyFont="1" applyFill="1" applyBorder="1" applyAlignment="1">
      <alignment horizontal="left" wrapText="1"/>
      <protection/>
    </xf>
    <xf numFmtId="165" fontId="4" fillId="5" borderId="0" xfId="24" applyNumberFormat="1" applyFont="1" applyFill="1" applyBorder="1" applyAlignment="1" applyProtection="1">
      <alignment/>
      <protection/>
    </xf>
    <xf numFmtId="165" fontId="17" fillId="5" borderId="0" xfId="24" applyNumberFormat="1" applyFont="1" applyFill="1" applyBorder="1" applyAlignment="1">
      <alignment horizontal="right" wrapText="1"/>
      <protection/>
    </xf>
    <xf numFmtId="165" fontId="17" fillId="5" borderId="0" xfId="24" applyNumberFormat="1" applyFont="1" applyFill="1" applyBorder="1" applyAlignment="1">
      <alignment wrapText="1"/>
      <protection/>
    </xf>
    <xf numFmtId="172" fontId="4" fillId="0" borderId="11" xfId="22" applyNumberFormat="1" applyFont="1" applyBorder="1" applyAlignment="1" applyProtection="1">
      <alignment horizontal="center"/>
      <protection/>
    </xf>
    <xf numFmtId="172" fontId="4" fillId="0" borderId="11" xfId="24" applyNumberFormat="1" applyFont="1" applyBorder="1" applyAlignment="1">
      <alignment horizontal="center"/>
      <protection/>
    </xf>
    <xf numFmtId="172" fontId="4" fillId="0" borderId="2" xfId="22" applyNumberFormat="1" applyFont="1" applyBorder="1" applyAlignment="1" applyProtection="1">
      <alignment horizontal="center"/>
      <protection/>
    </xf>
    <xf numFmtId="172" fontId="4" fillId="0" borderId="4" xfId="22" applyNumberFormat="1" applyFont="1" applyBorder="1" applyAlignment="1" applyProtection="1">
      <alignment horizontal="center"/>
      <protection/>
    </xf>
    <xf numFmtId="172" fontId="4" fillId="0" borderId="4" xfId="24" applyNumberFormat="1" applyFont="1" applyBorder="1" applyAlignment="1">
      <alignment horizontal="center"/>
      <protection/>
    </xf>
    <xf numFmtId="49" fontId="4" fillId="0" borderId="0" xfId="24" applyNumberFormat="1" applyFont="1" applyBorder="1" applyAlignment="1" applyProtection="1">
      <alignment/>
      <protection/>
    </xf>
    <xf numFmtId="170" fontId="0" fillId="0" borderId="0" xfId="22" applyBorder="1" applyProtection="1">
      <alignment/>
      <protection/>
    </xf>
    <xf numFmtId="43" fontId="0" fillId="0" borderId="0" xfId="0" applyNumberFormat="1"/>
    <xf numFmtId="0" fontId="0" fillId="0" borderId="0" xfId="0" applyFont="1"/>
    <xf numFmtId="177" fontId="0" fillId="0" borderId="0" xfId="0" applyNumberFormat="1"/>
    <xf numFmtId="0" fontId="5" fillId="0" borderId="0" xfId="24" applyFont="1" applyBorder="1" applyAlignment="1">
      <alignment horizontal="left" vertical="center" wrapText="1"/>
      <protection/>
    </xf>
    <xf numFmtId="165" fontId="10" fillId="0" borderId="0" xfId="20" applyFont="1" applyBorder="1" applyAlignment="1" applyProtection="1">
      <alignment horizontal="center" wrapText="1"/>
      <protection/>
    </xf>
    <xf numFmtId="165" fontId="12" fillId="0" borderId="0" xfId="24" applyNumberFormat="1" applyFont="1" applyBorder="1" applyAlignment="1">
      <alignment horizontal="center"/>
      <protection/>
    </xf>
    <xf numFmtId="169" fontId="13" fillId="0" borderId="0" xfId="21" applyNumberFormat="1" applyFont="1" applyBorder="1" applyAlignment="1" applyProtection="1">
      <alignment horizontal="center"/>
      <protection/>
    </xf>
    <xf numFmtId="0" fontId="3" fillId="0" borderId="1" xfId="24" applyFont="1" applyBorder="1" applyAlignment="1">
      <alignment horizontal="center" vertical="center"/>
      <protection/>
    </xf>
    <xf numFmtId="1" fontId="3" fillId="0" borderId="1" xfId="24" applyNumberFormat="1" applyFont="1" applyBorder="1" applyAlignment="1">
      <alignment horizontal="center" vertical="center" wrapText="1"/>
      <protection/>
    </xf>
    <xf numFmtId="174" fontId="3" fillId="0" borderId="1" xfId="24" applyNumberFormat="1" applyFont="1" applyBorder="1" applyAlignment="1">
      <alignment horizontal="center" vertical="center"/>
      <protection/>
    </xf>
    <xf numFmtId="0" fontId="3" fillId="0" borderId="1" xfId="24" applyFont="1" applyBorder="1" applyAlignment="1">
      <alignment horizontal="center" vertical="center" wrapText="1"/>
      <protection/>
    </xf>
    <xf numFmtId="173" fontId="3" fillId="0" borderId="1" xfId="24" applyNumberFormat="1" applyFont="1" applyBorder="1" applyAlignment="1">
      <alignment horizontal="center" vertical="center" wrapText="1"/>
      <protection/>
    </xf>
    <xf numFmtId="0" fontId="5" fillId="0" borderId="0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/>
      <protection/>
    </xf>
    <xf numFmtId="0" fontId="0" fillId="3" borderId="0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Hipervínculo" xfId="23"/>
    <cellStyle name="Texto explicativo" xfId="24"/>
  </cellStyles>
  <dxfs count="66"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border>
        <left/>
        <right/>
        <top/>
        <bottom style="thin"/>
      </border>
    </dxf>
    <dxf>
      <fill>
        <patternFill>
          <bgColor rgb="FFDCE6F2"/>
        </patternFill>
      </fill>
      <border/>
    </dxf>
    <dxf>
      <fill>
        <patternFill>
          <bgColor rgb="FFDCE6F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DCE6F2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workbookViewId="0" topLeftCell="A22">
      <selection activeCell="I31" sqref="I31"/>
    </sheetView>
  </sheetViews>
  <sheetFormatPr defaultColWidth="9.140625" defaultRowHeight="12.75"/>
  <cols>
    <col min="1" max="1" width="4.7109375" style="0" customWidth="1"/>
    <col min="2" max="2" width="37.57421875" style="0" customWidth="1"/>
    <col min="3" max="3" width="11.421875" style="0" customWidth="1"/>
    <col min="4" max="4" width="13.28125" style="0" customWidth="1"/>
    <col min="5" max="8" width="10.7109375" style="0" customWidth="1"/>
    <col min="9" max="9" width="5.28125" style="0" customWidth="1"/>
    <col min="10" max="1025" width="10.7109375" style="0" customWidth="1"/>
  </cols>
  <sheetData>
    <row r="1" spans="1:10" ht="12.75">
      <c r="A1" s="1" t="s">
        <v>0</v>
      </c>
      <c r="B1" s="1"/>
      <c r="C1" s="1"/>
      <c r="D1" s="1"/>
      <c r="E1" s="1"/>
      <c r="F1" s="2" t="s">
        <v>1</v>
      </c>
      <c r="G1" s="1"/>
      <c r="H1" s="1"/>
      <c r="I1" s="1" t="s">
        <v>2</v>
      </c>
      <c r="J1" s="1" t="s">
        <v>3</v>
      </c>
    </row>
    <row r="2" spans="1:10" ht="12.75">
      <c r="A2" t="s">
        <v>4</v>
      </c>
      <c r="B2" t="s">
        <v>5</v>
      </c>
      <c r="C2" s="197">
        <v>6.6324</v>
      </c>
      <c r="I2">
        <v>0</v>
      </c>
      <c r="J2" s="3">
        <v>0</v>
      </c>
    </row>
    <row r="3" spans="1:10" ht="12.75">
      <c r="A3" t="s">
        <v>4</v>
      </c>
      <c r="B3" t="s">
        <v>6</v>
      </c>
      <c r="C3" s="4">
        <v>0.15</v>
      </c>
      <c r="I3">
        <v>1</v>
      </c>
      <c r="J3" s="3">
        <v>0.15</v>
      </c>
    </row>
    <row r="4" spans="1:10" ht="12.75">
      <c r="A4" t="s">
        <v>4</v>
      </c>
      <c r="B4" t="s">
        <v>7</v>
      </c>
      <c r="C4" s="4">
        <v>0.35</v>
      </c>
      <c r="D4" s="5">
        <f>INT(('Escala Docente'!H142*0.35*100)+0.51)/100</f>
        <v>2966.67</v>
      </c>
      <c r="E4" s="6">
        <f>(INT(D4/15*100)/100)+0.01</f>
        <v>197.78</v>
      </c>
      <c r="F4" s="6"/>
      <c r="G4" s="6"/>
      <c r="H4" s="6"/>
      <c r="I4">
        <v>2</v>
      </c>
      <c r="J4" s="3">
        <v>0.15</v>
      </c>
    </row>
    <row r="5" spans="1:10" ht="12.75">
      <c r="A5" t="s">
        <v>8</v>
      </c>
      <c r="C5" s="4"/>
      <c r="I5">
        <v>3</v>
      </c>
      <c r="J5" s="3">
        <v>0.15</v>
      </c>
    </row>
    <row r="6" spans="1:10" ht="12.75">
      <c r="A6" t="s">
        <v>8</v>
      </c>
      <c r="B6" t="s">
        <v>9</v>
      </c>
      <c r="C6" s="4">
        <v>0</v>
      </c>
      <c r="D6" s="4"/>
      <c r="I6">
        <v>4</v>
      </c>
      <c r="J6" s="3">
        <v>0.15</v>
      </c>
    </row>
    <row r="7" spans="1:12" ht="12.75">
      <c r="A7" t="s">
        <v>8</v>
      </c>
      <c r="B7" t="s">
        <v>10</v>
      </c>
      <c r="C7" s="4">
        <v>0</v>
      </c>
      <c r="D7" s="4"/>
      <c r="I7">
        <v>5</v>
      </c>
      <c r="J7" s="3">
        <v>0.3</v>
      </c>
      <c r="L7" s="7"/>
    </row>
    <row r="8" spans="1:10" ht="12.75">
      <c r="A8" t="s">
        <v>8</v>
      </c>
      <c r="B8" t="s">
        <v>11</v>
      </c>
      <c r="C8" s="4">
        <v>0</v>
      </c>
      <c r="D8" s="4"/>
      <c r="I8">
        <v>6</v>
      </c>
      <c r="J8" s="3">
        <v>0.3</v>
      </c>
    </row>
    <row r="9" spans="1:10" ht="12.75">
      <c r="A9" t="s">
        <v>8</v>
      </c>
      <c r="B9" t="s">
        <v>12</v>
      </c>
      <c r="C9" s="4">
        <v>0</v>
      </c>
      <c r="D9" s="4"/>
      <c r="I9">
        <v>7</v>
      </c>
      <c r="J9" s="3">
        <v>0.4</v>
      </c>
    </row>
    <row r="10" spans="1:10" ht="12.75">
      <c r="A10" t="s">
        <v>8</v>
      </c>
      <c r="B10" t="s">
        <v>13</v>
      </c>
      <c r="C10" s="4">
        <v>0</v>
      </c>
      <c r="D10" s="4"/>
      <c r="I10">
        <v>8</v>
      </c>
      <c r="J10" s="3">
        <v>0.4</v>
      </c>
    </row>
    <row r="11" spans="1:10" ht="12.75">
      <c r="A11" t="s">
        <v>8</v>
      </c>
      <c r="B11" t="s">
        <v>14</v>
      </c>
      <c r="C11" s="8">
        <v>0</v>
      </c>
      <c r="D11" s="4"/>
      <c r="F11" s="6">
        <f>C9</f>
        <v>0</v>
      </c>
      <c r="I11">
        <v>9</v>
      </c>
      <c r="J11" s="3">
        <v>0.4</v>
      </c>
    </row>
    <row r="12" spans="1:10" ht="12.75">
      <c r="A12" t="s">
        <v>8</v>
      </c>
      <c r="B12" s="2" t="s">
        <v>15</v>
      </c>
      <c r="C12" s="9">
        <v>0</v>
      </c>
      <c r="D12" s="4"/>
      <c r="I12">
        <v>10</v>
      </c>
      <c r="J12" s="3">
        <v>0.5</v>
      </c>
    </row>
    <row r="13" spans="1:10" ht="12.75">
      <c r="A13" t="s">
        <v>8</v>
      </c>
      <c r="I13">
        <v>11</v>
      </c>
      <c r="J13" s="3">
        <v>0.5</v>
      </c>
    </row>
    <row r="14" spans="1:10" ht="12.75">
      <c r="A14" t="s">
        <v>4</v>
      </c>
      <c r="B14" t="s">
        <v>16</v>
      </c>
      <c r="C14" s="4">
        <v>160.19</v>
      </c>
      <c r="D14" s="10"/>
      <c r="I14">
        <v>12</v>
      </c>
      <c r="J14" s="3">
        <v>0.6</v>
      </c>
    </row>
    <row r="15" spans="1:10" ht="12.75">
      <c r="A15" t="s">
        <v>4</v>
      </c>
      <c r="B15" s="2" t="s">
        <v>17</v>
      </c>
      <c r="C15" s="4">
        <v>4266.78</v>
      </c>
      <c r="D15" s="6"/>
      <c r="E15" s="8"/>
      <c r="F15" s="195"/>
      <c r="I15">
        <v>13</v>
      </c>
      <c r="J15" s="3">
        <v>0.6</v>
      </c>
    </row>
    <row r="16" spans="1:10" ht="12.75">
      <c r="A16" t="s">
        <v>4</v>
      </c>
      <c r="B16" s="2" t="s">
        <v>18</v>
      </c>
      <c r="C16" s="4">
        <v>4291.62</v>
      </c>
      <c r="D16" s="6"/>
      <c r="E16" s="8"/>
      <c r="F16" s="195"/>
      <c r="I16">
        <v>14</v>
      </c>
      <c r="J16" s="3">
        <v>0.6</v>
      </c>
    </row>
    <row r="17" spans="1:10" ht="12.75">
      <c r="A17" t="s">
        <v>4</v>
      </c>
      <c r="B17" s="2" t="s">
        <v>19</v>
      </c>
      <c r="C17" s="4">
        <v>4415.76</v>
      </c>
      <c r="D17" s="6"/>
      <c r="E17" s="8"/>
      <c r="F17" s="195"/>
      <c r="G17" s="6"/>
      <c r="H17" s="6"/>
      <c r="I17">
        <v>15</v>
      </c>
      <c r="J17" s="3">
        <v>0.7</v>
      </c>
    </row>
    <row r="18" spans="1:10" ht="12.75">
      <c r="A18" t="s">
        <v>4</v>
      </c>
      <c r="B18" t="s">
        <v>20</v>
      </c>
      <c r="C18" s="4">
        <v>7864</v>
      </c>
      <c r="D18" s="6"/>
      <c r="E18" s="8"/>
      <c r="F18" s="195"/>
      <c r="I18">
        <v>16</v>
      </c>
      <c r="J18" s="3">
        <v>0.7</v>
      </c>
    </row>
    <row r="19" spans="1:10" ht="12.75">
      <c r="A19" s="2" t="s">
        <v>4</v>
      </c>
      <c r="B19" s="2" t="s">
        <v>21</v>
      </c>
      <c r="C19" s="4">
        <v>4477.85</v>
      </c>
      <c r="D19" s="6"/>
      <c r="E19" s="8"/>
      <c r="F19" s="195"/>
      <c r="G19" s="6"/>
      <c r="H19" s="6"/>
      <c r="I19">
        <v>17</v>
      </c>
      <c r="J19" s="3">
        <v>0.8</v>
      </c>
    </row>
    <row r="20" spans="1:10" ht="12.75">
      <c r="A20" t="s">
        <v>4</v>
      </c>
      <c r="B20" s="2" t="s">
        <v>22</v>
      </c>
      <c r="C20" s="4">
        <v>4080.56</v>
      </c>
      <c r="D20" s="6"/>
      <c r="E20" s="8"/>
      <c r="F20" s="195"/>
      <c r="G20" s="6"/>
      <c r="H20" s="6"/>
      <c r="I20">
        <v>18</v>
      </c>
      <c r="J20" s="3">
        <v>0.8</v>
      </c>
    </row>
    <row r="21" spans="1:10" ht="12.75">
      <c r="A21" t="s">
        <v>8</v>
      </c>
      <c r="E21" s="6"/>
      <c r="F21" s="6"/>
      <c r="G21" s="6"/>
      <c r="H21" s="6"/>
      <c r="I21">
        <v>19</v>
      </c>
      <c r="J21" s="3">
        <v>0.8</v>
      </c>
    </row>
    <row r="22" spans="2:10" ht="12.75">
      <c r="B22" t="s">
        <v>23</v>
      </c>
      <c r="C22" s="4">
        <v>56.49</v>
      </c>
      <c r="D22" s="6"/>
      <c r="E22" s="6"/>
      <c r="F22" s="6"/>
      <c r="G22" s="6"/>
      <c r="H22" s="6"/>
      <c r="I22">
        <v>20</v>
      </c>
      <c r="J22" s="3">
        <v>1</v>
      </c>
    </row>
    <row r="23" spans="1:10" ht="12.75">
      <c r="A23" s="196" t="s">
        <v>4</v>
      </c>
      <c r="B23" t="s">
        <v>24</v>
      </c>
      <c r="C23" s="4">
        <v>2739.25</v>
      </c>
      <c r="E23" s="6"/>
      <c r="F23" s="6"/>
      <c r="G23" s="6"/>
      <c r="H23" s="6"/>
      <c r="I23">
        <v>21</v>
      </c>
      <c r="J23" s="3">
        <v>1</v>
      </c>
    </row>
    <row r="24" spans="1:10" ht="12.75">
      <c r="A24" t="s">
        <v>4</v>
      </c>
      <c r="B24" t="s">
        <v>25</v>
      </c>
      <c r="C24" s="4">
        <v>2701.97</v>
      </c>
      <c r="E24" s="6"/>
      <c r="F24" s="6"/>
      <c r="G24" s="6"/>
      <c r="H24" s="6"/>
      <c r="I24">
        <v>22</v>
      </c>
      <c r="J24" s="3">
        <v>1.1</v>
      </c>
    </row>
    <row r="25" spans="1:10" ht="12.75">
      <c r="A25" t="s">
        <v>8</v>
      </c>
      <c r="C25" s="4"/>
      <c r="E25" s="6"/>
      <c r="F25" s="6"/>
      <c r="G25" s="6"/>
      <c r="H25" s="6"/>
      <c r="I25">
        <v>23</v>
      </c>
      <c r="J25" s="3">
        <v>1.1</v>
      </c>
    </row>
    <row r="26" spans="1:10" ht="12.75">
      <c r="A26" s="196" t="s">
        <v>4</v>
      </c>
      <c r="B26" s="2" t="s">
        <v>26</v>
      </c>
      <c r="C26" s="4">
        <v>3094.03</v>
      </c>
      <c r="D26" s="10"/>
      <c r="I26">
        <v>24</v>
      </c>
      <c r="J26" s="3">
        <v>1.2</v>
      </c>
    </row>
    <row r="27" spans="1:10" ht="12.75">
      <c r="A27" s="196" t="s">
        <v>4</v>
      </c>
      <c r="B27" s="2" t="s">
        <v>27</v>
      </c>
      <c r="C27" s="4">
        <v>2851.94</v>
      </c>
      <c r="D27" s="10"/>
      <c r="I27">
        <v>25</v>
      </c>
      <c r="J27" s="3">
        <v>1.2</v>
      </c>
    </row>
    <row r="28" spans="1:10" ht="12.75">
      <c r="A28" t="s">
        <v>8</v>
      </c>
      <c r="B28" s="2"/>
      <c r="C28" s="4"/>
      <c r="D28" s="10"/>
      <c r="I28">
        <v>26</v>
      </c>
      <c r="J28" s="3">
        <v>1.3</v>
      </c>
    </row>
    <row r="29" spans="1:10" ht="12.75">
      <c r="A29" s="2" t="s">
        <v>4</v>
      </c>
      <c r="B29" s="2" t="s">
        <v>28</v>
      </c>
      <c r="C29" s="4">
        <v>160.21</v>
      </c>
      <c r="F29" s="11">
        <f>+C29*1.5</f>
        <v>240.315</v>
      </c>
      <c r="I29">
        <v>27</v>
      </c>
      <c r="J29" s="3">
        <v>1.3</v>
      </c>
    </row>
    <row r="30" spans="1:10" ht="12.75">
      <c r="A30" s="2" t="s">
        <v>4</v>
      </c>
      <c r="B30" s="2" t="s">
        <v>29</v>
      </c>
      <c r="C30" s="4">
        <v>160.21</v>
      </c>
      <c r="D30" s="6"/>
      <c r="F30" s="11">
        <f>C30</f>
        <v>160.21</v>
      </c>
      <c r="I30">
        <v>28</v>
      </c>
      <c r="J30" s="3">
        <v>1.4</v>
      </c>
    </row>
    <row r="31" spans="1:10" ht="12.75">
      <c r="A31" s="2" t="s">
        <v>8</v>
      </c>
      <c r="B31" s="2"/>
      <c r="C31" s="4"/>
      <c r="F31" s="11"/>
      <c r="I31">
        <v>29</v>
      </c>
      <c r="J31" s="3">
        <v>1.4</v>
      </c>
    </row>
    <row r="32" spans="2:13" ht="12.75">
      <c r="B32" t="s">
        <v>30</v>
      </c>
      <c r="C32" s="4">
        <v>6.42</v>
      </c>
      <c r="F32" s="11">
        <f>F29</f>
        <v>240.315</v>
      </c>
      <c r="I32">
        <v>30</v>
      </c>
      <c r="J32" s="3">
        <v>1.5</v>
      </c>
      <c r="M32" s="10"/>
    </row>
    <row r="33" spans="2:10" ht="12.75">
      <c r="B33" t="s">
        <v>31</v>
      </c>
      <c r="C33" s="4">
        <v>5.34</v>
      </c>
      <c r="F33" s="11">
        <f>F30</f>
        <v>160.21</v>
      </c>
      <c r="I33">
        <v>31</v>
      </c>
      <c r="J33" s="3">
        <v>1.5</v>
      </c>
    </row>
    <row r="34" spans="1:13" ht="12.75">
      <c r="A34" t="s">
        <v>8</v>
      </c>
      <c r="C34" s="4"/>
      <c r="I34">
        <v>32</v>
      </c>
      <c r="J34" s="3">
        <v>1.5</v>
      </c>
      <c r="M34" s="10"/>
    </row>
    <row r="35" spans="1:10" ht="12.75">
      <c r="A35" s="2"/>
      <c r="B35" s="2" t="s">
        <v>32</v>
      </c>
      <c r="C35" s="4">
        <v>599.19</v>
      </c>
      <c r="D35" s="6">
        <f>C35/C36</f>
        <v>14.998498122653316</v>
      </c>
      <c r="E35" s="6"/>
      <c r="F35" s="6">
        <v>364.14</v>
      </c>
      <c r="G35" s="6"/>
      <c r="H35" s="6"/>
      <c r="I35">
        <v>33</v>
      </c>
      <c r="J35" s="3">
        <v>1.5</v>
      </c>
    </row>
    <row r="36" spans="1:10" ht="12.75">
      <c r="A36" s="2"/>
      <c r="B36" s="2" t="s">
        <v>33</v>
      </c>
      <c r="C36" s="4">
        <v>39.95</v>
      </c>
      <c r="D36" s="10"/>
      <c r="E36" s="6"/>
      <c r="F36" s="6">
        <f>C35*2</f>
        <v>1198.38</v>
      </c>
      <c r="G36" s="6"/>
      <c r="H36" s="6"/>
      <c r="I36">
        <v>34</v>
      </c>
      <c r="J36" s="3">
        <v>1.5</v>
      </c>
    </row>
    <row r="37" spans="1:10" ht="12.75">
      <c r="A37" t="s">
        <v>8</v>
      </c>
      <c r="B37" s="2"/>
      <c r="C37" s="4"/>
      <c r="D37" s="10"/>
      <c r="E37" s="6"/>
      <c r="F37" s="6"/>
      <c r="G37" s="6"/>
      <c r="H37" s="6"/>
      <c r="I37">
        <v>35</v>
      </c>
      <c r="J37" s="3">
        <v>1.5</v>
      </c>
    </row>
    <row r="38" spans="1:10" ht="12.75">
      <c r="A38" t="s">
        <v>8</v>
      </c>
      <c r="B38" t="s">
        <v>34</v>
      </c>
      <c r="C38" s="4">
        <v>5000</v>
      </c>
      <c r="D38" s="6">
        <v>332</v>
      </c>
      <c r="E38" s="6"/>
      <c r="F38" s="6"/>
      <c r="G38" s="6"/>
      <c r="H38" s="6"/>
      <c r="I38">
        <v>36</v>
      </c>
      <c r="J38" s="3">
        <v>1.5</v>
      </c>
    </row>
    <row r="39" spans="1:10" ht="12.75">
      <c r="A39" t="s">
        <v>8</v>
      </c>
      <c r="C39" s="4"/>
      <c r="D39" s="6"/>
      <c r="E39" s="6"/>
      <c r="F39" s="12">
        <f>12.13/182.07</f>
        <v>0.0666227275223815</v>
      </c>
      <c r="G39" s="6"/>
      <c r="H39" s="6"/>
      <c r="I39">
        <v>39</v>
      </c>
      <c r="J39" s="3">
        <v>1.5</v>
      </c>
    </row>
    <row r="40" spans="1:10" ht="12.75">
      <c r="A40" t="s">
        <v>4</v>
      </c>
      <c r="B40" s="2" t="s">
        <v>35</v>
      </c>
      <c r="C40" s="4">
        <v>919.75</v>
      </c>
      <c r="D40" s="4"/>
      <c r="E40" s="6"/>
      <c r="F40" s="6"/>
      <c r="G40" s="6"/>
      <c r="H40" s="6"/>
      <c r="I40">
        <v>40</v>
      </c>
      <c r="J40" s="3">
        <v>1.5</v>
      </c>
    </row>
    <row r="41" spans="1:10" ht="12.75">
      <c r="A41" t="s">
        <v>4</v>
      </c>
      <c r="B41" s="2" t="s">
        <v>36</v>
      </c>
      <c r="C41" s="4">
        <v>1073.06</v>
      </c>
      <c r="D41" s="4"/>
      <c r="E41" s="6"/>
      <c r="F41" s="6"/>
      <c r="G41" s="6"/>
      <c r="H41" s="6"/>
      <c r="I41">
        <v>41</v>
      </c>
      <c r="J41" s="3">
        <v>1.5</v>
      </c>
    </row>
    <row r="42" spans="1:10" ht="12.75">
      <c r="A42" t="s">
        <v>4</v>
      </c>
      <c r="B42" s="2" t="s">
        <v>37</v>
      </c>
      <c r="C42" s="4">
        <v>1226.37</v>
      </c>
      <c r="D42" s="4"/>
      <c r="I42">
        <v>42</v>
      </c>
      <c r="J42" s="3">
        <v>1.5</v>
      </c>
    </row>
    <row r="43" spans="1:10" ht="12.75">
      <c r="A43" s="2" t="s">
        <v>4</v>
      </c>
      <c r="B43" s="2" t="s">
        <v>38</v>
      </c>
      <c r="C43" s="4">
        <v>1839.54</v>
      </c>
      <c r="D43" s="4"/>
      <c r="I43">
        <v>43</v>
      </c>
      <c r="J43" s="3">
        <v>1.5</v>
      </c>
    </row>
    <row r="44" spans="1:10" ht="12.75">
      <c r="A44" t="s">
        <v>8</v>
      </c>
      <c r="B44" t="s">
        <v>39</v>
      </c>
      <c r="C44" s="4">
        <f>D44*0.25*1.2904</f>
        <v>0</v>
      </c>
      <c r="D44" s="4"/>
      <c r="E44" s="6"/>
      <c r="F44" s="6"/>
      <c r="G44" s="6"/>
      <c r="H44" s="6"/>
      <c r="I44">
        <v>44</v>
      </c>
      <c r="J44" s="3">
        <v>1.5</v>
      </c>
    </row>
    <row r="45" spans="1:10" ht="12.75">
      <c r="A45" t="s">
        <v>4</v>
      </c>
      <c r="B45" s="2" t="s">
        <v>40</v>
      </c>
      <c r="C45" s="8">
        <v>51.12</v>
      </c>
      <c r="D45" s="4"/>
      <c r="I45">
        <v>45</v>
      </c>
      <c r="J45" s="3">
        <v>1.5</v>
      </c>
    </row>
    <row r="46" spans="2:10" ht="12.75">
      <c r="B46" s="2" t="s">
        <v>41</v>
      </c>
      <c r="C46" s="8">
        <v>122.62</v>
      </c>
      <c r="I46">
        <v>46</v>
      </c>
      <c r="J46" s="3">
        <v>1.5</v>
      </c>
    </row>
    <row r="47" spans="1:10" ht="12.75">
      <c r="A47" t="s">
        <v>8</v>
      </c>
      <c r="B47" s="2"/>
      <c r="C47" s="8"/>
      <c r="I47">
        <v>47</v>
      </c>
      <c r="J47" s="3">
        <v>1.5</v>
      </c>
    </row>
    <row r="48" spans="2:12" ht="12.75">
      <c r="B48" s="2" t="s">
        <v>42</v>
      </c>
      <c r="C48" s="8">
        <f>INT((D48/15*100)+0.49)/100</f>
        <v>80.67</v>
      </c>
      <c r="D48">
        <f>D49</f>
        <v>1210</v>
      </c>
      <c r="F48">
        <v>1210</v>
      </c>
      <c r="I48">
        <v>48</v>
      </c>
      <c r="J48" s="3">
        <v>1.5</v>
      </c>
      <c r="L48">
        <f>267.87+5.37</f>
        <v>273.24</v>
      </c>
    </row>
    <row r="49" spans="2:10" ht="12.75">
      <c r="B49" s="2" t="s">
        <v>43</v>
      </c>
      <c r="C49" s="8">
        <v>1210</v>
      </c>
      <c r="D49">
        <v>1210</v>
      </c>
      <c r="I49">
        <v>49</v>
      </c>
      <c r="J49" s="3">
        <v>1.5</v>
      </c>
    </row>
    <row r="50" spans="1:10" ht="12" customHeight="1">
      <c r="A50" t="s">
        <v>4</v>
      </c>
      <c r="B50" s="2" t="s">
        <v>44</v>
      </c>
      <c r="C50" s="8">
        <v>265.48</v>
      </c>
      <c r="I50">
        <v>50</v>
      </c>
      <c r="J50" s="3">
        <v>1.5</v>
      </c>
    </row>
    <row r="51" spans="1:10" ht="12.75">
      <c r="A51" t="s">
        <v>4</v>
      </c>
      <c r="B51" s="2" t="s">
        <v>45</v>
      </c>
      <c r="C51" s="8">
        <v>136.56</v>
      </c>
      <c r="I51">
        <v>51</v>
      </c>
      <c r="J51" s="3">
        <v>1.5</v>
      </c>
    </row>
    <row r="52" spans="2:10" ht="12.75">
      <c r="B52" s="2" t="s">
        <v>46</v>
      </c>
      <c r="C52" s="8">
        <v>264.4</v>
      </c>
      <c r="I52">
        <v>52</v>
      </c>
      <c r="J52" s="3">
        <v>1.5</v>
      </c>
    </row>
    <row r="53" spans="1:10" ht="12.75">
      <c r="A53" t="s">
        <v>4</v>
      </c>
      <c r="B53" s="2" t="s">
        <v>47</v>
      </c>
      <c r="C53" s="8">
        <v>124.41</v>
      </c>
      <c r="I53">
        <v>53</v>
      </c>
      <c r="J53" s="3">
        <v>1.5</v>
      </c>
    </row>
    <row r="54" spans="2:3" ht="12.75">
      <c r="B54" s="2" t="s">
        <v>48</v>
      </c>
      <c r="C54" s="8">
        <v>123.97</v>
      </c>
    </row>
    <row r="55" spans="2:3" ht="12.75">
      <c r="B55" s="2" t="s">
        <v>49</v>
      </c>
      <c r="C55" s="8">
        <v>225.12</v>
      </c>
    </row>
    <row r="56" spans="1:6" ht="12.75">
      <c r="A56" t="s">
        <v>4</v>
      </c>
      <c r="B56" s="2" t="s">
        <v>50</v>
      </c>
      <c r="C56" s="8">
        <v>11.38</v>
      </c>
      <c r="E56">
        <f>F56/C56</f>
        <v>23.328646748681898</v>
      </c>
      <c r="F56" s="6">
        <f>C50</f>
        <v>265.48</v>
      </c>
    </row>
    <row r="57" spans="1:6" ht="12.75">
      <c r="A57" t="s">
        <v>4</v>
      </c>
      <c r="B57" s="2" t="s">
        <v>51</v>
      </c>
      <c r="C57" s="8">
        <v>9.1</v>
      </c>
      <c r="E57">
        <f>F57/C57</f>
        <v>29.173626373626377</v>
      </c>
      <c r="F57" s="6">
        <f>C50</f>
        <v>265.48</v>
      </c>
    </row>
    <row r="58" spans="1:6" ht="12.75">
      <c r="A58" s="196" t="s">
        <v>4</v>
      </c>
      <c r="B58" s="2" t="s">
        <v>52</v>
      </c>
      <c r="C58" s="3">
        <v>325.89</v>
      </c>
      <c r="D58" s="3">
        <v>21.73</v>
      </c>
      <c r="E58">
        <v>38.47</v>
      </c>
      <c r="F58">
        <f>+C58*2</f>
        <v>651.78</v>
      </c>
    </row>
    <row r="59" spans="2:4" ht="12.75">
      <c r="B59" s="2" t="s">
        <v>53</v>
      </c>
      <c r="C59" s="3">
        <v>43.45</v>
      </c>
      <c r="D59" s="3"/>
    </row>
    <row r="60" spans="1:6" ht="12.75">
      <c r="A60" s="196" t="s">
        <v>4</v>
      </c>
      <c r="B60" s="2" t="s">
        <v>54</v>
      </c>
      <c r="C60" s="3">
        <v>93.11</v>
      </c>
      <c r="D60">
        <v>6.21</v>
      </c>
      <c r="E60">
        <v>10.99</v>
      </c>
      <c r="F60">
        <f>+C60*2</f>
        <v>186.22</v>
      </c>
    </row>
    <row r="61" spans="2:3" ht="12.75">
      <c r="B61" s="2" t="s">
        <v>55</v>
      </c>
      <c r="C61" s="3">
        <v>12.41</v>
      </c>
    </row>
    <row r="62" spans="1:4" ht="12.75">
      <c r="A62" t="s">
        <v>8</v>
      </c>
      <c r="B62" s="2"/>
      <c r="C62" s="3"/>
      <c r="D62" s="3"/>
    </row>
    <row r="63" spans="1:4" ht="12.75">
      <c r="A63" t="s">
        <v>8</v>
      </c>
      <c r="B63" s="2" t="s">
        <v>56</v>
      </c>
      <c r="C63" s="13">
        <v>0</v>
      </c>
      <c r="D63" s="14"/>
    </row>
    <row r="64" spans="1:4" ht="12.75">
      <c r="A64" t="s">
        <v>8</v>
      </c>
      <c r="B64" s="2"/>
      <c r="C64" s="13"/>
      <c r="D64" s="14"/>
    </row>
    <row r="65" spans="1:3" ht="12.75">
      <c r="A65" t="s">
        <v>8</v>
      </c>
      <c r="B65" t="s">
        <v>57</v>
      </c>
      <c r="C65" s="15">
        <v>0.13</v>
      </c>
    </row>
    <row r="66" spans="1:3" ht="12.75">
      <c r="A66" t="s">
        <v>8</v>
      </c>
      <c r="B66" t="s">
        <v>58</v>
      </c>
      <c r="C66" s="15">
        <v>0.005</v>
      </c>
    </row>
    <row r="67" spans="1:3" ht="12.75">
      <c r="A67" t="s">
        <v>8</v>
      </c>
      <c r="B67" t="s">
        <v>59</v>
      </c>
      <c r="C67" s="15">
        <v>0.045</v>
      </c>
    </row>
    <row r="68" spans="1:3" ht="12.75">
      <c r="A68" t="s">
        <v>8</v>
      </c>
      <c r="B68" t="s">
        <v>60</v>
      </c>
      <c r="C68" s="15">
        <v>0.027</v>
      </c>
    </row>
    <row r="69" spans="1:3" ht="12.75">
      <c r="A69" t="s">
        <v>8</v>
      </c>
      <c r="B69" t="s">
        <v>61</v>
      </c>
      <c r="C69" s="15">
        <v>0.003</v>
      </c>
    </row>
    <row r="70" ht="12.75">
      <c r="C70" s="15"/>
    </row>
    <row r="71" spans="1:3" ht="12.75">
      <c r="A71" t="s">
        <v>8</v>
      </c>
      <c r="B71" t="s">
        <v>62</v>
      </c>
      <c r="C71" s="15">
        <v>0.16</v>
      </c>
    </row>
    <row r="72" spans="1:3" ht="12.75">
      <c r="A72" t="s">
        <v>8</v>
      </c>
      <c r="B72" t="s">
        <v>63</v>
      </c>
      <c r="C72" s="15">
        <v>0.045</v>
      </c>
    </row>
    <row r="73" spans="1:3" ht="12.75">
      <c r="A73" t="s">
        <v>8</v>
      </c>
      <c r="B73" t="s">
        <v>64</v>
      </c>
      <c r="C73" s="15">
        <v>0.01</v>
      </c>
    </row>
    <row r="74" ht="12.75">
      <c r="C74" s="15"/>
    </row>
    <row r="75" spans="1:3" ht="12.75">
      <c r="A75" t="s">
        <v>8</v>
      </c>
      <c r="B75" t="s">
        <v>65</v>
      </c>
      <c r="C75" s="15">
        <v>0.035</v>
      </c>
    </row>
    <row r="76" spans="1:3" ht="12.75">
      <c r="A76" t="s">
        <v>8</v>
      </c>
      <c r="B76" t="s">
        <v>66</v>
      </c>
      <c r="C76" s="15">
        <v>0.006</v>
      </c>
    </row>
    <row r="77" spans="1:3" ht="12.75">
      <c r="A77" t="s">
        <v>8</v>
      </c>
      <c r="B77" t="s">
        <v>67</v>
      </c>
      <c r="C77" s="15">
        <v>0.054</v>
      </c>
    </row>
    <row r="78" ht="12.75">
      <c r="A78" t="s">
        <v>8</v>
      </c>
    </row>
    <row r="79" spans="1:3" ht="12.75">
      <c r="A79" t="s">
        <v>8</v>
      </c>
      <c r="B79" t="s">
        <v>68</v>
      </c>
      <c r="C79" s="4">
        <v>0.5</v>
      </c>
    </row>
    <row r="81" spans="1:3" ht="12.75">
      <c r="A81" s="196" t="s">
        <v>4</v>
      </c>
      <c r="B81" s="196" t="s">
        <v>657</v>
      </c>
      <c r="C81" s="11">
        <v>1300</v>
      </c>
    </row>
    <row r="82" spans="2:3" ht="12.75">
      <c r="B82" s="196" t="s">
        <v>658</v>
      </c>
      <c r="C82" s="11">
        <v>1560</v>
      </c>
    </row>
    <row r="83" spans="1:3" ht="12.75">
      <c r="A83" t="s">
        <v>4</v>
      </c>
      <c r="B83" s="196" t="s">
        <v>659</v>
      </c>
      <c r="C83" s="11">
        <v>2600</v>
      </c>
    </row>
    <row r="84" spans="1:3" ht="12.75">
      <c r="A84" t="s">
        <v>4</v>
      </c>
      <c r="B84" s="196" t="s">
        <v>660</v>
      </c>
      <c r="C84" s="11">
        <v>65</v>
      </c>
    </row>
    <row r="85" spans="1:3" ht="12.75">
      <c r="A85" t="s">
        <v>4</v>
      </c>
      <c r="B85" s="196" t="s">
        <v>661</v>
      </c>
      <c r="C85" s="11">
        <v>130</v>
      </c>
    </row>
  </sheetData>
  <autoFilter ref="A1:J79"/>
  <printOptions/>
  <pageMargins left="0.25" right="0.25" top="0.75" bottom="0.75" header="0.511805555555555" footer="0.51180555555555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29"/>
  <sheetViews>
    <sheetView showGridLines="0" tabSelected="1" zoomScale="130" zoomScaleNormal="130" workbookViewId="0" topLeftCell="A1">
      <pane xSplit="6" ySplit="6" topLeftCell="H7" activePane="bottomRight" state="frozen"/>
      <selection pane="topRight" activeCell="U1" sqref="U1"/>
      <selection pane="bottomLeft" activeCell="A69" sqref="A69"/>
      <selection pane="bottomRight" activeCell="H4" sqref="H4"/>
    </sheetView>
  </sheetViews>
  <sheetFormatPr defaultColWidth="9.140625" defaultRowHeight="12.75"/>
  <cols>
    <col min="1" max="1" width="6.57421875" style="16" hidden="1" customWidth="1"/>
    <col min="2" max="2" width="8.7109375" style="16" hidden="1" customWidth="1"/>
    <col min="3" max="3" width="4.7109375" style="17" customWidth="1"/>
    <col min="4" max="5" width="3.7109375" style="17" hidden="1" customWidth="1"/>
    <col min="6" max="6" width="28.421875" style="17" customWidth="1"/>
    <col min="7" max="7" width="4.8515625" style="18" hidden="1" customWidth="1"/>
    <col min="8" max="8" width="7.57421875" style="19" customWidth="1"/>
    <col min="9" max="9" width="8.28125" style="20" hidden="1" customWidth="1"/>
    <col min="10" max="10" width="7.28125" style="21" customWidth="1"/>
    <col min="11" max="11" width="5.28125" style="22" hidden="1" customWidth="1"/>
    <col min="12" max="12" width="7.28125" style="23" customWidth="1"/>
    <col min="13" max="13" width="6.28125" style="24" hidden="1" customWidth="1"/>
    <col min="14" max="14" width="6.7109375" style="23" customWidth="1"/>
    <col min="15" max="15" width="7.8515625" style="23" hidden="1" customWidth="1"/>
    <col min="16" max="16" width="8.421875" style="23" hidden="1" customWidth="1"/>
    <col min="17" max="18" width="6.57421875" style="23" customWidth="1"/>
    <col min="19" max="19" width="7.140625" style="23" customWidth="1"/>
    <col min="20" max="20" width="7.7109375" style="23" customWidth="1"/>
    <col min="21" max="21" width="7.00390625" style="21" customWidth="1"/>
    <col min="22" max="22" width="7.140625" style="23" customWidth="1"/>
    <col min="23" max="23" width="7.00390625" style="23" customWidth="1"/>
    <col min="24" max="24" width="7.57421875" style="23" customWidth="1"/>
    <col min="25" max="25" width="4.28125" style="25" customWidth="1"/>
    <col min="26" max="26" width="7.140625" style="23" customWidth="1"/>
    <col min="27" max="27" width="7.421875" style="23" customWidth="1"/>
    <col min="28" max="28" width="6.140625" style="26" customWidth="1"/>
    <col min="29" max="29" width="7.140625" style="23" customWidth="1"/>
    <col min="30" max="30" width="6.28125" style="23" customWidth="1"/>
    <col min="31" max="31" width="4.421875" style="25" customWidth="1"/>
    <col min="32" max="32" width="6.28125" style="23" customWidth="1"/>
    <col min="33" max="33" width="6.00390625" style="23" customWidth="1"/>
    <col min="34" max="34" width="6.28125" style="23" customWidth="1"/>
    <col min="35" max="35" width="7.8515625" style="23" customWidth="1"/>
    <col min="36" max="36" width="6.421875" style="23" customWidth="1"/>
    <col min="37" max="38" width="6.140625" style="26" customWidth="1"/>
    <col min="39" max="39" width="5.7109375" style="26" customWidth="1"/>
    <col min="40" max="40" width="7.28125" style="23" customWidth="1"/>
    <col min="41" max="41" width="8.421875" style="23" customWidth="1"/>
    <col min="42" max="42" width="6.7109375" style="23" customWidth="1"/>
    <col min="43" max="43" width="7.421875" style="23" customWidth="1"/>
    <col min="44" max="44" width="7.8515625" style="23" customWidth="1"/>
    <col min="45" max="46" width="7.8515625" style="27" customWidth="1"/>
    <col min="47" max="52" width="7.140625" style="23" customWidth="1"/>
    <col min="53" max="53" width="7.140625" style="26" customWidth="1"/>
    <col min="54" max="54" width="5.00390625" style="16" customWidth="1"/>
    <col min="55" max="55" width="3.7109375" style="16" customWidth="1"/>
    <col min="56" max="56" width="3.421875" style="28" customWidth="1"/>
    <col min="57" max="57" width="9.8515625" style="17" customWidth="1"/>
    <col min="58" max="1024" width="11.421875" style="17" customWidth="1"/>
  </cols>
  <sheetData>
    <row r="1" spans="3:41" ht="50.25" customHeight="1">
      <c r="C1" s="198" t="str">
        <f ca="1">MID(CELL("FILENAME",N33),FIND("[",CELL("FILENAME",N33))+1,FIND("]",CELL("FILENAME",N33))-FIND("[",CELL("FILENAME",N33))-1)</f>
        <v>Esc Doc 2019 03 Cba v2 1.xlsx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29"/>
      <c r="AO1" s="29"/>
    </row>
    <row r="2" spans="2:56" ht="11.25" customHeight="1">
      <c r="B2" s="30"/>
      <c r="C2" s="31" t="s">
        <v>69</v>
      </c>
      <c r="D2" s="31"/>
      <c r="E2" s="31"/>
      <c r="F2" s="31"/>
      <c r="H2" s="32">
        <v>0</v>
      </c>
      <c r="J2" s="194">
        <f>LOOKUP(H2,Valores!I:I,Valores!J:J)</f>
        <v>0</v>
      </c>
      <c r="O2" s="33">
        <v>0.15</v>
      </c>
      <c r="P2" s="34"/>
      <c r="AM2" s="199"/>
      <c r="BD2" s="35">
        <f>(((H139+U139)*1.15)+Q139+R139+S139+AB139+AD139)*0.05</f>
        <v>1011.1278499999997</v>
      </c>
    </row>
    <row r="3" spans="2:52" ht="11.25" customHeight="1">
      <c r="B3" s="30"/>
      <c r="C3" s="31" t="s">
        <v>70</v>
      </c>
      <c r="D3" s="31"/>
      <c r="E3" s="31"/>
      <c r="F3" s="31"/>
      <c r="H3" s="32">
        <v>0</v>
      </c>
      <c r="I3" s="200" t="s">
        <v>71</v>
      </c>
      <c r="J3" s="200"/>
      <c r="K3" s="201">
        <f>Valores!C2</f>
        <v>6.6324</v>
      </c>
      <c r="L3" s="201"/>
      <c r="AM3" s="199"/>
      <c r="AN3" s="37" t="s">
        <v>4</v>
      </c>
      <c r="AO3" s="36"/>
      <c r="AP3" s="38">
        <f>Valores!C2</f>
        <v>6.6324</v>
      </c>
      <c r="AQ3" s="39"/>
      <c r="AR3" s="39"/>
      <c r="AS3" s="40"/>
      <c r="AT3" s="40"/>
      <c r="AU3" s="39"/>
      <c r="AV3" s="39"/>
      <c r="AW3" s="39"/>
      <c r="AX3" s="39"/>
      <c r="AY3" s="39"/>
      <c r="AZ3" s="39"/>
    </row>
    <row r="4" spans="1:52" ht="11.25" customHeight="1">
      <c r="A4" s="41"/>
      <c r="B4" s="30"/>
      <c r="C4" s="31" t="s">
        <v>72</v>
      </c>
      <c r="D4" s="30"/>
      <c r="E4" s="30"/>
      <c r="F4" s="30"/>
      <c r="H4" s="42" t="s">
        <v>8</v>
      </c>
      <c r="AM4" s="42"/>
      <c r="AN4" s="37" t="s">
        <v>8</v>
      </c>
      <c r="AO4" s="36"/>
      <c r="AP4" s="39"/>
      <c r="AQ4" s="39"/>
      <c r="AR4" s="39"/>
      <c r="AS4" s="40"/>
      <c r="AT4" s="40"/>
      <c r="AU4" s="39"/>
      <c r="AV4" s="39"/>
      <c r="AW4" s="39"/>
      <c r="AX4" s="39"/>
      <c r="AY4" s="39"/>
      <c r="AZ4" s="39"/>
    </row>
    <row r="5" spans="1:56" ht="48" customHeight="1">
      <c r="A5" s="43"/>
      <c r="B5" s="43"/>
      <c r="C5" s="44"/>
      <c r="F5" s="44"/>
      <c r="G5" s="202" t="s">
        <v>73</v>
      </c>
      <c r="H5" s="202"/>
      <c r="I5" s="203" t="s">
        <v>74</v>
      </c>
      <c r="J5" s="203"/>
      <c r="K5" s="204" t="s">
        <v>75</v>
      </c>
      <c r="L5" s="204"/>
      <c r="M5" s="205" t="s">
        <v>76</v>
      </c>
      <c r="N5" s="205"/>
      <c r="O5" s="45" t="s">
        <v>77</v>
      </c>
      <c r="P5" s="46" t="s">
        <v>78</v>
      </c>
      <c r="Q5" s="45" t="s">
        <v>79</v>
      </c>
      <c r="R5" s="45" t="s">
        <v>80</v>
      </c>
      <c r="S5" s="45" t="s">
        <v>81</v>
      </c>
      <c r="T5" s="45" t="s">
        <v>82</v>
      </c>
      <c r="U5" s="46" t="s">
        <v>83</v>
      </c>
      <c r="V5" s="45" t="s">
        <v>83</v>
      </c>
      <c r="W5" s="45" t="s">
        <v>84</v>
      </c>
      <c r="X5" s="45" t="s">
        <v>85</v>
      </c>
      <c r="Y5" s="206" t="s">
        <v>86</v>
      </c>
      <c r="Z5" s="206"/>
      <c r="AA5" s="45" t="s">
        <v>87</v>
      </c>
      <c r="AB5" s="47" t="s">
        <v>88</v>
      </c>
      <c r="AC5" s="45" t="s">
        <v>89</v>
      </c>
      <c r="AD5" s="45" t="s">
        <v>90</v>
      </c>
      <c r="AE5" s="205" t="s">
        <v>91</v>
      </c>
      <c r="AF5" s="205"/>
      <c r="AG5" s="45" t="s">
        <v>52</v>
      </c>
      <c r="AH5" s="45" t="s">
        <v>92</v>
      </c>
      <c r="AI5" s="48" t="s">
        <v>93</v>
      </c>
      <c r="AJ5" s="45" t="s">
        <v>94</v>
      </c>
      <c r="AK5" s="49" t="s">
        <v>95</v>
      </c>
      <c r="AL5" s="49" t="s">
        <v>662</v>
      </c>
      <c r="AM5" s="49" t="s">
        <v>96</v>
      </c>
      <c r="AN5" s="48" t="s">
        <v>97</v>
      </c>
      <c r="AO5" s="50" t="s">
        <v>98</v>
      </c>
      <c r="AP5" s="50" t="s">
        <v>99</v>
      </c>
      <c r="AQ5" s="50" t="s">
        <v>100</v>
      </c>
      <c r="AR5" s="50" t="s">
        <v>101</v>
      </c>
      <c r="AS5" s="50" t="s">
        <v>102</v>
      </c>
      <c r="AT5" s="48" t="s">
        <v>103</v>
      </c>
      <c r="AU5" s="48" t="s">
        <v>104</v>
      </c>
      <c r="AV5" s="50" t="s">
        <v>105</v>
      </c>
      <c r="AW5" s="50" t="s">
        <v>63</v>
      </c>
      <c r="AX5" s="50" t="s">
        <v>106</v>
      </c>
      <c r="AY5" s="50" t="s">
        <v>65</v>
      </c>
      <c r="AZ5" s="50" t="s">
        <v>66</v>
      </c>
      <c r="BA5" s="50" t="s">
        <v>67</v>
      </c>
      <c r="BB5" s="49" t="s">
        <v>107</v>
      </c>
      <c r="BC5" s="49" t="s">
        <v>108</v>
      </c>
      <c r="BD5" s="51" t="s">
        <v>109</v>
      </c>
    </row>
    <row r="6" spans="1:56" s="54" customFormat="1" ht="11.25" customHeight="1">
      <c r="A6" s="52" t="s">
        <v>110</v>
      </c>
      <c r="B6" s="52"/>
      <c r="C6" s="53" t="s">
        <v>111</v>
      </c>
      <c r="F6" s="55" t="s">
        <v>112</v>
      </c>
      <c r="G6" s="56" t="s">
        <v>113</v>
      </c>
      <c r="H6" s="57" t="s">
        <v>114</v>
      </c>
      <c r="I6" s="58" t="s">
        <v>115</v>
      </c>
      <c r="J6" s="59" t="s">
        <v>116</v>
      </c>
      <c r="K6" s="60" t="s">
        <v>117</v>
      </c>
      <c r="L6" s="59" t="s">
        <v>118</v>
      </c>
      <c r="M6" s="61" t="s">
        <v>119</v>
      </c>
      <c r="N6" s="59" t="s">
        <v>120</v>
      </c>
      <c r="O6" s="55" t="s">
        <v>121</v>
      </c>
      <c r="P6" s="55" t="s">
        <v>122</v>
      </c>
      <c r="Q6" s="55" t="s">
        <v>123</v>
      </c>
      <c r="R6" s="55" t="s">
        <v>124</v>
      </c>
      <c r="S6" s="55" t="s">
        <v>125</v>
      </c>
      <c r="T6" s="55" t="s">
        <v>126</v>
      </c>
      <c r="U6" s="62" t="s">
        <v>127</v>
      </c>
      <c r="V6" s="55" t="s">
        <v>127</v>
      </c>
      <c r="W6" s="55" t="s">
        <v>128</v>
      </c>
      <c r="X6" s="55" t="s">
        <v>129</v>
      </c>
      <c r="Y6" s="63" t="s">
        <v>130</v>
      </c>
      <c r="Z6" s="59" t="s">
        <v>131</v>
      </c>
      <c r="AA6" s="55" t="s">
        <v>132</v>
      </c>
      <c r="AB6" s="64" t="s">
        <v>133</v>
      </c>
      <c r="AC6" s="64" t="s">
        <v>134</v>
      </c>
      <c r="AD6" s="55" t="s">
        <v>135</v>
      </c>
      <c r="AE6" s="63" t="s">
        <v>136</v>
      </c>
      <c r="AF6" s="59" t="s">
        <v>137</v>
      </c>
      <c r="AG6" s="55" t="s">
        <v>138</v>
      </c>
      <c r="AH6" s="55" t="s">
        <v>139</v>
      </c>
      <c r="AI6" s="65" t="s">
        <v>140</v>
      </c>
      <c r="AJ6" s="66" t="s">
        <v>663</v>
      </c>
      <c r="AK6" s="64" t="s">
        <v>141</v>
      </c>
      <c r="AL6" s="64"/>
      <c r="AM6" s="64" t="s">
        <v>142</v>
      </c>
      <c r="AN6" s="67" t="s">
        <v>143</v>
      </c>
      <c r="AO6" s="68" t="s">
        <v>144</v>
      </c>
      <c r="AP6" s="68" t="s">
        <v>145</v>
      </c>
      <c r="AQ6" s="55" t="s">
        <v>146</v>
      </c>
      <c r="AR6" s="55" t="s">
        <v>147</v>
      </c>
      <c r="AS6" s="55" t="s">
        <v>148</v>
      </c>
      <c r="AT6" s="69"/>
      <c r="AU6" s="69"/>
      <c r="AV6" s="55" t="s">
        <v>149</v>
      </c>
      <c r="AW6" s="55" t="s">
        <v>150</v>
      </c>
      <c r="AX6" s="55" t="s">
        <v>151</v>
      </c>
      <c r="AY6" s="55" t="s">
        <v>152</v>
      </c>
      <c r="AZ6" s="55" t="s">
        <v>153</v>
      </c>
      <c r="BA6" s="55" t="s">
        <v>154</v>
      </c>
      <c r="BB6" s="70"/>
      <c r="BC6" s="70"/>
      <c r="BD6" s="71"/>
    </row>
    <row r="7" spans="1:56" s="28" customFormat="1" ht="11.25" customHeight="1">
      <c r="A7" s="52">
        <v>6</v>
      </c>
      <c r="B7" s="52"/>
      <c r="C7" s="28" t="s">
        <v>155</v>
      </c>
      <c r="E7" s="28">
        <f aca="true" t="shared" si="0" ref="E7:E70">LEN(F7)</f>
        <v>19</v>
      </c>
      <c r="F7" s="72" t="s">
        <v>156</v>
      </c>
      <c r="G7" s="73">
        <v>107</v>
      </c>
      <c r="H7" s="74">
        <f>INT((G7*Valores!$C$2*100)+0.5)/100</f>
        <v>709.67</v>
      </c>
      <c r="I7" s="75">
        <v>3779</v>
      </c>
      <c r="J7" s="76">
        <f>INT((I7*Valores!$C$2*100)+0.5)/100</f>
        <v>25063.84</v>
      </c>
      <c r="K7" s="77">
        <v>219</v>
      </c>
      <c r="L7" s="76">
        <f>INT((K7*Valores!$C$2*100)+0.5)/100</f>
        <v>1452.5</v>
      </c>
      <c r="M7" s="73">
        <v>0</v>
      </c>
      <c r="N7" s="76">
        <f>INT((M7*Valores!$C$2*100)+0.5)/100</f>
        <v>0</v>
      </c>
      <c r="O7" s="76">
        <f aca="true" t="shared" si="1" ref="O7:O70">IF($J$2=0,IF(C7&lt;&gt;"13-930",(SUM(H7,J7,L7,N7,Z7,U7,T7)*$O$2),0),0)</f>
        <v>4359.8324999999995</v>
      </c>
      <c r="P7" s="76">
        <f aca="true" t="shared" si="2" ref="P7:P70">SUM(H7,J7,L7,N7,Z7,T7)*$J$2</f>
        <v>0</v>
      </c>
      <c r="Q7" s="78">
        <f>Valores!$C$16</f>
        <v>4291.62</v>
      </c>
      <c r="R7" s="78">
        <f>Valores!$D$4</f>
        <v>2966.67</v>
      </c>
      <c r="S7" s="76">
        <v>0</v>
      </c>
      <c r="T7" s="79">
        <f>Valores!$C$43</f>
        <v>1839.54</v>
      </c>
      <c r="U7" s="76">
        <v>0</v>
      </c>
      <c r="V7" s="76">
        <f aca="true" t="shared" si="3" ref="V7:V44">U7*(1+$J$2)</f>
        <v>0</v>
      </c>
      <c r="W7" s="78">
        <f>SUM(H7,J7,L7)</f>
        <v>27226.01</v>
      </c>
      <c r="X7" s="78">
        <f>INT((SUM(H7,J7,L7)*0.4*100)+0.49)/100</f>
        <v>10890.4</v>
      </c>
      <c r="Y7" s="80">
        <v>0</v>
      </c>
      <c r="Z7" s="76">
        <f>Y7*Valores!$C$2</f>
        <v>0</v>
      </c>
      <c r="AA7" s="76">
        <v>0</v>
      </c>
      <c r="AB7" s="81">
        <f>Valores!$C$29</f>
        <v>160.21</v>
      </c>
      <c r="AC7" s="76">
        <f>SUM(H7,J7,L7,Z7,T7)*$H$3/100</f>
        <v>0</v>
      </c>
      <c r="AD7" s="76">
        <f>Valores!$C$30</f>
        <v>160.21</v>
      </c>
      <c r="AE7" s="80">
        <v>0</v>
      </c>
      <c r="AF7" s="76">
        <f>AE7*Valores!$C$2</f>
        <v>0</v>
      </c>
      <c r="AG7" s="76">
        <f>Valores!$C$58</f>
        <v>325.89</v>
      </c>
      <c r="AH7" s="76">
        <f>Valores!$C$60</f>
        <v>93.11</v>
      </c>
      <c r="AI7" s="82">
        <f>SUM(H7,J7,L7,N7,O7,P7,Q7,R7,S7,V7,W7,X7,Z7,AA7,AB7,AC7,AD7,AF7,T7,AG7,AH7)</f>
        <v>79539.5025</v>
      </c>
      <c r="AJ7" s="78">
        <f>Valores!$C$35</f>
        <v>599.19</v>
      </c>
      <c r="AK7" s="79">
        <f>Valores!$C$9</f>
        <v>0</v>
      </c>
      <c r="AL7" s="79">
        <f>Valores!$C$81</f>
        <v>1300</v>
      </c>
      <c r="AM7" s="81">
        <f>Valores!$C$50</f>
        <v>265.48</v>
      </c>
      <c r="AN7" s="83">
        <f>IF($H$4="SI",SUM(AJ7:AL7,AM7),SUM(AJ7:AL7))</f>
        <v>1899.19</v>
      </c>
      <c r="AO7" s="84">
        <f>AI7*-Valores!$C$65</f>
        <v>-10340.135325000001</v>
      </c>
      <c r="AP7" s="62">
        <f>AI7*-Valores!$C$66</f>
        <v>-397.6975125</v>
      </c>
      <c r="AQ7" s="78">
        <f>AI7*-Valores!$C$67</f>
        <v>-3579.2776125</v>
      </c>
      <c r="AR7" s="78">
        <f>AI7*-Valores!$C$68</f>
        <v>-2147.5665675</v>
      </c>
      <c r="AS7" s="78">
        <f>AI7*-Valores!$C$69</f>
        <v>-238.61850750000002</v>
      </c>
      <c r="AT7" s="82">
        <f aca="true" t="shared" si="4" ref="AT7:AT70">AI7+AN7+AP7+AQ7+AO7</f>
        <v>67121.58205000001</v>
      </c>
      <c r="AU7" s="82">
        <f aca="true" t="shared" si="5" ref="AU7:AU70">AI7+AN7+AP7+AR7+AO7+AS7</f>
        <v>68314.6745875</v>
      </c>
      <c r="AV7" s="78">
        <f>AI7*Valores!$C$71</f>
        <v>12726.3204</v>
      </c>
      <c r="AW7" s="78">
        <f>AI7*Valores!$C$72</f>
        <v>3579.2776125</v>
      </c>
      <c r="AX7" s="78">
        <f>AI7*Valores!$C$73</f>
        <v>795.395025</v>
      </c>
      <c r="AY7" s="78">
        <f>AI7*Valores!$C$75</f>
        <v>2783.8825875</v>
      </c>
      <c r="AZ7" s="78">
        <f>AI7*Valores!$C$76</f>
        <v>477.23701500000004</v>
      </c>
      <c r="BA7" s="78">
        <f>AI7*5.4/100</f>
        <v>4295.133135</v>
      </c>
      <c r="BB7" s="52">
        <v>33</v>
      </c>
      <c r="BC7" s="52">
        <v>45</v>
      </c>
      <c r="BD7" s="28" t="s">
        <v>8</v>
      </c>
    </row>
    <row r="8" spans="1:56" s="28" customFormat="1" ht="11.25" customHeight="1">
      <c r="A8" s="52">
        <v>7</v>
      </c>
      <c r="B8" s="52"/>
      <c r="C8" s="28" t="s">
        <v>157</v>
      </c>
      <c r="E8" s="28">
        <f t="shared" si="0"/>
        <v>20</v>
      </c>
      <c r="F8" s="72" t="s">
        <v>158</v>
      </c>
      <c r="G8" s="73">
        <v>107</v>
      </c>
      <c r="H8" s="74">
        <f>INT((G8*Valores!$C$2*100)+0.5)/100</f>
        <v>709.67</v>
      </c>
      <c r="I8" s="75">
        <v>3779</v>
      </c>
      <c r="J8" s="76">
        <f>INT((I8*Valores!$C$2*100)+0.5)/100</f>
        <v>25063.84</v>
      </c>
      <c r="K8" s="77">
        <v>219</v>
      </c>
      <c r="L8" s="76">
        <f>INT((K8*Valores!$C$2*100)+0.5)/100</f>
        <v>1452.5</v>
      </c>
      <c r="M8" s="73">
        <v>0</v>
      </c>
      <c r="N8" s="76">
        <f>INT((M8*Valores!$C$2*100)+0.5)/100</f>
        <v>0</v>
      </c>
      <c r="O8" s="76">
        <f t="shared" si="1"/>
        <v>4359.8324999999995</v>
      </c>
      <c r="P8" s="76">
        <f t="shared" si="2"/>
        <v>0</v>
      </c>
      <c r="Q8" s="78">
        <f>Valores!$C$16</f>
        <v>4291.62</v>
      </c>
      <c r="R8" s="78">
        <f>Valores!$D$4</f>
        <v>2966.67</v>
      </c>
      <c r="S8" s="76">
        <v>0</v>
      </c>
      <c r="T8" s="79">
        <f>Valores!$C$43</f>
        <v>1839.54</v>
      </c>
      <c r="U8" s="76">
        <v>0</v>
      </c>
      <c r="V8" s="76">
        <f t="shared" si="3"/>
        <v>0</v>
      </c>
      <c r="W8" s="78">
        <f>SUM(H8,J8,L8)</f>
        <v>27226.01</v>
      </c>
      <c r="X8" s="78">
        <f>INT((SUM(H8,J8,L8)*0.4*100)+0.49)/100</f>
        <v>10890.4</v>
      </c>
      <c r="Y8" s="80">
        <v>0</v>
      </c>
      <c r="Z8" s="76">
        <f>Y8*Valores!$C$2</f>
        <v>0</v>
      </c>
      <c r="AA8" s="76">
        <v>0</v>
      </c>
      <c r="AB8" s="81">
        <f>Valores!$C$29</f>
        <v>160.21</v>
      </c>
      <c r="AC8" s="76">
        <f aca="true" t="shared" si="6" ref="AC8:AC71">SUM(H8,J8,L8,Z8,T8)*$H$3/100</f>
        <v>0</v>
      </c>
      <c r="AD8" s="76">
        <f>Valores!$C$30</f>
        <v>160.21</v>
      </c>
      <c r="AE8" s="80">
        <v>0</v>
      </c>
      <c r="AF8" s="76">
        <f>INT(((AE8*Valores!$C$2)*100)+0.5)/100</f>
        <v>0</v>
      </c>
      <c r="AG8" s="76">
        <f>Valores!$C$58</f>
        <v>325.89</v>
      </c>
      <c r="AH8" s="76">
        <f>Valores!$C$60</f>
        <v>93.11</v>
      </c>
      <c r="AI8" s="82">
        <f aca="true" t="shared" si="7" ref="AI8:AI71">SUM(H8,J8,L8,N8,O8,P8,Q8,R8,S8,V8,W8,X8,Z8,AA8,AB8,AC8,AD8,AF8,T8,AG8,AH8)</f>
        <v>79539.5025</v>
      </c>
      <c r="AJ8" s="78">
        <f>Valores!$C$35</f>
        <v>599.19</v>
      </c>
      <c r="AK8" s="79">
        <f>Valores!$C$9</f>
        <v>0</v>
      </c>
      <c r="AL8" s="79">
        <f>Valores!$C$81</f>
        <v>1300</v>
      </c>
      <c r="AM8" s="81">
        <f>Valores!$C$50</f>
        <v>265.48</v>
      </c>
      <c r="AN8" s="83">
        <f aca="true" t="shared" si="8" ref="AN8:AN71">IF($H$4="SI",SUM(AJ8:AL8,AM8),SUM(AJ8:AL8))</f>
        <v>1899.19</v>
      </c>
      <c r="AO8" s="84">
        <f>AI8*-Valores!$C$65</f>
        <v>-10340.135325000001</v>
      </c>
      <c r="AP8" s="84">
        <f>AI8*-Valores!$C$66</f>
        <v>-397.6975125</v>
      </c>
      <c r="AQ8" s="78">
        <f>AI8*-Valores!$C$67</f>
        <v>-3579.2776125</v>
      </c>
      <c r="AR8" s="78">
        <f>AI8*-Valores!$C$68</f>
        <v>-2147.5665675</v>
      </c>
      <c r="AS8" s="78">
        <f>AI8*-Valores!$C$69</f>
        <v>-238.61850750000002</v>
      </c>
      <c r="AT8" s="82">
        <f t="shared" si="4"/>
        <v>67121.58205000001</v>
      </c>
      <c r="AU8" s="82">
        <f t="shared" si="5"/>
        <v>68314.6745875</v>
      </c>
      <c r="AV8" s="78">
        <f>AI8*Valores!$C$71</f>
        <v>12726.3204</v>
      </c>
      <c r="AW8" s="78">
        <f>AI8*Valores!$C$72</f>
        <v>3579.2776125</v>
      </c>
      <c r="AX8" s="78">
        <f>AI8*Valores!$C$73</f>
        <v>795.395025</v>
      </c>
      <c r="AY8" s="78">
        <f>AI8*Valores!$C$75</f>
        <v>2783.8825875</v>
      </c>
      <c r="AZ8" s="78">
        <f>AI8*Valores!$C$76</f>
        <v>477.23701500000004</v>
      </c>
      <c r="BA8" s="78">
        <f>AI8*Valores!$C$77</f>
        <v>4295.133135</v>
      </c>
      <c r="BB8" s="52">
        <v>33</v>
      </c>
      <c r="BC8" s="52">
        <v>45</v>
      </c>
      <c r="BD8" s="28" t="s">
        <v>8</v>
      </c>
    </row>
    <row r="9" spans="1:56" s="28" customFormat="1" ht="11.25" customHeight="1">
      <c r="A9" s="52">
        <v>8</v>
      </c>
      <c r="B9" s="52"/>
      <c r="C9" s="28" t="s">
        <v>159</v>
      </c>
      <c r="E9" s="28">
        <f t="shared" si="0"/>
        <v>14</v>
      </c>
      <c r="F9" s="72" t="s">
        <v>160</v>
      </c>
      <c r="G9" s="73">
        <v>107</v>
      </c>
      <c r="H9" s="85">
        <f>INT((G9*Valores!$C$2*100)+0.5)/100</f>
        <v>709.67</v>
      </c>
      <c r="I9" s="75">
        <v>3720</v>
      </c>
      <c r="J9" s="76">
        <f>INT((I9*Valores!$C$2*100)+0.5)/100</f>
        <v>24672.53</v>
      </c>
      <c r="K9" s="77">
        <v>1226</v>
      </c>
      <c r="L9" s="76">
        <f>INT((K9*Valores!$C$2*100)+0.5)/100</f>
        <v>8131.32</v>
      </c>
      <c r="M9" s="73">
        <v>0</v>
      </c>
      <c r="N9" s="76">
        <f>INT((M9*Valores!$C$2*100)+0.5)/100</f>
        <v>0</v>
      </c>
      <c r="O9" s="76">
        <f t="shared" si="1"/>
        <v>5713.8465</v>
      </c>
      <c r="P9" s="76">
        <f t="shared" si="2"/>
        <v>0</v>
      </c>
      <c r="Q9" s="78">
        <f>Valores!$C$19</f>
        <v>4477.85</v>
      </c>
      <c r="R9" s="78">
        <f>Valores!$D$4</f>
        <v>2966.67</v>
      </c>
      <c r="S9" s="76">
        <v>0</v>
      </c>
      <c r="T9" s="79">
        <f>Valores!$C$43</f>
        <v>1839.54</v>
      </c>
      <c r="U9" s="76">
        <f>Valores!$C$23</f>
        <v>2739.25</v>
      </c>
      <c r="V9" s="76">
        <f t="shared" si="3"/>
        <v>2739.25</v>
      </c>
      <c r="W9" s="76">
        <v>0</v>
      </c>
      <c r="X9" s="76">
        <v>0</v>
      </c>
      <c r="Y9" s="80">
        <v>0</v>
      </c>
      <c r="Z9" s="76">
        <f>Y9*Valores!$C$2</f>
        <v>0</v>
      </c>
      <c r="AA9" s="76">
        <v>0</v>
      </c>
      <c r="AB9" s="81">
        <f>Valores!$C$29</f>
        <v>160.21</v>
      </c>
      <c r="AC9" s="76">
        <f t="shared" si="6"/>
        <v>0</v>
      </c>
      <c r="AD9" s="76">
        <f>Valores!$C$30</f>
        <v>160.21</v>
      </c>
      <c r="AE9" s="80">
        <v>0</v>
      </c>
      <c r="AF9" s="76">
        <f>INT(((AE9*Valores!$C$2)*100)+0.5)/100</f>
        <v>0</v>
      </c>
      <c r="AG9" s="76">
        <f>Valores!$C$58</f>
        <v>325.89</v>
      </c>
      <c r="AH9" s="76">
        <f>Valores!$C$60</f>
        <v>93.11</v>
      </c>
      <c r="AI9" s="82">
        <f t="shared" si="7"/>
        <v>51990.09649999999</v>
      </c>
      <c r="AJ9" s="78">
        <f>Valores!$C$35</f>
        <v>599.19</v>
      </c>
      <c r="AK9" s="79">
        <f>Valores!$C$9</f>
        <v>0</v>
      </c>
      <c r="AL9" s="79">
        <f>Valores!$C$81</f>
        <v>1300</v>
      </c>
      <c r="AM9" s="81">
        <f>Valores!$C$50</f>
        <v>265.48</v>
      </c>
      <c r="AN9" s="83">
        <f t="shared" si="8"/>
        <v>1899.19</v>
      </c>
      <c r="AO9" s="84">
        <f>AI9*-Valores!$C$65</f>
        <v>-6758.712544999999</v>
      </c>
      <c r="AP9" s="84">
        <f>AI9*-Valores!$C$66</f>
        <v>-259.95048249999996</v>
      </c>
      <c r="AQ9" s="78">
        <f>AI9*-Valores!$C$67</f>
        <v>-2339.5543424999996</v>
      </c>
      <c r="AR9" s="78">
        <f>AI9*-Valores!$C$68</f>
        <v>-1403.7326054999999</v>
      </c>
      <c r="AS9" s="78">
        <f>AI9*-Valores!$C$69</f>
        <v>-155.97028949999998</v>
      </c>
      <c r="AT9" s="82">
        <f t="shared" si="4"/>
        <v>44531.069129999996</v>
      </c>
      <c r="AU9" s="82">
        <f t="shared" si="5"/>
        <v>45310.920577499994</v>
      </c>
      <c r="AV9" s="78">
        <f>AI9*Valores!$C$71</f>
        <v>8318.415439999999</v>
      </c>
      <c r="AW9" s="78">
        <f>AI9*Valores!$C$72</f>
        <v>2339.5543424999996</v>
      </c>
      <c r="AX9" s="78">
        <f>AI9*Valores!$C$73</f>
        <v>519.9009649999999</v>
      </c>
      <c r="AY9" s="78">
        <f>AI9*Valores!$C$75</f>
        <v>1819.6533774999998</v>
      </c>
      <c r="AZ9" s="78">
        <f>AI9*Valores!$C$76</f>
        <v>311.94057899999996</v>
      </c>
      <c r="BA9" s="78">
        <f aca="true" t="shared" si="9" ref="BA9:BA72">AI9*5.4/100</f>
        <v>2807.4652109999997</v>
      </c>
      <c r="BB9" s="52">
        <v>35</v>
      </c>
      <c r="BC9" s="52">
        <v>45</v>
      </c>
      <c r="BD9" s="28" t="s">
        <v>4</v>
      </c>
    </row>
    <row r="10" spans="1:56" s="28" customFormat="1" ht="11.25" customHeight="1">
      <c r="A10" s="52">
        <v>9</v>
      </c>
      <c r="B10" s="52"/>
      <c r="C10" s="28" t="s">
        <v>161</v>
      </c>
      <c r="E10" s="28">
        <f t="shared" si="0"/>
        <v>17</v>
      </c>
      <c r="F10" s="72" t="s">
        <v>162</v>
      </c>
      <c r="G10" s="73">
        <v>107</v>
      </c>
      <c r="H10" s="74">
        <f>INT((G10*Valores!$C$2*100)+0.5)/100</f>
        <v>709.67</v>
      </c>
      <c r="I10" s="75">
        <v>3779</v>
      </c>
      <c r="J10" s="76">
        <f>INT((I10*Valores!$C$2*100)+0.5)/100</f>
        <v>25063.84</v>
      </c>
      <c r="K10" s="77">
        <v>219</v>
      </c>
      <c r="L10" s="76">
        <f>INT((K10*Valores!$C$2*100)+0.5)/100</f>
        <v>1452.5</v>
      </c>
      <c r="M10" s="73">
        <v>0</v>
      </c>
      <c r="N10" s="76">
        <f>INT((M10*Valores!$C$2*100)+0.5)/100</f>
        <v>0</v>
      </c>
      <c r="O10" s="76">
        <f t="shared" si="1"/>
        <v>4359.8324999999995</v>
      </c>
      <c r="P10" s="76">
        <f t="shared" si="2"/>
        <v>0</v>
      </c>
      <c r="Q10" s="78">
        <f>Valores!$C$16</f>
        <v>4291.62</v>
      </c>
      <c r="R10" s="78">
        <f>Valores!$D$4</f>
        <v>2966.67</v>
      </c>
      <c r="S10" s="76">
        <v>0</v>
      </c>
      <c r="T10" s="79">
        <f>Valores!$C$43</f>
        <v>1839.54</v>
      </c>
      <c r="U10" s="76">
        <v>0</v>
      </c>
      <c r="V10" s="76">
        <f t="shared" si="3"/>
        <v>0</v>
      </c>
      <c r="W10" s="78">
        <f aca="true" t="shared" si="10" ref="W10:W19">SUM(H10,J10,L10)</f>
        <v>27226.01</v>
      </c>
      <c r="X10" s="78">
        <f aca="true" t="shared" si="11" ref="X10:X19">INT((SUM(H10,J10,L10)*0.4*100)+0.49)/100</f>
        <v>10890.4</v>
      </c>
      <c r="Y10" s="80">
        <v>0</v>
      </c>
      <c r="Z10" s="76">
        <f>Y10*Valores!$C$2</f>
        <v>0</v>
      </c>
      <c r="AA10" s="76">
        <v>0</v>
      </c>
      <c r="AB10" s="81">
        <f>Valores!$C$29</f>
        <v>160.21</v>
      </c>
      <c r="AC10" s="76">
        <f t="shared" si="6"/>
        <v>0</v>
      </c>
      <c r="AD10" s="76">
        <f>Valores!$C$30</f>
        <v>160.21</v>
      </c>
      <c r="AE10" s="80">
        <v>0</v>
      </c>
      <c r="AF10" s="76">
        <f>INT(((AE10*Valores!$C$2)*100)+0.5)/100</f>
        <v>0</v>
      </c>
      <c r="AG10" s="76">
        <f>Valores!$C$58</f>
        <v>325.89</v>
      </c>
      <c r="AH10" s="76">
        <f>Valores!$C$60</f>
        <v>93.11</v>
      </c>
      <c r="AI10" s="82">
        <f t="shared" si="7"/>
        <v>79539.5025</v>
      </c>
      <c r="AJ10" s="78">
        <f>Valores!$C$35</f>
        <v>599.19</v>
      </c>
      <c r="AK10" s="79">
        <f>Valores!$C$9</f>
        <v>0</v>
      </c>
      <c r="AL10" s="79">
        <f>Valores!$C$81</f>
        <v>1300</v>
      </c>
      <c r="AM10" s="81">
        <f>Valores!$C$50</f>
        <v>265.48</v>
      </c>
      <c r="AN10" s="83">
        <f t="shared" si="8"/>
        <v>1899.19</v>
      </c>
      <c r="AO10" s="84">
        <f>AI10*-Valores!$C$65</f>
        <v>-10340.135325000001</v>
      </c>
      <c r="AP10" s="84">
        <f>AI10*-Valores!$C$66</f>
        <v>-397.6975125</v>
      </c>
      <c r="AQ10" s="78">
        <f>AI10*-Valores!$C$67</f>
        <v>-3579.2776125</v>
      </c>
      <c r="AR10" s="78">
        <f>AI10*-Valores!$C$68</f>
        <v>-2147.5665675</v>
      </c>
      <c r="AS10" s="78">
        <f>AI10*-Valores!$C$69</f>
        <v>-238.61850750000002</v>
      </c>
      <c r="AT10" s="82">
        <f t="shared" si="4"/>
        <v>67121.58205000001</v>
      </c>
      <c r="AU10" s="82">
        <f t="shared" si="5"/>
        <v>68314.6745875</v>
      </c>
      <c r="AV10" s="78">
        <f>AI10*Valores!$C$71</f>
        <v>12726.3204</v>
      </c>
      <c r="AW10" s="78">
        <f>AI10*Valores!$C$72</f>
        <v>3579.2776125</v>
      </c>
      <c r="AX10" s="78">
        <f>AI10*Valores!$C$73</f>
        <v>795.395025</v>
      </c>
      <c r="AY10" s="78">
        <f>AI10*Valores!$C$75</f>
        <v>2783.8825875</v>
      </c>
      <c r="AZ10" s="78">
        <f>AI10*Valores!$C$76</f>
        <v>477.23701500000004</v>
      </c>
      <c r="BA10" s="78">
        <f t="shared" si="9"/>
        <v>4295.133135</v>
      </c>
      <c r="BB10" s="52">
        <v>33</v>
      </c>
      <c r="BC10" s="52">
        <v>45</v>
      </c>
      <c r="BD10" s="28" t="s">
        <v>8</v>
      </c>
    </row>
    <row r="11" spans="1:56" s="28" customFormat="1" ht="11.25" customHeight="1">
      <c r="A11" s="86">
        <v>10</v>
      </c>
      <c r="B11" s="86" t="s">
        <v>163</v>
      </c>
      <c r="C11" s="87" t="s">
        <v>164</v>
      </c>
      <c r="D11" s="87"/>
      <c r="E11" s="87">
        <f t="shared" si="0"/>
        <v>17</v>
      </c>
      <c r="F11" s="88" t="s">
        <v>165</v>
      </c>
      <c r="G11" s="89">
        <v>107</v>
      </c>
      <c r="H11" s="90">
        <f>INT((G11*Valores!$C$2*100)+0.5)/100</f>
        <v>709.67</v>
      </c>
      <c r="I11" s="91">
        <v>3779</v>
      </c>
      <c r="J11" s="92">
        <f>INT((I11*Valores!$C$2*100)+0.5)/100</f>
        <v>25063.84</v>
      </c>
      <c r="K11" s="93">
        <v>219</v>
      </c>
      <c r="L11" s="92">
        <f>INT((K11*Valores!$C$2*100)+0.5)/100</f>
        <v>1452.5</v>
      </c>
      <c r="M11" s="89">
        <v>0</v>
      </c>
      <c r="N11" s="92">
        <f>INT((M11*Valores!$C$2*100)+0.5)/100</f>
        <v>0</v>
      </c>
      <c r="O11" s="92">
        <f t="shared" si="1"/>
        <v>4359.8324999999995</v>
      </c>
      <c r="P11" s="92">
        <f t="shared" si="2"/>
        <v>0</v>
      </c>
      <c r="Q11" s="94">
        <f>Valores!$C$16</f>
        <v>4291.62</v>
      </c>
      <c r="R11" s="94">
        <f>Valores!$D$4</f>
        <v>2966.67</v>
      </c>
      <c r="S11" s="92">
        <v>0</v>
      </c>
      <c r="T11" s="95">
        <f>Valores!$C$43</f>
        <v>1839.54</v>
      </c>
      <c r="U11" s="92">
        <v>0</v>
      </c>
      <c r="V11" s="92">
        <f t="shared" si="3"/>
        <v>0</v>
      </c>
      <c r="W11" s="94">
        <f t="shared" si="10"/>
        <v>27226.01</v>
      </c>
      <c r="X11" s="94">
        <f t="shared" si="11"/>
        <v>10890.4</v>
      </c>
      <c r="Y11" s="96">
        <v>0</v>
      </c>
      <c r="Z11" s="92">
        <f>Y11*Valores!$C$2</f>
        <v>0</v>
      </c>
      <c r="AA11" s="92">
        <v>0</v>
      </c>
      <c r="AB11" s="97">
        <f>Valores!$C$29</f>
        <v>160.21</v>
      </c>
      <c r="AC11" s="92">
        <f t="shared" si="6"/>
        <v>0</v>
      </c>
      <c r="AD11" s="92">
        <f>Valores!$C$30</f>
        <v>160.21</v>
      </c>
      <c r="AE11" s="96">
        <v>0</v>
      </c>
      <c r="AF11" s="92">
        <f>INT(((AE11*Valores!$C$2)*100)+0.5)/100</f>
        <v>0</v>
      </c>
      <c r="AG11" s="92">
        <f>Valores!$C$58</f>
        <v>325.89</v>
      </c>
      <c r="AH11" s="92">
        <f>Valores!$C$60</f>
        <v>93.11</v>
      </c>
      <c r="AI11" s="98">
        <f t="shared" si="7"/>
        <v>79539.5025</v>
      </c>
      <c r="AJ11" s="94">
        <f>Valores!$C$35</f>
        <v>599.19</v>
      </c>
      <c r="AK11" s="95">
        <f>Valores!$C$9</f>
        <v>0</v>
      </c>
      <c r="AL11" s="95">
        <f>Valores!$C$81</f>
        <v>1300</v>
      </c>
      <c r="AM11" s="97">
        <f>Valores!$C$50</f>
        <v>265.48</v>
      </c>
      <c r="AN11" s="99">
        <f t="shared" si="8"/>
        <v>1899.19</v>
      </c>
      <c r="AO11" s="100">
        <f>AI11*-Valores!$C$65</f>
        <v>-10340.135325000001</v>
      </c>
      <c r="AP11" s="100">
        <f>AI11*-Valores!$C$66</f>
        <v>-397.6975125</v>
      </c>
      <c r="AQ11" s="94">
        <f>AI11*-Valores!$C$67</f>
        <v>-3579.2776125</v>
      </c>
      <c r="AR11" s="94">
        <f>AI11*-Valores!$C$68</f>
        <v>-2147.5665675</v>
      </c>
      <c r="AS11" s="94">
        <f>AI11*-Valores!$C$69</f>
        <v>-238.61850750000002</v>
      </c>
      <c r="AT11" s="98">
        <f t="shared" si="4"/>
        <v>67121.58205000001</v>
      </c>
      <c r="AU11" s="98">
        <f t="shared" si="5"/>
        <v>68314.6745875</v>
      </c>
      <c r="AV11" s="94">
        <f>AI11*Valores!$C$71</f>
        <v>12726.3204</v>
      </c>
      <c r="AW11" s="94">
        <f>AI11*Valores!$C$72</f>
        <v>3579.2776125</v>
      </c>
      <c r="AX11" s="94">
        <f>AI11*Valores!$C$73</f>
        <v>795.395025</v>
      </c>
      <c r="AY11" s="94">
        <f>AI11*Valores!$C$75</f>
        <v>2783.8825875</v>
      </c>
      <c r="AZ11" s="94">
        <f>AI11*Valores!$C$76</f>
        <v>477.23701500000004</v>
      </c>
      <c r="BA11" s="94">
        <f t="shared" si="9"/>
        <v>4295.133135</v>
      </c>
      <c r="BB11" s="86">
        <v>33</v>
      </c>
      <c r="BC11" s="86">
        <v>45</v>
      </c>
      <c r="BD11" s="87" t="s">
        <v>8</v>
      </c>
    </row>
    <row r="12" spans="1:56" s="28" customFormat="1" ht="11.25" customHeight="1">
      <c r="A12" s="52">
        <v>11</v>
      </c>
      <c r="B12" s="52"/>
      <c r="C12" s="28" t="s">
        <v>166</v>
      </c>
      <c r="E12" s="28">
        <f t="shared" si="0"/>
        <v>17</v>
      </c>
      <c r="F12" s="72" t="s">
        <v>167</v>
      </c>
      <c r="G12" s="73">
        <v>107</v>
      </c>
      <c r="H12" s="74">
        <f>INT((G12*Valores!$C$2*100)+0.5)/100</f>
        <v>709.67</v>
      </c>
      <c r="I12" s="75">
        <v>3779</v>
      </c>
      <c r="J12" s="76">
        <f>INT((I12*Valores!$C$2*100)+0.5)/100</f>
        <v>25063.84</v>
      </c>
      <c r="K12" s="77">
        <v>219</v>
      </c>
      <c r="L12" s="76">
        <f>INT((K12*Valores!$C$2*100)+0.5)/100</f>
        <v>1452.5</v>
      </c>
      <c r="M12" s="73">
        <v>0</v>
      </c>
      <c r="N12" s="76">
        <f>INT((M12*Valores!$C$2*100)+0.5)/100</f>
        <v>0</v>
      </c>
      <c r="O12" s="76">
        <f t="shared" si="1"/>
        <v>4359.8324999999995</v>
      </c>
      <c r="P12" s="76">
        <f t="shared" si="2"/>
        <v>0</v>
      </c>
      <c r="Q12" s="78">
        <f>Valores!$C$16</f>
        <v>4291.62</v>
      </c>
      <c r="R12" s="78">
        <f>Valores!$D$4</f>
        <v>2966.67</v>
      </c>
      <c r="S12" s="76">
        <v>0</v>
      </c>
      <c r="T12" s="79">
        <f>Valores!$C$43</f>
        <v>1839.54</v>
      </c>
      <c r="U12" s="76">
        <v>0</v>
      </c>
      <c r="V12" s="76">
        <f t="shared" si="3"/>
        <v>0</v>
      </c>
      <c r="W12" s="78">
        <f t="shared" si="10"/>
        <v>27226.01</v>
      </c>
      <c r="X12" s="78">
        <f t="shared" si="11"/>
        <v>10890.4</v>
      </c>
      <c r="Y12" s="80">
        <v>0</v>
      </c>
      <c r="Z12" s="76">
        <f>Y12*Valores!$C$2</f>
        <v>0</v>
      </c>
      <c r="AA12" s="76">
        <v>0</v>
      </c>
      <c r="AB12" s="81">
        <f>Valores!$C$29</f>
        <v>160.21</v>
      </c>
      <c r="AC12" s="76">
        <f t="shared" si="6"/>
        <v>0</v>
      </c>
      <c r="AD12" s="76">
        <f>Valores!$C$30</f>
        <v>160.21</v>
      </c>
      <c r="AE12" s="80">
        <v>0</v>
      </c>
      <c r="AF12" s="76">
        <f>INT(((AE12*Valores!$C$2)*100)+0.5)/100</f>
        <v>0</v>
      </c>
      <c r="AG12" s="76">
        <f>Valores!$C$58</f>
        <v>325.89</v>
      </c>
      <c r="AH12" s="76">
        <f>Valores!$C$60</f>
        <v>93.11</v>
      </c>
      <c r="AI12" s="82">
        <f t="shared" si="7"/>
        <v>79539.5025</v>
      </c>
      <c r="AJ12" s="78">
        <f>Valores!$C$35</f>
        <v>599.19</v>
      </c>
      <c r="AK12" s="79">
        <f>Valores!$C$9</f>
        <v>0</v>
      </c>
      <c r="AL12" s="79">
        <f>Valores!$C$81</f>
        <v>1300</v>
      </c>
      <c r="AM12" s="81">
        <f>Valores!$C$50</f>
        <v>265.48</v>
      </c>
      <c r="AN12" s="83">
        <f t="shared" si="8"/>
        <v>1899.19</v>
      </c>
      <c r="AO12" s="84">
        <f>AI12*-Valores!$C$65</f>
        <v>-10340.135325000001</v>
      </c>
      <c r="AP12" s="84">
        <f>AI12*-Valores!$C$66</f>
        <v>-397.6975125</v>
      </c>
      <c r="AQ12" s="78">
        <f>AI12*-Valores!$C$67</f>
        <v>-3579.2776125</v>
      </c>
      <c r="AR12" s="78">
        <f>AI12*-Valores!$C$68</f>
        <v>-2147.5665675</v>
      </c>
      <c r="AS12" s="78">
        <f>AI12*-Valores!$C$69</f>
        <v>-238.61850750000002</v>
      </c>
      <c r="AT12" s="82">
        <f t="shared" si="4"/>
        <v>67121.58205000001</v>
      </c>
      <c r="AU12" s="82">
        <f t="shared" si="5"/>
        <v>68314.6745875</v>
      </c>
      <c r="AV12" s="78">
        <f>AI12*Valores!$C$71</f>
        <v>12726.3204</v>
      </c>
      <c r="AW12" s="78">
        <f>AI12*Valores!$C$72</f>
        <v>3579.2776125</v>
      </c>
      <c r="AX12" s="78">
        <f>AI12*Valores!$C$73</f>
        <v>795.395025</v>
      </c>
      <c r="AY12" s="78">
        <f>AI12*Valores!$C$75</f>
        <v>2783.8825875</v>
      </c>
      <c r="AZ12" s="78">
        <f>AI12*Valores!$C$76</f>
        <v>477.23701500000004</v>
      </c>
      <c r="BA12" s="78">
        <f t="shared" si="9"/>
        <v>4295.133135</v>
      </c>
      <c r="BB12" s="52">
        <v>33</v>
      </c>
      <c r="BC12" s="52">
        <v>45</v>
      </c>
      <c r="BD12" s="28" t="s">
        <v>8</v>
      </c>
    </row>
    <row r="13" spans="1:56" s="28" customFormat="1" ht="11.25" customHeight="1">
      <c r="A13" s="52">
        <v>12</v>
      </c>
      <c r="B13" s="52"/>
      <c r="C13" s="28" t="s">
        <v>168</v>
      </c>
      <c r="E13" s="28">
        <f t="shared" si="0"/>
        <v>14</v>
      </c>
      <c r="F13" s="72" t="s">
        <v>169</v>
      </c>
      <c r="G13" s="73">
        <v>107</v>
      </c>
      <c r="H13" s="74">
        <f>INT((G13*Valores!$C$2*100)+0.5)/100</f>
        <v>709.67</v>
      </c>
      <c r="I13" s="75">
        <v>3779</v>
      </c>
      <c r="J13" s="76">
        <f>INT((I13*Valores!$C$2*100)+0.5)/100</f>
        <v>25063.84</v>
      </c>
      <c r="K13" s="77">
        <v>219</v>
      </c>
      <c r="L13" s="76">
        <f>INT((K13*Valores!$C$2*100)+0.5)/100</f>
        <v>1452.5</v>
      </c>
      <c r="M13" s="73">
        <v>0</v>
      </c>
      <c r="N13" s="76">
        <f>INT((M13*Valores!$C$2*100)+0.5)/100</f>
        <v>0</v>
      </c>
      <c r="O13" s="76">
        <f t="shared" si="1"/>
        <v>4359.8324999999995</v>
      </c>
      <c r="P13" s="76">
        <f t="shared" si="2"/>
        <v>0</v>
      </c>
      <c r="Q13" s="78">
        <f>Valores!$C$16</f>
        <v>4291.62</v>
      </c>
      <c r="R13" s="78">
        <f>Valores!$D$4</f>
        <v>2966.67</v>
      </c>
      <c r="S13" s="76">
        <v>0</v>
      </c>
      <c r="T13" s="79">
        <f>Valores!$C$43</f>
        <v>1839.54</v>
      </c>
      <c r="U13" s="76">
        <v>0</v>
      </c>
      <c r="V13" s="76">
        <f t="shared" si="3"/>
        <v>0</v>
      </c>
      <c r="W13" s="78">
        <f t="shared" si="10"/>
        <v>27226.01</v>
      </c>
      <c r="X13" s="78">
        <f t="shared" si="11"/>
        <v>10890.4</v>
      </c>
      <c r="Y13" s="80">
        <v>0</v>
      </c>
      <c r="Z13" s="76">
        <f>Y13*Valores!$C$2</f>
        <v>0</v>
      </c>
      <c r="AA13" s="76">
        <v>0</v>
      </c>
      <c r="AB13" s="81">
        <f>Valores!$C$29</f>
        <v>160.21</v>
      </c>
      <c r="AC13" s="76">
        <f t="shared" si="6"/>
        <v>0</v>
      </c>
      <c r="AD13" s="76">
        <f>Valores!$C$30</f>
        <v>160.21</v>
      </c>
      <c r="AE13" s="80">
        <v>0</v>
      </c>
      <c r="AF13" s="76">
        <f>INT(((AE13*Valores!$C$2)*100)+0.5)/100</f>
        <v>0</v>
      </c>
      <c r="AG13" s="76">
        <f>Valores!$C$58</f>
        <v>325.89</v>
      </c>
      <c r="AH13" s="76">
        <f>Valores!$C$60</f>
        <v>93.11</v>
      </c>
      <c r="AI13" s="82">
        <f t="shared" si="7"/>
        <v>79539.5025</v>
      </c>
      <c r="AJ13" s="78">
        <f>Valores!$C$35</f>
        <v>599.19</v>
      </c>
      <c r="AK13" s="79">
        <f>Valores!$C$9</f>
        <v>0</v>
      </c>
      <c r="AL13" s="79">
        <f>Valores!$C$81</f>
        <v>1300</v>
      </c>
      <c r="AM13" s="81">
        <f>Valores!$C$50</f>
        <v>265.48</v>
      </c>
      <c r="AN13" s="83">
        <f t="shared" si="8"/>
        <v>1899.19</v>
      </c>
      <c r="AO13" s="84">
        <f>AI13*-Valores!$C$65</f>
        <v>-10340.135325000001</v>
      </c>
      <c r="AP13" s="84">
        <f>AI13*-Valores!$C$66</f>
        <v>-397.6975125</v>
      </c>
      <c r="AQ13" s="78">
        <f>AI13*-Valores!$C$67</f>
        <v>-3579.2776125</v>
      </c>
      <c r="AR13" s="78">
        <f>AI13*-Valores!$C$68</f>
        <v>-2147.5665675</v>
      </c>
      <c r="AS13" s="78">
        <f>AI13*-Valores!$C$69</f>
        <v>-238.61850750000002</v>
      </c>
      <c r="AT13" s="82">
        <f t="shared" si="4"/>
        <v>67121.58205000001</v>
      </c>
      <c r="AU13" s="82">
        <f t="shared" si="5"/>
        <v>68314.6745875</v>
      </c>
      <c r="AV13" s="78">
        <f>AI13*Valores!$C$71</f>
        <v>12726.3204</v>
      </c>
      <c r="AW13" s="78">
        <f>AI13*Valores!$C$72</f>
        <v>3579.2776125</v>
      </c>
      <c r="AX13" s="78">
        <f>AI13*Valores!$C$73</f>
        <v>795.395025</v>
      </c>
      <c r="AY13" s="78">
        <f>AI13*Valores!$C$75</f>
        <v>2783.8825875</v>
      </c>
      <c r="AZ13" s="78">
        <f>AI13*Valores!$C$76</f>
        <v>477.23701500000004</v>
      </c>
      <c r="BA13" s="78">
        <f t="shared" si="9"/>
        <v>4295.133135</v>
      </c>
      <c r="BB13" s="52">
        <v>33</v>
      </c>
      <c r="BC13" s="52">
        <v>45</v>
      </c>
      <c r="BD13" s="28" t="s">
        <v>8</v>
      </c>
    </row>
    <row r="14" spans="1:56" s="28" customFormat="1" ht="11.25" customHeight="1">
      <c r="A14" s="52">
        <v>13</v>
      </c>
      <c r="B14" s="52"/>
      <c r="C14" s="28" t="s">
        <v>170</v>
      </c>
      <c r="E14" s="28">
        <f t="shared" si="0"/>
        <v>15</v>
      </c>
      <c r="F14" s="72" t="s">
        <v>171</v>
      </c>
      <c r="G14" s="73">
        <v>107</v>
      </c>
      <c r="H14" s="74">
        <f>INT((G14*Valores!$C$2*100)+0.5)/100</f>
        <v>709.67</v>
      </c>
      <c r="I14" s="75">
        <v>3779</v>
      </c>
      <c r="J14" s="76">
        <f>INT((I14*Valores!$C$2*100)+0.5)/100</f>
        <v>25063.84</v>
      </c>
      <c r="K14" s="77">
        <v>219</v>
      </c>
      <c r="L14" s="76">
        <f>INT((K14*Valores!$C$2*100)+0.5)/100</f>
        <v>1452.5</v>
      </c>
      <c r="M14" s="73">
        <v>0</v>
      </c>
      <c r="N14" s="76">
        <f>INT((M14*Valores!$C$2*100)+0.5)/100</f>
        <v>0</v>
      </c>
      <c r="O14" s="76">
        <f t="shared" si="1"/>
        <v>4359.8324999999995</v>
      </c>
      <c r="P14" s="76">
        <f t="shared" si="2"/>
        <v>0</v>
      </c>
      <c r="Q14" s="78">
        <f>Valores!$C$16</f>
        <v>4291.62</v>
      </c>
      <c r="R14" s="78">
        <f>Valores!$D$4</f>
        <v>2966.67</v>
      </c>
      <c r="S14" s="76">
        <v>0</v>
      </c>
      <c r="T14" s="79">
        <f>Valores!$C$43</f>
        <v>1839.54</v>
      </c>
      <c r="U14" s="76">
        <v>0</v>
      </c>
      <c r="V14" s="76">
        <f t="shared" si="3"/>
        <v>0</v>
      </c>
      <c r="W14" s="78">
        <f t="shared" si="10"/>
        <v>27226.01</v>
      </c>
      <c r="X14" s="78">
        <f t="shared" si="11"/>
        <v>10890.4</v>
      </c>
      <c r="Y14" s="80">
        <v>0</v>
      </c>
      <c r="Z14" s="76">
        <f>Y14*Valores!$C$2</f>
        <v>0</v>
      </c>
      <c r="AA14" s="76">
        <v>0</v>
      </c>
      <c r="AB14" s="81">
        <f>Valores!$C$29</f>
        <v>160.21</v>
      </c>
      <c r="AC14" s="76">
        <f t="shared" si="6"/>
        <v>0</v>
      </c>
      <c r="AD14" s="76">
        <f>Valores!$C$30</f>
        <v>160.21</v>
      </c>
      <c r="AE14" s="80">
        <v>0</v>
      </c>
      <c r="AF14" s="76">
        <f>INT(((AE14*Valores!$C$2)*100)+0.5)/100</f>
        <v>0</v>
      </c>
      <c r="AG14" s="76">
        <f>Valores!$C$58</f>
        <v>325.89</v>
      </c>
      <c r="AH14" s="76">
        <f>Valores!$C$60</f>
        <v>93.11</v>
      </c>
      <c r="AI14" s="82">
        <f t="shared" si="7"/>
        <v>79539.5025</v>
      </c>
      <c r="AJ14" s="78">
        <f>Valores!$C$35</f>
        <v>599.19</v>
      </c>
      <c r="AK14" s="79">
        <f>Valores!$C$9</f>
        <v>0</v>
      </c>
      <c r="AL14" s="79">
        <f>Valores!$C$81</f>
        <v>1300</v>
      </c>
      <c r="AM14" s="81">
        <f>Valores!$C$50</f>
        <v>265.48</v>
      </c>
      <c r="AN14" s="83">
        <f t="shared" si="8"/>
        <v>1899.19</v>
      </c>
      <c r="AO14" s="84">
        <f>AI14*-Valores!$C$65</f>
        <v>-10340.135325000001</v>
      </c>
      <c r="AP14" s="84">
        <f>AI14*-Valores!$C$66</f>
        <v>-397.6975125</v>
      </c>
      <c r="AQ14" s="78">
        <f>AI14*-Valores!$C$67</f>
        <v>-3579.2776125</v>
      </c>
      <c r="AR14" s="78">
        <f>AI14*-Valores!$C$68</f>
        <v>-2147.5665675</v>
      </c>
      <c r="AS14" s="78">
        <f>AI14*-Valores!$C$69</f>
        <v>-238.61850750000002</v>
      </c>
      <c r="AT14" s="82">
        <f t="shared" si="4"/>
        <v>67121.58205000001</v>
      </c>
      <c r="AU14" s="82">
        <f t="shared" si="5"/>
        <v>68314.6745875</v>
      </c>
      <c r="AV14" s="78">
        <f>AI14*Valores!$C$71</f>
        <v>12726.3204</v>
      </c>
      <c r="AW14" s="78">
        <f>AI14*Valores!$C$72</f>
        <v>3579.2776125</v>
      </c>
      <c r="AX14" s="78">
        <f>AI14*Valores!$C$73</f>
        <v>795.395025</v>
      </c>
      <c r="AY14" s="78">
        <f>AI14*Valores!$C$75</f>
        <v>2783.8825875</v>
      </c>
      <c r="AZ14" s="78">
        <f>AI14*Valores!$C$76</f>
        <v>477.23701500000004</v>
      </c>
      <c r="BA14" s="78">
        <f t="shared" si="9"/>
        <v>4295.133135</v>
      </c>
      <c r="BB14" s="52">
        <v>33</v>
      </c>
      <c r="BC14" s="52">
        <v>45</v>
      </c>
      <c r="BD14" s="28" t="s">
        <v>8</v>
      </c>
    </row>
    <row r="15" spans="1:56" s="28" customFormat="1" ht="11.25" customHeight="1">
      <c r="A15" s="52">
        <v>14</v>
      </c>
      <c r="B15" s="52"/>
      <c r="C15" s="28" t="s">
        <v>172</v>
      </c>
      <c r="E15" s="28">
        <f t="shared" si="0"/>
        <v>20</v>
      </c>
      <c r="F15" s="72" t="s">
        <v>173</v>
      </c>
      <c r="G15" s="73">
        <v>100</v>
      </c>
      <c r="H15" s="74">
        <f>INT((G15*Valores!$C$2*100)+0.5)/100</f>
        <v>663.24</v>
      </c>
      <c r="I15" s="75">
        <v>3727</v>
      </c>
      <c r="J15" s="76">
        <f>INT((I15*Valores!$C$2*100)+0.5)/100</f>
        <v>24718.95</v>
      </c>
      <c r="K15" s="77">
        <v>219</v>
      </c>
      <c r="L15" s="76">
        <f>INT((K15*Valores!$C$2*100)+0.5)/100</f>
        <v>1452.5</v>
      </c>
      <c r="M15" s="73">
        <v>0</v>
      </c>
      <c r="N15" s="76">
        <f>INT((M15*Valores!$C$2*100)+0.5)/100</f>
        <v>0</v>
      </c>
      <c r="O15" s="76">
        <f t="shared" si="1"/>
        <v>4301.1345</v>
      </c>
      <c r="P15" s="76">
        <f t="shared" si="2"/>
        <v>0</v>
      </c>
      <c r="Q15" s="78">
        <f>Valores!$C$16</f>
        <v>4291.62</v>
      </c>
      <c r="R15" s="78">
        <f>Valores!$D$4</f>
        <v>2966.67</v>
      </c>
      <c r="S15" s="76">
        <v>0</v>
      </c>
      <c r="T15" s="79">
        <f>Valores!$C$43</f>
        <v>1839.54</v>
      </c>
      <c r="U15" s="76">
        <v>0</v>
      </c>
      <c r="V15" s="76">
        <f t="shared" si="3"/>
        <v>0</v>
      </c>
      <c r="W15" s="78">
        <f t="shared" si="10"/>
        <v>26834.690000000002</v>
      </c>
      <c r="X15" s="78">
        <f t="shared" si="11"/>
        <v>10733.88</v>
      </c>
      <c r="Y15" s="80">
        <v>0</v>
      </c>
      <c r="Z15" s="76">
        <f>Y15*Valores!$C$2</f>
        <v>0</v>
      </c>
      <c r="AA15" s="76">
        <v>0</v>
      </c>
      <c r="AB15" s="81">
        <f>Valores!$C$29</f>
        <v>160.21</v>
      </c>
      <c r="AC15" s="76">
        <f t="shared" si="6"/>
        <v>0</v>
      </c>
      <c r="AD15" s="76">
        <f>Valores!$C$30</f>
        <v>160.21</v>
      </c>
      <c r="AE15" s="80">
        <v>0</v>
      </c>
      <c r="AF15" s="76">
        <f>INT(((AE15*Valores!$C$2)*100)+0.5)/100</f>
        <v>0</v>
      </c>
      <c r="AG15" s="76">
        <f>Valores!$C$58</f>
        <v>325.89</v>
      </c>
      <c r="AH15" s="76">
        <f>Valores!$C$60</f>
        <v>93.11</v>
      </c>
      <c r="AI15" s="82">
        <f t="shared" si="7"/>
        <v>78541.64450000001</v>
      </c>
      <c r="AJ15" s="78">
        <f>Valores!$C$35</f>
        <v>599.19</v>
      </c>
      <c r="AK15" s="79">
        <f>Valores!$C$9</f>
        <v>0</v>
      </c>
      <c r="AL15" s="79">
        <f>Valores!$C$81</f>
        <v>1300</v>
      </c>
      <c r="AM15" s="81">
        <f>Valores!$C$50</f>
        <v>265.48</v>
      </c>
      <c r="AN15" s="83">
        <f t="shared" si="8"/>
        <v>1899.19</v>
      </c>
      <c r="AO15" s="84">
        <f>AI15*-Valores!$C$65</f>
        <v>-10210.413785000002</v>
      </c>
      <c r="AP15" s="84">
        <f>AI15*-Valores!$C$66</f>
        <v>-392.70822250000003</v>
      </c>
      <c r="AQ15" s="78">
        <f>AI15*-Valores!$C$67</f>
        <v>-3534.3740025</v>
      </c>
      <c r="AR15" s="78">
        <f>AI15*-Valores!$C$68</f>
        <v>-2120.6244015</v>
      </c>
      <c r="AS15" s="78">
        <f>AI15*-Valores!$C$69</f>
        <v>-235.62493350000003</v>
      </c>
      <c r="AT15" s="82">
        <f t="shared" si="4"/>
        <v>66303.33849000001</v>
      </c>
      <c r="AU15" s="82">
        <f t="shared" si="5"/>
        <v>67481.46315750001</v>
      </c>
      <c r="AV15" s="78">
        <f>AI15*Valores!$C$71</f>
        <v>12566.663120000001</v>
      </c>
      <c r="AW15" s="78">
        <f>AI15*Valores!$C$72</f>
        <v>3534.3740025</v>
      </c>
      <c r="AX15" s="78">
        <f>AI15*Valores!$C$73</f>
        <v>785.4164450000001</v>
      </c>
      <c r="AY15" s="78">
        <f>AI15*Valores!$C$75</f>
        <v>2748.957557500001</v>
      </c>
      <c r="AZ15" s="78">
        <f>AI15*Valores!$C$76</f>
        <v>471.24986700000005</v>
      </c>
      <c r="BA15" s="78">
        <f t="shared" si="9"/>
        <v>4241.248803</v>
      </c>
      <c r="BB15" s="52">
        <v>33</v>
      </c>
      <c r="BC15" s="52">
        <v>45</v>
      </c>
      <c r="BD15" s="28" t="s">
        <v>8</v>
      </c>
    </row>
    <row r="16" spans="1:56" s="28" customFormat="1" ht="11.25" customHeight="1">
      <c r="A16" s="86">
        <v>15</v>
      </c>
      <c r="B16" s="86" t="s">
        <v>163</v>
      </c>
      <c r="C16" s="87" t="s">
        <v>174</v>
      </c>
      <c r="D16" s="87"/>
      <c r="E16" s="87">
        <f t="shared" si="0"/>
        <v>22</v>
      </c>
      <c r="F16" s="88" t="s">
        <v>175</v>
      </c>
      <c r="G16" s="89">
        <v>100</v>
      </c>
      <c r="H16" s="90">
        <f>INT((G16*Valores!$C$2*100)+0.5)/100</f>
        <v>663.24</v>
      </c>
      <c r="I16" s="91">
        <v>3727</v>
      </c>
      <c r="J16" s="92">
        <f>INT((I16*Valores!$C$2*100)+0.5)/100</f>
        <v>24718.95</v>
      </c>
      <c r="K16" s="93">
        <v>219</v>
      </c>
      <c r="L16" s="92">
        <f>INT((K16*Valores!$C$2*100)+0.5)/100</f>
        <v>1452.5</v>
      </c>
      <c r="M16" s="89">
        <v>0</v>
      </c>
      <c r="N16" s="92">
        <f>INT((M16*Valores!$C$2*100)+0.5)/100</f>
        <v>0</v>
      </c>
      <c r="O16" s="92">
        <f t="shared" si="1"/>
        <v>4301.1345</v>
      </c>
      <c r="P16" s="92">
        <f t="shared" si="2"/>
        <v>0</v>
      </c>
      <c r="Q16" s="94">
        <f>Valores!$C$16</f>
        <v>4291.62</v>
      </c>
      <c r="R16" s="94">
        <f>Valores!$D$4</f>
        <v>2966.67</v>
      </c>
      <c r="S16" s="92">
        <v>0</v>
      </c>
      <c r="T16" s="95">
        <f>Valores!$C$43</f>
        <v>1839.54</v>
      </c>
      <c r="U16" s="92">
        <v>0</v>
      </c>
      <c r="V16" s="92">
        <f t="shared" si="3"/>
        <v>0</v>
      </c>
      <c r="W16" s="94">
        <f t="shared" si="10"/>
        <v>26834.690000000002</v>
      </c>
      <c r="X16" s="94">
        <f t="shared" si="11"/>
        <v>10733.88</v>
      </c>
      <c r="Y16" s="96">
        <v>0</v>
      </c>
      <c r="Z16" s="92">
        <f>Y16*Valores!$C$2</f>
        <v>0</v>
      </c>
      <c r="AA16" s="92">
        <v>0</v>
      </c>
      <c r="AB16" s="97">
        <f>Valores!$C$29</f>
        <v>160.21</v>
      </c>
      <c r="AC16" s="92">
        <f t="shared" si="6"/>
        <v>0</v>
      </c>
      <c r="AD16" s="92">
        <f>Valores!$C$30</f>
        <v>160.21</v>
      </c>
      <c r="AE16" s="96">
        <v>0</v>
      </c>
      <c r="AF16" s="92">
        <f>INT(((AE16*Valores!$C$2)*100)+0.5)/100</f>
        <v>0</v>
      </c>
      <c r="AG16" s="92">
        <f>Valores!$C$58</f>
        <v>325.89</v>
      </c>
      <c r="AH16" s="92">
        <f>Valores!$C$60</f>
        <v>93.11</v>
      </c>
      <c r="AI16" s="98">
        <f t="shared" si="7"/>
        <v>78541.64450000001</v>
      </c>
      <c r="AJ16" s="94">
        <f>Valores!$C$35</f>
        <v>599.19</v>
      </c>
      <c r="AK16" s="95">
        <f>Valores!$C$9</f>
        <v>0</v>
      </c>
      <c r="AL16" s="95">
        <f>Valores!$C$81</f>
        <v>1300</v>
      </c>
      <c r="AM16" s="97">
        <f>Valores!$C$50</f>
        <v>265.48</v>
      </c>
      <c r="AN16" s="99">
        <f t="shared" si="8"/>
        <v>1899.19</v>
      </c>
      <c r="AO16" s="100">
        <f>AI16*-Valores!$C$65</f>
        <v>-10210.413785000002</v>
      </c>
      <c r="AP16" s="100">
        <f>AI16*-Valores!$C$66</f>
        <v>-392.70822250000003</v>
      </c>
      <c r="AQ16" s="94">
        <f>AI16*-Valores!$C$67</f>
        <v>-3534.3740025</v>
      </c>
      <c r="AR16" s="94">
        <f>AI16*-Valores!$C$68</f>
        <v>-2120.6244015</v>
      </c>
      <c r="AS16" s="94">
        <f>AI16*-Valores!$C$69</f>
        <v>-235.62493350000003</v>
      </c>
      <c r="AT16" s="98">
        <f t="shared" si="4"/>
        <v>66303.33849000001</v>
      </c>
      <c r="AU16" s="98">
        <f t="shared" si="5"/>
        <v>67481.46315750001</v>
      </c>
      <c r="AV16" s="94">
        <f>AI16*Valores!$C$71</f>
        <v>12566.663120000001</v>
      </c>
      <c r="AW16" s="94">
        <f>AI16*Valores!$C$72</f>
        <v>3534.3740025</v>
      </c>
      <c r="AX16" s="94">
        <f>AI16*Valores!$C$73</f>
        <v>785.4164450000001</v>
      </c>
      <c r="AY16" s="94">
        <f>AI16*Valores!$C$75</f>
        <v>2748.957557500001</v>
      </c>
      <c r="AZ16" s="94">
        <f>AI16*Valores!$C$76</f>
        <v>471.24986700000005</v>
      </c>
      <c r="BA16" s="94">
        <f t="shared" si="9"/>
        <v>4241.248803</v>
      </c>
      <c r="BB16" s="86">
        <v>33</v>
      </c>
      <c r="BC16" s="86">
        <v>45</v>
      </c>
      <c r="BD16" s="87" t="s">
        <v>8</v>
      </c>
    </row>
    <row r="17" spans="1:56" s="28" customFormat="1" ht="11.25" customHeight="1">
      <c r="A17" s="52">
        <v>16</v>
      </c>
      <c r="B17" s="52"/>
      <c r="C17" s="28" t="s">
        <v>176</v>
      </c>
      <c r="E17" s="28">
        <f t="shared" si="0"/>
        <v>30</v>
      </c>
      <c r="F17" s="72" t="s">
        <v>177</v>
      </c>
      <c r="G17" s="73">
        <v>100</v>
      </c>
      <c r="H17" s="74">
        <f>INT((G17*Valores!$C$2*100)+0.5)/100</f>
        <v>663.24</v>
      </c>
      <c r="I17" s="75">
        <v>3727</v>
      </c>
      <c r="J17" s="76">
        <f>INT((I17*Valores!$C$2*100)+0.5)/100</f>
        <v>24718.95</v>
      </c>
      <c r="K17" s="77">
        <v>219</v>
      </c>
      <c r="L17" s="76">
        <f>INT((K17*Valores!$C$2*100)+0.5)/100</f>
        <v>1452.5</v>
      </c>
      <c r="M17" s="73">
        <v>0</v>
      </c>
      <c r="N17" s="76">
        <f>INT((M17*Valores!$C$2*100)+0.5)/100</f>
        <v>0</v>
      </c>
      <c r="O17" s="76">
        <f t="shared" si="1"/>
        <v>4301.1345</v>
      </c>
      <c r="P17" s="76">
        <f t="shared" si="2"/>
        <v>0</v>
      </c>
      <c r="Q17" s="78">
        <f>Valores!$C$16</f>
        <v>4291.62</v>
      </c>
      <c r="R17" s="78">
        <f>Valores!$D$4</f>
        <v>2966.67</v>
      </c>
      <c r="S17" s="76">
        <v>0</v>
      </c>
      <c r="T17" s="79">
        <f>Valores!$C$43</f>
        <v>1839.54</v>
      </c>
      <c r="U17" s="76">
        <v>0</v>
      </c>
      <c r="V17" s="76">
        <f t="shared" si="3"/>
        <v>0</v>
      </c>
      <c r="W17" s="78">
        <f t="shared" si="10"/>
        <v>26834.690000000002</v>
      </c>
      <c r="X17" s="78">
        <f t="shared" si="11"/>
        <v>10733.88</v>
      </c>
      <c r="Y17" s="80">
        <v>0</v>
      </c>
      <c r="Z17" s="76">
        <f>Y17*Valores!$C$2</f>
        <v>0</v>
      </c>
      <c r="AA17" s="76">
        <v>0</v>
      </c>
      <c r="AB17" s="81">
        <f>Valores!$C$29</f>
        <v>160.21</v>
      </c>
      <c r="AC17" s="76">
        <f t="shared" si="6"/>
        <v>0</v>
      </c>
      <c r="AD17" s="76">
        <f>Valores!$C$30</f>
        <v>160.21</v>
      </c>
      <c r="AE17" s="80">
        <v>0</v>
      </c>
      <c r="AF17" s="76">
        <f>INT(((AE17*Valores!$C$2)*100)+0.5)/100</f>
        <v>0</v>
      </c>
      <c r="AG17" s="76">
        <f>Valores!$C$58</f>
        <v>325.89</v>
      </c>
      <c r="AH17" s="76">
        <f>Valores!$C$60</f>
        <v>93.11</v>
      </c>
      <c r="AI17" s="82">
        <f t="shared" si="7"/>
        <v>78541.64450000001</v>
      </c>
      <c r="AJ17" s="78">
        <f>Valores!$C$35</f>
        <v>599.19</v>
      </c>
      <c r="AK17" s="79">
        <f>Valores!$C$9</f>
        <v>0</v>
      </c>
      <c r="AL17" s="79">
        <f>Valores!$C$81</f>
        <v>1300</v>
      </c>
      <c r="AM17" s="81">
        <f>Valores!$C$50</f>
        <v>265.48</v>
      </c>
      <c r="AN17" s="83">
        <f t="shared" si="8"/>
        <v>1899.19</v>
      </c>
      <c r="AO17" s="84">
        <f>AI17*-Valores!$C$65</f>
        <v>-10210.413785000002</v>
      </c>
      <c r="AP17" s="84">
        <f>AI17*-Valores!$C$66</f>
        <v>-392.70822250000003</v>
      </c>
      <c r="AQ17" s="78">
        <f>AI17*-Valores!$C$67</f>
        <v>-3534.3740025</v>
      </c>
      <c r="AR17" s="78">
        <f>AI17*-Valores!$C$68</f>
        <v>-2120.6244015</v>
      </c>
      <c r="AS17" s="78">
        <f>AI17*-Valores!$C$69</f>
        <v>-235.62493350000003</v>
      </c>
      <c r="AT17" s="82">
        <f t="shared" si="4"/>
        <v>66303.33849000001</v>
      </c>
      <c r="AU17" s="82">
        <f t="shared" si="5"/>
        <v>67481.46315750001</v>
      </c>
      <c r="AV17" s="78">
        <f>AI17*Valores!$C$71</f>
        <v>12566.663120000001</v>
      </c>
      <c r="AW17" s="78">
        <f>AI17*Valores!$C$72</f>
        <v>3534.3740025</v>
      </c>
      <c r="AX17" s="78">
        <f>AI17*Valores!$C$73</f>
        <v>785.4164450000001</v>
      </c>
      <c r="AY17" s="78">
        <f>AI17*Valores!$C$75</f>
        <v>2748.957557500001</v>
      </c>
      <c r="AZ17" s="78">
        <f>AI17*Valores!$C$76</f>
        <v>471.24986700000005</v>
      </c>
      <c r="BA17" s="78">
        <f t="shared" si="9"/>
        <v>4241.248803</v>
      </c>
      <c r="BB17" s="52"/>
      <c r="BC17" s="52">
        <v>45</v>
      </c>
      <c r="BD17" s="28" t="s">
        <v>8</v>
      </c>
    </row>
    <row r="18" spans="1:56" s="28" customFormat="1" ht="11.25" customHeight="1">
      <c r="A18" s="52">
        <v>17</v>
      </c>
      <c r="B18" s="52"/>
      <c r="C18" s="28" t="s">
        <v>178</v>
      </c>
      <c r="E18" s="28">
        <f t="shared" si="0"/>
        <v>24</v>
      </c>
      <c r="F18" s="72" t="s">
        <v>179</v>
      </c>
      <c r="G18" s="73">
        <v>100</v>
      </c>
      <c r="H18" s="74">
        <f>INT((G18*Valores!$C$2*100)+0.5)/100</f>
        <v>663.24</v>
      </c>
      <c r="I18" s="75">
        <v>3727</v>
      </c>
      <c r="J18" s="76">
        <f>INT((I18*Valores!$C$2*100)+0.5)/100</f>
        <v>24718.95</v>
      </c>
      <c r="K18" s="77">
        <v>219</v>
      </c>
      <c r="L18" s="76">
        <f>INT((K18*Valores!$C$2*100)+0.5)/100</f>
        <v>1452.5</v>
      </c>
      <c r="M18" s="73">
        <v>0</v>
      </c>
      <c r="N18" s="76">
        <f>INT((M18*Valores!$C$2*100)+0.5)/100</f>
        <v>0</v>
      </c>
      <c r="O18" s="76">
        <f t="shared" si="1"/>
        <v>4301.1345</v>
      </c>
      <c r="P18" s="76">
        <f t="shared" si="2"/>
        <v>0</v>
      </c>
      <c r="Q18" s="78">
        <f>Valores!$C$16</f>
        <v>4291.62</v>
      </c>
      <c r="R18" s="78">
        <f>Valores!$D$4</f>
        <v>2966.67</v>
      </c>
      <c r="S18" s="76">
        <v>0</v>
      </c>
      <c r="T18" s="79">
        <f>Valores!$C$43</f>
        <v>1839.54</v>
      </c>
      <c r="U18" s="76">
        <v>0</v>
      </c>
      <c r="V18" s="76">
        <f t="shared" si="3"/>
        <v>0</v>
      </c>
      <c r="W18" s="78">
        <f t="shared" si="10"/>
        <v>26834.690000000002</v>
      </c>
      <c r="X18" s="78">
        <f t="shared" si="11"/>
        <v>10733.88</v>
      </c>
      <c r="Y18" s="80">
        <v>0</v>
      </c>
      <c r="Z18" s="76">
        <f>Y18*Valores!$C$2</f>
        <v>0</v>
      </c>
      <c r="AA18" s="76">
        <v>0</v>
      </c>
      <c r="AB18" s="81">
        <f>Valores!$C$29</f>
        <v>160.21</v>
      </c>
      <c r="AC18" s="76">
        <f t="shared" si="6"/>
        <v>0</v>
      </c>
      <c r="AD18" s="76">
        <f>Valores!$C$30</f>
        <v>160.21</v>
      </c>
      <c r="AE18" s="80">
        <v>0</v>
      </c>
      <c r="AF18" s="76">
        <f>INT(((AE18*Valores!$C$2)*100)+0.5)/100</f>
        <v>0</v>
      </c>
      <c r="AG18" s="76">
        <f>Valores!$C$58</f>
        <v>325.89</v>
      </c>
      <c r="AH18" s="76">
        <f>Valores!$C$60</f>
        <v>93.11</v>
      </c>
      <c r="AI18" s="82">
        <f t="shared" si="7"/>
        <v>78541.64450000001</v>
      </c>
      <c r="AJ18" s="78">
        <f>Valores!$C$35</f>
        <v>599.19</v>
      </c>
      <c r="AK18" s="79">
        <f>Valores!$C$9</f>
        <v>0</v>
      </c>
      <c r="AL18" s="79">
        <f>Valores!$C$81</f>
        <v>1300</v>
      </c>
      <c r="AM18" s="81">
        <f>Valores!$C$50</f>
        <v>265.48</v>
      </c>
      <c r="AN18" s="83">
        <f t="shared" si="8"/>
        <v>1899.19</v>
      </c>
      <c r="AO18" s="84">
        <f>AI18*-Valores!$C$65</f>
        <v>-10210.413785000002</v>
      </c>
      <c r="AP18" s="84">
        <f>AI18*-Valores!$C$66</f>
        <v>-392.70822250000003</v>
      </c>
      <c r="AQ18" s="78">
        <f>AI18*-Valores!$C$67</f>
        <v>-3534.3740025</v>
      </c>
      <c r="AR18" s="78">
        <f>AI18*-Valores!$C$68</f>
        <v>-2120.6244015</v>
      </c>
      <c r="AS18" s="78">
        <f>AI18*-Valores!$C$69</f>
        <v>-235.62493350000003</v>
      </c>
      <c r="AT18" s="82">
        <f t="shared" si="4"/>
        <v>66303.33849000001</v>
      </c>
      <c r="AU18" s="82">
        <f t="shared" si="5"/>
        <v>67481.46315750001</v>
      </c>
      <c r="AV18" s="78">
        <f>AI18*Valores!$C$71</f>
        <v>12566.663120000001</v>
      </c>
      <c r="AW18" s="78">
        <f>AI18*Valores!$C$72</f>
        <v>3534.3740025</v>
      </c>
      <c r="AX18" s="78">
        <f>AI18*Valores!$C$73</f>
        <v>785.4164450000001</v>
      </c>
      <c r="AY18" s="78">
        <f>AI18*Valores!$C$75</f>
        <v>2748.957557500001</v>
      </c>
      <c r="AZ18" s="78">
        <f>AI18*Valores!$C$76</f>
        <v>471.24986700000005</v>
      </c>
      <c r="BA18" s="78">
        <f t="shared" si="9"/>
        <v>4241.248803</v>
      </c>
      <c r="BB18" s="52"/>
      <c r="BC18" s="52">
        <v>45</v>
      </c>
      <c r="BD18" s="28" t="s">
        <v>8</v>
      </c>
    </row>
    <row r="19" spans="1:56" s="28" customFormat="1" ht="11.25" customHeight="1">
      <c r="A19" s="52">
        <v>18</v>
      </c>
      <c r="B19" s="52"/>
      <c r="C19" s="28" t="s">
        <v>180</v>
      </c>
      <c r="E19" s="28">
        <f t="shared" si="0"/>
        <v>20</v>
      </c>
      <c r="F19" s="72" t="s">
        <v>181</v>
      </c>
      <c r="G19" s="73">
        <v>100</v>
      </c>
      <c r="H19" s="74">
        <f>INT((G19*Valores!$C$2*100)+0.5)/100</f>
        <v>663.24</v>
      </c>
      <c r="I19" s="75">
        <v>3727</v>
      </c>
      <c r="J19" s="76">
        <f>INT((I19*Valores!$C$2*100)+0.5)/100</f>
        <v>24718.95</v>
      </c>
      <c r="K19" s="77">
        <v>219</v>
      </c>
      <c r="L19" s="76">
        <f>INT((K19*Valores!$C$2*100)+0.5)/100</f>
        <v>1452.5</v>
      </c>
      <c r="M19" s="73">
        <v>0</v>
      </c>
      <c r="N19" s="76">
        <f>INT((M19*Valores!$C$2*100)+0.5)/100</f>
        <v>0</v>
      </c>
      <c r="O19" s="76">
        <f t="shared" si="1"/>
        <v>4301.1345</v>
      </c>
      <c r="P19" s="76">
        <f t="shared" si="2"/>
        <v>0</v>
      </c>
      <c r="Q19" s="78">
        <f>Valores!$C$16</f>
        <v>4291.62</v>
      </c>
      <c r="R19" s="78">
        <f>Valores!$D$4</f>
        <v>2966.67</v>
      </c>
      <c r="S19" s="76">
        <v>0</v>
      </c>
      <c r="T19" s="79">
        <f>Valores!$C$43</f>
        <v>1839.54</v>
      </c>
      <c r="U19" s="76">
        <v>0</v>
      </c>
      <c r="V19" s="76">
        <f t="shared" si="3"/>
        <v>0</v>
      </c>
      <c r="W19" s="78">
        <f t="shared" si="10"/>
        <v>26834.690000000002</v>
      </c>
      <c r="X19" s="78">
        <f t="shared" si="11"/>
        <v>10733.88</v>
      </c>
      <c r="Y19" s="80">
        <v>0</v>
      </c>
      <c r="Z19" s="76">
        <f>Y19*Valores!$C$2</f>
        <v>0</v>
      </c>
      <c r="AA19" s="76">
        <v>0</v>
      </c>
      <c r="AB19" s="81">
        <f>Valores!$C$29</f>
        <v>160.21</v>
      </c>
      <c r="AC19" s="76">
        <f t="shared" si="6"/>
        <v>0</v>
      </c>
      <c r="AD19" s="76">
        <f>Valores!$C$30</f>
        <v>160.21</v>
      </c>
      <c r="AE19" s="80">
        <v>0</v>
      </c>
      <c r="AF19" s="76">
        <f>INT(((AE19*Valores!$C$2)*100)+0.5)/100</f>
        <v>0</v>
      </c>
      <c r="AG19" s="76">
        <f>Valores!$C$58</f>
        <v>325.89</v>
      </c>
      <c r="AH19" s="76">
        <f>Valores!$C$60</f>
        <v>93.11</v>
      </c>
      <c r="AI19" s="82">
        <f t="shared" si="7"/>
        <v>78541.64450000001</v>
      </c>
      <c r="AJ19" s="78">
        <f>Valores!$C$35</f>
        <v>599.19</v>
      </c>
      <c r="AK19" s="79">
        <f>Valores!$C$9</f>
        <v>0</v>
      </c>
      <c r="AL19" s="79">
        <f>Valores!$C$81</f>
        <v>1300</v>
      </c>
      <c r="AM19" s="81">
        <f>Valores!$C$50</f>
        <v>265.48</v>
      </c>
      <c r="AN19" s="83">
        <f t="shared" si="8"/>
        <v>1899.19</v>
      </c>
      <c r="AO19" s="84">
        <f>AI19*-Valores!$C$65</f>
        <v>-10210.413785000002</v>
      </c>
      <c r="AP19" s="84">
        <f>AI19*-Valores!$C$66</f>
        <v>-392.70822250000003</v>
      </c>
      <c r="AQ19" s="78">
        <f>AI19*-Valores!$C$67</f>
        <v>-3534.3740025</v>
      </c>
      <c r="AR19" s="78">
        <f>AI19*-Valores!$C$68</f>
        <v>-2120.6244015</v>
      </c>
      <c r="AS19" s="78">
        <f>AI19*-Valores!$C$69</f>
        <v>-235.62493350000003</v>
      </c>
      <c r="AT19" s="82">
        <f t="shared" si="4"/>
        <v>66303.33849000001</v>
      </c>
      <c r="AU19" s="82">
        <f t="shared" si="5"/>
        <v>67481.46315750001</v>
      </c>
      <c r="AV19" s="78">
        <f>AI19*Valores!$C$71</f>
        <v>12566.663120000001</v>
      </c>
      <c r="AW19" s="78">
        <f>AI19*Valores!$C$72</f>
        <v>3534.3740025</v>
      </c>
      <c r="AX19" s="78">
        <f>AI19*Valores!$C$73</f>
        <v>785.4164450000001</v>
      </c>
      <c r="AY19" s="78">
        <f>AI19*Valores!$C$75</f>
        <v>2748.957557500001</v>
      </c>
      <c r="AZ19" s="78">
        <f>AI19*Valores!$C$76</f>
        <v>471.24986700000005</v>
      </c>
      <c r="BA19" s="78">
        <f t="shared" si="9"/>
        <v>4241.248803</v>
      </c>
      <c r="BB19" s="52"/>
      <c r="BC19" s="52">
        <v>45</v>
      </c>
      <c r="BD19" s="28" t="s">
        <v>8</v>
      </c>
    </row>
    <row r="20" spans="1:56" s="28" customFormat="1" ht="11.25" customHeight="1">
      <c r="A20" s="52">
        <v>19</v>
      </c>
      <c r="B20" s="52"/>
      <c r="C20" s="28" t="s">
        <v>182</v>
      </c>
      <c r="E20" s="28">
        <f t="shared" si="0"/>
        <v>29</v>
      </c>
      <c r="F20" s="72" t="s">
        <v>183</v>
      </c>
      <c r="G20" s="73">
        <v>107</v>
      </c>
      <c r="H20" s="74">
        <f>INT((G20*Valores!$C$2*100)+0.5)/100</f>
        <v>709.67</v>
      </c>
      <c r="I20" s="75">
        <v>3720</v>
      </c>
      <c r="J20" s="76">
        <f>INT((I20*Valores!$C$2*100)+0.5)/100</f>
        <v>24672.53</v>
      </c>
      <c r="K20" s="77">
        <v>1226</v>
      </c>
      <c r="L20" s="76">
        <f>INT((K20*Valores!$C$2*100)+0.5)/100</f>
        <v>8131.32</v>
      </c>
      <c r="M20" s="73">
        <v>0</v>
      </c>
      <c r="N20" s="76">
        <f>INT((M20*Valores!$C$2*100)+0.5)/100</f>
        <v>0</v>
      </c>
      <c r="O20" s="76">
        <f t="shared" si="1"/>
        <v>5713.8465</v>
      </c>
      <c r="P20" s="76">
        <f t="shared" si="2"/>
        <v>0</v>
      </c>
      <c r="Q20" s="78">
        <f>Valores!$C$19</f>
        <v>4477.85</v>
      </c>
      <c r="R20" s="78">
        <f>Valores!$D$4</f>
        <v>2966.67</v>
      </c>
      <c r="S20" s="76">
        <v>0</v>
      </c>
      <c r="T20" s="79">
        <f>Valores!$C$43</f>
        <v>1839.54</v>
      </c>
      <c r="U20" s="76">
        <f>Valores!$C$23</f>
        <v>2739.25</v>
      </c>
      <c r="V20" s="76">
        <f t="shared" si="3"/>
        <v>2739.25</v>
      </c>
      <c r="W20" s="76">
        <v>0</v>
      </c>
      <c r="X20" s="76">
        <v>0</v>
      </c>
      <c r="Y20" s="80">
        <v>0</v>
      </c>
      <c r="Z20" s="76">
        <f>Y20*Valores!$C$2</f>
        <v>0</v>
      </c>
      <c r="AA20" s="76">
        <v>0</v>
      </c>
      <c r="AB20" s="81">
        <f>Valores!$C$29</f>
        <v>160.21</v>
      </c>
      <c r="AC20" s="76">
        <f t="shared" si="6"/>
        <v>0</v>
      </c>
      <c r="AD20" s="76">
        <f>Valores!$C$30</f>
        <v>160.21</v>
      </c>
      <c r="AE20" s="80">
        <v>0</v>
      </c>
      <c r="AF20" s="76">
        <f>INT(((AE20*Valores!$C$2)*100)+0.5)/100</f>
        <v>0</v>
      </c>
      <c r="AG20" s="76">
        <f>Valores!$C$58</f>
        <v>325.89</v>
      </c>
      <c r="AH20" s="76">
        <f>Valores!$C$60</f>
        <v>93.11</v>
      </c>
      <c r="AI20" s="82">
        <f t="shared" si="7"/>
        <v>51990.09649999999</v>
      </c>
      <c r="AJ20" s="78">
        <f>Valores!$C$35</f>
        <v>599.19</v>
      </c>
      <c r="AK20" s="79">
        <f>Valores!$C$9</f>
        <v>0</v>
      </c>
      <c r="AL20" s="79">
        <f>Valores!$C$81</f>
        <v>1300</v>
      </c>
      <c r="AM20" s="81">
        <f>Valores!$C$50</f>
        <v>265.48</v>
      </c>
      <c r="AN20" s="83">
        <f t="shared" si="8"/>
        <v>1899.19</v>
      </c>
      <c r="AO20" s="84">
        <f>AI20*-Valores!$C$65</f>
        <v>-6758.712544999999</v>
      </c>
      <c r="AP20" s="84">
        <f>AI20*-Valores!$C$66</f>
        <v>-259.95048249999996</v>
      </c>
      <c r="AQ20" s="78">
        <f>AI20*-Valores!$C$67</f>
        <v>-2339.5543424999996</v>
      </c>
      <c r="AR20" s="78">
        <f>AI20*-Valores!$C$68</f>
        <v>-1403.7326054999999</v>
      </c>
      <c r="AS20" s="78">
        <f>AI20*-Valores!$C$69</f>
        <v>-155.97028949999998</v>
      </c>
      <c r="AT20" s="82">
        <f t="shared" si="4"/>
        <v>44531.069129999996</v>
      </c>
      <c r="AU20" s="82">
        <f t="shared" si="5"/>
        <v>45310.920577499994</v>
      </c>
      <c r="AV20" s="78">
        <f>AI20*Valores!$C$71</f>
        <v>8318.415439999999</v>
      </c>
      <c r="AW20" s="78">
        <f>AI20*Valores!$C$72</f>
        <v>2339.5543424999996</v>
      </c>
      <c r="AX20" s="78">
        <f>AI20*Valores!$C$73</f>
        <v>519.9009649999999</v>
      </c>
      <c r="AY20" s="78">
        <f>AI20*Valores!$C$75</f>
        <v>1819.6533774999998</v>
      </c>
      <c r="AZ20" s="78">
        <f>AI20*Valores!$C$76</f>
        <v>311.94057899999996</v>
      </c>
      <c r="BA20" s="78">
        <f t="shared" si="9"/>
        <v>2807.4652109999997</v>
      </c>
      <c r="BB20" s="52"/>
      <c r="BC20" s="52">
        <v>45</v>
      </c>
      <c r="BD20" s="28" t="s">
        <v>4</v>
      </c>
    </row>
    <row r="21" spans="1:56" s="28" customFormat="1" ht="11.25" customHeight="1">
      <c r="A21" s="86">
        <v>20</v>
      </c>
      <c r="B21" s="86" t="s">
        <v>163</v>
      </c>
      <c r="C21" s="87" t="s">
        <v>184</v>
      </c>
      <c r="D21" s="87"/>
      <c r="E21" s="87">
        <f t="shared" si="0"/>
        <v>20</v>
      </c>
      <c r="F21" s="88" t="s">
        <v>185</v>
      </c>
      <c r="G21" s="89">
        <v>100</v>
      </c>
      <c r="H21" s="90">
        <f>INT((G21*Valores!$C$2*100)+0.5)/100</f>
        <v>663.24</v>
      </c>
      <c r="I21" s="91">
        <v>3727</v>
      </c>
      <c r="J21" s="92">
        <f>INT((I21*Valores!$C$2*100)+0.5)/100</f>
        <v>24718.95</v>
      </c>
      <c r="K21" s="93">
        <v>219</v>
      </c>
      <c r="L21" s="92">
        <f>INT((K21*Valores!$C$2*100)+0.5)/100</f>
        <v>1452.5</v>
      </c>
      <c r="M21" s="89">
        <v>0</v>
      </c>
      <c r="N21" s="92">
        <f>INT((M21*Valores!$C$2*100)+0.5)/100</f>
        <v>0</v>
      </c>
      <c r="O21" s="92">
        <f t="shared" si="1"/>
        <v>4301.1345</v>
      </c>
      <c r="P21" s="92">
        <f t="shared" si="2"/>
        <v>0</v>
      </c>
      <c r="Q21" s="94">
        <f>Valores!$C$16</f>
        <v>4291.62</v>
      </c>
      <c r="R21" s="94">
        <f>Valores!$D$4</f>
        <v>2966.67</v>
      </c>
      <c r="S21" s="92">
        <v>0</v>
      </c>
      <c r="T21" s="95">
        <f>Valores!$C$43</f>
        <v>1839.54</v>
      </c>
      <c r="U21" s="92">
        <v>0</v>
      </c>
      <c r="V21" s="92">
        <f t="shared" si="3"/>
        <v>0</v>
      </c>
      <c r="W21" s="94">
        <f>SUM(H21,J21,L21)</f>
        <v>26834.690000000002</v>
      </c>
      <c r="X21" s="94">
        <f>INT((SUM(H21,J21,L21)*0.4*100)+0.49)/100</f>
        <v>10733.88</v>
      </c>
      <c r="Y21" s="96">
        <v>0</v>
      </c>
      <c r="Z21" s="92">
        <f>Y21*Valores!$C$2</f>
        <v>0</v>
      </c>
      <c r="AA21" s="92">
        <v>0</v>
      </c>
      <c r="AB21" s="97">
        <f>Valores!$C$29</f>
        <v>160.21</v>
      </c>
      <c r="AC21" s="92">
        <f t="shared" si="6"/>
        <v>0</v>
      </c>
      <c r="AD21" s="92">
        <f>Valores!$C$30</f>
        <v>160.21</v>
      </c>
      <c r="AE21" s="96">
        <v>0</v>
      </c>
      <c r="AF21" s="92">
        <f>INT(((AE21*Valores!$C$2)*100)+0.5)/100</f>
        <v>0</v>
      </c>
      <c r="AG21" s="92">
        <f>Valores!$C$58</f>
        <v>325.89</v>
      </c>
      <c r="AH21" s="92">
        <f>Valores!$C$60</f>
        <v>93.11</v>
      </c>
      <c r="AI21" s="98">
        <f t="shared" si="7"/>
        <v>78541.64450000001</v>
      </c>
      <c r="AJ21" s="94">
        <f>Valores!$C$35</f>
        <v>599.19</v>
      </c>
      <c r="AK21" s="95">
        <f>Valores!$C$9</f>
        <v>0</v>
      </c>
      <c r="AL21" s="95">
        <f>Valores!$C$81</f>
        <v>1300</v>
      </c>
      <c r="AM21" s="97">
        <f>Valores!$C$50</f>
        <v>265.48</v>
      </c>
      <c r="AN21" s="99">
        <f t="shared" si="8"/>
        <v>1899.19</v>
      </c>
      <c r="AO21" s="100">
        <f>AI21*-Valores!$C$65</f>
        <v>-10210.413785000002</v>
      </c>
      <c r="AP21" s="100">
        <f>AI21*-Valores!$C$66</f>
        <v>-392.70822250000003</v>
      </c>
      <c r="AQ21" s="94">
        <f>AI21*-Valores!$C$67</f>
        <v>-3534.3740025</v>
      </c>
      <c r="AR21" s="94">
        <f>AI21*-Valores!$C$68</f>
        <v>-2120.6244015</v>
      </c>
      <c r="AS21" s="94">
        <f>AI21*-Valores!$C$69</f>
        <v>-235.62493350000003</v>
      </c>
      <c r="AT21" s="98">
        <f t="shared" si="4"/>
        <v>66303.33849000001</v>
      </c>
      <c r="AU21" s="98">
        <f t="shared" si="5"/>
        <v>67481.46315750001</v>
      </c>
      <c r="AV21" s="94">
        <f>AI21*Valores!$C$71</f>
        <v>12566.663120000001</v>
      </c>
      <c r="AW21" s="94">
        <f>AI21*Valores!$C$72</f>
        <v>3534.3740025</v>
      </c>
      <c r="AX21" s="94">
        <f>AI21*Valores!$C$73</f>
        <v>785.4164450000001</v>
      </c>
      <c r="AY21" s="94">
        <f>AI21*Valores!$C$75</f>
        <v>2748.957557500001</v>
      </c>
      <c r="AZ21" s="94">
        <f>AI21*Valores!$C$76</f>
        <v>471.24986700000005</v>
      </c>
      <c r="BA21" s="94">
        <f t="shared" si="9"/>
        <v>4241.248803</v>
      </c>
      <c r="BB21" s="86"/>
      <c r="BC21" s="86">
        <v>45</v>
      </c>
      <c r="BD21" s="87" t="s">
        <v>8</v>
      </c>
    </row>
    <row r="22" spans="1:56" s="28" customFormat="1" ht="11.25" customHeight="1">
      <c r="A22" s="52">
        <v>21</v>
      </c>
      <c r="B22" s="52"/>
      <c r="C22" s="28" t="s">
        <v>186</v>
      </c>
      <c r="E22" s="28">
        <f t="shared" si="0"/>
        <v>18</v>
      </c>
      <c r="F22" s="72" t="s">
        <v>187</v>
      </c>
      <c r="G22" s="73">
        <v>100</v>
      </c>
      <c r="H22" s="74">
        <f>INT((G22*Valores!$C$2*100)+0.5)/100</f>
        <v>663.24</v>
      </c>
      <c r="I22" s="75">
        <v>3727</v>
      </c>
      <c r="J22" s="76">
        <f>INT((I22*Valores!$C$2*100)+0.5)/100</f>
        <v>24718.95</v>
      </c>
      <c r="K22" s="77">
        <v>219</v>
      </c>
      <c r="L22" s="76">
        <f>INT((K22*Valores!$C$2*100)+0.5)/100</f>
        <v>1452.5</v>
      </c>
      <c r="M22" s="73">
        <v>0</v>
      </c>
      <c r="N22" s="76">
        <f>INT((M22*Valores!$C$2*100)+0.5)/100</f>
        <v>0</v>
      </c>
      <c r="O22" s="76">
        <f t="shared" si="1"/>
        <v>4301.1345</v>
      </c>
      <c r="P22" s="76">
        <f t="shared" si="2"/>
        <v>0</v>
      </c>
      <c r="Q22" s="78">
        <f>Valores!$C$16</f>
        <v>4291.62</v>
      </c>
      <c r="R22" s="78">
        <f>Valores!$D$4</f>
        <v>2966.67</v>
      </c>
      <c r="S22" s="76">
        <v>0</v>
      </c>
      <c r="T22" s="79">
        <f>Valores!$C$43</f>
        <v>1839.54</v>
      </c>
      <c r="U22" s="76">
        <v>0</v>
      </c>
      <c r="V22" s="76">
        <f t="shared" si="3"/>
        <v>0</v>
      </c>
      <c r="W22" s="78">
        <f>SUM(H22,J22,L22)</f>
        <v>26834.690000000002</v>
      </c>
      <c r="X22" s="78">
        <f>INT((SUM(H22,J22,L22)*0.4*100)+0.49)/100</f>
        <v>10733.88</v>
      </c>
      <c r="Y22" s="80">
        <v>0</v>
      </c>
      <c r="Z22" s="76">
        <f>Y22*Valores!$C$2</f>
        <v>0</v>
      </c>
      <c r="AA22" s="76">
        <v>0</v>
      </c>
      <c r="AB22" s="81">
        <f>Valores!$C$29</f>
        <v>160.21</v>
      </c>
      <c r="AC22" s="76">
        <f t="shared" si="6"/>
        <v>0</v>
      </c>
      <c r="AD22" s="76">
        <f>Valores!$C$30</f>
        <v>160.21</v>
      </c>
      <c r="AE22" s="80">
        <v>0</v>
      </c>
      <c r="AF22" s="76">
        <f>INT(((AE22*Valores!$C$2)*100)+0.5)/100</f>
        <v>0</v>
      </c>
      <c r="AG22" s="76">
        <f>Valores!$C$58</f>
        <v>325.89</v>
      </c>
      <c r="AH22" s="76">
        <f>Valores!$C$60</f>
        <v>93.11</v>
      </c>
      <c r="AI22" s="82">
        <f t="shared" si="7"/>
        <v>78541.64450000001</v>
      </c>
      <c r="AJ22" s="78">
        <f>Valores!$C$35</f>
        <v>599.19</v>
      </c>
      <c r="AK22" s="79">
        <f>Valores!$C$9</f>
        <v>0</v>
      </c>
      <c r="AL22" s="79">
        <f>Valores!$C$81</f>
        <v>1300</v>
      </c>
      <c r="AM22" s="81">
        <f>Valores!$C$50</f>
        <v>265.48</v>
      </c>
      <c r="AN22" s="83">
        <f t="shared" si="8"/>
        <v>1899.19</v>
      </c>
      <c r="AO22" s="84">
        <f>AI22*-Valores!$C$65</f>
        <v>-10210.413785000002</v>
      </c>
      <c r="AP22" s="84">
        <f>AI22*-Valores!$C$66</f>
        <v>-392.70822250000003</v>
      </c>
      <c r="AQ22" s="78">
        <f>AI22*-Valores!$C$67</f>
        <v>-3534.3740025</v>
      </c>
      <c r="AR22" s="78">
        <f>AI22*-Valores!$C$68</f>
        <v>-2120.6244015</v>
      </c>
      <c r="AS22" s="78">
        <f>AI22*-Valores!$C$69</f>
        <v>-235.62493350000003</v>
      </c>
      <c r="AT22" s="82">
        <f t="shared" si="4"/>
        <v>66303.33849000001</v>
      </c>
      <c r="AU22" s="82">
        <f t="shared" si="5"/>
        <v>67481.46315750001</v>
      </c>
      <c r="AV22" s="78">
        <f>AI22*Valores!$C$71</f>
        <v>12566.663120000001</v>
      </c>
      <c r="AW22" s="78">
        <f>AI22*Valores!$C$72</f>
        <v>3534.3740025</v>
      </c>
      <c r="AX22" s="78">
        <f>AI22*Valores!$C$73</f>
        <v>785.4164450000001</v>
      </c>
      <c r="AY22" s="78">
        <f>AI22*Valores!$C$75</f>
        <v>2748.957557500001</v>
      </c>
      <c r="AZ22" s="78">
        <f>AI22*Valores!$C$76</f>
        <v>471.24986700000005</v>
      </c>
      <c r="BA22" s="78">
        <f t="shared" si="9"/>
        <v>4241.248803</v>
      </c>
      <c r="BB22" s="52"/>
      <c r="BC22" s="52">
        <v>45</v>
      </c>
      <c r="BD22" s="28" t="s">
        <v>8</v>
      </c>
    </row>
    <row r="23" spans="1:56" s="28" customFormat="1" ht="11.25" customHeight="1">
      <c r="A23" s="52">
        <v>22</v>
      </c>
      <c r="B23" s="52"/>
      <c r="C23" s="28" t="s">
        <v>188</v>
      </c>
      <c r="E23" s="28">
        <f t="shared" si="0"/>
        <v>18</v>
      </c>
      <c r="F23" s="72" t="s">
        <v>189</v>
      </c>
      <c r="G23" s="73">
        <v>100</v>
      </c>
      <c r="H23" s="74">
        <f>INT((G23*Valores!$C$2*100)+0.5)/100</f>
        <v>663.24</v>
      </c>
      <c r="I23" s="75">
        <v>3727</v>
      </c>
      <c r="J23" s="76">
        <f>INT((I23*Valores!$C$2*100)+0.5)/100</f>
        <v>24718.95</v>
      </c>
      <c r="K23" s="77">
        <v>219</v>
      </c>
      <c r="L23" s="76">
        <f>INT((K23*Valores!$C$2*100)+0.5)/100</f>
        <v>1452.5</v>
      </c>
      <c r="M23" s="73">
        <v>0</v>
      </c>
      <c r="N23" s="76">
        <f>INT((M23*Valores!$C$2*100)+0.5)/100</f>
        <v>0</v>
      </c>
      <c r="O23" s="76">
        <f t="shared" si="1"/>
        <v>4301.1345</v>
      </c>
      <c r="P23" s="76">
        <f t="shared" si="2"/>
        <v>0</v>
      </c>
      <c r="Q23" s="78">
        <f>Valores!$C$16</f>
        <v>4291.62</v>
      </c>
      <c r="R23" s="78">
        <f>Valores!$D$4</f>
        <v>2966.67</v>
      </c>
      <c r="S23" s="76">
        <v>0</v>
      </c>
      <c r="T23" s="79">
        <f>Valores!$C$43</f>
        <v>1839.54</v>
      </c>
      <c r="U23" s="76">
        <v>0</v>
      </c>
      <c r="V23" s="76">
        <f t="shared" si="3"/>
        <v>0</v>
      </c>
      <c r="W23" s="78">
        <f>SUM(H23,J23,L23)</f>
        <v>26834.690000000002</v>
      </c>
      <c r="X23" s="78">
        <f>INT((SUM(H23,J23,L23)*0.4*100)+0.49)/100</f>
        <v>10733.88</v>
      </c>
      <c r="Y23" s="80">
        <v>0</v>
      </c>
      <c r="Z23" s="76">
        <f>Y23*Valores!$C$2</f>
        <v>0</v>
      </c>
      <c r="AA23" s="76">
        <v>0</v>
      </c>
      <c r="AB23" s="81">
        <f>Valores!$C$29</f>
        <v>160.21</v>
      </c>
      <c r="AC23" s="76">
        <f t="shared" si="6"/>
        <v>0</v>
      </c>
      <c r="AD23" s="76">
        <f>Valores!$C$30</f>
        <v>160.21</v>
      </c>
      <c r="AE23" s="80">
        <v>0</v>
      </c>
      <c r="AF23" s="76">
        <f>INT(((AE23*Valores!$C$2)*100)+0.5)/100</f>
        <v>0</v>
      </c>
      <c r="AG23" s="76">
        <f>Valores!$C$58</f>
        <v>325.89</v>
      </c>
      <c r="AH23" s="76">
        <f>Valores!$C$60</f>
        <v>93.11</v>
      </c>
      <c r="AI23" s="82">
        <f t="shared" si="7"/>
        <v>78541.64450000001</v>
      </c>
      <c r="AJ23" s="78">
        <f>Valores!$C$35</f>
        <v>599.19</v>
      </c>
      <c r="AK23" s="79">
        <f>Valores!$C$9</f>
        <v>0</v>
      </c>
      <c r="AL23" s="79">
        <f>Valores!$C$81</f>
        <v>1300</v>
      </c>
      <c r="AM23" s="81">
        <f>Valores!$C$50</f>
        <v>265.48</v>
      </c>
      <c r="AN23" s="83">
        <f t="shared" si="8"/>
        <v>1899.19</v>
      </c>
      <c r="AO23" s="84">
        <f>AI23*-Valores!$C$65</f>
        <v>-10210.413785000002</v>
      </c>
      <c r="AP23" s="84">
        <f>AI23*-Valores!$C$66</f>
        <v>-392.70822250000003</v>
      </c>
      <c r="AQ23" s="78">
        <f>AI23*-Valores!$C$67</f>
        <v>-3534.3740025</v>
      </c>
      <c r="AR23" s="78">
        <f>AI23*-Valores!$C$68</f>
        <v>-2120.6244015</v>
      </c>
      <c r="AS23" s="78">
        <f>AI23*-Valores!$C$69</f>
        <v>-235.62493350000003</v>
      </c>
      <c r="AT23" s="82">
        <f t="shared" si="4"/>
        <v>66303.33849000001</v>
      </c>
      <c r="AU23" s="82">
        <f t="shared" si="5"/>
        <v>67481.46315750001</v>
      </c>
      <c r="AV23" s="78">
        <f>AI23*Valores!$C$71</f>
        <v>12566.663120000001</v>
      </c>
      <c r="AW23" s="78">
        <f>AI23*Valores!$C$72</f>
        <v>3534.3740025</v>
      </c>
      <c r="AX23" s="78">
        <f>AI23*Valores!$C$73</f>
        <v>785.4164450000001</v>
      </c>
      <c r="AY23" s="78">
        <f>AI23*Valores!$C$75</f>
        <v>2748.957557500001</v>
      </c>
      <c r="AZ23" s="78">
        <f>AI23*Valores!$C$76</f>
        <v>471.24986700000005</v>
      </c>
      <c r="BA23" s="78">
        <f t="shared" si="9"/>
        <v>4241.248803</v>
      </c>
      <c r="BB23" s="52"/>
      <c r="BC23" s="52">
        <v>45</v>
      </c>
      <c r="BD23" s="28" t="s">
        <v>8</v>
      </c>
    </row>
    <row r="24" spans="1:56" s="28" customFormat="1" ht="11.25" customHeight="1">
      <c r="A24" s="52">
        <v>23</v>
      </c>
      <c r="B24" s="52"/>
      <c r="C24" s="28" t="s">
        <v>190</v>
      </c>
      <c r="E24" s="28">
        <f t="shared" si="0"/>
        <v>25</v>
      </c>
      <c r="F24" s="72" t="s">
        <v>191</v>
      </c>
      <c r="G24" s="73">
        <v>96</v>
      </c>
      <c r="H24" s="74">
        <f>INT((G24*Valores!$C$2*100)+0.5)/100</f>
        <v>636.71</v>
      </c>
      <c r="I24" s="75">
        <v>3737</v>
      </c>
      <c r="J24" s="76">
        <f>INT((I24*Valores!$C$2*100)+0.5)/100</f>
        <v>24785.28</v>
      </c>
      <c r="K24" s="77">
        <v>1220</v>
      </c>
      <c r="L24" s="76">
        <f>INT((K24*Valores!$C$2*100)+0.5)/100</f>
        <v>8091.53</v>
      </c>
      <c r="M24" s="73">
        <v>0</v>
      </c>
      <c r="N24" s="76">
        <f>INT((M24*Valores!$C$2*100)+0.5)/100</f>
        <v>0</v>
      </c>
      <c r="O24" s="76">
        <f t="shared" si="1"/>
        <v>5713.8465</v>
      </c>
      <c r="P24" s="76">
        <f t="shared" si="2"/>
        <v>0</v>
      </c>
      <c r="Q24" s="78">
        <f>Valores!$C$19</f>
        <v>4477.85</v>
      </c>
      <c r="R24" s="78">
        <f>Valores!$D$4</f>
        <v>2966.67</v>
      </c>
      <c r="S24" s="76">
        <v>0</v>
      </c>
      <c r="T24" s="79">
        <f>Valores!$C$43</f>
        <v>1839.54</v>
      </c>
      <c r="U24" s="76">
        <f>Valores!$C$23</f>
        <v>2739.25</v>
      </c>
      <c r="V24" s="76">
        <f t="shared" si="3"/>
        <v>2739.25</v>
      </c>
      <c r="W24" s="76">
        <v>0</v>
      </c>
      <c r="X24" s="76">
        <v>0</v>
      </c>
      <c r="Y24" s="80">
        <v>0</v>
      </c>
      <c r="Z24" s="76">
        <f>Y24*Valores!$C$2</f>
        <v>0</v>
      </c>
      <c r="AA24" s="76">
        <v>0</v>
      </c>
      <c r="AB24" s="81">
        <f>Valores!$C$29</f>
        <v>160.21</v>
      </c>
      <c r="AC24" s="76">
        <f t="shared" si="6"/>
        <v>0</v>
      </c>
      <c r="AD24" s="76">
        <f>Valores!$C$30</f>
        <v>160.21</v>
      </c>
      <c r="AE24" s="80">
        <v>0</v>
      </c>
      <c r="AF24" s="76">
        <f>INT(((AE24*Valores!$C$2)*100)+0.5)/100</f>
        <v>0</v>
      </c>
      <c r="AG24" s="76">
        <f>Valores!$C$58</f>
        <v>325.89</v>
      </c>
      <c r="AH24" s="76">
        <f>Valores!$C$60</f>
        <v>93.11</v>
      </c>
      <c r="AI24" s="82">
        <f t="shared" si="7"/>
        <v>51990.09649999999</v>
      </c>
      <c r="AJ24" s="78">
        <f>Valores!$C$35</f>
        <v>599.19</v>
      </c>
      <c r="AK24" s="79">
        <f>Valores!$C$9</f>
        <v>0</v>
      </c>
      <c r="AL24" s="79">
        <f>Valores!$C$81</f>
        <v>1300</v>
      </c>
      <c r="AM24" s="81">
        <f>Valores!$C$50</f>
        <v>265.48</v>
      </c>
      <c r="AN24" s="83">
        <f t="shared" si="8"/>
        <v>1899.19</v>
      </c>
      <c r="AO24" s="84">
        <f>AI24*-Valores!$C$65</f>
        <v>-6758.712544999999</v>
      </c>
      <c r="AP24" s="84">
        <f>AI24*-Valores!$C$66</f>
        <v>-259.95048249999996</v>
      </c>
      <c r="AQ24" s="78">
        <f>AI24*-Valores!$C$67</f>
        <v>-2339.5543424999996</v>
      </c>
      <c r="AR24" s="78">
        <f>AI24*-Valores!$C$68</f>
        <v>-1403.7326054999999</v>
      </c>
      <c r="AS24" s="78">
        <f>AI24*-Valores!$C$69</f>
        <v>-155.97028949999998</v>
      </c>
      <c r="AT24" s="82">
        <f t="shared" si="4"/>
        <v>44531.069129999996</v>
      </c>
      <c r="AU24" s="82">
        <f t="shared" si="5"/>
        <v>45310.920577499994</v>
      </c>
      <c r="AV24" s="78">
        <f>AI24*Valores!$C$71</f>
        <v>8318.415439999999</v>
      </c>
      <c r="AW24" s="78">
        <f>AI24*Valores!$C$72</f>
        <v>2339.5543424999996</v>
      </c>
      <c r="AX24" s="78">
        <f>AI24*Valores!$C$73</f>
        <v>519.9009649999999</v>
      </c>
      <c r="AY24" s="78">
        <f>AI24*Valores!$C$75</f>
        <v>1819.6533774999998</v>
      </c>
      <c r="AZ24" s="78">
        <f>AI24*Valores!$C$76</f>
        <v>311.94057899999996</v>
      </c>
      <c r="BA24" s="78">
        <f t="shared" si="9"/>
        <v>2807.4652109999997</v>
      </c>
      <c r="BB24" s="52"/>
      <c r="BC24" s="52">
        <v>45</v>
      </c>
      <c r="BD24" s="28" t="s">
        <v>4</v>
      </c>
    </row>
    <row r="25" spans="1:56" s="28" customFormat="1" ht="11.25" customHeight="1">
      <c r="A25" s="52">
        <v>24</v>
      </c>
      <c r="B25" s="52"/>
      <c r="C25" s="28" t="s">
        <v>192</v>
      </c>
      <c r="E25" s="28">
        <f t="shared" si="0"/>
        <v>27</v>
      </c>
      <c r="F25" s="72" t="s">
        <v>193</v>
      </c>
      <c r="G25" s="73">
        <v>96</v>
      </c>
      <c r="H25" s="74">
        <f>INT((G25*Valores!$C$2*100)+0.5)/100</f>
        <v>636.71</v>
      </c>
      <c r="I25" s="75">
        <v>3737</v>
      </c>
      <c r="J25" s="76">
        <f>INT((I25*Valores!$C$2*100)+0.5)/100</f>
        <v>24785.28</v>
      </c>
      <c r="K25" s="77">
        <v>1220</v>
      </c>
      <c r="L25" s="76">
        <f>INT((K25*Valores!$C$2*100)+0.5)/100</f>
        <v>8091.53</v>
      </c>
      <c r="M25" s="73">
        <v>0</v>
      </c>
      <c r="N25" s="76">
        <f>INT((M25*Valores!$C$2*100)+0.5)/100</f>
        <v>0</v>
      </c>
      <c r="O25" s="76">
        <f t="shared" si="1"/>
        <v>5713.8465</v>
      </c>
      <c r="P25" s="76">
        <f t="shared" si="2"/>
        <v>0</v>
      </c>
      <c r="Q25" s="78">
        <f>Valores!$C$19</f>
        <v>4477.85</v>
      </c>
      <c r="R25" s="78">
        <f>Valores!$D$4</f>
        <v>2966.67</v>
      </c>
      <c r="S25" s="76">
        <v>0</v>
      </c>
      <c r="T25" s="79">
        <f>Valores!$C$43</f>
        <v>1839.54</v>
      </c>
      <c r="U25" s="76">
        <f>Valores!$C$23</f>
        <v>2739.25</v>
      </c>
      <c r="V25" s="76">
        <f t="shared" si="3"/>
        <v>2739.25</v>
      </c>
      <c r="W25" s="76">
        <v>0</v>
      </c>
      <c r="X25" s="76">
        <v>0</v>
      </c>
      <c r="Y25" s="80">
        <v>0</v>
      </c>
      <c r="Z25" s="76">
        <f>Y25*Valores!$C$2</f>
        <v>0</v>
      </c>
      <c r="AA25" s="76">
        <v>0</v>
      </c>
      <c r="AB25" s="81">
        <f>Valores!$C$29</f>
        <v>160.21</v>
      </c>
      <c r="AC25" s="76">
        <f t="shared" si="6"/>
        <v>0</v>
      </c>
      <c r="AD25" s="76">
        <f>Valores!$C$30</f>
        <v>160.21</v>
      </c>
      <c r="AE25" s="80">
        <v>0</v>
      </c>
      <c r="AF25" s="76">
        <f>INT(((AE25*Valores!$C$2)*100)+0.5)/100</f>
        <v>0</v>
      </c>
      <c r="AG25" s="76">
        <f>Valores!$C$58</f>
        <v>325.89</v>
      </c>
      <c r="AH25" s="76">
        <f>Valores!$C$60</f>
        <v>93.11</v>
      </c>
      <c r="AI25" s="82">
        <f t="shared" si="7"/>
        <v>51990.09649999999</v>
      </c>
      <c r="AJ25" s="78">
        <f>Valores!$C$35</f>
        <v>599.19</v>
      </c>
      <c r="AK25" s="79">
        <f>Valores!$C$9</f>
        <v>0</v>
      </c>
      <c r="AL25" s="79">
        <f>Valores!$C$81</f>
        <v>1300</v>
      </c>
      <c r="AM25" s="81">
        <f>Valores!$C$50</f>
        <v>265.48</v>
      </c>
      <c r="AN25" s="83">
        <f t="shared" si="8"/>
        <v>1899.19</v>
      </c>
      <c r="AO25" s="84">
        <f>AI25*-Valores!$C$65</f>
        <v>-6758.712544999999</v>
      </c>
      <c r="AP25" s="84">
        <f>AI25*-Valores!$C$66</f>
        <v>-259.95048249999996</v>
      </c>
      <c r="AQ25" s="78">
        <f>AI25*-Valores!$C$67</f>
        <v>-2339.5543424999996</v>
      </c>
      <c r="AR25" s="78">
        <f>AI25*-Valores!$C$68</f>
        <v>-1403.7326054999999</v>
      </c>
      <c r="AS25" s="78">
        <f>AI25*-Valores!$C$69</f>
        <v>-155.97028949999998</v>
      </c>
      <c r="AT25" s="82">
        <f t="shared" si="4"/>
        <v>44531.069129999996</v>
      </c>
      <c r="AU25" s="82">
        <f t="shared" si="5"/>
        <v>45310.920577499994</v>
      </c>
      <c r="AV25" s="78">
        <f>AI25*Valores!$C$71</f>
        <v>8318.415439999999</v>
      </c>
      <c r="AW25" s="78">
        <f>AI25*Valores!$C$72</f>
        <v>2339.5543424999996</v>
      </c>
      <c r="AX25" s="78">
        <f>AI25*Valores!$C$73</f>
        <v>519.9009649999999</v>
      </c>
      <c r="AY25" s="78">
        <f>AI25*Valores!$C$75</f>
        <v>1819.6533774999998</v>
      </c>
      <c r="AZ25" s="78">
        <f>AI25*Valores!$C$76</f>
        <v>311.94057899999996</v>
      </c>
      <c r="BA25" s="78">
        <f t="shared" si="9"/>
        <v>2807.4652109999997</v>
      </c>
      <c r="BB25" s="52"/>
      <c r="BC25" s="52">
        <v>45</v>
      </c>
      <c r="BD25" s="28" t="s">
        <v>4</v>
      </c>
    </row>
    <row r="26" spans="1:56" s="28" customFormat="1" ht="11.25" customHeight="1">
      <c r="A26" s="86">
        <v>25</v>
      </c>
      <c r="B26" s="86" t="s">
        <v>163</v>
      </c>
      <c r="C26" s="87" t="s">
        <v>194</v>
      </c>
      <c r="D26" s="87"/>
      <c r="E26" s="87">
        <f t="shared" si="0"/>
        <v>24</v>
      </c>
      <c r="F26" s="88" t="s">
        <v>195</v>
      </c>
      <c r="G26" s="89">
        <v>96</v>
      </c>
      <c r="H26" s="90">
        <f>INT((G26*Valores!$C$2*100)+0.5)/100</f>
        <v>636.71</v>
      </c>
      <c r="I26" s="91">
        <v>3737</v>
      </c>
      <c r="J26" s="92">
        <f>INT((I26*Valores!$C$2*100)+0.5)/100</f>
        <v>24785.28</v>
      </c>
      <c r="K26" s="93">
        <v>1220</v>
      </c>
      <c r="L26" s="92">
        <f>INT((K26*Valores!$C$2*100)+0.5)/100</f>
        <v>8091.53</v>
      </c>
      <c r="M26" s="89">
        <v>0</v>
      </c>
      <c r="N26" s="92">
        <f>INT((M26*Valores!$C$2*100)+0.5)/100</f>
        <v>0</v>
      </c>
      <c r="O26" s="92">
        <f t="shared" si="1"/>
        <v>5713.8465</v>
      </c>
      <c r="P26" s="92">
        <f t="shared" si="2"/>
        <v>0</v>
      </c>
      <c r="Q26" s="94">
        <f>Valores!$C$19</f>
        <v>4477.85</v>
      </c>
      <c r="R26" s="94">
        <f>Valores!$D$4</f>
        <v>2966.67</v>
      </c>
      <c r="S26" s="92">
        <v>0</v>
      </c>
      <c r="T26" s="95">
        <f>Valores!$C$43</f>
        <v>1839.54</v>
      </c>
      <c r="U26" s="92">
        <f>Valores!$C$23</f>
        <v>2739.25</v>
      </c>
      <c r="V26" s="92">
        <f t="shared" si="3"/>
        <v>2739.25</v>
      </c>
      <c r="W26" s="92">
        <v>0</v>
      </c>
      <c r="X26" s="92">
        <v>0</v>
      </c>
      <c r="Y26" s="96">
        <v>0</v>
      </c>
      <c r="Z26" s="92">
        <f>Y26*Valores!$C$2</f>
        <v>0</v>
      </c>
      <c r="AA26" s="92">
        <v>0</v>
      </c>
      <c r="AB26" s="97">
        <f>Valores!$C$29</f>
        <v>160.21</v>
      </c>
      <c r="AC26" s="92">
        <f t="shared" si="6"/>
        <v>0</v>
      </c>
      <c r="AD26" s="92">
        <f>Valores!$C$30</f>
        <v>160.21</v>
      </c>
      <c r="AE26" s="96">
        <v>0</v>
      </c>
      <c r="AF26" s="92">
        <f>INT(((AE26*Valores!$C$2)*100)+0.5)/100</f>
        <v>0</v>
      </c>
      <c r="AG26" s="92">
        <f>Valores!$C$58</f>
        <v>325.89</v>
      </c>
      <c r="AH26" s="92">
        <f>Valores!$C$60</f>
        <v>93.11</v>
      </c>
      <c r="AI26" s="98">
        <f t="shared" si="7"/>
        <v>51990.09649999999</v>
      </c>
      <c r="AJ26" s="94">
        <f>Valores!$C$35</f>
        <v>599.19</v>
      </c>
      <c r="AK26" s="95">
        <f>Valores!$C$9</f>
        <v>0</v>
      </c>
      <c r="AL26" s="95">
        <f>Valores!$C$81</f>
        <v>1300</v>
      </c>
      <c r="AM26" s="97">
        <f>Valores!$C$50</f>
        <v>265.48</v>
      </c>
      <c r="AN26" s="99">
        <f t="shared" si="8"/>
        <v>1899.19</v>
      </c>
      <c r="AO26" s="100">
        <f>AI26*-Valores!$C$65</f>
        <v>-6758.712544999999</v>
      </c>
      <c r="AP26" s="100">
        <f>AI26*-Valores!$C$66</f>
        <v>-259.95048249999996</v>
      </c>
      <c r="AQ26" s="94">
        <f>AI26*-Valores!$C$67</f>
        <v>-2339.5543424999996</v>
      </c>
      <c r="AR26" s="94">
        <f>AI26*-Valores!$C$68</f>
        <v>-1403.7326054999999</v>
      </c>
      <c r="AS26" s="94">
        <f>AI26*-Valores!$C$69</f>
        <v>-155.97028949999998</v>
      </c>
      <c r="AT26" s="98">
        <f t="shared" si="4"/>
        <v>44531.069129999996</v>
      </c>
      <c r="AU26" s="98">
        <f t="shared" si="5"/>
        <v>45310.920577499994</v>
      </c>
      <c r="AV26" s="94">
        <f>AI26*Valores!$C$71</f>
        <v>8318.415439999999</v>
      </c>
      <c r="AW26" s="94">
        <f>AI26*Valores!$C$72</f>
        <v>2339.5543424999996</v>
      </c>
      <c r="AX26" s="94">
        <f>AI26*Valores!$C$73</f>
        <v>519.9009649999999</v>
      </c>
      <c r="AY26" s="94">
        <f>AI26*Valores!$C$75</f>
        <v>1819.6533774999998</v>
      </c>
      <c r="AZ26" s="94">
        <f>AI26*Valores!$C$76</f>
        <v>311.94057899999996</v>
      </c>
      <c r="BA26" s="94">
        <f t="shared" si="9"/>
        <v>2807.4652109999997</v>
      </c>
      <c r="BB26" s="86"/>
      <c r="BC26" s="86">
        <v>45</v>
      </c>
      <c r="BD26" s="87" t="s">
        <v>4</v>
      </c>
    </row>
    <row r="27" spans="1:56" s="28" customFormat="1" ht="11.25" customHeight="1">
      <c r="A27" s="52">
        <v>26</v>
      </c>
      <c r="B27" s="52"/>
      <c r="C27" s="28" t="s">
        <v>196</v>
      </c>
      <c r="E27" s="28">
        <f t="shared" si="0"/>
        <v>22</v>
      </c>
      <c r="F27" s="72" t="s">
        <v>197</v>
      </c>
      <c r="G27" s="73">
        <v>107</v>
      </c>
      <c r="H27" s="74">
        <f>INT((G27*Valores!$C$2*100)+0.5)/100</f>
        <v>709.67</v>
      </c>
      <c r="I27" s="75">
        <v>3728</v>
      </c>
      <c r="J27" s="76">
        <f>INT((I27*Valores!$C$2*100)+0.5)/100</f>
        <v>24725.59</v>
      </c>
      <c r="K27" s="77">
        <v>1218</v>
      </c>
      <c r="L27" s="76">
        <f>INT((K27*Valores!$C$2*100)+0.5)/100</f>
        <v>8078.26</v>
      </c>
      <c r="M27" s="73">
        <v>0</v>
      </c>
      <c r="N27" s="76">
        <f>INT((M27*Valores!$C$2*100)+0.5)/100</f>
        <v>0</v>
      </c>
      <c r="O27" s="76">
        <f t="shared" si="1"/>
        <v>5713.8465</v>
      </c>
      <c r="P27" s="76">
        <f t="shared" si="2"/>
        <v>0</v>
      </c>
      <c r="Q27" s="78">
        <f>Valores!$C$19</f>
        <v>4477.85</v>
      </c>
      <c r="R27" s="78">
        <f>Valores!$D$4</f>
        <v>2966.67</v>
      </c>
      <c r="S27" s="76">
        <v>0</v>
      </c>
      <c r="T27" s="79">
        <f>Valores!$C$43</f>
        <v>1839.54</v>
      </c>
      <c r="U27" s="76">
        <f>Valores!$C$23</f>
        <v>2739.25</v>
      </c>
      <c r="V27" s="76">
        <f t="shared" si="3"/>
        <v>2739.25</v>
      </c>
      <c r="W27" s="76">
        <v>0</v>
      </c>
      <c r="X27" s="76">
        <v>0</v>
      </c>
      <c r="Y27" s="80">
        <v>0</v>
      </c>
      <c r="Z27" s="76">
        <f>Y27*Valores!$C$2</f>
        <v>0</v>
      </c>
      <c r="AA27" s="76">
        <v>0</v>
      </c>
      <c r="AB27" s="81">
        <f>Valores!$C$29</f>
        <v>160.21</v>
      </c>
      <c r="AC27" s="76">
        <f t="shared" si="6"/>
        <v>0</v>
      </c>
      <c r="AD27" s="76">
        <f>Valores!$C$30</f>
        <v>160.21</v>
      </c>
      <c r="AE27" s="80">
        <v>0</v>
      </c>
      <c r="AF27" s="76">
        <f>INT(((AE27*Valores!$C$2)*100)+0.5)/100</f>
        <v>0</v>
      </c>
      <c r="AG27" s="76">
        <f>Valores!$C$58</f>
        <v>325.89</v>
      </c>
      <c r="AH27" s="76">
        <f>Valores!$C$60</f>
        <v>93.11</v>
      </c>
      <c r="AI27" s="82">
        <f t="shared" si="7"/>
        <v>51990.09649999999</v>
      </c>
      <c r="AJ27" s="78">
        <f>Valores!$C$35</f>
        <v>599.19</v>
      </c>
      <c r="AK27" s="79">
        <f>Valores!$C$9</f>
        <v>0</v>
      </c>
      <c r="AL27" s="79">
        <f>Valores!$C$81</f>
        <v>1300</v>
      </c>
      <c r="AM27" s="81">
        <f>Valores!$C$50</f>
        <v>265.48</v>
      </c>
      <c r="AN27" s="83">
        <f t="shared" si="8"/>
        <v>1899.19</v>
      </c>
      <c r="AO27" s="84">
        <f>AI27*-Valores!$C$65</f>
        <v>-6758.712544999999</v>
      </c>
      <c r="AP27" s="84">
        <f>AI27*-Valores!$C$66</f>
        <v>-259.95048249999996</v>
      </c>
      <c r="AQ27" s="78">
        <f>AI27*-Valores!$C$67</f>
        <v>-2339.5543424999996</v>
      </c>
      <c r="AR27" s="78">
        <f>AI27*-Valores!$C$68</f>
        <v>-1403.7326054999999</v>
      </c>
      <c r="AS27" s="78">
        <f>AI27*-Valores!$C$69</f>
        <v>-155.97028949999998</v>
      </c>
      <c r="AT27" s="82">
        <f t="shared" si="4"/>
        <v>44531.069129999996</v>
      </c>
      <c r="AU27" s="82">
        <f t="shared" si="5"/>
        <v>45310.920577499994</v>
      </c>
      <c r="AV27" s="78">
        <f>AI27*Valores!$C$71</f>
        <v>8318.415439999999</v>
      </c>
      <c r="AW27" s="78">
        <f>AI27*Valores!$C$72</f>
        <v>2339.5543424999996</v>
      </c>
      <c r="AX27" s="78">
        <f>AI27*Valores!$C$73</f>
        <v>519.9009649999999</v>
      </c>
      <c r="AY27" s="78">
        <f>AI27*Valores!$C$75</f>
        <v>1819.6533774999998</v>
      </c>
      <c r="AZ27" s="78">
        <f>AI27*Valores!$C$76</f>
        <v>311.94057899999996</v>
      </c>
      <c r="BA27" s="78">
        <f t="shared" si="9"/>
        <v>2807.4652109999997</v>
      </c>
      <c r="BB27" s="52"/>
      <c r="BC27" s="52">
        <v>45</v>
      </c>
      <c r="BD27" s="28" t="s">
        <v>8</v>
      </c>
    </row>
    <row r="28" spans="1:56" s="28" customFormat="1" ht="11.25" customHeight="1">
      <c r="A28" s="52">
        <v>27</v>
      </c>
      <c r="B28" s="52"/>
      <c r="C28" s="28" t="s">
        <v>198</v>
      </c>
      <c r="E28" s="28">
        <f t="shared" si="0"/>
        <v>29</v>
      </c>
      <c r="F28" s="72" t="s">
        <v>199</v>
      </c>
      <c r="G28" s="73">
        <v>94</v>
      </c>
      <c r="H28" s="74">
        <f>INT((G28*Valores!$C$2*100)+0.5)/100</f>
        <v>623.45</v>
      </c>
      <c r="I28" s="75">
        <v>3624</v>
      </c>
      <c r="J28" s="76">
        <f>INT((I28*Valores!$C$2*100)+0.5)/100</f>
        <v>24035.82</v>
      </c>
      <c r="K28" s="77">
        <v>1219</v>
      </c>
      <c r="L28" s="76">
        <f>INT((K28*Valores!$C$2*100)+0.5)/100</f>
        <v>8084.9</v>
      </c>
      <c r="M28" s="73">
        <v>0</v>
      </c>
      <c r="N28" s="76">
        <f>INT((M28*Valores!$C$2*100)+0.5)/100</f>
        <v>0</v>
      </c>
      <c r="O28" s="76">
        <f t="shared" si="1"/>
        <v>5598.4439999999995</v>
      </c>
      <c r="P28" s="76">
        <f t="shared" si="2"/>
        <v>0</v>
      </c>
      <c r="Q28" s="78">
        <f>Valores!$C$17</f>
        <v>4415.76</v>
      </c>
      <c r="R28" s="78">
        <f>Valores!$D$4</f>
        <v>2966.67</v>
      </c>
      <c r="S28" s="76">
        <v>0</v>
      </c>
      <c r="T28" s="79">
        <f>Valores!$C$43</f>
        <v>1839.54</v>
      </c>
      <c r="U28" s="76">
        <f>Valores!$C$23</f>
        <v>2739.25</v>
      </c>
      <c r="V28" s="76">
        <f t="shared" si="3"/>
        <v>2739.25</v>
      </c>
      <c r="W28" s="76">
        <v>0</v>
      </c>
      <c r="X28" s="76">
        <v>0</v>
      </c>
      <c r="Y28" s="80">
        <v>0</v>
      </c>
      <c r="Z28" s="76">
        <f>Y28*Valores!$C$2</f>
        <v>0</v>
      </c>
      <c r="AA28" s="76">
        <v>0</v>
      </c>
      <c r="AB28" s="81">
        <f>Valores!$C$29</f>
        <v>160.21</v>
      </c>
      <c r="AC28" s="76">
        <f t="shared" si="6"/>
        <v>0</v>
      </c>
      <c r="AD28" s="76">
        <f>Valores!$C$30</f>
        <v>160.21</v>
      </c>
      <c r="AE28" s="80">
        <v>0</v>
      </c>
      <c r="AF28" s="76">
        <f>INT(((AE28*Valores!$C$2)*100)+0.5)/100</f>
        <v>0</v>
      </c>
      <c r="AG28" s="76">
        <f>Valores!$C$58</f>
        <v>325.89</v>
      </c>
      <c r="AH28" s="76">
        <f>Valores!$C$60</f>
        <v>93.11</v>
      </c>
      <c r="AI28" s="82">
        <f t="shared" si="7"/>
        <v>51043.254</v>
      </c>
      <c r="AJ28" s="78">
        <f>Valores!$C$35</f>
        <v>599.19</v>
      </c>
      <c r="AK28" s="79">
        <f>Valores!$C$9</f>
        <v>0</v>
      </c>
      <c r="AL28" s="79">
        <f>Valores!$C$81</f>
        <v>1300</v>
      </c>
      <c r="AM28" s="81">
        <f>Valores!$C$50</f>
        <v>265.48</v>
      </c>
      <c r="AN28" s="83">
        <f t="shared" si="8"/>
        <v>1899.19</v>
      </c>
      <c r="AO28" s="84">
        <f>AI28*-Valores!$C$65</f>
        <v>-6635.62302</v>
      </c>
      <c r="AP28" s="84">
        <f>AI28*-Valores!$C$66</f>
        <v>-255.21627</v>
      </c>
      <c r="AQ28" s="78">
        <f>AI28*-Valores!$C$67</f>
        <v>-2296.94643</v>
      </c>
      <c r="AR28" s="78">
        <f>AI28*-Valores!$C$68</f>
        <v>-1378.167858</v>
      </c>
      <c r="AS28" s="78">
        <f>AI28*-Valores!$C$69</f>
        <v>-153.129762</v>
      </c>
      <c r="AT28" s="82">
        <f t="shared" si="4"/>
        <v>43754.65828</v>
      </c>
      <c r="AU28" s="82">
        <f t="shared" si="5"/>
        <v>44520.30709000001</v>
      </c>
      <c r="AV28" s="78">
        <f>AI28*Valores!$C$71</f>
        <v>8166.92064</v>
      </c>
      <c r="AW28" s="78">
        <f>AI28*Valores!$C$72</f>
        <v>2296.94643</v>
      </c>
      <c r="AX28" s="78">
        <f>AI28*Valores!$C$73</f>
        <v>510.43254</v>
      </c>
      <c r="AY28" s="78">
        <f>AI28*Valores!$C$75</f>
        <v>1786.5138900000002</v>
      </c>
      <c r="AZ28" s="78">
        <f>AI28*Valores!$C$76</f>
        <v>306.259524</v>
      </c>
      <c r="BA28" s="78">
        <f t="shared" si="9"/>
        <v>2756.335716</v>
      </c>
      <c r="BB28" s="52"/>
      <c r="BC28" s="52">
        <v>45</v>
      </c>
      <c r="BD28" s="28" t="s">
        <v>4</v>
      </c>
    </row>
    <row r="29" spans="1:56" s="28" customFormat="1" ht="11.25" customHeight="1">
      <c r="A29" s="52">
        <v>28</v>
      </c>
      <c r="B29" s="52"/>
      <c r="C29" s="28" t="s">
        <v>200</v>
      </c>
      <c r="E29" s="28">
        <f t="shared" si="0"/>
        <v>25</v>
      </c>
      <c r="F29" s="72" t="s">
        <v>201</v>
      </c>
      <c r="G29" s="73">
        <v>93</v>
      </c>
      <c r="H29" s="74">
        <f>INT((G29*Valores!$C$2*100)+0.5)/100</f>
        <v>616.81</v>
      </c>
      <c r="I29" s="75">
        <v>3627</v>
      </c>
      <c r="J29" s="76">
        <f>INT((I29*Valores!$C$2*100)+0.5)/100</f>
        <v>24055.71</v>
      </c>
      <c r="K29" s="77">
        <v>210</v>
      </c>
      <c r="L29" s="76">
        <f>INT((K29*Valores!$C$2*100)+0.5)/100</f>
        <v>1392.8</v>
      </c>
      <c r="M29" s="73">
        <v>0</v>
      </c>
      <c r="N29" s="76">
        <f>INT((M29*Valores!$C$2*100)+0.5)/100</f>
        <v>0</v>
      </c>
      <c r="O29" s="76">
        <f t="shared" si="1"/>
        <v>4596.6165</v>
      </c>
      <c r="P29" s="76">
        <f t="shared" si="2"/>
        <v>0</v>
      </c>
      <c r="Q29" s="78">
        <f>Valores!$C$17</f>
        <v>4415.76</v>
      </c>
      <c r="R29" s="78">
        <f>Valores!$D$4</f>
        <v>2966.67</v>
      </c>
      <c r="S29" s="76">
        <v>0</v>
      </c>
      <c r="T29" s="79">
        <f>Valores!$C$43</f>
        <v>1839.54</v>
      </c>
      <c r="U29" s="76">
        <f>Valores!$C$23</f>
        <v>2739.25</v>
      </c>
      <c r="V29" s="76">
        <f t="shared" si="3"/>
        <v>2739.25</v>
      </c>
      <c r="W29" s="76">
        <v>0</v>
      </c>
      <c r="X29" s="76">
        <v>0</v>
      </c>
      <c r="Y29" s="80">
        <v>0</v>
      </c>
      <c r="Z29" s="76">
        <f>Y29*Valores!$C$2</f>
        <v>0</v>
      </c>
      <c r="AA29" s="76">
        <v>0</v>
      </c>
      <c r="AB29" s="81">
        <f>Valores!$C$29</f>
        <v>160.21</v>
      </c>
      <c r="AC29" s="76">
        <f t="shared" si="6"/>
        <v>0</v>
      </c>
      <c r="AD29" s="76">
        <f>Valores!$C$30</f>
        <v>160.21</v>
      </c>
      <c r="AE29" s="80">
        <v>0</v>
      </c>
      <c r="AF29" s="76">
        <f>INT(((AE29*Valores!$C$2)*100)+0.5)/100</f>
        <v>0</v>
      </c>
      <c r="AG29" s="76">
        <f>Valores!$C$58</f>
        <v>325.89</v>
      </c>
      <c r="AH29" s="76">
        <f>Valores!$C$60</f>
        <v>93.11</v>
      </c>
      <c r="AI29" s="82">
        <f t="shared" si="7"/>
        <v>43362.576499999996</v>
      </c>
      <c r="AJ29" s="78">
        <f>Valores!$C$35</f>
        <v>599.19</v>
      </c>
      <c r="AK29" s="79">
        <f>Valores!$C$9</f>
        <v>0</v>
      </c>
      <c r="AL29" s="79">
        <f>Valores!$C$81</f>
        <v>1300</v>
      </c>
      <c r="AM29" s="81">
        <f>Valores!$C$50</f>
        <v>265.48</v>
      </c>
      <c r="AN29" s="83">
        <f t="shared" si="8"/>
        <v>1899.19</v>
      </c>
      <c r="AO29" s="84">
        <f>AI29*-Valores!$C$65</f>
        <v>-5637.134945</v>
      </c>
      <c r="AP29" s="84">
        <f>AI29*-Valores!$C$66</f>
        <v>-216.81288249999997</v>
      </c>
      <c r="AQ29" s="78">
        <f>AI29*-Valores!$C$67</f>
        <v>-1951.3159424999997</v>
      </c>
      <c r="AR29" s="78">
        <f>AI29*-Valores!$C$68</f>
        <v>-1170.7895655</v>
      </c>
      <c r="AS29" s="78">
        <f>AI29*-Valores!$C$69</f>
        <v>-130.0877295</v>
      </c>
      <c r="AT29" s="82">
        <f t="shared" si="4"/>
        <v>37456.50273</v>
      </c>
      <c r="AU29" s="82">
        <f t="shared" si="5"/>
        <v>38106.94137749999</v>
      </c>
      <c r="AV29" s="78">
        <f>AI29*Valores!$C$71</f>
        <v>6938.012239999999</v>
      </c>
      <c r="AW29" s="78">
        <f>AI29*Valores!$C$72</f>
        <v>1951.3159424999997</v>
      </c>
      <c r="AX29" s="78">
        <f>AI29*Valores!$C$73</f>
        <v>433.62576499999994</v>
      </c>
      <c r="AY29" s="78">
        <f>AI29*Valores!$C$75</f>
        <v>1517.6901775</v>
      </c>
      <c r="AZ29" s="78">
        <f>AI29*Valores!$C$76</f>
        <v>260.175459</v>
      </c>
      <c r="BA29" s="78">
        <f t="shared" si="9"/>
        <v>2341.579131</v>
      </c>
      <c r="BB29" s="52"/>
      <c r="BC29" s="52">
        <v>45</v>
      </c>
      <c r="BD29" s="28" t="s">
        <v>8</v>
      </c>
    </row>
    <row r="30" spans="1:56" s="28" customFormat="1" ht="11.25" customHeight="1">
      <c r="A30" s="52">
        <v>29</v>
      </c>
      <c r="B30" s="52"/>
      <c r="C30" s="28" t="s">
        <v>202</v>
      </c>
      <c r="E30" s="28">
        <f t="shared" si="0"/>
        <v>32</v>
      </c>
      <c r="F30" s="72" t="s">
        <v>203</v>
      </c>
      <c r="G30" s="73">
        <v>93</v>
      </c>
      <c r="H30" s="74">
        <f>INT((G30*Valores!$C$2*100)+0.5)/100</f>
        <v>616.81</v>
      </c>
      <c r="I30" s="75">
        <v>3630</v>
      </c>
      <c r="J30" s="76">
        <f>INT((I30*Valores!$C$2*100)+0.5)/100</f>
        <v>24075.61</v>
      </c>
      <c r="K30" s="77">
        <v>1214</v>
      </c>
      <c r="L30" s="76">
        <f>INT((K30*Valores!$C$2*100)+0.5)/100</f>
        <v>8051.73</v>
      </c>
      <c r="M30" s="73">
        <v>0</v>
      </c>
      <c r="N30" s="76">
        <f>INT((M30*Valores!$C$2*100)+0.5)/100</f>
        <v>0</v>
      </c>
      <c r="O30" s="76">
        <f t="shared" si="1"/>
        <v>5598.441</v>
      </c>
      <c r="P30" s="76">
        <f t="shared" si="2"/>
        <v>0</v>
      </c>
      <c r="Q30" s="78">
        <f>Valores!$C$17</f>
        <v>4415.76</v>
      </c>
      <c r="R30" s="78">
        <f>Valores!$D$4</f>
        <v>2966.67</v>
      </c>
      <c r="S30" s="76">
        <v>0</v>
      </c>
      <c r="T30" s="79">
        <f>Valores!$C$43</f>
        <v>1839.54</v>
      </c>
      <c r="U30" s="76">
        <f>Valores!$C$23</f>
        <v>2739.25</v>
      </c>
      <c r="V30" s="76">
        <f t="shared" si="3"/>
        <v>2739.25</v>
      </c>
      <c r="W30" s="76">
        <v>0</v>
      </c>
      <c r="X30" s="76">
        <v>0</v>
      </c>
      <c r="Y30" s="80">
        <v>0</v>
      </c>
      <c r="Z30" s="76">
        <f>Y30*Valores!$C$2</f>
        <v>0</v>
      </c>
      <c r="AA30" s="76">
        <v>0</v>
      </c>
      <c r="AB30" s="81">
        <f>Valores!$C$29</f>
        <v>160.21</v>
      </c>
      <c r="AC30" s="76">
        <f t="shared" si="6"/>
        <v>0</v>
      </c>
      <c r="AD30" s="76">
        <f>Valores!$C$30</f>
        <v>160.21</v>
      </c>
      <c r="AE30" s="80">
        <v>0</v>
      </c>
      <c r="AF30" s="76">
        <f>INT(((AE30*Valores!$C$2)*100)+0.5)/100</f>
        <v>0</v>
      </c>
      <c r="AG30" s="76">
        <f>Valores!$C$58</f>
        <v>325.89</v>
      </c>
      <c r="AH30" s="76">
        <f>Valores!$C$60</f>
        <v>93.11</v>
      </c>
      <c r="AI30" s="82">
        <f t="shared" si="7"/>
        <v>51043.231</v>
      </c>
      <c r="AJ30" s="78">
        <f>Valores!$C$35</f>
        <v>599.19</v>
      </c>
      <c r="AK30" s="79">
        <f>Valores!$C$9</f>
        <v>0</v>
      </c>
      <c r="AL30" s="79">
        <f>Valores!$C$81</f>
        <v>1300</v>
      </c>
      <c r="AM30" s="81">
        <f>Valores!$C$50</f>
        <v>265.48</v>
      </c>
      <c r="AN30" s="83">
        <f t="shared" si="8"/>
        <v>1899.19</v>
      </c>
      <c r="AO30" s="84">
        <f>AI30*-Valores!$C$65</f>
        <v>-6635.62003</v>
      </c>
      <c r="AP30" s="84">
        <f>AI30*-Valores!$C$66</f>
        <v>-255.21615500000001</v>
      </c>
      <c r="AQ30" s="78">
        <f>AI30*-Valores!$C$67</f>
        <v>-2296.9453949999997</v>
      </c>
      <c r="AR30" s="78">
        <f>AI30*-Valores!$C$68</f>
        <v>-1378.167237</v>
      </c>
      <c r="AS30" s="78">
        <f>AI30*-Valores!$C$69</f>
        <v>-153.129693</v>
      </c>
      <c r="AT30" s="82">
        <f t="shared" si="4"/>
        <v>43754.63942</v>
      </c>
      <c r="AU30" s="82">
        <f t="shared" si="5"/>
        <v>44520.287885</v>
      </c>
      <c r="AV30" s="78">
        <f>AI30*Valores!$C$71</f>
        <v>8166.9169600000005</v>
      </c>
      <c r="AW30" s="78">
        <f>AI30*Valores!$C$72</f>
        <v>2296.9453949999997</v>
      </c>
      <c r="AX30" s="78">
        <f>AI30*Valores!$C$73</f>
        <v>510.43231000000003</v>
      </c>
      <c r="AY30" s="78">
        <f>AI30*Valores!$C$75</f>
        <v>1786.5130850000003</v>
      </c>
      <c r="AZ30" s="78">
        <f>AI30*Valores!$C$76</f>
        <v>306.259386</v>
      </c>
      <c r="BA30" s="78">
        <f t="shared" si="9"/>
        <v>2756.3344740000002</v>
      </c>
      <c r="BB30" s="52"/>
      <c r="BC30" s="52">
        <v>45</v>
      </c>
      <c r="BD30" s="28" t="s">
        <v>4</v>
      </c>
    </row>
    <row r="31" spans="1:56" s="28" customFormat="1" ht="11.25" customHeight="1">
      <c r="A31" s="86">
        <v>30</v>
      </c>
      <c r="B31" s="86" t="s">
        <v>163</v>
      </c>
      <c r="C31" s="87" t="s">
        <v>204</v>
      </c>
      <c r="D31" s="87"/>
      <c r="E31" s="87">
        <f t="shared" si="0"/>
        <v>35</v>
      </c>
      <c r="F31" s="88" t="s">
        <v>205</v>
      </c>
      <c r="G31" s="89">
        <v>96</v>
      </c>
      <c r="H31" s="90">
        <f>INT((G31*Valores!$C$2*100)+0.5)/100</f>
        <v>636.71</v>
      </c>
      <c r="I31" s="91">
        <v>3737</v>
      </c>
      <c r="J31" s="92">
        <f>INT((I31*Valores!$C$2*100)+0.5)/100</f>
        <v>24785.28</v>
      </c>
      <c r="K31" s="93">
        <v>1220</v>
      </c>
      <c r="L31" s="92">
        <f>INT((K31*Valores!$C$2*100)+0.5)/100</f>
        <v>8091.53</v>
      </c>
      <c r="M31" s="89">
        <v>0</v>
      </c>
      <c r="N31" s="92">
        <f>INT((M31*Valores!$C$2*100)+0.5)/100</f>
        <v>0</v>
      </c>
      <c r="O31" s="92">
        <f t="shared" si="1"/>
        <v>5713.8465</v>
      </c>
      <c r="P31" s="92">
        <f t="shared" si="2"/>
        <v>0</v>
      </c>
      <c r="Q31" s="94">
        <f>Valores!$C$19</f>
        <v>4477.85</v>
      </c>
      <c r="R31" s="94">
        <f>Valores!$D$4</f>
        <v>2966.67</v>
      </c>
      <c r="S31" s="92">
        <v>0</v>
      </c>
      <c r="T31" s="95">
        <f>Valores!$C$43</f>
        <v>1839.54</v>
      </c>
      <c r="U31" s="92">
        <f>Valores!$C$23</f>
        <v>2739.25</v>
      </c>
      <c r="V31" s="92">
        <f t="shared" si="3"/>
        <v>2739.25</v>
      </c>
      <c r="W31" s="92">
        <v>0</v>
      </c>
      <c r="X31" s="92">
        <v>0</v>
      </c>
      <c r="Y31" s="96">
        <v>0</v>
      </c>
      <c r="Z31" s="92">
        <f>Y31*Valores!$C$2</f>
        <v>0</v>
      </c>
      <c r="AA31" s="92">
        <f>SUM(L31,J31,H31,T31)*Valores!$C$3</f>
        <v>5302.959</v>
      </c>
      <c r="AB31" s="97">
        <f>Valores!$C$29</f>
        <v>160.21</v>
      </c>
      <c r="AC31" s="92">
        <f t="shared" si="6"/>
        <v>0</v>
      </c>
      <c r="AD31" s="92">
        <f>Valores!$C$30</f>
        <v>160.21</v>
      </c>
      <c r="AE31" s="96">
        <v>0</v>
      </c>
      <c r="AF31" s="92">
        <f>INT(((AE31*Valores!$C$2)*100)+0.5)/100</f>
        <v>0</v>
      </c>
      <c r="AG31" s="92">
        <f>Valores!$C$58</f>
        <v>325.89</v>
      </c>
      <c r="AH31" s="92">
        <f>Valores!$C$60</f>
        <v>93.11</v>
      </c>
      <c r="AI31" s="98">
        <f t="shared" si="7"/>
        <v>57293.055499999995</v>
      </c>
      <c r="AJ31" s="94">
        <f>Valores!$C$35</f>
        <v>599.19</v>
      </c>
      <c r="AK31" s="95">
        <f>Valores!$C$9</f>
        <v>0</v>
      </c>
      <c r="AL31" s="95">
        <f>Valores!$C$81</f>
        <v>1300</v>
      </c>
      <c r="AM31" s="97">
        <f>Valores!$C$50</f>
        <v>265.48</v>
      </c>
      <c r="AN31" s="99">
        <f t="shared" si="8"/>
        <v>1899.19</v>
      </c>
      <c r="AO31" s="100">
        <f>AI31*-Valores!$C$65</f>
        <v>-7448.097215</v>
      </c>
      <c r="AP31" s="100">
        <f>AI31*-Valores!$C$66</f>
        <v>-286.46527749999996</v>
      </c>
      <c r="AQ31" s="94">
        <f>AI31*-Valores!$C$67</f>
        <v>-2578.1874974999996</v>
      </c>
      <c r="AR31" s="94">
        <f>AI31*-Valores!$C$68</f>
        <v>-1546.9124984999999</v>
      </c>
      <c r="AS31" s="94">
        <f>AI31*-Valores!$C$69</f>
        <v>-171.8791665</v>
      </c>
      <c r="AT31" s="98">
        <f t="shared" si="4"/>
        <v>48879.49550999999</v>
      </c>
      <c r="AU31" s="98">
        <f t="shared" si="5"/>
        <v>49738.89134249999</v>
      </c>
      <c r="AV31" s="94">
        <f>AI31*Valores!$C$71</f>
        <v>9166.888879999999</v>
      </c>
      <c r="AW31" s="94">
        <f>AI31*Valores!$C$72</f>
        <v>2578.1874974999996</v>
      </c>
      <c r="AX31" s="94">
        <f>AI31*Valores!$C$73</f>
        <v>572.9305549999999</v>
      </c>
      <c r="AY31" s="94">
        <f>AI31*Valores!$C$75</f>
        <v>2005.2569425</v>
      </c>
      <c r="AZ31" s="94">
        <f>AI31*Valores!$C$76</f>
        <v>343.758333</v>
      </c>
      <c r="BA31" s="94">
        <f t="shared" si="9"/>
        <v>3093.8249969999997</v>
      </c>
      <c r="BB31" s="86"/>
      <c r="BC31" s="86">
        <v>45</v>
      </c>
      <c r="BD31" s="87" t="s">
        <v>8</v>
      </c>
    </row>
    <row r="32" spans="1:56" s="28" customFormat="1" ht="11.25" customHeight="1">
      <c r="A32" s="52">
        <v>31</v>
      </c>
      <c r="B32" s="52"/>
      <c r="C32" s="28" t="s">
        <v>206</v>
      </c>
      <c r="E32" s="28">
        <f t="shared" si="0"/>
        <v>20</v>
      </c>
      <c r="F32" s="72" t="s">
        <v>207</v>
      </c>
      <c r="G32" s="73">
        <v>92</v>
      </c>
      <c r="H32" s="74">
        <f>INT((G32*Valores!$C$2*100)+0.5)/100</f>
        <v>610.18</v>
      </c>
      <c r="I32" s="75">
        <v>3483</v>
      </c>
      <c r="J32" s="76">
        <f>INT((I32*Valores!$C$2*100)+0.5)/100</f>
        <v>23100.65</v>
      </c>
      <c r="K32" s="77">
        <v>1217</v>
      </c>
      <c r="L32" s="76">
        <f>INT((K32*Valores!$C$2*100)+0.5)/100</f>
        <v>8071.63</v>
      </c>
      <c r="M32" s="73">
        <v>0</v>
      </c>
      <c r="N32" s="76">
        <f>INT((M32*Valores!$C$2*100)+0.5)/100</f>
        <v>0</v>
      </c>
      <c r="O32" s="76">
        <f t="shared" si="1"/>
        <v>5454.187500000001</v>
      </c>
      <c r="P32" s="76">
        <f t="shared" si="2"/>
        <v>0</v>
      </c>
      <c r="Q32" s="78">
        <f>Valores!$C$18</f>
        <v>7864</v>
      </c>
      <c r="R32" s="78">
        <f>Valores!$D$4</f>
        <v>2966.67</v>
      </c>
      <c r="S32" s="76">
        <v>0</v>
      </c>
      <c r="T32" s="79">
        <f>Valores!$C$43</f>
        <v>1839.54</v>
      </c>
      <c r="U32" s="76">
        <f>Valores!$C$23</f>
        <v>2739.25</v>
      </c>
      <c r="V32" s="76">
        <f t="shared" si="3"/>
        <v>2739.25</v>
      </c>
      <c r="W32" s="76">
        <v>0</v>
      </c>
      <c r="X32" s="76">
        <v>0</v>
      </c>
      <c r="Y32" s="80">
        <v>0</v>
      </c>
      <c r="Z32" s="76">
        <f>Y32*Valores!$C$2</f>
        <v>0</v>
      </c>
      <c r="AA32" s="76">
        <v>0</v>
      </c>
      <c r="AB32" s="81">
        <f>Valores!$C$29</f>
        <v>160.21</v>
      </c>
      <c r="AC32" s="76">
        <f t="shared" si="6"/>
        <v>0</v>
      </c>
      <c r="AD32" s="76">
        <f>Valores!$C$30</f>
        <v>160.21</v>
      </c>
      <c r="AE32" s="80">
        <v>0</v>
      </c>
      <c r="AF32" s="76">
        <f>INT(((AE32*Valores!$C$2)*100)+0.5)/100</f>
        <v>0</v>
      </c>
      <c r="AG32" s="76">
        <f>Valores!$C$58</f>
        <v>325.89</v>
      </c>
      <c r="AH32" s="76">
        <f>Valores!$C$60</f>
        <v>93.11</v>
      </c>
      <c r="AI32" s="82">
        <f t="shared" si="7"/>
        <v>53385.527500000004</v>
      </c>
      <c r="AJ32" s="78">
        <f>Valores!$C$35</f>
        <v>599.19</v>
      </c>
      <c r="AK32" s="79">
        <f>Valores!$C$9</f>
        <v>0</v>
      </c>
      <c r="AL32" s="79">
        <f>Valores!$C$83</f>
        <v>2600</v>
      </c>
      <c r="AM32" s="81">
        <f>Valores!$C$50</f>
        <v>265.48</v>
      </c>
      <c r="AN32" s="83">
        <f t="shared" si="8"/>
        <v>3199.19</v>
      </c>
      <c r="AO32" s="84">
        <f>AI32*-Valores!$C$65</f>
        <v>-6940.118575</v>
      </c>
      <c r="AP32" s="84">
        <f>AI32*-Valores!$C$66</f>
        <v>-266.9276375</v>
      </c>
      <c r="AQ32" s="78">
        <f>AI32*-Valores!$C$67</f>
        <v>-2402.3487375</v>
      </c>
      <c r="AR32" s="78">
        <f>AI32*-Valores!$C$68</f>
        <v>-1441.4092425000001</v>
      </c>
      <c r="AS32" s="78">
        <f>AI32*-Valores!$C$69</f>
        <v>-160.1565825</v>
      </c>
      <c r="AT32" s="82">
        <f t="shared" si="4"/>
        <v>46975.32255000001</v>
      </c>
      <c r="AU32" s="82">
        <f t="shared" si="5"/>
        <v>47776.10546250001</v>
      </c>
      <c r="AV32" s="78">
        <f>AI32*Valores!$C$71</f>
        <v>8541.6844</v>
      </c>
      <c r="AW32" s="78">
        <f>AI32*Valores!$C$72</f>
        <v>2402.3487375</v>
      </c>
      <c r="AX32" s="78">
        <f>AI32*Valores!$C$73</f>
        <v>533.855275</v>
      </c>
      <c r="AY32" s="78">
        <f>AI32*Valores!$C$75</f>
        <v>1868.4934625000003</v>
      </c>
      <c r="AZ32" s="78">
        <f>AI32*Valores!$C$76</f>
        <v>320.313165</v>
      </c>
      <c r="BA32" s="78">
        <f t="shared" si="9"/>
        <v>2882.8184850000002</v>
      </c>
      <c r="BB32" s="52"/>
      <c r="BC32" s="52">
        <v>45</v>
      </c>
      <c r="BD32" s="28" t="s">
        <v>4</v>
      </c>
    </row>
    <row r="33" spans="1:56" s="28" customFormat="1" ht="11.25" customHeight="1">
      <c r="A33" s="52">
        <v>32</v>
      </c>
      <c r="B33" s="52"/>
      <c r="C33" s="28" t="s">
        <v>208</v>
      </c>
      <c r="E33" s="28">
        <f t="shared" si="0"/>
        <v>30</v>
      </c>
      <c r="F33" s="72" t="s">
        <v>209</v>
      </c>
      <c r="G33" s="73">
        <v>85</v>
      </c>
      <c r="H33" s="74">
        <f>INT((G33*Valores!$C$2*100)+0.5)/100</f>
        <v>563.75</v>
      </c>
      <c r="I33" s="75">
        <v>3498</v>
      </c>
      <c r="J33" s="76">
        <f>INT((I33*Valores!$C$2*100)+0.5)/100</f>
        <v>23200.14</v>
      </c>
      <c r="K33" s="77">
        <v>1209</v>
      </c>
      <c r="L33" s="76">
        <f>INT((K33*Valores!$C$2*100)+0.5)/100</f>
        <v>8018.57</v>
      </c>
      <c r="M33" s="73">
        <v>0</v>
      </c>
      <c r="N33" s="76">
        <f>INT((M33*Valores!$C$2*100)+0.5)/100</f>
        <v>0</v>
      </c>
      <c r="O33" s="76">
        <f t="shared" si="1"/>
        <v>5454.1875</v>
      </c>
      <c r="P33" s="76">
        <f t="shared" si="2"/>
        <v>0</v>
      </c>
      <c r="Q33" s="78">
        <f>Valores!$C$18</f>
        <v>7864</v>
      </c>
      <c r="R33" s="78">
        <f>Valores!$D$4</f>
        <v>2966.67</v>
      </c>
      <c r="S33" s="76">
        <v>0</v>
      </c>
      <c r="T33" s="79">
        <f>Valores!$C$43</f>
        <v>1839.54</v>
      </c>
      <c r="U33" s="76">
        <f>Valores!$C$23</f>
        <v>2739.25</v>
      </c>
      <c r="V33" s="76">
        <f t="shared" si="3"/>
        <v>2739.25</v>
      </c>
      <c r="W33" s="76">
        <v>0</v>
      </c>
      <c r="X33" s="76">
        <v>0</v>
      </c>
      <c r="Y33" s="80">
        <v>0</v>
      </c>
      <c r="Z33" s="76">
        <f>Y33*Valores!$C$2</f>
        <v>0</v>
      </c>
      <c r="AA33" s="76">
        <v>0</v>
      </c>
      <c r="AB33" s="81">
        <f>Valores!$C$29</f>
        <v>160.21</v>
      </c>
      <c r="AC33" s="76">
        <f t="shared" si="6"/>
        <v>0</v>
      </c>
      <c r="AD33" s="76">
        <f>Valores!$C$30</f>
        <v>160.21</v>
      </c>
      <c r="AE33" s="80">
        <v>0</v>
      </c>
      <c r="AF33" s="76">
        <f>INT(((AE33*Valores!$C$2)*100)+0.5)/100</f>
        <v>0</v>
      </c>
      <c r="AG33" s="76">
        <f>Valores!$C$58</f>
        <v>325.89</v>
      </c>
      <c r="AH33" s="76">
        <f>Valores!$C$60</f>
        <v>93.11</v>
      </c>
      <c r="AI33" s="82">
        <f t="shared" si="7"/>
        <v>53385.5275</v>
      </c>
      <c r="AJ33" s="78">
        <f>Valores!$C$35</f>
        <v>599.19</v>
      </c>
      <c r="AK33" s="79">
        <f>Valores!$C$9</f>
        <v>0</v>
      </c>
      <c r="AL33" s="79">
        <f>Valores!$C$83</f>
        <v>2600</v>
      </c>
      <c r="AM33" s="81">
        <f>Valores!$C$50</f>
        <v>265.48</v>
      </c>
      <c r="AN33" s="83">
        <f t="shared" si="8"/>
        <v>3199.19</v>
      </c>
      <c r="AO33" s="84">
        <f>AI33*-Valores!$C$65</f>
        <v>-6940.1185749999995</v>
      </c>
      <c r="AP33" s="84">
        <f>AI33*-Valores!$C$66</f>
        <v>-266.9276375</v>
      </c>
      <c r="AQ33" s="78">
        <f>AI33*-Valores!$C$67</f>
        <v>-2402.3487375</v>
      </c>
      <c r="AR33" s="78">
        <f>AI33*-Valores!$C$68</f>
        <v>-1441.4092425</v>
      </c>
      <c r="AS33" s="78">
        <f>AI33*-Valores!$C$69</f>
        <v>-160.15658249999998</v>
      </c>
      <c r="AT33" s="82">
        <f t="shared" si="4"/>
        <v>46975.322550000004</v>
      </c>
      <c r="AU33" s="82">
        <f t="shared" si="5"/>
        <v>47776.1054625</v>
      </c>
      <c r="AV33" s="78">
        <f>AI33*Valores!$C$71</f>
        <v>8541.6844</v>
      </c>
      <c r="AW33" s="78">
        <f>AI33*Valores!$C$72</f>
        <v>2402.3487375</v>
      </c>
      <c r="AX33" s="78">
        <f>AI33*Valores!$C$73</f>
        <v>533.855275</v>
      </c>
      <c r="AY33" s="78">
        <f>AI33*Valores!$C$75</f>
        <v>1868.4934625</v>
      </c>
      <c r="AZ33" s="78">
        <f>AI33*Valores!$C$76</f>
        <v>320.31316499999997</v>
      </c>
      <c r="BA33" s="78">
        <f t="shared" si="9"/>
        <v>2882.8184850000002</v>
      </c>
      <c r="BB33" s="52"/>
      <c r="BC33" s="52">
        <v>45</v>
      </c>
      <c r="BD33" s="28" t="s">
        <v>4</v>
      </c>
    </row>
    <row r="34" spans="1:56" s="28" customFormat="1" ht="11.25" customHeight="1">
      <c r="A34" s="52">
        <v>33</v>
      </c>
      <c r="B34" s="52"/>
      <c r="C34" s="28" t="s">
        <v>210</v>
      </c>
      <c r="E34" s="28">
        <f t="shared" si="0"/>
        <v>16</v>
      </c>
      <c r="F34" s="72" t="s">
        <v>211</v>
      </c>
      <c r="G34" s="73">
        <v>92</v>
      </c>
      <c r="H34" s="74">
        <f>INT((G34*Valores!$C$2*100)+0.5)/100</f>
        <v>610.18</v>
      </c>
      <c r="I34" s="75">
        <v>3483</v>
      </c>
      <c r="J34" s="76">
        <f>INT((I34*Valores!$C$2*100)+0.5)/100</f>
        <v>23100.65</v>
      </c>
      <c r="K34" s="77">
        <v>1217</v>
      </c>
      <c r="L34" s="76">
        <f>INT((K34*Valores!$C$2*100)+0.5)/100</f>
        <v>8071.63</v>
      </c>
      <c r="M34" s="73">
        <v>0</v>
      </c>
      <c r="N34" s="76">
        <f>INT((M34*Valores!$C$2*100)+0.5)/100</f>
        <v>0</v>
      </c>
      <c r="O34" s="76">
        <f t="shared" si="1"/>
        <v>5454.187500000001</v>
      </c>
      <c r="P34" s="76">
        <f t="shared" si="2"/>
        <v>0</v>
      </c>
      <c r="Q34" s="78">
        <f>Valores!$C$18</f>
        <v>7864</v>
      </c>
      <c r="R34" s="78">
        <f>Valores!$D$4</f>
        <v>2966.67</v>
      </c>
      <c r="S34" s="76">
        <v>0</v>
      </c>
      <c r="T34" s="79">
        <f>Valores!$C$43</f>
        <v>1839.54</v>
      </c>
      <c r="U34" s="76">
        <f>Valores!$C$23</f>
        <v>2739.25</v>
      </c>
      <c r="V34" s="76">
        <f t="shared" si="3"/>
        <v>2739.25</v>
      </c>
      <c r="W34" s="76">
        <v>0</v>
      </c>
      <c r="X34" s="76">
        <v>0</v>
      </c>
      <c r="Y34" s="80">
        <v>0</v>
      </c>
      <c r="Z34" s="76">
        <f>Y34*Valores!$C$2</f>
        <v>0</v>
      </c>
      <c r="AA34" s="76">
        <v>0</v>
      </c>
      <c r="AB34" s="81">
        <f>Valores!$C$29</f>
        <v>160.21</v>
      </c>
      <c r="AC34" s="76">
        <f t="shared" si="6"/>
        <v>0</v>
      </c>
      <c r="AD34" s="76">
        <f>Valores!$C$30</f>
        <v>160.21</v>
      </c>
      <c r="AE34" s="80">
        <v>0</v>
      </c>
      <c r="AF34" s="76">
        <f>INT(((AE34*Valores!$C$2)*100)+0.5)/100</f>
        <v>0</v>
      </c>
      <c r="AG34" s="76">
        <f>Valores!$C$58</f>
        <v>325.89</v>
      </c>
      <c r="AH34" s="76">
        <f>Valores!$C$60</f>
        <v>93.11</v>
      </c>
      <c r="AI34" s="82">
        <f t="shared" si="7"/>
        <v>53385.527500000004</v>
      </c>
      <c r="AJ34" s="78">
        <f>Valores!$C$35</f>
        <v>599.19</v>
      </c>
      <c r="AK34" s="79">
        <f>Valores!$C$9</f>
        <v>0</v>
      </c>
      <c r="AL34" s="79">
        <f>Valores!$C$83</f>
        <v>2600</v>
      </c>
      <c r="AM34" s="81">
        <f>Valores!$C$50</f>
        <v>265.48</v>
      </c>
      <c r="AN34" s="83">
        <f t="shared" si="8"/>
        <v>3199.19</v>
      </c>
      <c r="AO34" s="84">
        <f>AI34*-Valores!$C$65</f>
        <v>-6940.118575</v>
      </c>
      <c r="AP34" s="84">
        <f>AI34*-Valores!$C$66</f>
        <v>-266.9276375</v>
      </c>
      <c r="AQ34" s="78">
        <f>AI34*-Valores!$C$67</f>
        <v>-2402.3487375</v>
      </c>
      <c r="AR34" s="78">
        <f>AI34*-Valores!$C$68</f>
        <v>-1441.4092425000001</v>
      </c>
      <c r="AS34" s="78">
        <f>AI34*-Valores!$C$69</f>
        <v>-160.1565825</v>
      </c>
      <c r="AT34" s="82">
        <f t="shared" si="4"/>
        <v>46975.32255000001</v>
      </c>
      <c r="AU34" s="82">
        <f t="shared" si="5"/>
        <v>47776.10546250001</v>
      </c>
      <c r="AV34" s="78">
        <f>AI34*Valores!$C$71</f>
        <v>8541.6844</v>
      </c>
      <c r="AW34" s="78">
        <f>AI34*Valores!$C$72</f>
        <v>2402.3487375</v>
      </c>
      <c r="AX34" s="78">
        <f>AI34*Valores!$C$73</f>
        <v>533.855275</v>
      </c>
      <c r="AY34" s="78">
        <f>AI34*Valores!$C$75</f>
        <v>1868.4934625000003</v>
      </c>
      <c r="AZ34" s="78">
        <f>AI34*Valores!$C$76</f>
        <v>320.313165</v>
      </c>
      <c r="BA34" s="78">
        <f t="shared" si="9"/>
        <v>2882.8184850000002</v>
      </c>
      <c r="BB34" s="52"/>
      <c r="BC34" s="52">
        <v>45</v>
      </c>
      <c r="BD34" s="28" t="s">
        <v>4</v>
      </c>
    </row>
    <row r="35" spans="1:56" s="28" customFormat="1" ht="11.25" customHeight="1">
      <c r="A35" s="52">
        <v>34</v>
      </c>
      <c r="B35" s="52"/>
      <c r="C35" s="28" t="s">
        <v>212</v>
      </c>
      <c r="E35" s="28">
        <f t="shared" si="0"/>
        <v>28</v>
      </c>
      <c r="F35" s="72" t="s">
        <v>213</v>
      </c>
      <c r="G35" s="73">
        <v>85</v>
      </c>
      <c r="H35" s="74">
        <f>INT((G35*Valores!$C$2*100)+0.5)/100</f>
        <v>563.75</v>
      </c>
      <c r="I35" s="75">
        <v>3498</v>
      </c>
      <c r="J35" s="76">
        <f>INT((I35*Valores!$C$2*100)+0.5)/100</f>
        <v>23200.14</v>
      </c>
      <c r="K35" s="77">
        <v>1209</v>
      </c>
      <c r="L35" s="76">
        <f>INT((K35*Valores!$C$2*100)+0.5)/100</f>
        <v>8018.57</v>
      </c>
      <c r="M35" s="73">
        <v>0</v>
      </c>
      <c r="N35" s="76">
        <f>INT((M35*Valores!$C$2*100)+0.5)/100</f>
        <v>0</v>
      </c>
      <c r="O35" s="76">
        <f t="shared" si="1"/>
        <v>5454.1875</v>
      </c>
      <c r="P35" s="76">
        <f t="shared" si="2"/>
        <v>0</v>
      </c>
      <c r="Q35" s="78">
        <f>Valores!$C$18</f>
        <v>7864</v>
      </c>
      <c r="R35" s="78">
        <f>Valores!$D$4</f>
        <v>2966.67</v>
      </c>
      <c r="S35" s="76">
        <v>0</v>
      </c>
      <c r="T35" s="79">
        <f>Valores!$C$43</f>
        <v>1839.54</v>
      </c>
      <c r="U35" s="76">
        <f>Valores!$C$23</f>
        <v>2739.25</v>
      </c>
      <c r="V35" s="76">
        <f t="shared" si="3"/>
        <v>2739.25</v>
      </c>
      <c r="W35" s="76">
        <v>0</v>
      </c>
      <c r="X35" s="76">
        <v>0</v>
      </c>
      <c r="Y35" s="80">
        <v>0</v>
      </c>
      <c r="Z35" s="76">
        <f>Y35*Valores!$C$2</f>
        <v>0</v>
      </c>
      <c r="AA35" s="76">
        <v>0</v>
      </c>
      <c r="AB35" s="81">
        <f>Valores!$C$29</f>
        <v>160.21</v>
      </c>
      <c r="AC35" s="76">
        <f t="shared" si="6"/>
        <v>0</v>
      </c>
      <c r="AD35" s="76">
        <f>Valores!$C$30</f>
        <v>160.21</v>
      </c>
      <c r="AE35" s="80">
        <v>0</v>
      </c>
      <c r="AF35" s="76">
        <f>INT(((AE35*Valores!$C$2)*100)+0.5)/100</f>
        <v>0</v>
      </c>
      <c r="AG35" s="76">
        <f>Valores!$C$58</f>
        <v>325.89</v>
      </c>
      <c r="AH35" s="76">
        <f>Valores!$C$60</f>
        <v>93.11</v>
      </c>
      <c r="AI35" s="82">
        <f t="shared" si="7"/>
        <v>53385.5275</v>
      </c>
      <c r="AJ35" s="78">
        <f>Valores!$C$35</f>
        <v>599.19</v>
      </c>
      <c r="AK35" s="79">
        <f>Valores!$C$9</f>
        <v>0</v>
      </c>
      <c r="AL35" s="79">
        <f>Valores!$C$83</f>
        <v>2600</v>
      </c>
      <c r="AM35" s="81">
        <f>Valores!$C$50</f>
        <v>265.48</v>
      </c>
      <c r="AN35" s="83">
        <f t="shared" si="8"/>
        <v>3199.19</v>
      </c>
      <c r="AO35" s="84">
        <f>AI35*-Valores!$C$65</f>
        <v>-6940.1185749999995</v>
      </c>
      <c r="AP35" s="84">
        <f>AI35*-Valores!$C$66</f>
        <v>-266.9276375</v>
      </c>
      <c r="AQ35" s="78">
        <f>AI35*-Valores!$C$67</f>
        <v>-2402.3487375</v>
      </c>
      <c r="AR35" s="78">
        <f>AI35*-Valores!$C$68</f>
        <v>-1441.4092425</v>
      </c>
      <c r="AS35" s="78">
        <f>AI35*-Valores!$C$69</f>
        <v>-160.15658249999998</v>
      </c>
      <c r="AT35" s="82">
        <f t="shared" si="4"/>
        <v>46975.322550000004</v>
      </c>
      <c r="AU35" s="82">
        <f t="shared" si="5"/>
        <v>47776.1054625</v>
      </c>
      <c r="AV35" s="78">
        <f>AI35*Valores!$C$71</f>
        <v>8541.6844</v>
      </c>
      <c r="AW35" s="78">
        <f>AI35*Valores!$C$72</f>
        <v>2402.3487375</v>
      </c>
      <c r="AX35" s="78">
        <f>AI35*Valores!$C$73</f>
        <v>533.855275</v>
      </c>
      <c r="AY35" s="78">
        <f>AI35*Valores!$C$75</f>
        <v>1868.4934625</v>
      </c>
      <c r="AZ35" s="78">
        <f>AI35*Valores!$C$76</f>
        <v>320.31316499999997</v>
      </c>
      <c r="BA35" s="78">
        <f t="shared" si="9"/>
        <v>2882.8184850000002</v>
      </c>
      <c r="BB35" s="52"/>
      <c r="BC35" s="52">
        <v>45</v>
      </c>
      <c r="BD35" s="28" t="s">
        <v>8</v>
      </c>
    </row>
    <row r="36" spans="1:56" s="28" customFormat="1" ht="11.25" customHeight="1">
      <c r="A36" s="86">
        <v>35</v>
      </c>
      <c r="B36" s="86" t="s">
        <v>163</v>
      </c>
      <c r="C36" s="87" t="s">
        <v>214</v>
      </c>
      <c r="D36" s="87"/>
      <c r="E36" s="87">
        <f t="shared" si="0"/>
        <v>29</v>
      </c>
      <c r="F36" s="88" t="s">
        <v>215</v>
      </c>
      <c r="G36" s="89">
        <v>92</v>
      </c>
      <c r="H36" s="90">
        <f>INT((G36*Valores!$C$2*100)+0.5)/100</f>
        <v>610.18</v>
      </c>
      <c r="I36" s="91">
        <v>3483</v>
      </c>
      <c r="J36" s="92">
        <f>INT((I36*Valores!$C$2*100)+0.5)/100</f>
        <v>23100.65</v>
      </c>
      <c r="K36" s="93">
        <v>1217</v>
      </c>
      <c r="L36" s="92">
        <f>INT((K36*Valores!$C$2*100)+0.5)/100</f>
        <v>8071.63</v>
      </c>
      <c r="M36" s="89">
        <v>0</v>
      </c>
      <c r="N36" s="92">
        <f>INT((M36*Valores!$C$2*100)+0.5)/100</f>
        <v>0</v>
      </c>
      <c r="O36" s="92">
        <f t="shared" si="1"/>
        <v>5454.187500000001</v>
      </c>
      <c r="P36" s="92">
        <f t="shared" si="2"/>
        <v>0</v>
      </c>
      <c r="Q36" s="94">
        <f>Valores!$C$18</f>
        <v>7864</v>
      </c>
      <c r="R36" s="94">
        <f>Valores!$D$4</f>
        <v>2966.67</v>
      </c>
      <c r="S36" s="92">
        <v>0</v>
      </c>
      <c r="T36" s="95">
        <f>Valores!$C$43</f>
        <v>1839.54</v>
      </c>
      <c r="U36" s="92">
        <f>Valores!$C$23</f>
        <v>2739.25</v>
      </c>
      <c r="V36" s="92">
        <f t="shared" si="3"/>
        <v>2739.25</v>
      </c>
      <c r="W36" s="92">
        <v>0</v>
      </c>
      <c r="X36" s="92">
        <v>0</v>
      </c>
      <c r="Y36" s="96">
        <v>0</v>
      </c>
      <c r="Z36" s="92">
        <f>Y36*Valores!$C$2</f>
        <v>0</v>
      </c>
      <c r="AA36" s="92">
        <f>SUM(L36,J36,H36,T36)*Valores!$C$3</f>
        <v>5043.3</v>
      </c>
      <c r="AB36" s="97">
        <f>Valores!$C$29</f>
        <v>160.21</v>
      </c>
      <c r="AC36" s="92">
        <f t="shared" si="6"/>
        <v>0</v>
      </c>
      <c r="AD36" s="92">
        <f>Valores!$C$30</f>
        <v>160.21</v>
      </c>
      <c r="AE36" s="96">
        <v>0</v>
      </c>
      <c r="AF36" s="92">
        <f>INT(((AE36*Valores!$C$2)*100)+0.5)/100</f>
        <v>0</v>
      </c>
      <c r="AG36" s="92">
        <f>Valores!$C$58</f>
        <v>325.89</v>
      </c>
      <c r="AH36" s="92">
        <f>Valores!$C$60</f>
        <v>93.11</v>
      </c>
      <c r="AI36" s="98">
        <f t="shared" si="7"/>
        <v>58428.82750000001</v>
      </c>
      <c r="AJ36" s="94">
        <f>Valores!$C$35</f>
        <v>599.19</v>
      </c>
      <c r="AK36" s="95">
        <f>Valores!$C$9</f>
        <v>0</v>
      </c>
      <c r="AL36" s="95">
        <f>Valores!$C$83</f>
        <v>2600</v>
      </c>
      <c r="AM36" s="97">
        <f>Valores!$C$50</f>
        <v>265.48</v>
      </c>
      <c r="AN36" s="99">
        <f t="shared" si="8"/>
        <v>3199.19</v>
      </c>
      <c r="AO36" s="100">
        <f>AI36*-Valores!$C$65</f>
        <v>-7595.747575000001</v>
      </c>
      <c r="AP36" s="100">
        <f>AI36*-Valores!$C$66</f>
        <v>-292.14413750000006</v>
      </c>
      <c r="AQ36" s="94">
        <f>AI36*-Valores!$C$67</f>
        <v>-2629.2972375000004</v>
      </c>
      <c r="AR36" s="94">
        <f>AI36*-Valores!$C$68</f>
        <v>-1577.5783425000002</v>
      </c>
      <c r="AS36" s="94">
        <f>AI36*-Valores!$C$69</f>
        <v>-175.28648250000003</v>
      </c>
      <c r="AT36" s="98">
        <f t="shared" si="4"/>
        <v>51110.828550000006</v>
      </c>
      <c r="AU36" s="98">
        <f t="shared" si="5"/>
        <v>51987.26096250001</v>
      </c>
      <c r="AV36" s="94">
        <f>AI36*Valores!$C$71</f>
        <v>9348.612400000002</v>
      </c>
      <c r="AW36" s="94">
        <f>AI36*Valores!$C$72</f>
        <v>2629.2972375000004</v>
      </c>
      <c r="AX36" s="94">
        <f>AI36*Valores!$C$73</f>
        <v>584.2882750000001</v>
      </c>
      <c r="AY36" s="94">
        <f>AI36*Valores!$C$75</f>
        <v>2045.0089625000005</v>
      </c>
      <c r="AZ36" s="94">
        <f>AI36*Valores!$C$76</f>
        <v>350.57296500000007</v>
      </c>
      <c r="BA36" s="94">
        <f t="shared" si="9"/>
        <v>3155.1566850000004</v>
      </c>
      <c r="BB36" s="86"/>
      <c r="BC36" s="86">
        <v>45</v>
      </c>
      <c r="BD36" s="87" t="s">
        <v>8</v>
      </c>
    </row>
    <row r="37" spans="1:56" s="28" customFormat="1" ht="11.25" customHeight="1">
      <c r="A37" s="52">
        <v>36</v>
      </c>
      <c r="B37" s="52"/>
      <c r="C37" s="28" t="s">
        <v>216</v>
      </c>
      <c r="E37" s="28">
        <f t="shared" si="0"/>
        <v>27</v>
      </c>
      <c r="F37" s="72" t="s">
        <v>217</v>
      </c>
      <c r="G37" s="73">
        <v>85</v>
      </c>
      <c r="H37" s="74">
        <f>INT((G37*Valores!$C$2*100)+0.5)/100</f>
        <v>563.75</v>
      </c>
      <c r="I37" s="75">
        <v>3498</v>
      </c>
      <c r="J37" s="76">
        <f>INT((I37*Valores!$C$2*100)+0.5)/100</f>
        <v>23200.14</v>
      </c>
      <c r="K37" s="77">
        <v>202</v>
      </c>
      <c r="L37" s="76">
        <f>INT((K37*Valores!$C$2*100)+0.5)/100</f>
        <v>1339.74</v>
      </c>
      <c r="M37" s="73">
        <v>0</v>
      </c>
      <c r="N37" s="76">
        <f>INT((M37*Valores!$C$2*100)+0.5)/100</f>
        <v>0</v>
      </c>
      <c r="O37" s="76">
        <f t="shared" si="1"/>
        <v>4452.363</v>
      </c>
      <c r="P37" s="76">
        <f t="shared" si="2"/>
        <v>0</v>
      </c>
      <c r="Q37" s="78">
        <f>Valores!$C$18</f>
        <v>7864</v>
      </c>
      <c r="R37" s="78">
        <f>Valores!$D$4</f>
        <v>2966.67</v>
      </c>
      <c r="S37" s="76">
        <v>0</v>
      </c>
      <c r="T37" s="79">
        <f>Valores!$C$43</f>
        <v>1839.54</v>
      </c>
      <c r="U37" s="76">
        <f>Valores!$C$23</f>
        <v>2739.25</v>
      </c>
      <c r="V37" s="76">
        <f t="shared" si="3"/>
        <v>2739.25</v>
      </c>
      <c r="W37" s="76">
        <v>0</v>
      </c>
      <c r="X37" s="76">
        <v>0</v>
      </c>
      <c r="Y37" s="80">
        <v>0</v>
      </c>
      <c r="Z37" s="76">
        <f>Y37*Valores!$C$2</f>
        <v>0</v>
      </c>
      <c r="AA37" s="76">
        <v>0</v>
      </c>
      <c r="AB37" s="81">
        <f>Valores!$C$29</f>
        <v>160.21</v>
      </c>
      <c r="AC37" s="76">
        <f t="shared" si="6"/>
        <v>0</v>
      </c>
      <c r="AD37" s="76">
        <f>Valores!$C$30</f>
        <v>160.21</v>
      </c>
      <c r="AE37" s="80">
        <v>0</v>
      </c>
      <c r="AF37" s="76">
        <f>INT(((AE37*Valores!$C$2)*100)+0.5)/100</f>
        <v>0</v>
      </c>
      <c r="AG37" s="76">
        <f>Valores!$C$58</f>
        <v>325.89</v>
      </c>
      <c r="AH37" s="76">
        <f>Valores!$C$60</f>
        <v>93.11</v>
      </c>
      <c r="AI37" s="82">
        <f t="shared" si="7"/>
        <v>45704.873</v>
      </c>
      <c r="AJ37" s="78">
        <f>Valores!$C$35</f>
        <v>599.19</v>
      </c>
      <c r="AK37" s="79">
        <f>Valores!$C$9</f>
        <v>0</v>
      </c>
      <c r="AL37" s="79">
        <f>Valores!$C$83</f>
        <v>2600</v>
      </c>
      <c r="AM37" s="81">
        <f>Valores!$C$50</f>
        <v>265.48</v>
      </c>
      <c r="AN37" s="83">
        <f t="shared" si="8"/>
        <v>3199.19</v>
      </c>
      <c r="AO37" s="84">
        <f>AI37*-Valores!$C$65</f>
        <v>-5941.63349</v>
      </c>
      <c r="AP37" s="84">
        <f>AI37*-Valores!$C$66</f>
        <v>-228.524365</v>
      </c>
      <c r="AQ37" s="78">
        <f>AI37*-Valores!$C$67</f>
        <v>-2056.719285</v>
      </c>
      <c r="AR37" s="78">
        <f>AI37*-Valores!$C$68</f>
        <v>-1234.031571</v>
      </c>
      <c r="AS37" s="78">
        <f>AI37*-Valores!$C$69</f>
        <v>-137.114619</v>
      </c>
      <c r="AT37" s="82">
        <f t="shared" si="4"/>
        <v>40677.185860000005</v>
      </c>
      <c r="AU37" s="82">
        <f t="shared" si="5"/>
        <v>41362.758955000005</v>
      </c>
      <c r="AV37" s="78">
        <f>AI37*Valores!$C$71</f>
        <v>7312.77968</v>
      </c>
      <c r="AW37" s="78">
        <f>AI37*Valores!$C$72</f>
        <v>2056.719285</v>
      </c>
      <c r="AX37" s="78">
        <f>AI37*Valores!$C$73</f>
        <v>457.04873</v>
      </c>
      <c r="AY37" s="78">
        <f>AI37*Valores!$C$75</f>
        <v>1599.6705550000001</v>
      </c>
      <c r="AZ37" s="78">
        <f>AI37*Valores!$C$76</f>
        <v>274.229238</v>
      </c>
      <c r="BA37" s="78">
        <f t="shared" si="9"/>
        <v>2468.0631420000004</v>
      </c>
      <c r="BB37" s="52"/>
      <c r="BC37" s="52">
        <v>45</v>
      </c>
      <c r="BD37" s="28" t="s">
        <v>8</v>
      </c>
    </row>
    <row r="38" spans="1:56" s="28" customFormat="1" ht="11.25" customHeight="1">
      <c r="A38" s="52">
        <v>37</v>
      </c>
      <c r="B38" s="52"/>
      <c r="C38" s="28" t="s">
        <v>218</v>
      </c>
      <c r="E38" s="28">
        <f t="shared" si="0"/>
        <v>22</v>
      </c>
      <c r="F38" s="72" t="s">
        <v>219</v>
      </c>
      <c r="G38" s="73">
        <v>85</v>
      </c>
      <c r="H38" s="74">
        <f>INT((G38*Valores!$C$2*100)+0.5)/100</f>
        <v>563.75</v>
      </c>
      <c r="I38" s="75">
        <v>3498</v>
      </c>
      <c r="J38" s="76">
        <f>INT((I38*Valores!$C$2*100)+0.5)/100</f>
        <v>23200.14</v>
      </c>
      <c r="K38" s="77">
        <v>1209</v>
      </c>
      <c r="L38" s="76">
        <f>INT((K38*Valores!$C$2*100)+0.5)/100</f>
        <v>8018.57</v>
      </c>
      <c r="M38" s="73">
        <v>0</v>
      </c>
      <c r="N38" s="76">
        <f>INT((M38*Valores!$C$2*100)+0.5)/100</f>
        <v>0</v>
      </c>
      <c r="O38" s="76">
        <f t="shared" si="1"/>
        <v>5454.1875</v>
      </c>
      <c r="P38" s="76">
        <f t="shared" si="2"/>
        <v>0</v>
      </c>
      <c r="Q38" s="78">
        <f>Valores!$C$18</f>
        <v>7864</v>
      </c>
      <c r="R38" s="78">
        <f>Valores!$D$4</f>
        <v>2966.67</v>
      </c>
      <c r="S38" s="76">
        <v>0</v>
      </c>
      <c r="T38" s="79">
        <f>Valores!$C$43</f>
        <v>1839.54</v>
      </c>
      <c r="U38" s="76">
        <f>Valores!$C$23</f>
        <v>2739.25</v>
      </c>
      <c r="V38" s="76">
        <f t="shared" si="3"/>
        <v>2739.25</v>
      </c>
      <c r="W38" s="76">
        <v>0</v>
      </c>
      <c r="X38" s="76">
        <v>0</v>
      </c>
      <c r="Y38" s="80">
        <v>0</v>
      </c>
      <c r="Z38" s="76">
        <f>Y38*Valores!$C$2</f>
        <v>0</v>
      </c>
      <c r="AA38" s="76">
        <v>0</v>
      </c>
      <c r="AB38" s="81">
        <f>Valores!$C$29</f>
        <v>160.21</v>
      </c>
      <c r="AC38" s="76">
        <f t="shared" si="6"/>
        <v>0</v>
      </c>
      <c r="AD38" s="76">
        <f>Valores!$C$30</f>
        <v>160.21</v>
      </c>
      <c r="AE38" s="80">
        <v>0</v>
      </c>
      <c r="AF38" s="76">
        <f>INT(((AE38*Valores!$C$2)*100)+0.5)/100</f>
        <v>0</v>
      </c>
      <c r="AG38" s="76">
        <f>Valores!$C$58</f>
        <v>325.89</v>
      </c>
      <c r="AH38" s="76">
        <f>Valores!$C$60</f>
        <v>93.11</v>
      </c>
      <c r="AI38" s="82">
        <f t="shared" si="7"/>
        <v>53385.5275</v>
      </c>
      <c r="AJ38" s="78">
        <f>Valores!$C$35</f>
        <v>599.19</v>
      </c>
      <c r="AK38" s="79">
        <f>Valores!$C$9</f>
        <v>0</v>
      </c>
      <c r="AL38" s="79">
        <f>Valores!$C$83</f>
        <v>2600</v>
      </c>
      <c r="AM38" s="81">
        <f>Valores!$C$50</f>
        <v>265.48</v>
      </c>
      <c r="AN38" s="83">
        <f t="shared" si="8"/>
        <v>3199.19</v>
      </c>
      <c r="AO38" s="84">
        <f>AI38*-Valores!$C$65</f>
        <v>-6940.1185749999995</v>
      </c>
      <c r="AP38" s="84">
        <f>AI38*-Valores!$C$66</f>
        <v>-266.9276375</v>
      </c>
      <c r="AQ38" s="78">
        <f>AI38*-Valores!$C$67</f>
        <v>-2402.3487375</v>
      </c>
      <c r="AR38" s="78">
        <f>AI38*-Valores!$C$68</f>
        <v>-1441.4092425</v>
      </c>
      <c r="AS38" s="78">
        <f>AI38*-Valores!$C$69</f>
        <v>-160.15658249999998</v>
      </c>
      <c r="AT38" s="82">
        <f t="shared" si="4"/>
        <v>46975.322550000004</v>
      </c>
      <c r="AU38" s="82">
        <f t="shared" si="5"/>
        <v>47776.1054625</v>
      </c>
      <c r="AV38" s="78">
        <f>AI38*Valores!$C$71</f>
        <v>8541.6844</v>
      </c>
      <c r="AW38" s="78">
        <f>AI38*Valores!$C$72</f>
        <v>2402.3487375</v>
      </c>
      <c r="AX38" s="78">
        <f>AI38*Valores!$C$73</f>
        <v>533.855275</v>
      </c>
      <c r="AY38" s="78">
        <f>AI38*Valores!$C$75</f>
        <v>1868.4934625</v>
      </c>
      <c r="AZ38" s="78">
        <f>AI38*Valores!$C$76</f>
        <v>320.31316499999997</v>
      </c>
      <c r="BA38" s="78">
        <f t="shared" si="9"/>
        <v>2882.8184850000002</v>
      </c>
      <c r="BB38" s="52"/>
      <c r="BC38" s="52">
        <v>45</v>
      </c>
      <c r="BD38" s="28" t="s">
        <v>4</v>
      </c>
    </row>
    <row r="39" spans="1:56" s="28" customFormat="1" ht="11.25" customHeight="1">
      <c r="A39" s="52">
        <v>38</v>
      </c>
      <c r="B39" s="52"/>
      <c r="C39" s="28" t="s">
        <v>220</v>
      </c>
      <c r="E39" s="28">
        <f t="shared" si="0"/>
        <v>30</v>
      </c>
      <c r="F39" s="72" t="s">
        <v>221</v>
      </c>
      <c r="G39" s="73">
        <v>85</v>
      </c>
      <c r="H39" s="74">
        <f>INT((G39*Valores!$C$2*100)+0.5)/100</f>
        <v>563.75</v>
      </c>
      <c r="I39" s="75">
        <v>3498</v>
      </c>
      <c r="J39" s="76">
        <f>INT((I39*Valores!$C$2*100)+0.5)/100</f>
        <v>23200.14</v>
      </c>
      <c r="K39" s="77">
        <v>1209</v>
      </c>
      <c r="L39" s="76">
        <f>INT((K39*Valores!$C$2*100)+0.5)/100</f>
        <v>8018.57</v>
      </c>
      <c r="M39" s="73">
        <v>0</v>
      </c>
      <c r="N39" s="76">
        <f>INT((M39*Valores!$C$2*100)+0.5)/100</f>
        <v>0</v>
      </c>
      <c r="O39" s="76">
        <f t="shared" si="1"/>
        <v>5454.1875</v>
      </c>
      <c r="P39" s="76">
        <f t="shared" si="2"/>
        <v>0</v>
      </c>
      <c r="Q39" s="78">
        <f>Valores!$C$18</f>
        <v>7864</v>
      </c>
      <c r="R39" s="78">
        <f>Valores!$D$4</f>
        <v>2966.67</v>
      </c>
      <c r="S39" s="76">
        <v>0</v>
      </c>
      <c r="T39" s="79">
        <f>Valores!$C$43</f>
        <v>1839.54</v>
      </c>
      <c r="U39" s="76">
        <f>Valores!$C$23</f>
        <v>2739.25</v>
      </c>
      <c r="V39" s="76">
        <f t="shared" si="3"/>
        <v>2739.25</v>
      </c>
      <c r="W39" s="76">
        <v>0</v>
      </c>
      <c r="X39" s="76">
        <v>0</v>
      </c>
      <c r="Y39" s="80">
        <v>0</v>
      </c>
      <c r="Z39" s="76">
        <f>Y39*Valores!$C$2</f>
        <v>0</v>
      </c>
      <c r="AA39" s="76">
        <v>0</v>
      </c>
      <c r="AB39" s="81">
        <f>Valores!$C$29</f>
        <v>160.21</v>
      </c>
      <c r="AC39" s="76">
        <f t="shared" si="6"/>
        <v>0</v>
      </c>
      <c r="AD39" s="76">
        <f>Valores!$C$30</f>
        <v>160.21</v>
      </c>
      <c r="AE39" s="80">
        <v>0</v>
      </c>
      <c r="AF39" s="76">
        <f>INT(((AE39*Valores!$C$2)*100)+0.5)/100</f>
        <v>0</v>
      </c>
      <c r="AG39" s="76">
        <f>Valores!$C$58</f>
        <v>325.89</v>
      </c>
      <c r="AH39" s="76">
        <f>Valores!$C$60</f>
        <v>93.11</v>
      </c>
      <c r="AI39" s="82">
        <f t="shared" si="7"/>
        <v>53385.5275</v>
      </c>
      <c r="AJ39" s="78">
        <f>Valores!$C$35</f>
        <v>599.19</v>
      </c>
      <c r="AK39" s="79">
        <f>Valores!$C$9</f>
        <v>0</v>
      </c>
      <c r="AL39" s="79">
        <f>Valores!$C$81</f>
        <v>1300</v>
      </c>
      <c r="AM39" s="81">
        <f>Valores!$C$50</f>
        <v>265.48</v>
      </c>
      <c r="AN39" s="83">
        <f t="shared" si="8"/>
        <v>1899.19</v>
      </c>
      <c r="AO39" s="84">
        <f>AI39*-Valores!$C$65</f>
        <v>-6940.1185749999995</v>
      </c>
      <c r="AP39" s="84">
        <f>AI39*-Valores!$C$66</f>
        <v>-266.9276375</v>
      </c>
      <c r="AQ39" s="78">
        <f>AI39*-Valores!$C$67</f>
        <v>-2402.3487375</v>
      </c>
      <c r="AR39" s="78">
        <f>AI39*-Valores!$C$68</f>
        <v>-1441.4092425</v>
      </c>
      <c r="AS39" s="78">
        <f>AI39*-Valores!$C$69</f>
        <v>-160.15658249999998</v>
      </c>
      <c r="AT39" s="82">
        <f t="shared" si="4"/>
        <v>45675.322550000004</v>
      </c>
      <c r="AU39" s="82">
        <f t="shared" si="5"/>
        <v>46476.1054625</v>
      </c>
      <c r="AV39" s="78">
        <f>AI39*Valores!$C$71</f>
        <v>8541.6844</v>
      </c>
      <c r="AW39" s="78">
        <f>AI39*Valores!$C$72</f>
        <v>2402.3487375</v>
      </c>
      <c r="AX39" s="78">
        <f>AI39*Valores!$C$73</f>
        <v>533.855275</v>
      </c>
      <c r="AY39" s="78">
        <f>AI39*Valores!$C$75</f>
        <v>1868.4934625</v>
      </c>
      <c r="AZ39" s="78">
        <f>AI39*Valores!$C$76</f>
        <v>320.31316499999997</v>
      </c>
      <c r="BA39" s="78">
        <f t="shared" si="9"/>
        <v>2882.8184850000002</v>
      </c>
      <c r="BB39" s="52"/>
      <c r="BC39" s="52">
        <v>45</v>
      </c>
      <c r="BD39" s="28" t="s">
        <v>8</v>
      </c>
    </row>
    <row r="40" spans="1:56" s="28" customFormat="1" ht="11.25" customHeight="1">
      <c r="A40" s="52">
        <v>39</v>
      </c>
      <c r="B40" s="52"/>
      <c r="C40" s="28" t="s">
        <v>222</v>
      </c>
      <c r="E40" s="28">
        <f t="shared" si="0"/>
        <v>30</v>
      </c>
      <c r="F40" s="72" t="s">
        <v>223</v>
      </c>
      <c r="G40" s="73">
        <v>101</v>
      </c>
      <c r="H40" s="74">
        <f>INT((G40*Valores!$C$2*100)+0.5)/100</f>
        <v>669.87</v>
      </c>
      <c r="I40" s="75">
        <v>2548</v>
      </c>
      <c r="J40" s="76">
        <f>INT((I40*Valores!$C$2*100)+0.5)/100</f>
        <v>16899.36</v>
      </c>
      <c r="K40" s="77">
        <v>216</v>
      </c>
      <c r="L40" s="76">
        <f>INT((K40*Valores!$C$2*100)+0.5)/100</f>
        <v>1432.6</v>
      </c>
      <c r="M40" s="73">
        <v>0</v>
      </c>
      <c r="N40" s="76">
        <f>INT((M40*Valores!$C$2*100)+0.5)/100</f>
        <v>0</v>
      </c>
      <c r="O40" s="76">
        <f t="shared" si="1"/>
        <v>3537.093</v>
      </c>
      <c r="P40" s="76">
        <f t="shared" si="2"/>
        <v>0</v>
      </c>
      <c r="Q40" s="78">
        <f>Valores!$C$16</f>
        <v>4291.62</v>
      </c>
      <c r="R40" s="78">
        <f>Valores!$D$4</f>
        <v>2966.67</v>
      </c>
      <c r="S40" s="76">
        <v>0</v>
      </c>
      <c r="T40" s="79">
        <f>Valores!$C$43</f>
        <v>1839.54</v>
      </c>
      <c r="U40" s="76">
        <f>Valores!$C$23</f>
        <v>2739.25</v>
      </c>
      <c r="V40" s="76">
        <f t="shared" si="3"/>
        <v>2739.25</v>
      </c>
      <c r="W40" s="76">
        <v>0</v>
      </c>
      <c r="X40" s="76">
        <v>0</v>
      </c>
      <c r="Y40" s="80">
        <v>0</v>
      </c>
      <c r="Z40" s="76">
        <f>Y40*Valores!$C$2</f>
        <v>0</v>
      </c>
      <c r="AA40" s="76">
        <v>0</v>
      </c>
      <c r="AB40" s="81">
        <f>Valores!$C$29</f>
        <v>160.21</v>
      </c>
      <c r="AC40" s="76">
        <f t="shared" si="6"/>
        <v>0</v>
      </c>
      <c r="AD40" s="76">
        <f>Valores!$C$30</f>
        <v>160.21</v>
      </c>
      <c r="AE40" s="80">
        <v>0</v>
      </c>
      <c r="AF40" s="76">
        <f>INT(((AE40*Valores!$C$2)*100)+0.5)/100</f>
        <v>0</v>
      </c>
      <c r="AG40" s="76">
        <f>Valores!$C$58</f>
        <v>325.89</v>
      </c>
      <c r="AH40" s="76">
        <f>Valores!$C$60</f>
        <v>93.11</v>
      </c>
      <c r="AI40" s="82">
        <f t="shared" si="7"/>
        <v>35115.422999999995</v>
      </c>
      <c r="AJ40" s="78">
        <f>Valores!$C$35</f>
        <v>599.19</v>
      </c>
      <c r="AK40" s="79">
        <f>Valores!$C$9</f>
        <v>0</v>
      </c>
      <c r="AL40" s="79">
        <f>Valores!$C$81</f>
        <v>1300</v>
      </c>
      <c r="AM40" s="81">
        <f>Valores!$C$50</f>
        <v>265.48</v>
      </c>
      <c r="AN40" s="83">
        <f t="shared" si="8"/>
        <v>1899.19</v>
      </c>
      <c r="AO40" s="84">
        <f>AI40*-Valores!$C$65</f>
        <v>-4565.004989999999</v>
      </c>
      <c r="AP40" s="84">
        <f>AI40*-Valores!$C$66</f>
        <v>-175.577115</v>
      </c>
      <c r="AQ40" s="78">
        <f>AI40*-Valores!$C$67</f>
        <v>-1580.1940349999998</v>
      </c>
      <c r="AR40" s="78">
        <f>AI40*-Valores!$C$68</f>
        <v>-948.1164209999998</v>
      </c>
      <c r="AS40" s="78">
        <f>AI40*-Valores!$C$69</f>
        <v>-105.34626899999999</v>
      </c>
      <c r="AT40" s="82">
        <f t="shared" si="4"/>
        <v>30693.836859999996</v>
      </c>
      <c r="AU40" s="82">
        <f t="shared" si="5"/>
        <v>31220.568204999996</v>
      </c>
      <c r="AV40" s="78">
        <f>AI40*Valores!$C$71</f>
        <v>5618.46768</v>
      </c>
      <c r="AW40" s="78">
        <f>AI40*Valores!$C$72</f>
        <v>1580.1940349999998</v>
      </c>
      <c r="AX40" s="78">
        <f>AI40*Valores!$C$73</f>
        <v>351.15423</v>
      </c>
      <c r="AY40" s="78">
        <f>AI40*Valores!$C$75</f>
        <v>1229.039805</v>
      </c>
      <c r="AZ40" s="78">
        <f>AI40*Valores!$C$76</f>
        <v>210.69253799999998</v>
      </c>
      <c r="BA40" s="78">
        <f t="shared" si="9"/>
        <v>1896.232842</v>
      </c>
      <c r="BB40" s="52"/>
      <c r="BC40" s="52">
        <v>45</v>
      </c>
      <c r="BD40" s="28" t="s">
        <v>8</v>
      </c>
    </row>
    <row r="41" spans="1:56" s="28" customFormat="1" ht="11.25" customHeight="1">
      <c r="A41" s="86">
        <v>40</v>
      </c>
      <c r="B41" s="86" t="s">
        <v>163</v>
      </c>
      <c r="C41" s="87" t="s">
        <v>224</v>
      </c>
      <c r="D41" s="87"/>
      <c r="E41" s="87">
        <f t="shared" si="0"/>
        <v>30</v>
      </c>
      <c r="F41" s="88" t="s">
        <v>223</v>
      </c>
      <c r="G41" s="89">
        <v>101</v>
      </c>
      <c r="H41" s="90">
        <f>INT((G41*Valores!$C$2*100)+0.5)/100</f>
        <v>669.87</v>
      </c>
      <c r="I41" s="91">
        <v>2548</v>
      </c>
      <c r="J41" s="92">
        <f>INT((I41*Valores!$C$2*100)+0.5)/100</f>
        <v>16899.36</v>
      </c>
      <c r="K41" s="93">
        <v>216</v>
      </c>
      <c r="L41" s="92">
        <f>INT((K41*Valores!$C$2*100)+0.5)/100</f>
        <v>1432.6</v>
      </c>
      <c r="M41" s="89">
        <v>0</v>
      </c>
      <c r="N41" s="92">
        <f>INT((M41*Valores!$C$2*100)+0.5)/100</f>
        <v>0</v>
      </c>
      <c r="O41" s="92">
        <f t="shared" si="1"/>
        <v>3537.093</v>
      </c>
      <c r="P41" s="92">
        <f t="shared" si="2"/>
        <v>0</v>
      </c>
      <c r="Q41" s="94">
        <f>Valores!$C$16</f>
        <v>4291.62</v>
      </c>
      <c r="R41" s="94">
        <f>Valores!$D$4</f>
        <v>2966.67</v>
      </c>
      <c r="S41" s="92">
        <v>0</v>
      </c>
      <c r="T41" s="95">
        <f>Valores!$C$43</f>
        <v>1839.54</v>
      </c>
      <c r="U41" s="92">
        <f>Valores!$C$23</f>
        <v>2739.25</v>
      </c>
      <c r="V41" s="92">
        <f t="shared" si="3"/>
        <v>2739.25</v>
      </c>
      <c r="W41" s="92">
        <v>0</v>
      </c>
      <c r="X41" s="92">
        <v>0</v>
      </c>
      <c r="Y41" s="96">
        <v>0</v>
      </c>
      <c r="Z41" s="92">
        <f>Y41*Valores!$C$2</f>
        <v>0</v>
      </c>
      <c r="AA41" s="92">
        <v>0</v>
      </c>
      <c r="AB41" s="97">
        <f>Valores!$C$29</f>
        <v>160.21</v>
      </c>
      <c r="AC41" s="92">
        <f t="shared" si="6"/>
        <v>0</v>
      </c>
      <c r="AD41" s="92">
        <f>Valores!$C$30</f>
        <v>160.21</v>
      </c>
      <c r="AE41" s="96">
        <v>0</v>
      </c>
      <c r="AF41" s="92">
        <f>INT(((AE41*Valores!$C$2)*100)+0.5)/100</f>
        <v>0</v>
      </c>
      <c r="AG41" s="92">
        <f>Valores!$C$58</f>
        <v>325.89</v>
      </c>
      <c r="AH41" s="92">
        <f>Valores!$C$60</f>
        <v>93.11</v>
      </c>
      <c r="AI41" s="98">
        <f t="shared" si="7"/>
        <v>35115.422999999995</v>
      </c>
      <c r="AJ41" s="94">
        <f>Valores!$C$35</f>
        <v>599.19</v>
      </c>
      <c r="AK41" s="95">
        <f>Valores!$C$9</f>
        <v>0</v>
      </c>
      <c r="AL41" s="95">
        <f>Valores!$C$81</f>
        <v>1300</v>
      </c>
      <c r="AM41" s="97">
        <f>Valores!$C$50</f>
        <v>265.48</v>
      </c>
      <c r="AN41" s="99">
        <f t="shared" si="8"/>
        <v>1899.19</v>
      </c>
      <c r="AO41" s="100">
        <f>AI41*-Valores!$C$65</f>
        <v>-4565.004989999999</v>
      </c>
      <c r="AP41" s="100">
        <f>AI41*-Valores!$C$66</f>
        <v>-175.577115</v>
      </c>
      <c r="AQ41" s="94">
        <f>AI41*-Valores!$C$67</f>
        <v>-1580.1940349999998</v>
      </c>
      <c r="AR41" s="94">
        <f>AI41*-Valores!$C$68</f>
        <v>-948.1164209999998</v>
      </c>
      <c r="AS41" s="94">
        <f>AI41*-Valores!$C$69</f>
        <v>-105.34626899999999</v>
      </c>
      <c r="AT41" s="98">
        <f t="shared" si="4"/>
        <v>30693.836859999996</v>
      </c>
      <c r="AU41" s="98">
        <f t="shared" si="5"/>
        <v>31220.568204999996</v>
      </c>
      <c r="AV41" s="94">
        <f>AI41*Valores!$C$71</f>
        <v>5618.46768</v>
      </c>
      <c r="AW41" s="94">
        <f>AI41*Valores!$C$72</f>
        <v>1580.1940349999998</v>
      </c>
      <c r="AX41" s="94">
        <f>AI41*Valores!$C$73</f>
        <v>351.15423</v>
      </c>
      <c r="AY41" s="94">
        <f>AI41*Valores!$C$75</f>
        <v>1229.039805</v>
      </c>
      <c r="AZ41" s="94">
        <f>AI41*Valores!$C$76</f>
        <v>210.69253799999998</v>
      </c>
      <c r="BA41" s="94">
        <f t="shared" si="9"/>
        <v>1896.232842</v>
      </c>
      <c r="BB41" s="86"/>
      <c r="BC41" s="86">
        <v>45</v>
      </c>
      <c r="BD41" s="87" t="s">
        <v>8</v>
      </c>
    </row>
    <row r="42" spans="1:56" s="28" customFormat="1" ht="11.25" customHeight="1">
      <c r="A42" s="52">
        <v>41</v>
      </c>
      <c r="B42" s="52"/>
      <c r="C42" s="28" t="s">
        <v>225</v>
      </c>
      <c r="E42" s="28">
        <f t="shared" si="0"/>
        <v>27</v>
      </c>
      <c r="F42" s="72" t="s">
        <v>226</v>
      </c>
      <c r="G42" s="73">
        <v>96</v>
      </c>
      <c r="H42" s="74">
        <f>INT((G42*Valores!$C$2*100)+0.5)/100</f>
        <v>636.71</v>
      </c>
      <c r="I42" s="75">
        <v>2475</v>
      </c>
      <c r="J42" s="76">
        <f>INT((I42*Valores!$C$2*100)+0.5)/100</f>
        <v>16415.19</v>
      </c>
      <c r="K42" s="77">
        <v>213</v>
      </c>
      <c r="L42" s="76">
        <f>INT((K42*Valores!$C$2*100)+0.5)/100</f>
        <v>1412.7</v>
      </c>
      <c r="M42" s="73">
        <v>0</v>
      </c>
      <c r="N42" s="76">
        <f>INT((M42*Valores!$C$2*100)+0.5)/100</f>
        <v>0</v>
      </c>
      <c r="O42" s="76">
        <f t="shared" si="1"/>
        <v>3364.5329999999994</v>
      </c>
      <c r="P42" s="76">
        <f t="shared" si="2"/>
        <v>0</v>
      </c>
      <c r="Q42" s="78">
        <f>Valores!$C$16</f>
        <v>4291.62</v>
      </c>
      <c r="R42" s="78">
        <f>Valores!$D$4</f>
        <v>2966.67</v>
      </c>
      <c r="S42" s="76">
        <v>0</v>
      </c>
      <c r="T42" s="79">
        <f>Valores!$C$42</f>
        <v>1226.37</v>
      </c>
      <c r="U42" s="76">
        <f>Valores!$C$23</f>
        <v>2739.25</v>
      </c>
      <c r="V42" s="76">
        <f t="shared" si="3"/>
        <v>2739.25</v>
      </c>
      <c r="W42" s="76">
        <v>0</v>
      </c>
      <c r="X42" s="76">
        <v>0</v>
      </c>
      <c r="Y42" s="80">
        <v>0</v>
      </c>
      <c r="Z42" s="76">
        <f>Y42*Valores!$C$2</f>
        <v>0</v>
      </c>
      <c r="AA42" s="76">
        <v>0</v>
      </c>
      <c r="AB42" s="81">
        <f>Valores!$C$29</f>
        <v>160.21</v>
      </c>
      <c r="AC42" s="76">
        <f t="shared" si="6"/>
        <v>0</v>
      </c>
      <c r="AD42" s="76">
        <f>Valores!$C$30</f>
        <v>160.21</v>
      </c>
      <c r="AE42" s="80">
        <v>0</v>
      </c>
      <c r="AF42" s="76">
        <f>INT(((AE42*Valores!$C$2)*100)+0.5)/100</f>
        <v>0</v>
      </c>
      <c r="AG42" s="76">
        <f>Valores!$C$58</f>
        <v>325.89</v>
      </c>
      <c r="AH42" s="76">
        <f>Valores!$C$60</f>
        <v>93.11</v>
      </c>
      <c r="AI42" s="82">
        <f t="shared" si="7"/>
        <v>33792.462999999996</v>
      </c>
      <c r="AJ42" s="78">
        <f>Valores!$C$35</f>
        <v>599.19</v>
      </c>
      <c r="AK42" s="79">
        <f>Valores!$C$8</f>
        <v>0</v>
      </c>
      <c r="AL42" s="79">
        <f>Valores!$C$81</f>
        <v>1300</v>
      </c>
      <c r="AM42" s="81">
        <f>Valores!$C$51</f>
        <v>136.56</v>
      </c>
      <c r="AN42" s="83">
        <f t="shared" si="8"/>
        <v>1899.19</v>
      </c>
      <c r="AO42" s="84">
        <f>AI42*-Valores!$C$65</f>
        <v>-4393.020189999999</v>
      </c>
      <c r="AP42" s="84">
        <f>AI42*-Valores!$C$66</f>
        <v>-168.962315</v>
      </c>
      <c r="AQ42" s="78">
        <f>AI42*-Valores!$C$67</f>
        <v>-1520.6608349999997</v>
      </c>
      <c r="AR42" s="78">
        <f>AI42*-Valores!$C$68</f>
        <v>-912.3965009999998</v>
      </c>
      <c r="AS42" s="78">
        <f>AI42*-Valores!$C$69</f>
        <v>-101.377389</v>
      </c>
      <c r="AT42" s="82">
        <f t="shared" si="4"/>
        <v>29609.00966</v>
      </c>
      <c r="AU42" s="82">
        <f t="shared" si="5"/>
        <v>30115.896604999998</v>
      </c>
      <c r="AV42" s="78">
        <f>AI42*Valores!$C$71</f>
        <v>5406.79408</v>
      </c>
      <c r="AW42" s="78">
        <f>AI42*Valores!$C$72</f>
        <v>1520.6608349999997</v>
      </c>
      <c r="AX42" s="78">
        <f>AI42*Valores!$C$73</f>
        <v>337.92463</v>
      </c>
      <c r="AY42" s="78">
        <f>AI42*Valores!$C$75</f>
        <v>1182.736205</v>
      </c>
      <c r="AZ42" s="78">
        <f>AI42*Valores!$C$76</f>
        <v>202.754778</v>
      </c>
      <c r="BA42" s="78">
        <f t="shared" si="9"/>
        <v>1824.793002</v>
      </c>
      <c r="BB42" s="52"/>
      <c r="BC42" s="52">
        <v>45</v>
      </c>
      <c r="BD42" s="28" t="s">
        <v>4</v>
      </c>
    </row>
    <row r="43" spans="1:56" s="28" customFormat="1" ht="11.25" customHeight="1">
      <c r="A43" s="52">
        <v>42</v>
      </c>
      <c r="B43" s="52"/>
      <c r="C43" s="28" t="s">
        <v>227</v>
      </c>
      <c r="E43" s="28">
        <f t="shared" si="0"/>
        <v>31</v>
      </c>
      <c r="F43" s="72" t="s">
        <v>228</v>
      </c>
      <c r="G43" s="73">
        <v>72</v>
      </c>
      <c r="H43" s="74">
        <f>INT((G43*Valores!$C$2*100)+0.5)/100</f>
        <v>477.53</v>
      </c>
      <c r="I43" s="75">
        <v>2471</v>
      </c>
      <c r="J43" s="76">
        <f>INT((I43*Valores!$C$2*100)+0.5)/100</f>
        <v>16388.66</v>
      </c>
      <c r="K43" s="77">
        <v>199</v>
      </c>
      <c r="L43" s="76">
        <f>INT((K43*Valores!$C$2*100)+0.5)/100</f>
        <v>1319.85</v>
      </c>
      <c r="M43" s="73">
        <v>0</v>
      </c>
      <c r="N43" s="76">
        <f>INT((M43*Valores!$C$2*100)+0.5)/100</f>
        <v>0</v>
      </c>
      <c r="O43" s="76">
        <f t="shared" si="1"/>
        <v>3322.7489999999993</v>
      </c>
      <c r="P43" s="76">
        <f t="shared" si="2"/>
        <v>0</v>
      </c>
      <c r="Q43" s="78">
        <f>Valores!$C$16</f>
        <v>4291.62</v>
      </c>
      <c r="R43" s="78">
        <f>Valores!$D$4</f>
        <v>2966.67</v>
      </c>
      <c r="S43" s="76">
        <v>0</v>
      </c>
      <c r="T43" s="79">
        <f>Valores!$C$42</f>
        <v>1226.37</v>
      </c>
      <c r="U43" s="76">
        <f>Valores!$C$23</f>
        <v>2739.25</v>
      </c>
      <c r="V43" s="76">
        <f t="shared" si="3"/>
        <v>2739.25</v>
      </c>
      <c r="W43" s="76">
        <v>0</v>
      </c>
      <c r="X43" s="76">
        <v>0</v>
      </c>
      <c r="Y43" s="80">
        <v>0</v>
      </c>
      <c r="Z43" s="76">
        <f>Y43*Valores!$C$2</f>
        <v>0</v>
      </c>
      <c r="AA43" s="76">
        <v>0</v>
      </c>
      <c r="AB43" s="81">
        <f>Valores!$C$29</f>
        <v>160.21</v>
      </c>
      <c r="AC43" s="76">
        <f t="shared" si="6"/>
        <v>0</v>
      </c>
      <c r="AD43" s="76">
        <f>Valores!$C$30</f>
        <v>160.21</v>
      </c>
      <c r="AE43" s="80">
        <v>0</v>
      </c>
      <c r="AF43" s="76">
        <f>INT(((AE43*Valores!$C$2)*100)+0.5)/100</f>
        <v>0</v>
      </c>
      <c r="AG43" s="76">
        <f>Valores!$C$58</f>
        <v>325.89</v>
      </c>
      <c r="AH43" s="76">
        <f>Valores!$C$60</f>
        <v>93.11</v>
      </c>
      <c r="AI43" s="82">
        <f t="shared" si="7"/>
        <v>33472.119</v>
      </c>
      <c r="AJ43" s="78">
        <f>Valores!$C$35</f>
        <v>599.19</v>
      </c>
      <c r="AK43" s="79">
        <f>Valores!$C$8</f>
        <v>0</v>
      </c>
      <c r="AL43" s="79">
        <f>Valores!$C$81</f>
        <v>1300</v>
      </c>
      <c r="AM43" s="81">
        <f>Valores!$C$51</f>
        <v>136.56</v>
      </c>
      <c r="AN43" s="83">
        <f t="shared" si="8"/>
        <v>1899.19</v>
      </c>
      <c r="AO43" s="84">
        <f>AI43*-Valores!$C$65</f>
        <v>-4351.37547</v>
      </c>
      <c r="AP43" s="84">
        <f>AI43*-Valores!$C$66</f>
        <v>-167.360595</v>
      </c>
      <c r="AQ43" s="78">
        <f>AI43*-Valores!$C$67</f>
        <v>-1506.2453549999998</v>
      </c>
      <c r="AR43" s="78">
        <f>AI43*-Valores!$C$68</f>
        <v>-903.747213</v>
      </c>
      <c r="AS43" s="78">
        <f>AI43*-Valores!$C$69</f>
        <v>-100.416357</v>
      </c>
      <c r="AT43" s="82">
        <f t="shared" si="4"/>
        <v>29346.327580000005</v>
      </c>
      <c r="AU43" s="82">
        <f t="shared" si="5"/>
        <v>29848.409365000003</v>
      </c>
      <c r="AV43" s="78">
        <f>AI43*Valores!$C$71</f>
        <v>5355.53904</v>
      </c>
      <c r="AW43" s="78">
        <f>AI43*Valores!$C$72</f>
        <v>1506.2453549999998</v>
      </c>
      <c r="AX43" s="78">
        <f>AI43*Valores!$C$73</f>
        <v>334.72119</v>
      </c>
      <c r="AY43" s="78">
        <f>AI43*Valores!$C$75</f>
        <v>1171.524165</v>
      </c>
      <c r="AZ43" s="78">
        <f>AI43*Valores!$C$76</f>
        <v>200.832714</v>
      </c>
      <c r="BA43" s="78">
        <f t="shared" si="9"/>
        <v>1807.4944260000002</v>
      </c>
      <c r="BB43" s="52"/>
      <c r="BC43" s="52">
        <v>45</v>
      </c>
      <c r="BD43" s="28" t="s">
        <v>4</v>
      </c>
    </row>
    <row r="44" spans="1:56" s="28" customFormat="1" ht="11.25" customHeight="1">
      <c r="A44" s="52">
        <v>43</v>
      </c>
      <c r="B44" s="52"/>
      <c r="C44" s="28" t="s">
        <v>229</v>
      </c>
      <c r="E44" s="28">
        <f t="shared" si="0"/>
        <v>31</v>
      </c>
      <c r="F44" s="72" t="s">
        <v>230</v>
      </c>
      <c r="G44" s="73">
        <f>G38</f>
        <v>85</v>
      </c>
      <c r="H44" s="74">
        <f>INT((G44*Valores!$C$2*100)+0.5)/100</f>
        <v>563.75</v>
      </c>
      <c r="I44" s="75">
        <f>I38</f>
        <v>3498</v>
      </c>
      <c r="J44" s="76">
        <f>INT((I44*Valores!$C$2*100)+0.5)/100</f>
        <v>23200.14</v>
      </c>
      <c r="K44" s="77">
        <f>K38</f>
        <v>1209</v>
      </c>
      <c r="L44" s="76">
        <f>INT((K44*Valores!$C$2*100)+0.5)/100</f>
        <v>8018.57</v>
      </c>
      <c r="M44" s="101">
        <v>0</v>
      </c>
      <c r="N44" s="76">
        <f>INT((M44*Valores!$C$2*100)+0.5)/100</f>
        <v>0</v>
      </c>
      <c r="O44" s="76">
        <f t="shared" si="1"/>
        <v>5454.1875</v>
      </c>
      <c r="P44" s="76">
        <f t="shared" si="2"/>
        <v>0</v>
      </c>
      <c r="Q44" s="78">
        <f>Q38</f>
        <v>7864</v>
      </c>
      <c r="R44" s="78">
        <f>R38</f>
        <v>2966.67</v>
      </c>
      <c r="S44" s="102">
        <v>0</v>
      </c>
      <c r="T44" s="102">
        <f>T38</f>
        <v>1839.54</v>
      </c>
      <c r="U44" s="102">
        <f>U38</f>
        <v>2739.25</v>
      </c>
      <c r="V44" s="76">
        <f t="shared" si="3"/>
        <v>2739.25</v>
      </c>
      <c r="W44" s="76">
        <v>0</v>
      </c>
      <c r="X44" s="76">
        <v>0</v>
      </c>
      <c r="Y44" s="80">
        <v>0</v>
      </c>
      <c r="Z44" s="76">
        <f>Y44*Valores!$C$2</f>
        <v>0</v>
      </c>
      <c r="AA44" s="76">
        <v>0</v>
      </c>
      <c r="AB44" s="102">
        <f>Valores!$C$29</f>
        <v>160.21</v>
      </c>
      <c r="AC44" s="76">
        <f t="shared" si="6"/>
        <v>0</v>
      </c>
      <c r="AD44" s="102">
        <f>Valores!$C$30</f>
        <v>160.21</v>
      </c>
      <c r="AE44" s="80">
        <v>0</v>
      </c>
      <c r="AF44" s="78">
        <f>INT(((AE44*Valores!$C$2)*100)+0.5)/100</f>
        <v>0</v>
      </c>
      <c r="AG44" s="78">
        <f>Valores!$C$58</f>
        <v>325.89</v>
      </c>
      <c r="AH44" s="78">
        <f>Valores!$C$60</f>
        <v>93.11</v>
      </c>
      <c r="AI44" s="82">
        <f t="shared" si="7"/>
        <v>53385.5275</v>
      </c>
      <c r="AJ44" s="78">
        <f>Valores!$C$35</f>
        <v>599.19</v>
      </c>
      <c r="AK44" s="79">
        <f>AK38</f>
        <v>0</v>
      </c>
      <c r="AL44" s="78">
        <f>AL38</f>
        <v>2600</v>
      </c>
      <c r="AM44" s="81">
        <f>AM38</f>
        <v>265.48</v>
      </c>
      <c r="AN44" s="83">
        <f t="shared" si="8"/>
        <v>3199.19</v>
      </c>
      <c r="AO44" s="84">
        <f>AI44*-Valores!$C$65</f>
        <v>-6940.1185749999995</v>
      </c>
      <c r="AP44" s="84">
        <f>AI44*-Valores!$C$66</f>
        <v>-266.9276375</v>
      </c>
      <c r="AQ44" s="78">
        <f>AI44*-Valores!$C$67</f>
        <v>-2402.3487375</v>
      </c>
      <c r="AR44" s="78">
        <f>AI44*-Valores!$C$68</f>
        <v>-1441.4092425</v>
      </c>
      <c r="AS44" s="78">
        <f>AI44*-Valores!$C$69</f>
        <v>-160.15658249999998</v>
      </c>
      <c r="AT44" s="82">
        <f t="shared" si="4"/>
        <v>46975.322550000004</v>
      </c>
      <c r="AU44" s="82">
        <f t="shared" si="5"/>
        <v>47776.1054625</v>
      </c>
      <c r="AV44" s="78">
        <f>AI44*Valores!$C$71</f>
        <v>8541.6844</v>
      </c>
      <c r="AW44" s="78">
        <f>AI44*Valores!$C$72</f>
        <v>2402.3487375</v>
      </c>
      <c r="AX44" s="78">
        <f>AI44*Valores!$C$73</f>
        <v>533.855275</v>
      </c>
      <c r="AY44" s="78">
        <f>AI44*Valores!$C$75</f>
        <v>1868.4934625</v>
      </c>
      <c r="AZ44" s="78">
        <f>AI44*Valores!$C$76</f>
        <v>320.31316499999997</v>
      </c>
      <c r="BA44" s="78">
        <f t="shared" si="9"/>
        <v>2882.8184850000002</v>
      </c>
      <c r="BB44" s="52"/>
      <c r="BC44" s="52">
        <v>45</v>
      </c>
      <c r="BD44" s="28" t="s">
        <v>8</v>
      </c>
    </row>
    <row r="45" spans="1:56" s="28" customFormat="1" ht="11.25" customHeight="1">
      <c r="A45" s="52">
        <v>44</v>
      </c>
      <c r="B45" s="52"/>
      <c r="C45" s="28" t="s">
        <v>231</v>
      </c>
      <c r="E45" s="28">
        <f t="shared" si="0"/>
        <v>26</v>
      </c>
      <c r="F45" s="72" t="s">
        <v>232</v>
      </c>
      <c r="G45" s="73">
        <f>G87+G305</f>
        <v>518</v>
      </c>
      <c r="H45" s="74">
        <f>INT((G45*Valores!$C$2*100)+0.5)/100</f>
        <v>3435.58</v>
      </c>
      <c r="I45" s="75">
        <f>I87+I305</f>
        <v>1997</v>
      </c>
      <c r="J45" s="76">
        <f>INT((I45*Valores!$C$2*100)+0.5)/100</f>
        <v>13244.9</v>
      </c>
      <c r="K45" s="103">
        <v>0</v>
      </c>
      <c r="L45" s="76">
        <f>INT((K45*Valores!$C$2*100)+0.5)/100</f>
        <v>0</v>
      </c>
      <c r="M45" s="101">
        <v>0</v>
      </c>
      <c r="N45" s="76">
        <f>INT((M45*Valores!$C$2*100)+0.5)/100</f>
        <v>0</v>
      </c>
      <c r="O45" s="76">
        <f t="shared" si="1"/>
        <v>3135.255</v>
      </c>
      <c r="P45" s="76">
        <f t="shared" si="2"/>
        <v>0</v>
      </c>
      <c r="Q45" s="78">
        <f>Q87+Q305</f>
        <v>4291.62</v>
      </c>
      <c r="R45" s="78">
        <f aca="true" t="shared" si="12" ref="R45:V45">R87+R305</f>
        <v>2966.67</v>
      </c>
      <c r="S45" s="102">
        <f t="shared" si="12"/>
        <v>3094.03</v>
      </c>
      <c r="T45" s="102">
        <f t="shared" si="12"/>
        <v>1481.9699999999998</v>
      </c>
      <c r="U45" s="102">
        <f t="shared" si="12"/>
        <v>2739.25</v>
      </c>
      <c r="V45" s="78">
        <f t="shared" si="12"/>
        <v>2739.25</v>
      </c>
      <c r="W45" s="76">
        <v>0</v>
      </c>
      <c r="X45" s="76">
        <v>0</v>
      </c>
      <c r="Y45" s="80">
        <v>0</v>
      </c>
      <c r="Z45" s="76">
        <f>Y45*Valores!$C$2</f>
        <v>0</v>
      </c>
      <c r="AA45" s="76">
        <v>0</v>
      </c>
      <c r="AB45" s="78">
        <f>Valores!$C$29</f>
        <v>160.21</v>
      </c>
      <c r="AC45" s="76">
        <f t="shared" si="6"/>
        <v>0</v>
      </c>
      <c r="AD45" s="78">
        <f>Valores!$C$30</f>
        <v>160.21</v>
      </c>
      <c r="AE45" s="80">
        <v>0</v>
      </c>
      <c r="AF45" s="76">
        <f>INT(((AE45*Valores!$C$2)*100)+0.5)/100</f>
        <v>0</v>
      </c>
      <c r="AG45" s="76">
        <f>Valores!$C$58</f>
        <v>325.89</v>
      </c>
      <c r="AH45" s="76">
        <f>Valores!$C$60</f>
        <v>93.11</v>
      </c>
      <c r="AI45" s="82">
        <f t="shared" si="7"/>
        <v>35128.695</v>
      </c>
      <c r="AJ45" s="78">
        <f>Valores!$C$35</f>
        <v>599.19</v>
      </c>
      <c r="AK45" s="78">
        <f>AK87+AK305</f>
        <v>0</v>
      </c>
      <c r="AL45" s="78">
        <f>AL87+AL305</f>
        <v>1300</v>
      </c>
      <c r="AM45" s="78">
        <f>AM87+AM305</f>
        <v>136.56</v>
      </c>
      <c r="AN45" s="83">
        <f t="shared" si="8"/>
        <v>1899.19</v>
      </c>
      <c r="AO45" s="84">
        <f>AI45*-Valores!$C$65</f>
        <v>-4566.73035</v>
      </c>
      <c r="AP45" s="84">
        <f>AI45*-Valores!$C$66</f>
        <v>-175.643475</v>
      </c>
      <c r="AQ45" s="78">
        <f>AI45*-Valores!$C$67</f>
        <v>-1580.791275</v>
      </c>
      <c r="AR45" s="78">
        <f>AI45*-Valores!$C$68</f>
        <v>-948.4747649999999</v>
      </c>
      <c r="AS45" s="78">
        <f>AI45*-Valores!$C$69</f>
        <v>-105.386085</v>
      </c>
      <c r="AT45" s="82">
        <f t="shared" si="4"/>
        <v>30704.719900000004</v>
      </c>
      <c r="AU45" s="82">
        <f t="shared" si="5"/>
        <v>31231.65032500001</v>
      </c>
      <c r="AV45" s="78">
        <f>AI45*Valores!$C$71</f>
        <v>5620.5912</v>
      </c>
      <c r="AW45" s="78">
        <f>AI45*Valores!$C$72</f>
        <v>1580.791275</v>
      </c>
      <c r="AX45" s="78">
        <f>AI45*Valores!$C$73</f>
        <v>351.28695</v>
      </c>
      <c r="AY45" s="78">
        <f>AI45*Valores!$C$75</f>
        <v>1229.504325</v>
      </c>
      <c r="AZ45" s="78">
        <f>AI45*Valores!$C$76</f>
        <v>210.77217</v>
      </c>
      <c r="BA45" s="78">
        <f t="shared" si="9"/>
        <v>1896.94953</v>
      </c>
      <c r="BB45" s="52"/>
      <c r="BC45" s="52"/>
      <c r="BD45" s="28" t="s">
        <v>8</v>
      </c>
    </row>
    <row r="46" spans="1:56" s="28" customFormat="1" ht="11.25" customHeight="1">
      <c r="A46" s="86">
        <v>45</v>
      </c>
      <c r="B46" s="86" t="s">
        <v>163</v>
      </c>
      <c r="C46" s="87" t="s">
        <v>233</v>
      </c>
      <c r="D46" s="87"/>
      <c r="E46" s="87">
        <f t="shared" si="0"/>
        <v>33</v>
      </c>
      <c r="F46" s="88" t="s">
        <v>234</v>
      </c>
      <c r="G46" s="89">
        <f>G54+G239</f>
        <v>572</v>
      </c>
      <c r="H46" s="90">
        <f>INT((G46*Valores!$C$2*100)+0.5)/100</f>
        <v>3793.73</v>
      </c>
      <c r="I46" s="104">
        <f>I54+I239</f>
        <v>2686</v>
      </c>
      <c r="J46" s="92">
        <f>INT((I46*Valores!$C$2*100)+0.5)/100</f>
        <v>17814.63</v>
      </c>
      <c r="K46" s="105">
        <v>0</v>
      </c>
      <c r="L46" s="92">
        <f>INT((K46*Valores!$C$2*100)+0.5)/100</f>
        <v>0</v>
      </c>
      <c r="M46" s="106">
        <v>0</v>
      </c>
      <c r="N46" s="92">
        <f>INT((M46*Valores!$C$2*100)+0.5)/100</f>
        <v>0</v>
      </c>
      <c r="O46" s="92">
        <f t="shared" si="1"/>
        <v>3932.946</v>
      </c>
      <c r="P46" s="92">
        <f t="shared" si="2"/>
        <v>0</v>
      </c>
      <c r="Q46" s="92">
        <f>Q54+Q239</f>
        <v>5252.76</v>
      </c>
      <c r="R46" s="94">
        <f>Valores!$D$4</f>
        <v>2966.67</v>
      </c>
      <c r="S46" s="92">
        <f>S54+S239</f>
        <v>3094.03</v>
      </c>
      <c r="T46" s="95">
        <f>T54+T239</f>
        <v>1533.09</v>
      </c>
      <c r="U46" s="92">
        <f>U54+U239</f>
        <v>3078.19</v>
      </c>
      <c r="V46" s="92">
        <f aca="true" t="shared" si="13" ref="V46:V109">U46*(1+$J$2)</f>
        <v>3078.19</v>
      </c>
      <c r="W46" s="92">
        <v>0</v>
      </c>
      <c r="X46" s="92">
        <v>0</v>
      </c>
      <c r="Y46" s="96">
        <v>0</v>
      </c>
      <c r="Z46" s="92">
        <f>Y46*Valores!$C$2</f>
        <v>0</v>
      </c>
      <c r="AA46" s="92">
        <v>0</v>
      </c>
      <c r="AB46" s="92">
        <f>AB54+AB239</f>
        <v>198.73000000000002</v>
      </c>
      <c r="AC46" s="92">
        <f t="shared" si="6"/>
        <v>0</v>
      </c>
      <c r="AD46" s="92">
        <f>Valores!$C$30</f>
        <v>160.21</v>
      </c>
      <c r="AE46" s="96">
        <v>0</v>
      </c>
      <c r="AF46" s="92">
        <f>INT(((AE46*Valores!$C$2)*100)+0.5)/100</f>
        <v>0</v>
      </c>
      <c r="AG46" s="97">
        <f>AG54+AG239</f>
        <v>456.27</v>
      </c>
      <c r="AH46" s="97">
        <f>AH54+AH239</f>
        <v>130.37</v>
      </c>
      <c r="AI46" s="98">
        <f t="shared" si="7"/>
        <v>42411.626</v>
      </c>
      <c r="AJ46" s="97">
        <f>AJ54+AJ239</f>
        <v>838.8900000000001</v>
      </c>
      <c r="AK46" s="95">
        <f>AK54+AK239</f>
        <v>0</v>
      </c>
      <c r="AL46" s="97">
        <f>AL54</f>
        <v>1560</v>
      </c>
      <c r="AM46" s="95">
        <f>AM54+AM239</f>
        <v>191.16</v>
      </c>
      <c r="AN46" s="99">
        <f t="shared" si="8"/>
        <v>2398.8900000000003</v>
      </c>
      <c r="AO46" s="100">
        <f>AI46*-Valores!$C$65</f>
        <v>-5513.51138</v>
      </c>
      <c r="AP46" s="100">
        <f>AI46*-Valores!$C$66</f>
        <v>-212.05812999999998</v>
      </c>
      <c r="AQ46" s="94">
        <f>AI46*-Valores!$C$67</f>
        <v>-1908.5231699999997</v>
      </c>
      <c r="AR46" s="94">
        <f>AI46*-Valores!$C$68</f>
        <v>-1145.1139019999998</v>
      </c>
      <c r="AS46" s="94">
        <f>AI46*-Valores!$C$69</f>
        <v>-127.234878</v>
      </c>
      <c r="AT46" s="98">
        <f t="shared" si="4"/>
        <v>37176.42332</v>
      </c>
      <c r="AU46" s="98">
        <f t="shared" si="5"/>
        <v>37812.59771</v>
      </c>
      <c r="AV46" s="94">
        <f>AI46*Valores!$C$71</f>
        <v>6785.860159999999</v>
      </c>
      <c r="AW46" s="94">
        <f>AI46*Valores!$C$72</f>
        <v>1908.5231699999997</v>
      </c>
      <c r="AX46" s="94">
        <f>AI46*Valores!$C$73</f>
        <v>424.11625999999995</v>
      </c>
      <c r="AY46" s="94">
        <f>AI46*Valores!$C$75</f>
        <v>1484.40691</v>
      </c>
      <c r="AZ46" s="94">
        <f>AI46*Valores!$C$76</f>
        <v>254.469756</v>
      </c>
      <c r="BA46" s="94">
        <f t="shared" si="9"/>
        <v>2290.227804</v>
      </c>
      <c r="BB46" s="86"/>
      <c r="BC46" s="86"/>
      <c r="BD46" s="87" t="s">
        <v>8</v>
      </c>
    </row>
    <row r="47" spans="1:56" s="28" customFormat="1" ht="11.25" customHeight="1">
      <c r="A47" s="52">
        <v>46</v>
      </c>
      <c r="B47" s="52"/>
      <c r="C47" s="28" t="s">
        <v>235</v>
      </c>
      <c r="E47" s="28">
        <f t="shared" si="0"/>
        <v>33</v>
      </c>
      <c r="F47" s="72" t="s">
        <v>236</v>
      </c>
      <c r="G47" s="73">
        <v>108</v>
      </c>
      <c r="H47" s="74">
        <f>INT((G47*Valores!$C$2*100)+0.5)/100</f>
        <v>716.3</v>
      </c>
      <c r="I47" s="75">
        <v>2907</v>
      </c>
      <c r="J47" s="76">
        <f>INT((I47*Valores!$C$2*100)+0.5)/100</f>
        <v>19280.39</v>
      </c>
      <c r="K47" s="103">
        <v>0</v>
      </c>
      <c r="L47" s="76">
        <f>INT((K47*Valores!$C$2*100)+0.5)/100</f>
        <v>0</v>
      </c>
      <c r="M47" s="73">
        <v>0</v>
      </c>
      <c r="N47" s="76">
        <f>INT((M47*Valores!$C$2*100)+0.5)/100</f>
        <v>0</v>
      </c>
      <c r="O47" s="76">
        <f t="shared" si="1"/>
        <v>3594.3464999999997</v>
      </c>
      <c r="P47" s="76">
        <f t="shared" si="2"/>
        <v>0</v>
      </c>
      <c r="Q47" s="78">
        <f>Valores!$C$16</f>
        <v>4291.62</v>
      </c>
      <c r="R47" s="78">
        <f>Valores!$D$4</f>
        <v>2966.67</v>
      </c>
      <c r="S47" s="102">
        <f>Valores!$C$26</f>
        <v>3094.03</v>
      </c>
      <c r="T47" s="107">
        <f>Valores!$C$42</f>
        <v>1226.37</v>
      </c>
      <c r="U47" s="76">
        <f>Valores!$C$23</f>
        <v>2739.25</v>
      </c>
      <c r="V47" s="76">
        <f t="shared" si="13"/>
        <v>2739.25</v>
      </c>
      <c r="W47" s="76">
        <v>0</v>
      </c>
      <c r="X47" s="76">
        <v>0</v>
      </c>
      <c r="Y47" s="80">
        <v>0</v>
      </c>
      <c r="Z47" s="76">
        <f>Y47*Valores!$C$2</f>
        <v>0</v>
      </c>
      <c r="AA47" s="76">
        <v>0</v>
      </c>
      <c r="AB47" s="81">
        <f>Valores!$C$29</f>
        <v>160.21</v>
      </c>
      <c r="AC47" s="76">
        <f t="shared" si="6"/>
        <v>0</v>
      </c>
      <c r="AD47" s="76">
        <f>Valores!$C$30</f>
        <v>160.21</v>
      </c>
      <c r="AE47" s="80">
        <v>0</v>
      </c>
      <c r="AF47" s="76">
        <f>INT(((AE47*Valores!$C$2)*100)+0.5)/100</f>
        <v>0</v>
      </c>
      <c r="AG47" s="76">
        <f>Valores!$C$58</f>
        <v>325.89</v>
      </c>
      <c r="AH47" s="76">
        <f>Valores!$C$60</f>
        <v>93.11</v>
      </c>
      <c r="AI47" s="82">
        <f t="shared" si="7"/>
        <v>38648.396499999995</v>
      </c>
      <c r="AJ47" s="78">
        <f>Valores!$C$35</f>
        <v>599.19</v>
      </c>
      <c r="AK47" s="79">
        <f>Valores!$C$8</f>
        <v>0</v>
      </c>
      <c r="AL47" s="79">
        <f>Valores!$C$82</f>
        <v>1560</v>
      </c>
      <c r="AM47" s="81">
        <f>Valores!$C$51</f>
        <v>136.56</v>
      </c>
      <c r="AN47" s="83">
        <f t="shared" si="8"/>
        <v>2159.19</v>
      </c>
      <c r="AO47" s="84">
        <f>AI47*-Valores!$C$65</f>
        <v>-5024.291544999999</v>
      </c>
      <c r="AP47" s="84">
        <f>AI47*-Valores!$C$66</f>
        <v>-193.24198249999998</v>
      </c>
      <c r="AQ47" s="78">
        <f>AI47*-Valores!$C$67</f>
        <v>-1739.1778424999998</v>
      </c>
      <c r="AR47" s="78">
        <f>AI47*-Valores!$C$68</f>
        <v>-1043.5067055</v>
      </c>
      <c r="AS47" s="78">
        <f>AI47*-Valores!$C$69</f>
        <v>-115.94518949999998</v>
      </c>
      <c r="AT47" s="82">
        <f t="shared" si="4"/>
        <v>33850.87512999999</v>
      </c>
      <c r="AU47" s="82">
        <f t="shared" si="5"/>
        <v>34430.601077499996</v>
      </c>
      <c r="AV47" s="78">
        <f>AI47*Valores!$C$71</f>
        <v>6183.743439999999</v>
      </c>
      <c r="AW47" s="78">
        <f>AI47*Valores!$C$72</f>
        <v>1739.1778424999998</v>
      </c>
      <c r="AX47" s="78">
        <f>AI47*Valores!$C$73</f>
        <v>386.48396499999996</v>
      </c>
      <c r="AY47" s="78">
        <f>AI47*Valores!$C$75</f>
        <v>1352.6938774999999</v>
      </c>
      <c r="AZ47" s="78">
        <f>AI47*Valores!$C$76</f>
        <v>231.89037899999997</v>
      </c>
      <c r="BA47" s="78">
        <f t="shared" si="9"/>
        <v>2087.013411</v>
      </c>
      <c r="BB47" s="52"/>
      <c r="BC47" s="52">
        <v>30</v>
      </c>
      <c r="BD47" s="28" t="s">
        <v>4</v>
      </c>
    </row>
    <row r="48" spans="1:56" s="28" customFormat="1" ht="11.25" customHeight="1">
      <c r="A48" s="52">
        <v>47</v>
      </c>
      <c r="B48" s="52"/>
      <c r="C48" s="28" t="s">
        <v>237</v>
      </c>
      <c r="E48" s="28">
        <f t="shared" si="0"/>
        <v>33</v>
      </c>
      <c r="F48" s="72" t="s">
        <v>238</v>
      </c>
      <c r="G48" s="73">
        <v>88</v>
      </c>
      <c r="H48" s="74">
        <f>INT((G48*Valores!$C$2*100)+0.5)/100</f>
        <v>583.65</v>
      </c>
      <c r="I48" s="75">
        <v>2622</v>
      </c>
      <c r="J48" s="76">
        <f>INT((I48*Valores!$C$2*100)+0.5)/100</f>
        <v>17390.15</v>
      </c>
      <c r="K48" s="103">
        <v>0</v>
      </c>
      <c r="L48" s="76">
        <f>INT((K48*Valores!$C$2*100)+0.5)/100</f>
        <v>0</v>
      </c>
      <c r="M48" s="101">
        <v>0</v>
      </c>
      <c r="N48" s="76">
        <f>INT((M48*Valores!$C$2*100)+0.5)/100</f>
        <v>0</v>
      </c>
      <c r="O48" s="76">
        <f t="shared" si="1"/>
        <v>3290.913</v>
      </c>
      <c r="P48" s="76">
        <f t="shared" si="2"/>
        <v>0</v>
      </c>
      <c r="Q48" s="78">
        <f>Valores!$C$16</f>
        <v>4291.62</v>
      </c>
      <c r="R48" s="78">
        <f>Valores!$D$4</f>
        <v>2966.67</v>
      </c>
      <c r="S48" s="102">
        <f>Valores!$C$26</f>
        <v>3094.03</v>
      </c>
      <c r="T48" s="107">
        <f>Valores!$C$42</f>
        <v>1226.37</v>
      </c>
      <c r="U48" s="76">
        <f>Valores!$C$23</f>
        <v>2739.25</v>
      </c>
      <c r="V48" s="76">
        <f t="shared" si="13"/>
        <v>2739.25</v>
      </c>
      <c r="W48" s="76">
        <v>0</v>
      </c>
      <c r="X48" s="76">
        <v>0</v>
      </c>
      <c r="Y48" s="80">
        <v>0</v>
      </c>
      <c r="Z48" s="76">
        <f>Y48*Valores!$C$2</f>
        <v>0</v>
      </c>
      <c r="AA48" s="76">
        <v>0</v>
      </c>
      <c r="AB48" s="81">
        <f>Valores!$C$29</f>
        <v>160.21</v>
      </c>
      <c r="AC48" s="76">
        <f t="shared" si="6"/>
        <v>0</v>
      </c>
      <c r="AD48" s="76">
        <f>Valores!$C$30</f>
        <v>160.21</v>
      </c>
      <c r="AE48" s="80">
        <v>0</v>
      </c>
      <c r="AF48" s="76">
        <f>INT(((AE48*Valores!$C$2)*100)+0.5)/100</f>
        <v>0</v>
      </c>
      <c r="AG48" s="76">
        <f>Valores!$C$58</f>
        <v>325.89</v>
      </c>
      <c r="AH48" s="76">
        <f>Valores!$C$60</f>
        <v>93.11</v>
      </c>
      <c r="AI48" s="82">
        <f t="shared" si="7"/>
        <v>36322.073000000004</v>
      </c>
      <c r="AJ48" s="78">
        <f>Valores!$C$35</f>
        <v>599.19</v>
      </c>
      <c r="AK48" s="79">
        <f>Valores!$C$8</f>
        <v>0</v>
      </c>
      <c r="AL48" s="79">
        <f>Valores!$C$82</f>
        <v>1560</v>
      </c>
      <c r="AM48" s="81">
        <f>Valores!$C$51</f>
        <v>136.56</v>
      </c>
      <c r="AN48" s="83">
        <f t="shared" si="8"/>
        <v>2159.19</v>
      </c>
      <c r="AO48" s="84">
        <f>AI48*-Valores!$C$65</f>
        <v>-4721.869490000001</v>
      </c>
      <c r="AP48" s="84">
        <f>AI48*-Valores!$C$66</f>
        <v>-181.61036500000003</v>
      </c>
      <c r="AQ48" s="78">
        <f>AI48*-Valores!$C$67</f>
        <v>-1634.493285</v>
      </c>
      <c r="AR48" s="78">
        <f>AI48*-Valores!$C$68</f>
        <v>-980.6959710000001</v>
      </c>
      <c r="AS48" s="78">
        <f>AI48*-Valores!$C$69</f>
        <v>-108.96621900000001</v>
      </c>
      <c r="AT48" s="82">
        <f t="shared" si="4"/>
        <v>31943.289860000008</v>
      </c>
      <c r="AU48" s="82">
        <f t="shared" si="5"/>
        <v>32488.120955000002</v>
      </c>
      <c r="AV48" s="78">
        <f>AI48*Valores!$C$71</f>
        <v>5811.531680000001</v>
      </c>
      <c r="AW48" s="78">
        <f>AI48*Valores!$C$72</f>
        <v>1634.493285</v>
      </c>
      <c r="AX48" s="78">
        <f>AI48*Valores!$C$73</f>
        <v>363.22073000000006</v>
      </c>
      <c r="AY48" s="78">
        <f>AI48*Valores!$C$75</f>
        <v>1271.2725550000002</v>
      </c>
      <c r="AZ48" s="78">
        <f>AI48*Valores!$C$76</f>
        <v>217.93243800000002</v>
      </c>
      <c r="BA48" s="78">
        <f t="shared" si="9"/>
        <v>1961.3919420000002</v>
      </c>
      <c r="BB48" s="52"/>
      <c r="BC48" s="52">
        <v>30</v>
      </c>
      <c r="BD48" s="28" t="s">
        <v>4</v>
      </c>
    </row>
    <row r="49" spans="1:56" s="28" customFormat="1" ht="11.25" customHeight="1">
      <c r="A49" s="52">
        <v>48</v>
      </c>
      <c r="B49" s="52"/>
      <c r="C49" s="28" t="s">
        <v>239</v>
      </c>
      <c r="E49" s="28">
        <f t="shared" si="0"/>
        <v>31</v>
      </c>
      <c r="F49" s="72" t="s">
        <v>240</v>
      </c>
      <c r="G49" s="73">
        <v>88</v>
      </c>
      <c r="H49" s="74">
        <f>INT((G49*Valores!$C$2*100)+0.5)/100</f>
        <v>583.65</v>
      </c>
      <c r="I49" s="75">
        <v>2622</v>
      </c>
      <c r="J49" s="76">
        <f>INT((I49*Valores!$C$2*100)+0.5)/100</f>
        <v>17390.15</v>
      </c>
      <c r="K49" s="103">
        <v>0</v>
      </c>
      <c r="L49" s="76">
        <f>INT((K49*Valores!$C$2*100)+0.5)/100</f>
        <v>0</v>
      </c>
      <c r="M49" s="101">
        <v>0</v>
      </c>
      <c r="N49" s="76">
        <f>INT((M49*Valores!$C$2*100)+0.5)/100</f>
        <v>0</v>
      </c>
      <c r="O49" s="76">
        <f t="shared" si="1"/>
        <v>3290.913</v>
      </c>
      <c r="P49" s="76">
        <f t="shared" si="2"/>
        <v>0</v>
      </c>
      <c r="Q49" s="78">
        <f>Valores!$C$16</f>
        <v>4291.62</v>
      </c>
      <c r="R49" s="78">
        <f>Valores!$D$4</f>
        <v>2966.67</v>
      </c>
      <c r="S49" s="76">
        <f>Valores!$C$26</f>
        <v>3094.03</v>
      </c>
      <c r="T49" s="79">
        <f>Valores!$C$42</f>
        <v>1226.37</v>
      </c>
      <c r="U49" s="76">
        <f>Valores!$C$23</f>
        <v>2739.25</v>
      </c>
      <c r="V49" s="76">
        <f t="shared" si="13"/>
        <v>2739.25</v>
      </c>
      <c r="W49" s="76">
        <v>0</v>
      </c>
      <c r="X49" s="76">
        <v>0</v>
      </c>
      <c r="Y49" s="80">
        <v>0</v>
      </c>
      <c r="Z49" s="76">
        <f>Y49*Valores!$C$2</f>
        <v>0</v>
      </c>
      <c r="AA49" s="76">
        <v>0</v>
      </c>
      <c r="AB49" s="81">
        <f>Valores!$C$29</f>
        <v>160.21</v>
      </c>
      <c r="AC49" s="76">
        <f t="shared" si="6"/>
        <v>0</v>
      </c>
      <c r="AD49" s="76">
        <f>Valores!$C$30</f>
        <v>160.21</v>
      </c>
      <c r="AE49" s="80">
        <v>0</v>
      </c>
      <c r="AF49" s="76">
        <f>INT(((AE49*Valores!$C$2)*100)+0.5)/100</f>
        <v>0</v>
      </c>
      <c r="AG49" s="76">
        <f>Valores!$C$58</f>
        <v>325.89</v>
      </c>
      <c r="AH49" s="76">
        <f>Valores!$C$60</f>
        <v>93.11</v>
      </c>
      <c r="AI49" s="82">
        <f t="shared" si="7"/>
        <v>36322.073000000004</v>
      </c>
      <c r="AJ49" s="78">
        <f>Valores!$C$35</f>
        <v>599.19</v>
      </c>
      <c r="AK49" s="79">
        <f>Valores!$C$8</f>
        <v>0</v>
      </c>
      <c r="AL49" s="79">
        <f>Valores!$C$82</f>
        <v>1560</v>
      </c>
      <c r="AM49" s="81">
        <f>Valores!$C$51</f>
        <v>136.56</v>
      </c>
      <c r="AN49" s="83">
        <f t="shared" si="8"/>
        <v>2159.19</v>
      </c>
      <c r="AO49" s="84">
        <f>AI49*-Valores!$C$65</f>
        <v>-4721.869490000001</v>
      </c>
      <c r="AP49" s="84">
        <f>AI49*-Valores!$C$66</f>
        <v>-181.61036500000003</v>
      </c>
      <c r="AQ49" s="78">
        <f>AI49*-Valores!$C$67</f>
        <v>-1634.493285</v>
      </c>
      <c r="AR49" s="78">
        <f>AI49*-Valores!$C$68</f>
        <v>-980.6959710000001</v>
      </c>
      <c r="AS49" s="78">
        <f>AI49*-Valores!$C$69</f>
        <v>-108.96621900000001</v>
      </c>
      <c r="AT49" s="82">
        <f t="shared" si="4"/>
        <v>31943.289860000008</v>
      </c>
      <c r="AU49" s="82">
        <f t="shared" si="5"/>
        <v>32488.120955000002</v>
      </c>
      <c r="AV49" s="78">
        <f>AI49*Valores!$C$71</f>
        <v>5811.531680000001</v>
      </c>
      <c r="AW49" s="78">
        <f>AI49*Valores!$C$72</f>
        <v>1634.493285</v>
      </c>
      <c r="AX49" s="78">
        <f>AI49*Valores!$C$73</f>
        <v>363.22073000000006</v>
      </c>
      <c r="AY49" s="78">
        <f>AI49*Valores!$C$75</f>
        <v>1271.2725550000002</v>
      </c>
      <c r="AZ49" s="78">
        <f>AI49*Valores!$C$76</f>
        <v>217.93243800000002</v>
      </c>
      <c r="BA49" s="78">
        <f t="shared" si="9"/>
        <v>1961.3919420000002</v>
      </c>
      <c r="BB49" s="52"/>
      <c r="BC49" s="52">
        <v>30</v>
      </c>
      <c r="BD49" s="28" t="s">
        <v>4</v>
      </c>
    </row>
    <row r="50" spans="1:56" s="28" customFormat="1" ht="11.25" customHeight="1">
      <c r="A50" s="52">
        <v>49</v>
      </c>
      <c r="B50" s="52"/>
      <c r="C50" s="28" t="s">
        <v>241</v>
      </c>
      <c r="E50" s="28">
        <f t="shared" si="0"/>
        <v>26</v>
      </c>
      <c r="F50" s="72" t="s">
        <v>242</v>
      </c>
      <c r="G50" s="73">
        <v>80</v>
      </c>
      <c r="H50" s="74">
        <f>INT((G50*Valores!$C$2*100)+0.5)/100</f>
        <v>530.59</v>
      </c>
      <c r="I50" s="75">
        <v>2278</v>
      </c>
      <c r="J50" s="76">
        <f>INT((I50*Valores!$C$2*100)+0.5)/100</f>
        <v>15108.61</v>
      </c>
      <c r="K50" s="103">
        <v>0</v>
      </c>
      <c r="L50" s="76">
        <f>INT((K50*Valores!$C$2*100)+0.5)/100</f>
        <v>0</v>
      </c>
      <c r="M50" s="101">
        <v>0</v>
      </c>
      <c r="N50" s="76">
        <f>INT((M50*Valores!$C$2*100)+0.5)/100</f>
        <v>0</v>
      </c>
      <c r="O50" s="76">
        <f t="shared" si="1"/>
        <v>2940.723</v>
      </c>
      <c r="P50" s="76">
        <f t="shared" si="2"/>
        <v>0</v>
      </c>
      <c r="Q50" s="78">
        <f>Valores!$C$16</f>
        <v>4291.62</v>
      </c>
      <c r="R50" s="78">
        <f>Valores!$D$4</f>
        <v>2966.67</v>
      </c>
      <c r="S50" s="102">
        <f>Valores!$C$26</f>
        <v>3094.03</v>
      </c>
      <c r="T50" s="107">
        <f>Valores!$C$42</f>
        <v>1226.37</v>
      </c>
      <c r="U50" s="76">
        <f>Valores!$C$23</f>
        <v>2739.25</v>
      </c>
      <c r="V50" s="76">
        <f t="shared" si="13"/>
        <v>2739.25</v>
      </c>
      <c r="W50" s="76">
        <v>0</v>
      </c>
      <c r="X50" s="76">
        <v>0</v>
      </c>
      <c r="Y50" s="80">
        <v>0</v>
      </c>
      <c r="Z50" s="76">
        <f>Y50*Valores!$C$2</f>
        <v>0</v>
      </c>
      <c r="AA50" s="76">
        <v>0</v>
      </c>
      <c r="AB50" s="81">
        <f>Valores!$C$29</f>
        <v>160.21</v>
      </c>
      <c r="AC50" s="76">
        <f t="shared" si="6"/>
        <v>0</v>
      </c>
      <c r="AD50" s="76">
        <f>Valores!$C$30</f>
        <v>160.21</v>
      </c>
      <c r="AE50" s="80">
        <v>0</v>
      </c>
      <c r="AF50" s="76">
        <f>INT(((AE50*Valores!$C$2)*100)+0.5)/100</f>
        <v>0</v>
      </c>
      <c r="AG50" s="76">
        <f>Valores!$C$58</f>
        <v>325.89</v>
      </c>
      <c r="AH50" s="76">
        <f>Valores!$C$60</f>
        <v>93.11</v>
      </c>
      <c r="AI50" s="82">
        <f t="shared" si="7"/>
        <v>33637.283</v>
      </c>
      <c r="AJ50" s="78">
        <f>Valores!$C$35</f>
        <v>599.19</v>
      </c>
      <c r="AK50" s="79">
        <f>Valores!$C$8</f>
        <v>0</v>
      </c>
      <c r="AL50" s="79">
        <f>Valores!$C$82</f>
        <v>1560</v>
      </c>
      <c r="AM50" s="81">
        <f>Valores!$C$51</f>
        <v>136.56</v>
      </c>
      <c r="AN50" s="83">
        <f t="shared" si="8"/>
        <v>2159.19</v>
      </c>
      <c r="AO50" s="84">
        <f>AI50*-Valores!$C$65</f>
        <v>-4372.8467900000005</v>
      </c>
      <c r="AP50" s="84">
        <f>AI50*-Valores!$C$66</f>
        <v>-168.186415</v>
      </c>
      <c r="AQ50" s="78">
        <f>AI50*-Valores!$C$67</f>
        <v>-1513.677735</v>
      </c>
      <c r="AR50" s="78">
        <f>AI50*-Valores!$C$68</f>
        <v>-908.2066410000001</v>
      </c>
      <c r="AS50" s="78">
        <f>AI50*-Valores!$C$69</f>
        <v>-100.91184900000002</v>
      </c>
      <c r="AT50" s="82">
        <f t="shared" si="4"/>
        <v>29741.762060000012</v>
      </c>
      <c r="AU50" s="82">
        <f t="shared" si="5"/>
        <v>30246.321305000012</v>
      </c>
      <c r="AV50" s="78">
        <f>AI50*Valores!$C$71</f>
        <v>5381.96528</v>
      </c>
      <c r="AW50" s="78">
        <f>AI50*Valores!$C$72</f>
        <v>1513.677735</v>
      </c>
      <c r="AX50" s="78">
        <f>AI50*Valores!$C$73</f>
        <v>336.37283</v>
      </c>
      <c r="AY50" s="78">
        <f>AI50*Valores!$C$75</f>
        <v>1177.3049050000002</v>
      </c>
      <c r="AZ50" s="78">
        <f>AI50*Valores!$C$76</f>
        <v>201.82369800000004</v>
      </c>
      <c r="BA50" s="78">
        <f t="shared" si="9"/>
        <v>1816.4132820000002</v>
      </c>
      <c r="BB50" s="52"/>
      <c r="BC50" s="52">
        <v>30</v>
      </c>
      <c r="BD50" s="28" t="s">
        <v>4</v>
      </c>
    </row>
    <row r="51" spans="1:56" s="28" customFormat="1" ht="11.25" customHeight="1">
      <c r="A51" s="86">
        <v>50</v>
      </c>
      <c r="B51" s="86" t="s">
        <v>163</v>
      </c>
      <c r="C51" s="87" t="s">
        <v>243</v>
      </c>
      <c r="D51" s="87"/>
      <c r="E51" s="87">
        <f t="shared" si="0"/>
        <v>33</v>
      </c>
      <c r="F51" s="88" t="s">
        <v>244</v>
      </c>
      <c r="G51" s="89">
        <v>100</v>
      </c>
      <c r="H51" s="90">
        <f>INT((G51*Valores!$C$2*100)+0.5)/100</f>
        <v>663.24</v>
      </c>
      <c r="I51" s="91">
        <v>3620</v>
      </c>
      <c r="J51" s="92">
        <f>INT((I51*Valores!$C$2*100)+0.5)/100</f>
        <v>24009.29</v>
      </c>
      <c r="K51" s="105">
        <v>0</v>
      </c>
      <c r="L51" s="92">
        <f>INT((K51*Valores!$C$2*100)+0.5)/100</f>
        <v>0</v>
      </c>
      <c r="M51" s="106">
        <v>0</v>
      </c>
      <c r="N51" s="92">
        <f>INT((M51*Valores!$C$2*100)+0.5)/100</f>
        <v>0</v>
      </c>
      <c r="O51" s="92">
        <f t="shared" si="1"/>
        <v>4387.698</v>
      </c>
      <c r="P51" s="92">
        <f t="shared" si="2"/>
        <v>0</v>
      </c>
      <c r="Q51" s="94">
        <f>Valores!$C$16</f>
        <v>4291.62</v>
      </c>
      <c r="R51" s="94">
        <f>Valores!$D$4</f>
        <v>2966.67</v>
      </c>
      <c r="S51" s="108">
        <f>Valores!$C$26</f>
        <v>3094.03</v>
      </c>
      <c r="T51" s="109">
        <f>Valores!$C$43</f>
        <v>1839.54</v>
      </c>
      <c r="U51" s="92">
        <f>Valores!$C$23</f>
        <v>2739.25</v>
      </c>
      <c r="V51" s="92">
        <f t="shared" si="13"/>
        <v>2739.25</v>
      </c>
      <c r="W51" s="92">
        <v>0</v>
      </c>
      <c r="X51" s="92">
        <v>0</v>
      </c>
      <c r="Y51" s="96">
        <v>0</v>
      </c>
      <c r="Z51" s="92">
        <f>Y51*Valores!$C$2</f>
        <v>0</v>
      </c>
      <c r="AA51" s="92">
        <v>0</v>
      </c>
      <c r="AB51" s="97">
        <f>Valores!$C$29</f>
        <v>160.21</v>
      </c>
      <c r="AC51" s="92">
        <f t="shared" si="6"/>
        <v>0</v>
      </c>
      <c r="AD51" s="92">
        <f>Valores!$C$30</f>
        <v>160.21</v>
      </c>
      <c r="AE51" s="96">
        <v>0</v>
      </c>
      <c r="AF51" s="92">
        <f>INT(((AE51*Valores!$C$2)*100)+0.5)/100</f>
        <v>0</v>
      </c>
      <c r="AG51" s="92">
        <f>Valores!$C$58</f>
        <v>325.89</v>
      </c>
      <c r="AH51" s="92">
        <f>Valores!$C$60</f>
        <v>93.11</v>
      </c>
      <c r="AI51" s="98">
        <f t="shared" si="7"/>
        <v>44730.758</v>
      </c>
      <c r="AJ51" s="94">
        <f>Valores!$C$35</f>
        <v>599.19</v>
      </c>
      <c r="AK51" s="95">
        <f>Valores!$C$9</f>
        <v>0</v>
      </c>
      <c r="AL51" s="95">
        <f>Valores!$C$83</f>
        <v>2600</v>
      </c>
      <c r="AM51" s="97">
        <f>Valores!$C$51</f>
        <v>136.56</v>
      </c>
      <c r="AN51" s="99">
        <f t="shared" si="8"/>
        <v>3199.19</v>
      </c>
      <c r="AO51" s="100">
        <f>AI51*-Valores!$C$65</f>
        <v>-5814.9985400000005</v>
      </c>
      <c r="AP51" s="100">
        <f>AI51*-Valores!$C$66</f>
        <v>-223.65379000000001</v>
      </c>
      <c r="AQ51" s="94">
        <f>AI51*-Valores!$C$67</f>
        <v>-2012.88411</v>
      </c>
      <c r="AR51" s="94">
        <f>AI51*-Valores!$C$68</f>
        <v>-1207.730466</v>
      </c>
      <c r="AS51" s="94">
        <f>AI51*-Valores!$C$69</f>
        <v>-134.192274</v>
      </c>
      <c r="AT51" s="98">
        <f t="shared" si="4"/>
        <v>39878.41156000001</v>
      </c>
      <c r="AU51" s="98">
        <f t="shared" si="5"/>
        <v>40549.372930000005</v>
      </c>
      <c r="AV51" s="94">
        <f>AI51*Valores!$C$71</f>
        <v>7156.9212800000005</v>
      </c>
      <c r="AW51" s="94">
        <f>AI51*Valores!$C$72</f>
        <v>2012.88411</v>
      </c>
      <c r="AX51" s="94">
        <f>AI51*Valores!$C$73</f>
        <v>447.30758000000003</v>
      </c>
      <c r="AY51" s="94">
        <f>AI51*Valores!$C$75</f>
        <v>1565.5765300000003</v>
      </c>
      <c r="AZ51" s="94">
        <f>AI51*Valores!$C$76</f>
        <v>268.384548</v>
      </c>
      <c r="BA51" s="94">
        <f t="shared" si="9"/>
        <v>2415.4609320000004</v>
      </c>
      <c r="BB51" s="86"/>
      <c r="BC51" s="86"/>
      <c r="BD51" s="87" t="s">
        <v>4</v>
      </c>
    </row>
    <row r="52" spans="1:56" s="28" customFormat="1" ht="11.25" customHeight="1">
      <c r="A52" s="52">
        <v>51</v>
      </c>
      <c r="B52" s="52"/>
      <c r="C52" s="28" t="s">
        <v>245</v>
      </c>
      <c r="E52" s="28">
        <f t="shared" si="0"/>
        <v>33</v>
      </c>
      <c r="F52" s="72" t="s">
        <v>246</v>
      </c>
      <c r="G52" s="73">
        <v>100</v>
      </c>
      <c r="H52" s="74">
        <f>INT((G52*Valores!$C$2*100)+0.5)/100</f>
        <v>663.24</v>
      </c>
      <c r="I52" s="75">
        <v>3560</v>
      </c>
      <c r="J52" s="76">
        <f>INT((I52*Valores!$C$2*100)+0.5)/100</f>
        <v>23611.34</v>
      </c>
      <c r="K52" s="103">
        <v>0</v>
      </c>
      <c r="L52" s="76">
        <f>INT((K52*Valores!$C$2*100)+0.5)/100</f>
        <v>0</v>
      </c>
      <c r="M52" s="101">
        <v>0</v>
      </c>
      <c r="N52" s="76">
        <f>INT((M52*Valores!$C$2*100)+0.5)/100</f>
        <v>0</v>
      </c>
      <c r="O52" s="76">
        <f t="shared" si="1"/>
        <v>4328.0055</v>
      </c>
      <c r="P52" s="76">
        <f t="shared" si="2"/>
        <v>0</v>
      </c>
      <c r="Q52" s="78">
        <f>Valores!$C$16</f>
        <v>4291.62</v>
      </c>
      <c r="R52" s="78">
        <f>Valores!$D$4</f>
        <v>2966.67</v>
      </c>
      <c r="S52" s="76">
        <v>0</v>
      </c>
      <c r="T52" s="79">
        <f>Valores!$C$43</f>
        <v>1839.54</v>
      </c>
      <c r="U52" s="76">
        <f>Valores!$C$23</f>
        <v>2739.25</v>
      </c>
      <c r="V52" s="76">
        <f t="shared" si="13"/>
        <v>2739.25</v>
      </c>
      <c r="W52" s="76">
        <v>0</v>
      </c>
      <c r="X52" s="76">
        <v>0</v>
      </c>
      <c r="Y52" s="80">
        <v>0</v>
      </c>
      <c r="Z52" s="76">
        <f>Y52*Valores!$C$2</f>
        <v>0</v>
      </c>
      <c r="AA52" s="76">
        <v>0</v>
      </c>
      <c r="AB52" s="81">
        <f>Valores!$C$29</f>
        <v>160.21</v>
      </c>
      <c r="AC52" s="76">
        <f t="shared" si="6"/>
        <v>0</v>
      </c>
      <c r="AD52" s="76">
        <f>Valores!$C$30</f>
        <v>160.21</v>
      </c>
      <c r="AE52" s="80">
        <v>0</v>
      </c>
      <c r="AF52" s="76">
        <f>INT(((AE52*Valores!$C$2)*100)+0.5)/100</f>
        <v>0</v>
      </c>
      <c r="AG52" s="76">
        <f>Valores!$C$58</f>
        <v>325.89</v>
      </c>
      <c r="AH52" s="76">
        <f>Valores!$C$60</f>
        <v>93.11</v>
      </c>
      <c r="AI52" s="82">
        <f t="shared" si="7"/>
        <v>41179.0855</v>
      </c>
      <c r="AJ52" s="78">
        <f>Valores!$C$35</f>
        <v>599.19</v>
      </c>
      <c r="AK52" s="79">
        <f>Valores!$C$9</f>
        <v>0</v>
      </c>
      <c r="AL52" s="79">
        <f>Valores!$C$83</f>
        <v>2600</v>
      </c>
      <c r="AM52" s="81">
        <f>Valores!$C$51</f>
        <v>136.56</v>
      </c>
      <c r="AN52" s="83">
        <f t="shared" si="8"/>
        <v>3199.19</v>
      </c>
      <c r="AO52" s="84">
        <f>AI52*-Valores!$C$65</f>
        <v>-5353.281115000001</v>
      </c>
      <c r="AP52" s="84">
        <f>AI52*-Valores!$C$66</f>
        <v>-205.8954275</v>
      </c>
      <c r="AQ52" s="78">
        <f>AI52*-Valores!$C$67</f>
        <v>-1853.0588475</v>
      </c>
      <c r="AR52" s="78">
        <f>AI52*-Valores!$C$68</f>
        <v>-1111.8353085</v>
      </c>
      <c r="AS52" s="78">
        <f>AI52*-Valores!$C$69</f>
        <v>-123.53725650000001</v>
      </c>
      <c r="AT52" s="82">
        <f t="shared" si="4"/>
        <v>36966.04011000001</v>
      </c>
      <c r="AU52" s="82">
        <f t="shared" si="5"/>
        <v>37583.72639250001</v>
      </c>
      <c r="AV52" s="78">
        <f>AI52*Valores!$C$71</f>
        <v>6588.65368</v>
      </c>
      <c r="AW52" s="78">
        <f>AI52*Valores!$C$72</f>
        <v>1853.0588475</v>
      </c>
      <c r="AX52" s="78">
        <f>AI52*Valores!$C$73</f>
        <v>411.790855</v>
      </c>
      <c r="AY52" s="78">
        <f>AI52*Valores!$C$75</f>
        <v>1441.2679925000002</v>
      </c>
      <c r="AZ52" s="78">
        <f>AI52*Valores!$C$76</f>
        <v>247.07451300000002</v>
      </c>
      <c r="BA52" s="78">
        <f t="shared" si="9"/>
        <v>2223.670617</v>
      </c>
      <c r="BB52" s="52"/>
      <c r="BC52" s="52"/>
      <c r="BD52" s="28" t="s">
        <v>8</v>
      </c>
    </row>
    <row r="53" spans="1:56" s="28" customFormat="1" ht="11.25" customHeight="1">
      <c r="A53" s="52">
        <v>52</v>
      </c>
      <c r="B53" s="52"/>
      <c r="C53" s="28" t="s">
        <v>247</v>
      </c>
      <c r="E53" s="28">
        <f t="shared" si="0"/>
        <v>33</v>
      </c>
      <c r="F53" s="72" t="s">
        <v>248</v>
      </c>
      <c r="G53" s="73">
        <v>100</v>
      </c>
      <c r="H53" s="74">
        <f>INT((G53*Valores!$C$2*100)+0.5)/100</f>
        <v>663.24</v>
      </c>
      <c r="I53" s="75">
        <v>3360</v>
      </c>
      <c r="J53" s="76">
        <f>INT((I53*Valores!$C$2*100)+0.5)/100</f>
        <v>22284.86</v>
      </c>
      <c r="K53" s="103">
        <v>0</v>
      </c>
      <c r="L53" s="76">
        <f>INT((K53*Valores!$C$2*100)+0.5)/100</f>
        <v>0</v>
      </c>
      <c r="M53" s="101">
        <v>0</v>
      </c>
      <c r="N53" s="76">
        <f>INT((M53*Valores!$C$2*100)+0.5)/100</f>
        <v>0</v>
      </c>
      <c r="O53" s="76">
        <f t="shared" si="1"/>
        <v>4129.0335000000005</v>
      </c>
      <c r="P53" s="76">
        <f t="shared" si="2"/>
        <v>0</v>
      </c>
      <c r="Q53" s="78">
        <f>Valores!$C$16</f>
        <v>4291.62</v>
      </c>
      <c r="R53" s="78">
        <f>Valores!$D$4</f>
        <v>2966.67</v>
      </c>
      <c r="S53" s="102">
        <f>Valores!$C$26</f>
        <v>3094.03</v>
      </c>
      <c r="T53" s="107">
        <f>Valores!$C$43</f>
        <v>1839.54</v>
      </c>
      <c r="U53" s="76">
        <f>Valores!$C$23</f>
        <v>2739.25</v>
      </c>
      <c r="V53" s="76">
        <f t="shared" si="13"/>
        <v>2739.25</v>
      </c>
      <c r="W53" s="76">
        <v>0</v>
      </c>
      <c r="X53" s="76">
        <v>0</v>
      </c>
      <c r="Y53" s="80">
        <v>0</v>
      </c>
      <c r="Z53" s="76">
        <f>Y53*Valores!$C$2</f>
        <v>0</v>
      </c>
      <c r="AA53" s="76">
        <v>0</v>
      </c>
      <c r="AB53" s="81">
        <f>Valores!$C$29</f>
        <v>160.21</v>
      </c>
      <c r="AC53" s="76">
        <f t="shared" si="6"/>
        <v>0</v>
      </c>
      <c r="AD53" s="76">
        <f>Valores!$C$30</f>
        <v>160.21</v>
      </c>
      <c r="AE53" s="80">
        <v>0</v>
      </c>
      <c r="AF53" s="76">
        <f>INT(((AE53*Valores!$C$2)*100)+0.5)/100</f>
        <v>0</v>
      </c>
      <c r="AG53" s="76">
        <f>Valores!$C$58</f>
        <v>325.89</v>
      </c>
      <c r="AH53" s="76">
        <f>Valores!$C$60</f>
        <v>93.11</v>
      </c>
      <c r="AI53" s="82">
        <f t="shared" si="7"/>
        <v>42747.6635</v>
      </c>
      <c r="AJ53" s="78">
        <f>Valores!$C$35</f>
        <v>599.19</v>
      </c>
      <c r="AK53" s="79">
        <f>Valores!$C$9</f>
        <v>0</v>
      </c>
      <c r="AL53" s="79">
        <f>Valores!$C$83</f>
        <v>2600</v>
      </c>
      <c r="AM53" s="81">
        <f>Valores!$C$51</f>
        <v>136.56</v>
      </c>
      <c r="AN53" s="83">
        <f t="shared" si="8"/>
        <v>3199.19</v>
      </c>
      <c r="AO53" s="84">
        <f>AI53*-Valores!$C$65</f>
        <v>-5557.196255000001</v>
      </c>
      <c r="AP53" s="84">
        <f>AI53*-Valores!$C$66</f>
        <v>-213.73831750000002</v>
      </c>
      <c r="AQ53" s="78">
        <f>AI53*-Valores!$C$67</f>
        <v>-1923.6448575</v>
      </c>
      <c r="AR53" s="78">
        <f>AI53*-Valores!$C$68</f>
        <v>-1154.1869145</v>
      </c>
      <c r="AS53" s="78">
        <f>AI53*-Valores!$C$69</f>
        <v>-128.24299050000002</v>
      </c>
      <c r="AT53" s="82">
        <f t="shared" si="4"/>
        <v>38252.27407</v>
      </c>
      <c r="AU53" s="82">
        <f t="shared" si="5"/>
        <v>38893.4890225</v>
      </c>
      <c r="AV53" s="78">
        <f>AI53*Valores!$C$71</f>
        <v>6839.626160000001</v>
      </c>
      <c r="AW53" s="78">
        <f>AI53*Valores!$C$72</f>
        <v>1923.6448575</v>
      </c>
      <c r="AX53" s="78">
        <f>AI53*Valores!$C$73</f>
        <v>427.47663500000004</v>
      </c>
      <c r="AY53" s="78">
        <f>AI53*Valores!$C$75</f>
        <v>1496.1682225000002</v>
      </c>
      <c r="AZ53" s="78">
        <f>AI53*Valores!$C$76</f>
        <v>256.48598100000004</v>
      </c>
      <c r="BA53" s="78">
        <f t="shared" si="9"/>
        <v>2308.373829</v>
      </c>
      <c r="BB53" s="52"/>
      <c r="BC53" s="52"/>
      <c r="BD53" s="28" t="s">
        <v>4</v>
      </c>
    </row>
    <row r="54" spans="1:56" s="28" customFormat="1" ht="11.25" customHeight="1">
      <c r="A54" s="52">
        <v>53</v>
      </c>
      <c r="B54" s="52"/>
      <c r="C54" s="28" t="s">
        <v>249</v>
      </c>
      <c r="E54" s="28">
        <f t="shared" si="0"/>
        <v>25</v>
      </c>
      <c r="F54" s="72" t="s">
        <v>250</v>
      </c>
      <c r="G54" s="73">
        <v>98</v>
      </c>
      <c r="H54" s="74">
        <f>INT((G54*Valores!$C$2*100)+0.5)/100</f>
        <v>649.98</v>
      </c>
      <c r="I54" s="75">
        <v>2686</v>
      </c>
      <c r="J54" s="76">
        <f>INT((I54*Valores!$C$2*100)+0.5)/100</f>
        <v>17814.63</v>
      </c>
      <c r="K54" s="103">
        <v>0</v>
      </c>
      <c r="L54" s="76">
        <f>INT((K54*Valores!$C$2*100)+0.5)/100</f>
        <v>0</v>
      </c>
      <c r="M54" s="101">
        <v>0</v>
      </c>
      <c r="N54" s="76">
        <f>INT((M54*Valores!$C$2*100)+0.5)/100</f>
        <v>0</v>
      </c>
      <c r="O54" s="76">
        <f t="shared" si="1"/>
        <v>3364.5344999999998</v>
      </c>
      <c r="P54" s="76">
        <f t="shared" si="2"/>
        <v>0</v>
      </c>
      <c r="Q54" s="78">
        <f>Valores!$C$16</f>
        <v>4291.62</v>
      </c>
      <c r="R54" s="78">
        <f>Valores!$D$4</f>
        <v>2966.67</v>
      </c>
      <c r="S54" s="76">
        <f>Valores!$C$26</f>
        <v>3094.03</v>
      </c>
      <c r="T54" s="79">
        <f>Valores!$C$42</f>
        <v>1226.37</v>
      </c>
      <c r="U54" s="76">
        <f>Valores!$C$23</f>
        <v>2739.25</v>
      </c>
      <c r="V54" s="76">
        <f t="shared" si="13"/>
        <v>2739.25</v>
      </c>
      <c r="W54" s="76">
        <v>0</v>
      </c>
      <c r="X54" s="76">
        <v>0</v>
      </c>
      <c r="Y54" s="80">
        <v>0</v>
      </c>
      <c r="Z54" s="76">
        <f>Y54*Valores!$C$2</f>
        <v>0</v>
      </c>
      <c r="AA54" s="76">
        <v>0</v>
      </c>
      <c r="AB54" s="81">
        <f>Valores!$C$29</f>
        <v>160.21</v>
      </c>
      <c r="AC54" s="76">
        <f t="shared" si="6"/>
        <v>0</v>
      </c>
      <c r="AD54" s="76">
        <f>Valores!$C$30</f>
        <v>160.21</v>
      </c>
      <c r="AE54" s="80">
        <v>0</v>
      </c>
      <c r="AF54" s="76">
        <f>INT(((AE54*Valores!$C$2)*100)+0.5)/100</f>
        <v>0</v>
      </c>
      <c r="AG54" s="76">
        <f>Valores!$C$58</f>
        <v>325.89</v>
      </c>
      <c r="AH54" s="76">
        <f>Valores!$C$60</f>
        <v>93.11</v>
      </c>
      <c r="AI54" s="82">
        <f t="shared" si="7"/>
        <v>36886.5045</v>
      </c>
      <c r="AJ54" s="78">
        <f>Valores!$C$35</f>
        <v>599.19</v>
      </c>
      <c r="AK54" s="79">
        <f>Valores!$C$8</f>
        <v>0</v>
      </c>
      <c r="AL54" s="79">
        <f>Valores!$C$82</f>
        <v>1560</v>
      </c>
      <c r="AM54" s="81">
        <f>Valores!$C$51</f>
        <v>136.56</v>
      </c>
      <c r="AN54" s="83">
        <f t="shared" si="8"/>
        <v>2159.19</v>
      </c>
      <c r="AO54" s="84">
        <f>AI54*-Valores!$C$65</f>
        <v>-4795.245585000001</v>
      </c>
      <c r="AP54" s="84">
        <f>AI54*-Valores!$C$66</f>
        <v>-184.4325225</v>
      </c>
      <c r="AQ54" s="78">
        <f>AI54*-Valores!$C$67</f>
        <v>-1659.8927025</v>
      </c>
      <c r="AR54" s="78">
        <f>AI54*-Valores!$C$68</f>
        <v>-995.9356215</v>
      </c>
      <c r="AS54" s="78">
        <f>AI54*-Valores!$C$69</f>
        <v>-110.65951350000002</v>
      </c>
      <c r="AT54" s="82">
        <f t="shared" si="4"/>
        <v>32406.123690000004</v>
      </c>
      <c r="AU54" s="82">
        <f t="shared" si="5"/>
        <v>32959.421257500006</v>
      </c>
      <c r="AV54" s="78">
        <f>AI54*Valores!$C$71</f>
        <v>5901.84072</v>
      </c>
      <c r="AW54" s="78">
        <f>AI54*Valores!$C$72</f>
        <v>1659.8927025</v>
      </c>
      <c r="AX54" s="78">
        <f>AI54*Valores!$C$73</f>
        <v>368.865045</v>
      </c>
      <c r="AY54" s="78">
        <f>AI54*Valores!$C$75</f>
        <v>1291.0276575000003</v>
      </c>
      <c r="AZ54" s="78">
        <f>AI54*Valores!$C$76</f>
        <v>221.31902700000003</v>
      </c>
      <c r="BA54" s="78">
        <f t="shared" si="9"/>
        <v>1991.8712430000003</v>
      </c>
      <c r="BB54" s="52"/>
      <c r="BC54" s="52">
        <v>30</v>
      </c>
      <c r="BD54" s="28" t="s">
        <v>4</v>
      </c>
    </row>
    <row r="55" spans="1:56" s="28" customFormat="1" ht="11.25" customHeight="1">
      <c r="A55" s="52">
        <v>54</v>
      </c>
      <c r="B55" s="52"/>
      <c r="C55" s="28" t="s">
        <v>251</v>
      </c>
      <c r="E55" s="28">
        <f t="shared" si="0"/>
        <v>28</v>
      </c>
      <c r="F55" s="72" t="s">
        <v>252</v>
      </c>
      <c r="G55" s="73">
        <v>94</v>
      </c>
      <c r="H55" s="74">
        <f>INT((G55*Valores!$C$2*100)+0.5)/100</f>
        <v>623.45</v>
      </c>
      <c r="I55" s="75">
        <v>2690</v>
      </c>
      <c r="J55" s="76">
        <f>INT((I55*Valores!$C$2*100)+0.5)/100</f>
        <v>17841.16</v>
      </c>
      <c r="K55" s="103">
        <v>0</v>
      </c>
      <c r="L55" s="76">
        <f>INT((K55*Valores!$C$2*100)+0.5)/100</f>
        <v>0</v>
      </c>
      <c r="M55" s="101">
        <v>0</v>
      </c>
      <c r="N55" s="76">
        <f>INT((M55*Valores!$C$2*100)+0.5)/100</f>
        <v>0</v>
      </c>
      <c r="O55" s="76">
        <f t="shared" si="1"/>
        <v>3364.5344999999998</v>
      </c>
      <c r="P55" s="76">
        <f t="shared" si="2"/>
        <v>0</v>
      </c>
      <c r="Q55" s="78">
        <f>Valores!$C$16</f>
        <v>4291.62</v>
      </c>
      <c r="R55" s="78">
        <f>Valores!$D$4</f>
        <v>2966.67</v>
      </c>
      <c r="S55" s="102">
        <f>Valores!$C$26</f>
        <v>3094.03</v>
      </c>
      <c r="T55" s="107">
        <f>Valores!$C$42</f>
        <v>1226.37</v>
      </c>
      <c r="U55" s="76">
        <f>Valores!$C$23</f>
        <v>2739.25</v>
      </c>
      <c r="V55" s="76">
        <f t="shared" si="13"/>
        <v>2739.25</v>
      </c>
      <c r="W55" s="76">
        <v>0</v>
      </c>
      <c r="X55" s="76">
        <v>0</v>
      </c>
      <c r="Y55" s="80">
        <v>0</v>
      </c>
      <c r="Z55" s="76">
        <f>Y55*Valores!$C$2</f>
        <v>0</v>
      </c>
      <c r="AA55" s="76">
        <v>0</v>
      </c>
      <c r="AB55" s="81">
        <f>Valores!$C$29</f>
        <v>160.21</v>
      </c>
      <c r="AC55" s="76">
        <f t="shared" si="6"/>
        <v>0</v>
      </c>
      <c r="AD55" s="76">
        <f>Valores!$C$30</f>
        <v>160.21</v>
      </c>
      <c r="AE55" s="80">
        <v>94</v>
      </c>
      <c r="AF55" s="76">
        <f>INT(((AE55*Valores!$C$2)*100)+0.5)/100</f>
        <v>623.45</v>
      </c>
      <c r="AG55" s="76">
        <f>Valores!$C$58</f>
        <v>325.89</v>
      </c>
      <c r="AH55" s="76">
        <f>Valores!$C$60</f>
        <v>93.11</v>
      </c>
      <c r="AI55" s="82">
        <f t="shared" si="7"/>
        <v>37509.9545</v>
      </c>
      <c r="AJ55" s="78">
        <f>Valores!$C$35</f>
        <v>599.19</v>
      </c>
      <c r="AK55" s="79">
        <f>Valores!$C$8</f>
        <v>0</v>
      </c>
      <c r="AL55" s="79">
        <f>Valores!$C$82</f>
        <v>1560</v>
      </c>
      <c r="AM55" s="81">
        <f>Valores!$C$51</f>
        <v>136.56</v>
      </c>
      <c r="AN55" s="83">
        <f t="shared" si="8"/>
        <v>2159.19</v>
      </c>
      <c r="AO55" s="84">
        <f>AI55*-Valores!$C$65</f>
        <v>-4876.294085</v>
      </c>
      <c r="AP55" s="84">
        <f>AI55*-Valores!$C$66</f>
        <v>-187.5497725</v>
      </c>
      <c r="AQ55" s="78">
        <f>AI55*-Valores!$C$67</f>
        <v>-1687.9479525</v>
      </c>
      <c r="AR55" s="78">
        <f>AI55*-Valores!$C$68</f>
        <v>-1012.7687715</v>
      </c>
      <c r="AS55" s="78">
        <f>AI55*-Valores!$C$69</f>
        <v>-112.5298635</v>
      </c>
      <c r="AT55" s="82">
        <f t="shared" si="4"/>
        <v>32917.35269</v>
      </c>
      <c r="AU55" s="82">
        <f t="shared" si="5"/>
        <v>33480.0020075</v>
      </c>
      <c r="AV55" s="78">
        <f>AI55*Valores!$C$71</f>
        <v>6001.59272</v>
      </c>
      <c r="AW55" s="78">
        <f>AI55*Valores!$C$72</f>
        <v>1687.9479525</v>
      </c>
      <c r="AX55" s="78">
        <f>AI55*Valores!$C$73</f>
        <v>375.099545</v>
      </c>
      <c r="AY55" s="78">
        <f>AI55*Valores!$C$75</f>
        <v>1312.8484075000001</v>
      </c>
      <c r="AZ55" s="78">
        <f>AI55*Valores!$C$76</f>
        <v>225.059727</v>
      </c>
      <c r="BA55" s="78">
        <f t="shared" si="9"/>
        <v>2025.537543</v>
      </c>
      <c r="BB55" s="52"/>
      <c r="BC55" s="52">
        <v>25</v>
      </c>
      <c r="BD55" s="28" t="s">
        <v>4</v>
      </c>
    </row>
    <row r="56" spans="1:56" s="28" customFormat="1" ht="11.25" customHeight="1">
      <c r="A56" s="86">
        <v>55</v>
      </c>
      <c r="B56" s="86" t="s">
        <v>163</v>
      </c>
      <c r="C56" s="87" t="s">
        <v>253</v>
      </c>
      <c r="D56" s="87"/>
      <c r="E56" s="87">
        <f t="shared" si="0"/>
        <v>25</v>
      </c>
      <c r="F56" s="88" t="s">
        <v>254</v>
      </c>
      <c r="G56" s="89">
        <v>93</v>
      </c>
      <c r="H56" s="90">
        <f>INT((G56*Valores!$C$2*100)+0.5)/100</f>
        <v>616.81</v>
      </c>
      <c r="I56" s="91">
        <v>2547</v>
      </c>
      <c r="J56" s="92">
        <f>INT((I56*Valores!$C$2*100)+0.5)/100</f>
        <v>16892.72</v>
      </c>
      <c r="K56" s="105">
        <v>0</v>
      </c>
      <c r="L56" s="92">
        <f>INT((K56*Valores!$C$2*100)+0.5)/100</f>
        <v>0</v>
      </c>
      <c r="M56" s="106">
        <v>0</v>
      </c>
      <c r="N56" s="92">
        <f>INT((M56*Valores!$C$2*100)+0.5)/100</f>
        <v>0</v>
      </c>
      <c r="O56" s="92">
        <f t="shared" si="1"/>
        <v>3221.2725</v>
      </c>
      <c r="P56" s="92">
        <f t="shared" si="2"/>
        <v>0</v>
      </c>
      <c r="Q56" s="94">
        <f>Valores!$C$16</f>
        <v>4291.62</v>
      </c>
      <c r="R56" s="94">
        <f>Valores!$D$4</f>
        <v>2966.67</v>
      </c>
      <c r="S56" s="108">
        <f>Valores!$C$26</f>
        <v>3094.03</v>
      </c>
      <c r="T56" s="109">
        <f>Valores!$C$42</f>
        <v>1226.37</v>
      </c>
      <c r="U56" s="92">
        <f>Valores!$C$23</f>
        <v>2739.25</v>
      </c>
      <c r="V56" s="92">
        <f t="shared" si="13"/>
        <v>2739.25</v>
      </c>
      <c r="W56" s="92">
        <v>0</v>
      </c>
      <c r="X56" s="92">
        <v>0</v>
      </c>
      <c r="Y56" s="96">
        <v>0</v>
      </c>
      <c r="Z56" s="92">
        <f>Y56*Valores!$C$2</f>
        <v>0</v>
      </c>
      <c r="AA56" s="92">
        <v>0</v>
      </c>
      <c r="AB56" s="97">
        <f>Valores!$C$29</f>
        <v>160.21</v>
      </c>
      <c r="AC56" s="92">
        <f t="shared" si="6"/>
        <v>0</v>
      </c>
      <c r="AD56" s="92">
        <f>Valores!$C$30</f>
        <v>160.21</v>
      </c>
      <c r="AE56" s="96">
        <v>0</v>
      </c>
      <c r="AF56" s="92">
        <f>INT(((AE56*Valores!$C$2)*100)+0.5)/100</f>
        <v>0</v>
      </c>
      <c r="AG56" s="92">
        <f>Valores!$C$58</f>
        <v>325.89</v>
      </c>
      <c r="AH56" s="92">
        <f>Valores!$C$60</f>
        <v>93.11</v>
      </c>
      <c r="AI56" s="98">
        <f t="shared" si="7"/>
        <v>35788.1625</v>
      </c>
      <c r="AJ56" s="94">
        <f>Valores!$C$35</f>
        <v>599.19</v>
      </c>
      <c r="AK56" s="95">
        <f>Valores!$C$8</f>
        <v>0</v>
      </c>
      <c r="AL56" s="95">
        <f>Valores!$C$82</f>
        <v>1560</v>
      </c>
      <c r="AM56" s="97">
        <f>Valores!$C$51</f>
        <v>136.56</v>
      </c>
      <c r="AN56" s="99">
        <f t="shared" si="8"/>
        <v>2159.19</v>
      </c>
      <c r="AO56" s="100">
        <f>AI56*-Valores!$C$65</f>
        <v>-4652.461125</v>
      </c>
      <c r="AP56" s="100">
        <f>AI56*-Valores!$C$66</f>
        <v>-178.9408125</v>
      </c>
      <c r="AQ56" s="94">
        <f>AI56*-Valores!$C$67</f>
        <v>-1610.4673125</v>
      </c>
      <c r="AR56" s="94">
        <f>AI56*-Valores!$C$68</f>
        <v>-966.2803875</v>
      </c>
      <c r="AS56" s="94">
        <f>AI56*-Valores!$C$69</f>
        <v>-107.3644875</v>
      </c>
      <c r="AT56" s="98">
        <f t="shared" si="4"/>
        <v>31505.483250000005</v>
      </c>
      <c r="AU56" s="98">
        <f t="shared" si="5"/>
        <v>32042.3056875</v>
      </c>
      <c r="AV56" s="94">
        <f>AI56*Valores!$C$71</f>
        <v>5726.106</v>
      </c>
      <c r="AW56" s="94">
        <f>AI56*Valores!$C$72</f>
        <v>1610.4673125</v>
      </c>
      <c r="AX56" s="94">
        <f>AI56*Valores!$C$73</f>
        <v>357.881625</v>
      </c>
      <c r="AY56" s="94">
        <f>AI56*Valores!$C$75</f>
        <v>1252.5856875000002</v>
      </c>
      <c r="AZ56" s="94">
        <f>AI56*Valores!$C$76</f>
        <v>214.728975</v>
      </c>
      <c r="BA56" s="94">
        <f t="shared" si="9"/>
        <v>1932.5607750000001</v>
      </c>
      <c r="BB56" s="86"/>
      <c r="BC56" s="86">
        <v>30</v>
      </c>
      <c r="BD56" s="87" t="s">
        <v>4</v>
      </c>
    </row>
    <row r="57" spans="1:56" s="28" customFormat="1" ht="11.25" customHeight="1">
      <c r="A57" s="52">
        <v>56</v>
      </c>
      <c r="B57" s="52"/>
      <c r="C57" s="28" t="s">
        <v>255</v>
      </c>
      <c r="E57" s="28">
        <f t="shared" si="0"/>
        <v>28</v>
      </c>
      <c r="F57" s="72" t="s">
        <v>256</v>
      </c>
      <c r="G57" s="73">
        <v>89</v>
      </c>
      <c r="H57" s="74">
        <f>INT((G57*Valores!$C$2*100)+0.5)/100</f>
        <v>590.28</v>
      </c>
      <c r="I57" s="75">
        <v>2551</v>
      </c>
      <c r="J57" s="76">
        <f>INT((I57*Valores!$C$2*100)+0.5)/100</f>
        <v>16919.25</v>
      </c>
      <c r="K57" s="103">
        <v>0</v>
      </c>
      <c r="L57" s="76">
        <f>INT((K57*Valores!$C$2*100)+0.5)/100</f>
        <v>0</v>
      </c>
      <c r="M57" s="101">
        <v>0</v>
      </c>
      <c r="N57" s="76">
        <f>INT((M57*Valores!$C$2*100)+0.5)/100</f>
        <v>0</v>
      </c>
      <c r="O57" s="76">
        <f t="shared" si="1"/>
        <v>3221.2724999999996</v>
      </c>
      <c r="P57" s="76">
        <f t="shared" si="2"/>
        <v>0</v>
      </c>
      <c r="Q57" s="78">
        <f>Valores!$C$16</f>
        <v>4291.62</v>
      </c>
      <c r="R57" s="78">
        <f>Valores!$D$4</f>
        <v>2966.67</v>
      </c>
      <c r="S57" s="102">
        <f>Valores!$C$26</f>
        <v>3094.03</v>
      </c>
      <c r="T57" s="107">
        <f>Valores!$C$42</f>
        <v>1226.37</v>
      </c>
      <c r="U57" s="76">
        <f>Valores!$C$23</f>
        <v>2739.25</v>
      </c>
      <c r="V57" s="76">
        <f t="shared" si="13"/>
        <v>2739.25</v>
      </c>
      <c r="W57" s="76">
        <v>0</v>
      </c>
      <c r="X57" s="76">
        <v>0</v>
      </c>
      <c r="Y57" s="80">
        <v>0</v>
      </c>
      <c r="Z57" s="76">
        <f>Y57*Valores!$C$2</f>
        <v>0</v>
      </c>
      <c r="AA57" s="76">
        <v>0</v>
      </c>
      <c r="AB57" s="81">
        <f>Valores!$C$29</f>
        <v>160.21</v>
      </c>
      <c r="AC57" s="76">
        <f t="shared" si="6"/>
        <v>0</v>
      </c>
      <c r="AD57" s="76">
        <f>Valores!$C$30</f>
        <v>160.21</v>
      </c>
      <c r="AE57" s="80">
        <v>94</v>
      </c>
      <c r="AF57" s="76">
        <f>INT(((AE57*Valores!$C$2)*100)+0.5)/100</f>
        <v>623.45</v>
      </c>
      <c r="AG57" s="76">
        <f>Valores!$C$58</f>
        <v>325.89</v>
      </c>
      <c r="AH57" s="76">
        <f>Valores!$C$60</f>
        <v>93.11</v>
      </c>
      <c r="AI57" s="82">
        <f t="shared" si="7"/>
        <v>36411.612499999996</v>
      </c>
      <c r="AJ57" s="78">
        <f>Valores!$C$35</f>
        <v>599.19</v>
      </c>
      <c r="AK57" s="79">
        <f>Valores!$C$8</f>
        <v>0</v>
      </c>
      <c r="AL57" s="79">
        <f>Valores!$C$82</f>
        <v>1560</v>
      </c>
      <c r="AM57" s="81">
        <f>Valores!$C$51</f>
        <v>136.56</v>
      </c>
      <c r="AN57" s="83">
        <f t="shared" si="8"/>
        <v>2159.19</v>
      </c>
      <c r="AO57" s="84">
        <f>AI57*-Valores!$C$65</f>
        <v>-4733.509625</v>
      </c>
      <c r="AP57" s="84">
        <f>AI57*-Valores!$C$66</f>
        <v>-182.05806249999998</v>
      </c>
      <c r="AQ57" s="78">
        <f>AI57*-Valores!$C$67</f>
        <v>-1638.5225624999998</v>
      </c>
      <c r="AR57" s="78">
        <f>AI57*-Valores!$C$68</f>
        <v>-983.1135374999999</v>
      </c>
      <c r="AS57" s="78">
        <f>AI57*-Valores!$C$69</f>
        <v>-109.23483749999998</v>
      </c>
      <c r="AT57" s="82">
        <f t="shared" si="4"/>
        <v>32016.712249999997</v>
      </c>
      <c r="AU57" s="82">
        <f t="shared" si="5"/>
        <v>32562.886437499998</v>
      </c>
      <c r="AV57" s="78">
        <f>AI57*Valores!$C$71</f>
        <v>5825.857999999999</v>
      </c>
      <c r="AW57" s="78">
        <f>AI57*Valores!$C$72</f>
        <v>1638.5225624999998</v>
      </c>
      <c r="AX57" s="78">
        <f>AI57*Valores!$C$73</f>
        <v>364.11612499999995</v>
      </c>
      <c r="AY57" s="78">
        <f>AI57*Valores!$C$75</f>
        <v>1274.4064375</v>
      </c>
      <c r="AZ57" s="78">
        <f>AI57*Valores!$C$76</f>
        <v>218.46967499999997</v>
      </c>
      <c r="BA57" s="78">
        <f t="shared" si="9"/>
        <v>1966.2270749999998</v>
      </c>
      <c r="BB57" s="52"/>
      <c r="BC57" s="52">
        <v>25</v>
      </c>
      <c r="BD57" s="28" t="s">
        <v>4</v>
      </c>
    </row>
    <row r="58" spans="1:56" s="28" customFormat="1" ht="11.25" customHeight="1">
      <c r="A58" s="52">
        <v>57</v>
      </c>
      <c r="B58" s="52"/>
      <c r="C58" s="28" t="s">
        <v>257</v>
      </c>
      <c r="E58" s="28">
        <f t="shared" si="0"/>
        <v>25</v>
      </c>
      <c r="F58" s="72" t="s">
        <v>258</v>
      </c>
      <c r="G58" s="73">
        <v>89</v>
      </c>
      <c r="H58" s="74">
        <f>INT((G58*Valores!$C$2*100)+0.5)/100</f>
        <v>590.28</v>
      </c>
      <c r="I58" s="75">
        <v>2251</v>
      </c>
      <c r="J58" s="76">
        <f>INT((I58*Valores!$C$2*100)+0.5)/100</f>
        <v>14929.53</v>
      </c>
      <c r="K58" s="103">
        <v>0</v>
      </c>
      <c r="L58" s="76">
        <f>INT((K58*Valores!$C$2*100)+0.5)/100</f>
        <v>0</v>
      </c>
      <c r="M58" s="101">
        <v>0</v>
      </c>
      <c r="N58" s="76">
        <f>INT((M58*Valores!$C$2*100)+0.5)/100</f>
        <v>0</v>
      </c>
      <c r="O58" s="76">
        <f t="shared" si="1"/>
        <v>2922.8145</v>
      </c>
      <c r="P58" s="76">
        <f t="shared" si="2"/>
        <v>0</v>
      </c>
      <c r="Q58" s="78">
        <f>Valores!$C$16</f>
        <v>4291.62</v>
      </c>
      <c r="R58" s="78">
        <f>Valores!$D$4</f>
        <v>2966.67</v>
      </c>
      <c r="S58" s="102">
        <f>Valores!$C$26</f>
        <v>3094.03</v>
      </c>
      <c r="T58" s="107">
        <f>Valores!$C$42</f>
        <v>1226.37</v>
      </c>
      <c r="U58" s="76">
        <f>Valores!$C$23</f>
        <v>2739.25</v>
      </c>
      <c r="V58" s="76">
        <f t="shared" si="13"/>
        <v>2739.25</v>
      </c>
      <c r="W58" s="76">
        <v>0</v>
      </c>
      <c r="X58" s="76">
        <v>0</v>
      </c>
      <c r="Y58" s="80">
        <v>0</v>
      </c>
      <c r="Z58" s="76">
        <f>Y58*Valores!$C$2</f>
        <v>0</v>
      </c>
      <c r="AA58" s="76">
        <v>0</v>
      </c>
      <c r="AB58" s="81">
        <f>Valores!$C$29</f>
        <v>160.21</v>
      </c>
      <c r="AC58" s="76">
        <f t="shared" si="6"/>
        <v>0</v>
      </c>
      <c r="AD58" s="76">
        <f>Valores!$C$30</f>
        <v>160.21</v>
      </c>
      <c r="AE58" s="80">
        <v>0</v>
      </c>
      <c r="AF58" s="76">
        <f>INT(((AE58*Valores!$C$2)*100)+0.5)/100</f>
        <v>0</v>
      </c>
      <c r="AG58" s="76">
        <f>Valores!$C$58</f>
        <v>325.89</v>
      </c>
      <c r="AH58" s="76">
        <f>Valores!$C$60</f>
        <v>93.11</v>
      </c>
      <c r="AI58" s="82">
        <f t="shared" si="7"/>
        <v>33499.9845</v>
      </c>
      <c r="AJ58" s="78">
        <f>Valores!$C$35</f>
        <v>599.19</v>
      </c>
      <c r="AK58" s="79">
        <f>Valores!$C$8</f>
        <v>0</v>
      </c>
      <c r="AL58" s="79">
        <f>Valores!$C$82</f>
        <v>1560</v>
      </c>
      <c r="AM58" s="81">
        <f>Valores!$C$51</f>
        <v>136.56</v>
      </c>
      <c r="AN58" s="83">
        <f t="shared" si="8"/>
        <v>2159.19</v>
      </c>
      <c r="AO58" s="84">
        <f>AI58*-Valores!$C$65</f>
        <v>-4354.997985</v>
      </c>
      <c r="AP58" s="84">
        <f>AI58*-Valores!$C$66</f>
        <v>-167.4999225</v>
      </c>
      <c r="AQ58" s="78">
        <f>AI58*-Valores!$C$67</f>
        <v>-1507.4993024999999</v>
      </c>
      <c r="AR58" s="78">
        <f>AI58*-Valores!$C$68</f>
        <v>-904.4995815</v>
      </c>
      <c r="AS58" s="78">
        <f>AI58*-Valores!$C$69</f>
        <v>-100.4999535</v>
      </c>
      <c r="AT58" s="82">
        <f t="shared" si="4"/>
        <v>29629.17729</v>
      </c>
      <c r="AU58" s="82">
        <f t="shared" si="5"/>
        <v>30131.6770575</v>
      </c>
      <c r="AV58" s="78">
        <f>AI58*Valores!$C$71</f>
        <v>5359.99752</v>
      </c>
      <c r="AW58" s="78">
        <f>AI58*Valores!$C$72</f>
        <v>1507.4993024999999</v>
      </c>
      <c r="AX58" s="78">
        <f>AI58*Valores!$C$73</f>
        <v>334.999845</v>
      </c>
      <c r="AY58" s="78">
        <f>AI58*Valores!$C$75</f>
        <v>1172.4994575</v>
      </c>
      <c r="AZ58" s="78">
        <f>AI58*Valores!$C$76</f>
        <v>200.999907</v>
      </c>
      <c r="BA58" s="78">
        <f t="shared" si="9"/>
        <v>1808.9991630000002</v>
      </c>
      <c r="BB58" s="52"/>
      <c r="BC58" s="52">
        <v>30</v>
      </c>
      <c r="BD58" s="28" t="s">
        <v>4</v>
      </c>
    </row>
    <row r="59" spans="1:56" s="28" customFormat="1" ht="11.25" customHeight="1">
      <c r="A59" s="52">
        <v>58</v>
      </c>
      <c r="B59" s="52"/>
      <c r="C59" s="28" t="s">
        <v>259</v>
      </c>
      <c r="E59" s="28">
        <f t="shared" si="0"/>
        <v>28</v>
      </c>
      <c r="F59" s="72" t="s">
        <v>260</v>
      </c>
      <c r="G59" s="73">
        <v>85</v>
      </c>
      <c r="H59" s="74">
        <f>INT((G59*Valores!$C$2*100)+0.5)/100</f>
        <v>563.75</v>
      </c>
      <c r="I59" s="75">
        <v>2255</v>
      </c>
      <c r="J59" s="76">
        <f>INT((I59*Valores!$C$2*100)+0.5)/100</f>
        <v>14956.06</v>
      </c>
      <c r="K59" s="103">
        <v>0</v>
      </c>
      <c r="L59" s="76">
        <f>INT((K59*Valores!$C$2*100)+0.5)/100</f>
        <v>0</v>
      </c>
      <c r="M59" s="101">
        <v>0</v>
      </c>
      <c r="N59" s="76">
        <f>INT((M59*Valores!$C$2*100)+0.5)/100</f>
        <v>0</v>
      </c>
      <c r="O59" s="76">
        <f t="shared" si="1"/>
        <v>2922.8144999999995</v>
      </c>
      <c r="P59" s="76">
        <f t="shared" si="2"/>
        <v>0</v>
      </c>
      <c r="Q59" s="78">
        <f>Valores!$C$16</f>
        <v>4291.62</v>
      </c>
      <c r="R59" s="78">
        <f>Valores!$D$4</f>
        <v>2966.67</v>
      </c>
      <c r="S59" s="76">
        <f>Valores!$C$26</f>
        <v>3094.03</v>
      </c>
      <c r="T59" s="79">
        <f>Valores!$C$42</f>
        <v>1226.37</v>
      </c>
      <c r="U59" s="76">
        <f>Valores!$C$23</f>
        <v>2739.25</v>
      </c>
      <c r="V59" s="76">
        <f t="shared" si="13"/>
        <v>2739.25</v>
      </c>
      <c r="W59" s="76">
        <v>0</v>
      </c>
      <c r="X59" s="76">
        <v>0</v>
      </c>
      <c r="Y59" s="80">
        <v>0</v>
      </c>
      <c r="Z59" s="76">
        <f>Y59*Valores!$C$2</f>
        <v>0</v>
      </c>
      <c r="AA59" s="76">
        <v>0</v>
      </c>
      <c r="AB59" s="81">
        <f>Valores!$C$29</f>
        <v>160.21</v>
      </c>
      <c r="AC59" s="76">
        <f t="shared" si="6"/>
        <v>0</v>
      </c>
      <c r="AD59" s="76">
        <f>Valores!$C$30</f>
        <v>160.21</v>
      </c>
      <c r="AE59" s="80">
        <v>94</v>
      </c>
      <c r="AF59" s="76">
        <f>INT(((AE59*Valores!$C$2)*100)+0.5)/100</f>
        <v>623.45</v>
      </c>
      <c r="AG59" s="76">
        <f>Valores!$C$58</f>
        <v>325.89</v>
      </c>
      <c r="AH59" s="76">
        <f>Valores!$C$60</f>
        <v>93.11</v>
      </c>
      <c r="AI59" s="82">
        <f t="shared" si="7"/>
        <v>34123.434499999996</v>
      </c>
      <c r="AJ59" s="78">
        <f>Valores!$C$35</f>
        <v>599.19</v>
      </c>
      <c r="AK59" s="79">
        <f>Valores!$C$8</f>
        <v>0</v>
      </c>
      <c r="AL59" s="79">
        <f>Valores!$C$82</f>
        <v>1560</v>
      </c>
      <c r="AM59" s="81">
        <f>Valores!$C$51</f>
        <v>136.56</v>
      </c>
      <c r="AN59" s="83">
        <f t="shared" si="8"/>
        <v>2159.19</v>
      </c>
      <c r="AO59" s="84">
        <f>AI59*-Valores!$C$65</f>
        <v>-4436.046485</v>
      </c>
      <c r="AP59" s="84">
        <f>AI59*-Valores!$C$66</f>
        <v>-170.61717249999998</v>
      </c>
      <c r="AQ59" s="78">
        <f>AI59*-Valores!$C$67</f>
        <v>-1535.5545524999998</v>
      </c>
      <c r="AR59" s="78">
        <f>AI59*-Valores!$C$68</f>
        <v>-921.3327314999999</v>
      </c>
      <c r="AS59" s="78">
        <f>AI59*-Valores!$C$69</f>
        <v>-102.37030349999999</v>
      </c>
      <c r="AT59" s="82">
        <f t="shared" si="4"/>
        <v>30140.40629</v>
      </c>
      <c r="AU59" s="82">
        <f t="shared" si="5"/>
        <v>30652.2578075</v>
      </c>
      <c r="AV59" s="78">
        <f>AI59*Valores!$C$71</f>
        <v>5459.749519999999</v>
      </c>
      <c r="AW59" s="78">
        <f>AI59*Valores!$C$72</f>
        <v>1535.5545524999998</v>
      </c>
      <c r="AX59" s="78">
        <f>AI59*Valores!$C$73</f>
        <v>341.23434499999996</v>
      </c>
      <c r="AY59" s="78">
        <f>AI59*Valores!$C$75</f>
        <v>1194.3202075</v>
      </c>
      <c r="AZ59" s="78">
        <f>AI59*Valores!$C$76</f>
        <v>204.74060699999998</v>
      </c>
      <c r="BA59" s="78">
        <f t="shared" si="9"/>
        <v>1842.6654629999998</v>
      </c>
      <c r="BB59" s="52"/>
      <c r="BC59" s="52">
        <v>25</v>
      </c>
      <c r="BD59" s="28" t="s">
        <v>4</v>
      </c>
    </row>
    <row r="60" spans="1:56" s="28" customFormat="1" ht="11.25" customHeight="1">
      <c r="A60" s="52">
        <v>59</v>
      </c>
      <c r="B60" s="52"/>
      <c r="C60" s="28" t="s">
        <v>261</v>
      </c>
      <c r="E60" s="28">
        <f t="shared" si="0"/>
        <v>33</v>
      </c>
      <c r="F60" s="72" t="s">
        <v>262</v>
      </c>
      <c r="G60" s="73">
        <v>100</v>
      </c>
      <c r="H60" s="74">
        <f>INT((G60*Valores!$C$2*100)+0.5)/100</f>
        <v>663.24</v>
      </c>
      <c r="I60" s="75">
        <v>3180</v>
      </c>
      <c r="J60" s="76">
        <f>INT((I60*Valores!$C$2*100)+0.5)/100</f>
        <v>21091.03</v>
      </c>
      <c r="K60" s="103">
        <v>0</v>
      </c>
      <c r="L60" s="76">
        <f>INT((K60*Valores!$C$2*100)+0.5)/100</f>
        <v>0</v>
      </c>
      <c r="M60" s="101">
        <v>0</v>
      </c>
      <c r="N60" s="76">
        <f>INT((M60*Valores!$C$2*100)+0.5)/100</f>
        <v>0</v>
      </c>
      <c r="O60" s="76">
        <f t="shared" si="1"/>
        <v>3949.959</v>
      </c>
      <c r="P60" s="76">
        <f t="shared" si="2"/>
        <v>0</v>
      </c>
      <c r="Q60" s="78">
        <f>Valores!$C$16</f>
        <v>4291.62</v>
      </c>
      <c r="R60" s="78">
        <f>Valores!$D$4</f>
        <v>2966.67</v>
      </c>
      <c r="S60" s="102">
        <f>Valores!$C$26</f>
        <v>3094.03</v>
      </c>
      <c r="T60" s="107">
        <f>Valores!$C$43</f>
        <v>1839.54</v>
      </c>
      <c r="U60" s="76">
        <f>Valores!$C$23</f>
        <v>2739.25</v>
      </c>
      <c r="V60" s="76">
        <f t="shared" si="13"/>
        <v>2739.25</v>
      </c>
      <c r="W60" s="76">
        <v>0</v>
      </c>
      <c r="X60" s="76">
        <v>0</v>
      </c>
      <c r="Y60" s="80">
        <v>0</v>
      </c>
      <c r="Z60" s="76">
        <f>Y60*Valores!$C$2</f>
        <v>0</v>
      </c>
      <c r="AA60" s="76">
        <v>0</v>
      </c>
      <c r="AB60" s="81">
        <f>Valores!$C$29</f>
        <v>160.21</v>
      </c>
      <c r="AC60" s="76">
        <f t="shared" si="6"/>
        <v>0</v>
      </c>
      <c r="AD60" s="76">
        <f>Valores!$C$30</f>
        <v>160.21</v>
      </c>
      <c r="AE60" s="80">
        <v>0</v>
      </c>
      <c r="AF60" s="76">
        <f>INT(((AE60*Valores!$C$2)*100)+0.5)/100</f>
        <v>0</v>
      </c>
      <c r="AG60" s="76">
        <f>Valores!$C$58</f>
        <v>325.89</v>
      </c>
      <c r="AH60" s="76">
        <f>Valores!$C$60</f>
        <v>93.11</v>
      </c>
      <c r="AI60" s="82">
        <f t="shared" si="7"/>
        <v>41374.759</v>
      </c>
      <c r="AJ60" s="78">
        <f>Valores!$C$35</f>
        <v>599.19</v>
      </c>
      <c r="AK60" s="79">
        <f>Valores!$C$9</f>
        <v>0</v>
      </c>
      <c r="AL60" s="79">
        <f>Valores!$C$82</f>
        <v>1560</v>
      </c>
      <c r="AM60" s="81">
        <f>Valores!$C$51</f>
        <v>136.56</v>
      </c>
      <c r="AN60" s="83">
        <f t="shared" si="8"/>
        <v>2159.19</v>
      </c>
      <c r="AO60" s="84">
        <f>AI60*-Valores!$C$65</f>
        <v>-5378.71867</v>
      </c>
      <c r="AP60" s="84">
        <f>AI60*-Valores!$C$66</f>
        <v>-206.873795</v>
      </c>
      <c r="AQ60" s="78">
        <f>AI60*-Valores!$C$67</f>
        <v>-1861.8641549999998</v>
      </c>
      <c r="AR60" s="78">
        <f>AI60*-Valores!$C$68</f>
        <v>-1117.118493</v>
      </c>
      <c r="AS60" s="78">
        <f>AI60*-Valores!$C$69</f>
        <v>-124.12427699999999</v>
      </c>
      <c r="AT60" s="82">
        <f t="shared" si="4"/>
        <v>36086.492379999996</v>
      </c>
      <c r="AU60" s="82">
        <f t="shared" si="5"/>
        <v>36707.113764999995</v>
      </c>
      <c r="AV60" s="78">
        <f>AI60*Valores!$C$71</f>
        <v>6619.96144</v>
      </c>
      <c r="AW60" s="78">
        <f>AI60*Valores!$C$72</f>
        <v>1861.8641549999998</v>
      </c>
      <c r="AX60" s="78">
        <f>AI60*Valores!$C$73</f>
        <v>413.74759</v>
      </c>
      <c r="AY60" s="78">
        <f>AI60*Valores!$C$75</f>
        <v>1448.116565</v>
      </c>
      <c r="AZ60" s="78">
        <f>AI60*Valores!$C$76</f>
        <v>248.24855399999998</v>
      </c>
      <c r="BA60" s="78">
        <f t="shared" si="9"/>
        <v>2234.236986</v>
      </c>
      <c r="BB60" s="52"/>
      <c r="BC60" s="52"/>
      <c r="BD60" s="28" t="s">
        <v>4</v>
      </c>
    </row>
    <row r="61" spans="1:56" s="28" customFormat="1" ht="11.25" customHeight="1">
      <c r="A61" s="86">
        <v>60</v>
      </c>
      <c r="B61" s="86" t="s">
        <v>163</v>
      </c>
      <c r="C61" s="87" t="s">
        <v>263</v>
      </c>
      <c r="D61" s="87"/>
      <c r="E61" s="87">
        <f t="shared" si="0"/>
        <v>30</v>
      </c>
      <c r="F61" s="88" t="s">
        <v>264</v>
      </c>
      <c r="G61" s="89">
        <v>83</v>
      </c>
      <c r="H61" s="90">
        <f>INT((G61*Valores!$C$2*100)+0.5)/100</f>
        <v>550.49</v>
      </c>
      <c r="I61" s="91">
        <v>2352</v>
      </c>
      <c r="J61" s="92">
        <f>INT((I61*Valores!$C$2*100)+0.5)/100</f>
        <v>15599.4</v>
      </c>
      <c r="K61" s="105">
        <v>0</v>
      </c>
      <c r="L61" s="92">
        <f>INT((K61*Valores!$C$2*100)+0.5)/100</f>
        <v>0</v>
      </c>
      <c r="M61" s="106">
        <v>0</v>
      </c>
      <c r="N61" s="92">
        <f>INT((M61*Valores!$C$2*100)+0.5)/100</f>
        <v>0</v>
      </c>
      <c r="O61" s="92">
        <f t="shared" si="1"/>
        <v>3017.3264999999997</v>
      </c>
      <c r="P61" s="92">
        <f t="shared" si="2"/>
        <v>0</v>
      </c>
      <c r="Q61" s="94">
        <f>Valores!$C$16</f>
        <v>4291.62</v>
      </c>
      <c r="R61" s="94">
        <f>Valores!$D$4</f>
        <v>2966.67</v>
      </c>
      <c r="S61" s="108">
        <f>Valores!$C$26</f>
        <v>3094.03</v>
      </c>
      <c r="T61" s="109">
        <f>Valores!$C$42</f>
        <v>1226.37</v>
      </c>
      <c r="U61" s="92">
        <f>Valores!$C$23</f>
        <v>2739.25</v>
      </c>
      <c r="V61" s="92">
        <f t="shared" si="13"/>
        <v>2739.25</v>
      </c>
      <c r="W61" s="92">
        <v>0</v>
      </c>
      <c r="X61" s="92">
        <v>0</v>
      </c>
      <c r="Y61" s="96">
        <v>0</v>
      </c>
      <c r="Z61" s="92">
        <f>Y61*Valores!$C$2</f>
        <v>0</v>
      </c>
      <c r="AA61" s="92">
        <v>0</v>
      </c>
      <c r="AB61" s="97">
        <f>Valores!$C$29</f>
        <v>160.21</v>
      </c>
      <c r="AC61" s="92">
        <f t="shared" si="6"/>
        <v>0</v>
      </c>
      <c r="AD61" s="92">
        <f>Valores!$C$30</f>
        <v>160.21</v>
      </c>
      <c r="AE61" s="96">
        <v>0</v>
      </c>
      <c r="AF61" s="92">
        <f>INT(((AE61*Valores!$C$2)*100)+0.5)/100</f>
        <v>0</v>
      </c>
      <c r="AG61" s="92">
        <f>Valores!$C$58</f>
        <v>325.89</v>
      </c>
      <c r="AH61" s="92">
        <f>Valores!$C$60</f>
        <v>93.11</v>
      </c>
      <c r="AI61" s="98">
        <f t="shared" si="7"/>
        <v>34224.576499999996</v>
      </c>
      <c r="AJ61" s="94">
        <f>Valores!$C$35</f>
        <v>599.19</v>
      </c>
      <c r="AK61" s="95">
        <f>Valores!$C$8</f>
        <v>0</v>
      </c>
      <c r="AL61" s="95">
        <f>Valores!$C$82</f>
        <v>1560</v>
      </c>
      <c r="AM61" s="97">
        <f>Valores!$C$51</f>
        <v>136.56</v>
      </c>
      <c r="AN61" s="99">
        <f t="shared" si="8"/>
        <v>2159.19</v>
      </c>
      <c r="AO61" s="100">
        <f>AI61*-Valores!$C$65</f>
        <v>-4449.194944999999</v>
      </c>
      <c r="AP61" s="100">
        <f>AI61*-Valores!$C$66</f>
        <v>-171.12288249999997</v>
      </c>
      <c r="AQ61" s="94">
        <f>AI61*-Valores!$C$67</f>
        <v>-1540.1059424999999</v>
      </c>
      <c r="AR61" s="94">
        <f>AI61*-Valores!$C$68</f>
        <v>-924.0635654999999</v>
      </c>
      <c r="AS61" s="94">
        <f>AI61*-Valores!$C$69</f>
        <v>-102.6737295</v>
      </c>
      <c r="AT61" s="98">
        <f t="shared" si="4"/>
        <v>30223.34273</v>
      </c>
      <c r="AU61" s="98">
        <f t="shared" si="5"/>
        <v>30736.7113775</v>
      </c>
      <c r="AV61" s="94">
        <f>AI61*Valores!$C$71</f>
        <v>5475.932239999999</v>
      </c>
      <c r="AW61" s="94">
        <f>AI61*Valores!$C$72</f>
        <v>1540.1059424999999</v>
      </c>
      <c r="AX61" s="94">
        <f>AI61*Valores!$C$73</f>
        <v>342.24576499999995</v>
      </c>
      <c r="AY61" s="94">
        <f>AI61*Valores!$C$75</f>
        <v>1197.8601775</v>
      </c>
      <c r="AZ61" s="94">
        <f>AI61*Valores!$C$76</f>
        <v>205.347459</v>
      </c>
      <c r="BA61" s="94">
        <f t="shared" si="9"/>
        <v>1848.127131</v>
      </c>
      <c r="BB61" s="86"/>
      <c r="BC61" s="86">
        <v>30</v>
      </c>
      <c r="BD61" s="87" t="s">
        <v>4</v>
      </c>
    </row>
    <row r="62" spans="1:56" s="28" customFormat="1" ht="11.25" customHeight="1">
      <c r="A62" s="52">
        <v>61</v>
      </c>
      <c r="B62" s="52"/>
      <c r="C62" s="28" t="s">
        <v>265</v>
      </c>
      <c r="E62" s="28">
        <f t="shared" si="0"/>
        <v>33</v>
      </c>
      <c r="F62" s="72" t="s">
        <v>266</v>
      </c>
      <c r="G62" s="73">
        <v>81</v>
      </c>
      <c r="H62" s="74">
        <f>INT((G62*Valores!$C$2*100)+0.5)/100</f>
        <v>537.22</v>
      </c>
      <c r="I62" s="75">
        <v>2354</v>
      </c>
      <c r="J62" s="76">
        <f>INT((I62*Valores!$C$2*100)+0.5)/100</f>
        <v>15612.67</v>
      </c>
      <c r="K62" s="103">
        <v>0</v>
      </c>
      <c r="L62" s="76">
        <f>INT((K62*Valores!$C$2*100)+0.5)/100</f>
        <v>0</v>
      </c>
      <c r="M62" s="101">
        <v>0</v>
      </c>
      <c r="N62" s="76">
        <f>INT((M62*Valores!$C$2*100)+0.5)/100</f>
        <v>0</v>
      </c>
      <c r="O62" s="76">
        <f t="shared" si="1"/>
        <v>3017.3264999999997</v>
      </c>
      <c r="P62" s="76">
        <f t="shared" si="2"/>
        <v>0</v>
      </c>
      <c r="Q62" s="78">
        <f>Valores!$C$16</f>
        <v>4291.62</v>
      </c>
      <c r="R62" s="78">
        <f>Valores!$D$4</f>
        <v>2966.67</v>
      </c>
      <c r="S62" s="102">
        <f>Valores!$C$26</f>
        <v>3094.03</v>
      </c>
      <c r="T62" s="107">
        <f>Valores!$C$42</f>
        <v>1226.37</v>
      </c>
      <c r="U62" s="76">
        <f>Valores!$C$23</f>
        <v>2739.25</v>
      </c>
      <c r="V62" s="76">
        <f t="shared" si="13"/>
        <v>2739.25</v>
      </c>
      <c r="W62" s="76">
        <v>0</v>
      </c>
      <c r="X62" s="76">
        <v>0</v>
      </c>
      <c r="Y62" s="80">
        <v>0</v>
      </c>
      <c r="Z62" s="76">
        <f>Y62*Valores!$C$2</f>
        <v>0</v>
      </c>
      <c r="AA62" s="76">
        <v>0</v>
      </c>
      <c r="AB62" s="81">
        <f>Valores!$C$29</f>
        <v>160.21</v>
      </c>
      <c r="AC62" s="76">
        <f t="shared" si="6"/>
        <v>0</v>
      </c>
      <c r="AD62" s="76">
        <f>Valores!$C$30</f>
        <v>160.21</v>
      </c>
      <c r="AE62" s="80">
        <v>94</v>
      </c>
      <c r="AF62" s="76">
        <f>INT(((AE62*Valores!$C$2)*100)+0.5)/100</f>
        <v>623.45</v>
      </c>
      <c r="AG62" s="76">
        <f>Valores!$C$58</f>
        <v>325.89</v>
      </c>
      <c r="AH62" s="76">
        <f>Valores!$C$60</f>
        <v>93.11</v>
      </c>
      <c r="AI62" s="82">
        <f t="shared" si="7"/>
        <v>34848.02649999999</v>
      </c>
      <c r="AJ62" s="78">
        <f>Valores!$C$35</f>
        <v>599.19</v>
      </c>
      <c r="AK62" s="79">
        <f>Valores!$C$8</f>
        <v>0</v>
      </c>
      <c r="AL62" s="79">
        <f>Valores!$C$82</f>
        <v>1560</v>
      </c>
      <c r="AM62" s="81">
        <f>Valores!$C$51</f>
        <v>136.56</v>
      </c>
      <c r="AN62" s="83">
        <f t="shared" si="8"/>
        <v>2159.19</v>
      </c>
      <c r="AO62" s="84">
        <f>AI62*-Valores!$C$65</f>
        <v>-4530.243444999999</v>
      </c>
      <c r="AP62" s="84">
        <f>AI62*-Valores!$C$66</f>
        <v>-174.24013249999996</v>
      </c>
      <c r="AQ62" s="78">
        <f>AI62*-Valores!$C$67</f>
        <v>-1568.1611924999995</v>
      </c>
      <c r="AR62" s="78">
        <f>AI62*-Valores!$C$68</f>
        <v>-940.8967154999998</v>
      </c>
      <c r="AS62" s="78">
        <f>AI62*-Valores!$C$69</f>
        <v>-104.54407949999998</v>
      </c>
      <c r="AT62" s="82">
        <f t="shared" si="4"/>
        <v>30734.571729999996</v>
      </c>
      <c r="AU62" s="82">
        <f t="shared" si="5"/>
        <v>31257.292127499994</v>
      </c>
      <c r="AV62" s="78">
        <f>AI62*Valores!$C$71</f>
        <v>5575.684239999999</v>
      </c>
      <c r="AW62" s="78">
        <f>AI62*Valores!$C$72</f>
        <v>1568.1611924999995</v>
      </c>
      <c r="AX62" s="78">
        <f>AI62*Valores!$C$73</f>
        <v>348.4802649999999</v>
      </c>
      <c r="AY62" s="78">
        <f>AI62*Valores!$C$75</f>
        <v>1219.6809274999998</v>
      </c>
      <c r="AZ62" s="78">
        <f>AI62*Valores!$C$76</f>
        <v>209.08815899999996</v>
      </c>
      <c r="BA62" s="78">
        <f t="shared" si="9"/>
        <v>1881.7934309999996</v>
      </c>
      <c r="BB62" s="52"/>
      <c r="BC62" s="52">
        <v>25</v>
      </c>
      <c r="BD62" s="28" t="s">
        <v>4</v>
      </c>
    </row>
    <row r="63" spans="1:56" s="28" customFormat="1" ht="11.25" customHeight="1">
      <c r="A63" s="52">
        <v>62</v>
      </c>
      <c r="B63" s="52"/>
      <c r="C63" s="28" t="s">
        <v>267</v>
      </c>
      <c r="E63" s="28">
        <f t="shared" si="0"/>
        <v>30</v>
      </c>
      <c r="F63" s="72" t="s">
        <v>268</v>
      </c>
      <c r="G63" s="73">
        <v>81</v>
      </c>
      <c r="H63" s="74">
        <f>INT((G63*Valores!$C$2*100)+0.5)/100</f>
        <v>537.22</v>
      </c>
      <c r="I63" s="75">
        <v>2094</v>
      </c>
      <c r="J63" s="76">
        <f>INT((I63*Valores!$C$2*100)+0.5)/100</f>
        <v>13888.25</v>
      </c>
      <c r="K63" s="103">
        <v>0</v>
      </c>
      <c r="L63" s="76">
        <f>INT((K63*Valores!$C$2*100)+0.5)/100</f>
        <v>0</v>
      </c>
      <c r="M63" s="101">
        <v>0</v>
      </c>
      <c r="N63" s="76">
        <f>INT((M63*Valores!$C$2*100)+0.5)/100</f>
        <v>0</v>
      </c>
      <c r="O63" s="76">
        <f t="shared" si="1"/>
        <v>2758.6635</v>
      </c>
      <c r="P63" s="76">
        <f t="shared" si="2"/>
        <v>0</v>
      </c>
      <c r="Q63" s="78">
        <f>Valores!$C$16</f>
        <v>4291.62</v>
      </c>
      <c r="R63" s="78">
        <f>Valores!$D$4</f>
        <v>2966.67</v>
      </c>
      <c r="S63" s="102">
        <f>Valores!$C$26</f>
        <v>3094.03</v>
      </c>
      <c r="T63" s="107">
        <f>Valores!$C$42</f>
        <v>1226.37</v>
      </c>
      <c r="U63" s="76">
        <f>Valores!$C$23</f>
        <v>2739.25</v>
      </c>
      <c r="V63" s="76">
        <f t="shared" si="13"/>
        <v>2739.25</v>
      </c>
      <c r="W63" s="76">
        <v>0</v>
      </c>
      <c r="X63" s="76">
        <v>0</v>
      </c>
      <c r="Y63" s="80">
        <v>0</v>
      </c>
      <c r="Z63" s="76">
        <f>Y63*Valores!$C$2</f>
        <v>0</v>
      </c>
      <c r="AA63" s="76">
        <v>0</v>
      </c>
      <c r="AB63" s="81">
        <f>Valores!$C$29</f>
        <v>160.21</v>
      </c>
      <c r="AC63" s="76">
        <f t="shared" si="6"/>
        <v>0</v>
      </c>
      <c r="AD63" s="76">
        <f>Valores!$C$30</f>
        <v>160.21</v>
      </c>
      <c r="AE63" s="80">
        <v>0</v>
      </c>
      <c r="AF63" s="76">
        <f>INT(((AE63*Valores!$C$2)*100)+0.5)/100</f>
        <v>0</v>
      </c>
      <c r="AG63" s="76">
        <f>Valores!$C$58</f>
        <v>325.89</v>
      </c>
      <c r="AH63" s="76">
        <f>Valores!$C$60</f>
        <v>93.11</v>
      </c>
      <c r="AI63" s="82">
        <f t="shared" si="7"/>
        <v>32241.493499999993</v>
      </c>
      <c r="AJ63" s="78">
        <f>Valores!$C$35</f>
        <v>599.19</v>
      </c>
      <c r="AK63" s="79">
        <f>Valores!$C$8</f>
        <v>0</v>
      </c>
      <c r="AL63" s="79">
        <f>Valores!$C$82</f>
        <v>1560</v>
      </c>
      <c r="AM63" s="81">
        <f>Valores!$C$51</f>
        <v>136.56</v>
      </c>
      <c r="AN63" s="83">
        <f t="shared" si="8"/>
        <v>2159.19</v>
      </c>
      <c r="AO63" s="84">
        <f>AI63*-Valores!$C$65</f>
        <v>-4191.394154999999</v>
      </c>
      <c r="AP63" s="84">
        <f>AI63*-Valores!$C$66</f>
        <v>-161.20746749999998</v>
      </c>
      <c r="AQ63" s="78">
        <f>AI63*-Valores!$C$67</f>
        <v>-1450.8672074999997</v>
      </c>
      <c r="AR63" s="78">
        <f>AI63*-Valores!$C$68</f>
        <v>-870.5203244999998</v>
      </c>
      <c r="AS63" s="78">
        <f>AI63*-Valores!$C$69</f>
        <v>-96.72448049999998</v>
      </c>
      <c r="AT63" s="82">
        <f t="shared" si="4"/>
        <v>28597.214669999998</v>
      </c>
      <c r="AU63" s="82">
        <f t="shared" si="5"/>
        <v>29080.837072499995</v>
      </c>
      <c r="AV63" s="78">
        <f>AI63*Valores!$C$71</f>
        <v>5158.638959999999</v>
      </c>
      <c r="AW63" s="78">
        <f>AI63*Valores!$C$72</f>
        <v>1450.8672074999997</v>
      </c>
      <c r="AX63" s="78">
        <f>AI63*Valores!$C$73</f>
        <v>322.41493499999996</v>
      </c>
      <c r="AY63" s="78">
        <f>AI63*Valores!$C$75</f>
        <v>1128.4522725</v>
      </c>
      <c r="AZ63" s="78">
        <f>AI63*Valores!$C$76</f>
        <v>193.44896099999997</v>
      </c>
      <c r="BA63" s="78">
        <f t="shared" si="9"/>
        <v>1741.0406489999996</v>
      </c>
      <c r="BB63" s="52"/>
      <c r="BC63" s="52">
        <v>30</v>
      </c>
      <c r="BD63" s="28" t="s">
        <v>4</v>
      </c>
    </row>
    <row r="64" spans="1:56" s="28" customFormat="1" ht="11.25" customHeight="1">
      <c r="A64" s="52">
        <v>63</v>
      </c>
      <c r="B64" s="52"/>
      <c r="C64" s="28" t="s">
        <v>269</v>
      </c>
      <c r="E64" s="28">
        <f t="shared" si="0"/>
        <v>33</v>
      </c>
      <c r="F64" s="72" t="s">
        <v>270</v>
      </c>
      <c r="G64" s="73">
        <v>80</v>
      </c>
      <c r="H64" s="74">
        <f>INT((G64*Valores!$C$2*100)+0.5)/100</f>
        <v>530.59</v>
      </c>
      <c r="I64" s="75">
        <v>2095</v>
      </c>
      <c r="J64" s="76">
        <f>INT((I64*Valores!$C$2*100)+0.5)/100</f>
        <v>13894.88</v>
      </c>
      <c r="K64" s="103">
        <v>0</v>
      </c>
      <c r="L64" s="76">
        <f>INT((K64*Valores!$C$2*100)+0.5)/100</f>
        <v>0</v>
      </c>
      <c r="M64" s="101">
        <v>0</v>
      </c>
      <c r="N64" s="76">
        <f>INT((M64*Valores!$C$2*100)+0.5)/100</f>
        <v>0</v>
      </c>
      <c r="O64" s="76">
        <f t="shared" si="1"/>
        <v>2758.6635</v>
      </c>
      <c r="P64" s="76">
        <f t="shared" si="2"/>
        <v>0</v>
      </c>
      <c r="Q64" s="78">
        <f>Valores!$C$16</f>
        <v>4291.62</v>
      </c>
      <c r="R64" s="78">
        <f>Valores!$D$4</f>
        <v>2966.67</v>
      </c>
      <c r="S64" s="76">
        <f>Valores!$C$26</f>
        <v>3094.03</v>
      </c>
      <c r="T64" s="79">
        <f>Valores!$C$42</f>
        <v>1226.37</v>
      </c>
      <c r="U64" s="76">
        <f>Valores!$C$23</f>
        <v>2739.25</v>
      </c>
      <c r="V64" s="76">
        <f t="shared" si="13"/>
        <v>2739.25</v>
      </c>
      <c r="W64" s="76">
        <v>0</v>
      </c>
      <c r="X64" s="76">
        <v>0</v>
      </c>
      <c r="Y64" s="80">
        <v>0</v>
      </c>
      <c r="Z64" s="76">
        <f>Y64*Valores!$C$2</f>
        <v>0</v>
      </c>
      <c r="AA64" s="76">
        <v>0</v>
      </c>
      <c r="AB64" s="81">
        <f>Valores!$C$29</f>
        <v>160.21</v>
      </c>
      <c r="AC64" s="76">
        <f t="shared" si="6"/>
        <v>0</v>
      </c>
      <c r="AD64" s="76">
        <f>Valores!$C$30</f>
        <v>160.21</v>
      </c>
      <c r="AE64" s="80">
        <v>94</v>
      </c>
      <c r="AF64" s="76">
        <f>INT(((AE64*Valores!$C$2)*100)+0.5)/100</f>
        <v>623.45</v>
      </c>
      <c r="AG64" s="76">
        <f>Valores!$C$58</f>
        <v>325.89</v>
      </c>
      <c r="AH64" s="76">
        <f>Valores!$C$60</f>
        <v>93.11</v>
      </c>
      <c r="AI64" s="82">
        <f t="shared" si="7"/>
        <v>32864.943499999994</v>
      </c>
      <c r="AJ64" s="78">
        <f>Valores!$C$35</f>
        <v>599.19</v>
      </c>
      <c r="AK64" s="79">
        <f>Valores!$C$8</f>
        <v>0</v>
      </c>
      <c r="AL64" s="79">
        <f>Valores!$C$82</f>
        <v>1560</v>
      </c>
      <c r="AM64" s="81">
        <f>Valores!$C$51</f>
        <v>136.56</v>
      </c>
      <c r="AN64" s="83">
        <f t="shared" si="8"/>
        <v>2159.19</v>
      </c>
      <c r="AO64" s="84">
        <f>AI64*-Valores!$C$65</f>
        <v>-4272.442654999999</v>
      </c>
      <c r="AP64" s="84">
        <f>AI64*-Valores!$C$66</f>
        <v>-164.32471749999996</v>
      </c>
      <c r="AQ64" s="78">
        <f>AI64*-Valores!$C$67</f>
        <v>-1478.9224574999996</v>
      </c>
      <c r="AR64" s="78">
        <f>AI64*-Valores!$C$68</f>
        <v>-887.3534744999998</v>
      </c>
      <c r="AS64" s="78">
        <f>AI64*-Valores!$C$69</f>
        <v>-98.59483049999999</v>
      </c>
      <c r="AT64" s="82">
        <f t="shared" si="4"/>
        <v>29108.44367</v>
      </c>
      <c r="AU64" s="82">
        <f t="shared" si="5"/>
        <v>29601.4178225</v>
      </c>
      <c r="AV64" s="78">
        <f>AI64*Valores!$C$71</f>
        <v>5258.390959999999</v>
      </c>
      <c r="AW64" s="78">
        <f>AI64*Valores!$C$72</f>
        <v>1478.9224574999996</v>
      </c>
      <c r="AX64" s="78">
        <f>AI64*Valores!$C$73</f>
        <v>328.6494349999999</v>
      </c>
      <c r="AY64" s="78">
        <f>AI64*Valores!$C$75</f>
        <v>1150.2730224999998</v>
      </c>
      <c r="AZ64" s="78">
        <f>AI64*Valores!$C$76</f>
        <v>197.18966099999997</v>
      </c>
      <c r="BA64" s="78">
        <f t="shared" si="9"/>
        <v>1774.7069489999997</v>
      </c>
      <c r="BB64" s="52"/>
      <c r="BC64" s="52">
        <v>25</v>
      </c>
      <c r="BD64" s="28" t="s">
        <v>4</v>
      </c>
    </row>
    <row r="65" spans="1:56" s="28" customFormat="1" ht="11.25" customHeight="1">
      <c r="A65" s="52">
        <v>64</v>
      </c>
      <c r="B65" s="52"/>
      <c r="C65" s="28" t="s">
        <v>271</v>
      </c>
      <c r="E65" s="28">
        <f t="shared" si="0"/>
        <v>30</v>
      </c>
      <c r="F65" s="72" t="s">
        <v>272</v>
      </c>
      <c r="G65" s="73">
        <v>79</v>
      </c>
      <c r="H65" s="74">
        <f>INT((G65*Valores!$C$2*100)+0.5)/100</f>
        <v>523.96</v>
      </c>
      <c r="I65" s="75">
        <v>1944</v>
      </c>
      <c r="J65" s="76">
        <f>INT((I65*Valores!$C$2*100)+0.5)/100</f>
        <v>12893.39</v>
      </c>
      <c r="K65" s="103">
        <v>0</v>
      </c>
      <c r="L65" s="76">
        <f>INT((K65*Valores!$C$2*100)+0.5)/100</f>
        <v>0</v>
      </c>
      <c r="M65" s="101">
        <v>0</v>
      </c>
      <c r="N65" s="76">
        <f>INT((M65*Valores!$C$2*100)+0.5)/100</f>
        <v>0</v>
      </c>
      <c r="O65" s="76">
        <f t="shared" si="1"/>
        <v>2607.4454999999994</v>
      </c>
      <c r="P65" s="76">
        <f t="shared" si="2"/>
        <v>0</v>
      </c>
      <c r="Q65" s="78">
        <f>Valores!$C$16</f>
        <v>4291.62</v>
      </c>
      <c r="R65" s="78">
        <f>Valores!$D$4</f>
        <v>2966.67</v>
      </c>
      <c r="S65" s="102">
        <f>Valores!$C$26</f>
        <v>3094.03</v>
      </c>
      <c r="T65" s="107">
        <f>Valores!$C$42</f>
        <v>1226.37</v>
      </c>
      <c r="U65" s="76">
        <f>Valores!$C$23</f>
        <v>2739.25</v>
      </c>
      <c r="V65" s="76">
        <f t="shared" si="13"/>
        <v>2739.25</v>
      </c>
      <c r="W65" s="76">
        <v>0</v>
      </c>
      <c r="X65" s="76">
        <v>0</v>
      </c>
      <c r="Y65" s="80">
        <v>0</v>
      </c>
      <c r="Z65" s="76">
        <f>Y65*Valores!$C$2</f>
        <v>0</v>
      </c>
      <c r="AA65" s="76">
        <v>0</v>
      </c>
      <c r="AB65" s="81">
        <f>Valores!$C$29</f>
        <v>160.21</v>
      </c>
      <c r="AC65" s="76">
        <f t="shared" si="6"/>
        <v>0</v>
      </c>
      <c r="AD65" s="76">
        <f>Valores!$C$30</f>
        <v>160.21</v>
      </c>
      <c r="AE65" s="80">
        <v>0</v>
      </c>
      <c r="AF65" s="76">
        <f>INT(((AE65*Valores!$C$2)*100)+0.5)/100</f>
        <v>0</v>
      </c>
      <c r="AG65" s="76">
        <f>Valores!$C$58</f>
        <v>325.89</v>
      </c>
      <c r="AH65" s="76">
        <f>Valores!$C$60</f>
        <v>93.11</v>
      </c>
      <c r="AI65" s="82">
        <f t="shared" si="7"/>
        <v>31082.155499999997</v>
      </c>
      <c r="AJ65" s="78">
        <f>Valores!$C$35</f>
        <v>599.19</v>
      </c>
      <c r="AK65" s="79">
        <f>Valores!$C$8</f>
        <v>0</v>
      </c>
      <c r="AL65" s="79">
        <f>Valores!$C$82</f>
        <v>1560</v>
      </c>
      <c r="AM65" s="81">
        <f>Valores!$C$51</f>
        <v>136.56</v>
      </c>
      <c r="AN65" s="83">
        <f t="shared" si="8"/>
        <v>2159.19</v>
      </c>
      <c r="AO65" s="84">
        <f>AI65*-Valores!$C$65</f>
        <v>-4040.680215</v>
      </c>
      <c r="AP65" s="84">
        <f>AI65*-Valores!$C$66</f>
        <v>-155.4107775</v>
      </c>
      <c r="AQ65" s="78">
        <f>AI65*-Valores!$C$67</f>
        <v>-1398.6969974999997</v>
      </c>
      <c r="AR65" s="78">
        <f>AI65*-Valores!$C$68</f>
        <v>-839.2181984999999</v>
      </c>
      <c r="AS65" s="78">
        <f>AI65*-Valores!$C$69</f>
        <v>-93.2464665</v>
      </c>
      <c r="AT65" s="82">
        <f t="shared" si="4"/>
        <v>27646.557509999995</v>
      </c>
      <c r="AU65" s="82">
        <f t="shared" si="5"/>
        <v>28112.789842499995</v>
      </c>
      <c r="AV65" s="78">
        <f>AI65*Valores!$C$71</f>
        <v>4973.14488</v>
      </c>
      <c r="AW65" s="78">
        <f>AI65*Valores!$C$72</f>
        <v>1398.6969974999997</v>
      </c>
      <c r="AX65" s="78">
        <f>AI65*Valores!$C$73</f>
        <v>310.821555</v>
      </c>
      <c r="AY65" s="78">
        <f>AI65*Valores!$C$75</f>
        <v>1087.8754425</v>
      </c>
      <c r="AZ65" s="78">
        <f>AI65*Valores!$C$76</f>
        <v>186.492933</v>
      </c>
      <c r="BA65" s="78">
        <f t="shared" si="9"/>
        <v>1678.436397</v>
      </c>
      <c r="BB65" s="52"/>
      <c r="BC65" s="52">
        <v>30</v>
      </c>
      <c r="BD65" s="28" t="s">
        <v>4</v>
      </c>
    </row>
    <row r="66" spans="1:56" s="28" customFormat="1" ht="11.25" customHeight="1">
      <c r="A66" s="86">
        <v>65</v>
      </c>
      <c r="B66" s="86" t="s">
        <v>163</v>
      </c>
      <c r="C66" s="87" t="s">
        <v>273</v>
      </c>
      <c r="D66" s="87"/>
      <c r="E66" s="87">
        <f t="shared" si="0"/>
        <v>33</v>
      </c>
      <c r="F66" s="88" t="s">
        <v>274</v>
      </c>
      <c r="G66" s="89">
        <v>79</v>
      </c>
      <c r="H66" s="90">
        <f>INT((G66*Valores!$C$2*100)+0.5)/100</f>
        <v>523.96</v>
      </c>
      <c r="I66" s="91">
        <v>1944</v>
      </c>
      <c r="J66" s="92">
        <f>INT((I66*Valores!$C$2*100)+0.5)/100</f>
        <v>12893.39</v>
      </c>
      <c r="K66" s="105">
        <v>0</v>
      </c>
      <c r="L66" s="92">
        <f>INT((K66*Valores!$C$2*100)+0.5)/100</f>
        <v>0</v>
      </c>
      <c r="M66" s="106">
        <v>0</v>
      </c>
      <c r="N66" s="92">
        <f>INT((M66*Valores!$C$2*100)+0.5)/100</f>
        <v>0</v>
      </c>
      <c r="O66" s="92">
        <f t="shared" si="1"/>
        <v>2607.4454999999994</v>
      </c>
      <c r="P66" s="92">
        <f t="shared" si="2"/>
        <v>0</v>
      </c>
      <c r="Q66" s="94">
        <f>Valores!$C$16</f>
        <v>4291.62</v>
      </c>
      <c r="R66" s="94">
        <f>Valores!$D$4</f>
        <v>2966.67</v>
      </c>
      <c r="S66" s="108">
        <f>Valores!$C$26</f>
        <v>3094.03</v>
      </c>
      <c r="T66" s="109">
        <f>Valores!$C$42</f>
        <v>1226.37</v>
      </c>
      <c r="U66" s="92">
        <f>Valores!$C$23</f>
        <v>2739.25</v>
      </c>
      <c r="V66" s="92">
        <f t="shared" si="13"/>
        <v>2739.25</v>
      </c>
      <c r="W66" s="92">
        <v>0</v>
      </c>
      <c r="X66" s="92">
        <v>0</v>
      </c>
      <c r="Y66" s="96">
        <v>0</v>
      </c>
      <c r="Z66" s="92">
        <f>Y66*Valores!$C$2</f>
        <v>0</v>
      </c>
      <c r="AA66" s="92">
        <v>0</v>
      </c>
      <c r="AB66" s="97">
        <f>Valores!$C$29</f>
        <v>160.21</v>
      </c>
      <c r="AC66" s="92">
        <f t="shared" si="6"/>
        <v>0</v>
      </c>
      <c r="AD66" s="92">
        <f>Valores!$C$30</f>
        <v>160.21</v>
      </c>
      <c r="AE66" s="96">
        <v>94</v>
      </c>
      <c r="AF66" s="92">
        <f>INT(((AE66*Valores!$C$2)*100)+0.5)/100</f>
        <v>623.45</v>
      </c>
      <c r="AG66" s="92">
        <f>Valores!$C$58</f>
        <v>325.89</v>
      </c>
      <c r="AH66" s="92">
        <f>Valores!$C$60</f>
        <v>93.11</v>
      </c>
      <c r="AI66" s="98">
        <f t="shared" si="7"/>
        <v>31705.605499999998</v>
      </c>
      <c r="AJ66" s="94">
        <f>Valores!$C$35</f>
        <v>599.19</v>
      </c>
      <c r="AK66" s="95">
        <f>Valores!$C$8</f>
        <v>0</v>
      </c>
      <c r="AL66" s="95">
        <f>Valores!$C$82</f>
        <v>1560</v>
      </c>
      <c r="AM66" s="97">
        <f>Valores!$C$51</f>
        <v>136.56</v>
      </c>
      <c r="AN66" s="99">
        <f t="shared" si="8"/>
        <v>2159.19</v>
      </c>
      <c r="AO66" s="100">
        <f>AI66*-Valores!$C$65</f>
        <v>-4121.728715</v>
      </c>
      <c r="AP66" s="100">
        <f>AI66*-Valores!$C$66</f>
        <v>-158.52802749999998</v>
      </c>
      <c r="AQ66" s="94">
        <f>AI66*-Valores!$C$67</f>
        <v>-1426.7522474999998</v>
      </c>
      <c r="AR66" s="94">
        <f>AI66*-Valores!$C$68</f>
        <v>-856.0513484999999</v>
      </c>
      <c r="AS66" s="94">
        <f>AI66*-Valores!$C$69</f>
        <v>-95.1168165</v>
      </c>
      <c r="AT66" s="98">
        <f t="shared" si="4"/>
        <v>28157.78651</v>
      </c>
      <c r="AU66" s="98">
        <f t="shared" si="5"/>
        <v>28633.370592500003</v>
      </c>
      <c r="AV66" s="94">
        <f>AI66*Valores!$C$71</f>
        <v>5072.896879999999</v>
      </c>
      <c r="AW66" s="94">
        <f>AI66*Valores!$C$72</f>
        <v>1426.7522474999998</v>
      </c>
      <c r="AX66" s="94">
        <f>AI66*Valores!$C$73</f>
        <v>317.05605499999996</v>
      </c>
      <c r="AY66" s="94">
        <f>AI66*Valores!$C$75</f>
        <v>1109.6961925</v>
      </c>
      <c r="AZ66" s="94">
        <f>AI66*Valores!$C$76</f>
        <v>190.233633</v>
      </c>
      <c r="BA66" s="94">
        <f t="shared" si="9"/>
        <v>1712.102697</v>
      </c>
      <c r="BB66" s="86"/>
      <c r="BC66" s="86">
        <v>25</v>
      </c>
      <c r="BD66" s="87" t="s">
        <v>8</v>
      </c>
    </row>
    <row r="67" spans="1:56" s="28" customFormat="1" ht="11.25" customHeight="1">
      <c r="A67" s="52">
        <v>66</v>
      </c>
      <c r="B67" s="52"/>
      <c r="C67" s="28" t="s">
        <v>275</v>
      </c>
      <c r="E67" s="28">
        <f t="shared" si="0"/>
        <v>29</v>
      </c>
      <c r="F67" s="72" t="s">
        <v>276</v>
      </c>
      <c r="G67" s="73">
        <v>100</v>
      </c>
      <c r="H67" s="74">
        <f>INT((G67*Valores!$C$2*100)+0.5)/100</f>
        <v>663.24</v>
      </c>
      <c r="I67" s="75">
        <v>2864</v>
      </c>
      <c r="J67" s="76">
        <f>INT((I67*Valores!$C$2*100)+0.5)/100</f>
        <v>18995.19</v>
      </c>
      <c r="K67" s="103">
        <v>0</v>
      </c>
      <c r="L67" s="76">
        <f>INT((K67*Valores!$C$2*100)+0.5)/100</f>
        <v>0</v>
      </c>
      <c r="M67" s="101">
        <v>0</v>
      </c>
      <c r="N67" s="76">
        <f>INT((M67*Valores!$C$2*100)+0.5)/100</f>
        <v>0</v>
      </c>
      <c r="O67" s="76">
        <f t="shared" si="1"/>
        <v>3543.6074999999996</v>
      </c>
      <c r="P67" s="76">
        <f t="shared" si="2"/>
        <v>0</v>
      </c>
      <c r="Q67" s="78">
        <f>Valores!$C$16</f>
        <v>4291.62</v>
      </c>
      <c r="R67" s="78">
        <f>Valores!$D$4</f>
        <v>2966.67</v>
      </c>
      <c r="S67" s="76">
        <v>0</v>
      </c>
      <c r="T67" s="79">
        <f>Valores!$C$42</f>
        <v>1226.37</v>
      </c>
      <c r="U67" s="76">
        <f>Valores!$C$23</f>
        <v>2739.25</v>
      </c>
      <c r="V67" s="76">
        <f t="shared" si="13"/>
        <v>2739.25</v>
      </c>
      <c r="W67" s="76">
        <v>0</v>
      </c>
      <c r="X67" s="76">
        <v>0</v>
      </c>
      <c r="Y67" s="80">
        <v>0</v>
      </c>
      <c r="Z67" s="76">
        <f>Y67*Valores!$C$2</f>
        <v>0</v>
      </c>
      <c r="AA67" s="76">
        <v>0</v>
      </c>
      <c r="AB67" s="81">
        <f>Valores!$C$29</f>
        <v>160.21</v>
      </c>
      <c r="AC67" s="76">
        <f t="shared" si="6"/>
        <v>0</v>
      </c>
      <c r="AD67" s="76">
        <f>Valores!$C$30</f>
        <v>160.21</v>
      </c>
      <c r="AE67" s="80">
        <v>0</v>
      </c>
      <c r="AF67" s="76">
        <f>INT(((AE67*Valores!$C$2)*100)+0.5)/100</f>
        <v>0</v>
      </c>
      <c r="AG67" s="76">
        <f>Valores!$C$58</f>
        <v>325.89</v>
      </c>
      <c r="AH67" s="76">
        <f>Valores!$C$60</f>
        <v>93.11</v>
      </c>
      <c r="AI67" s="82">
        <f t="shared" si="7"/>
        <v>35165.3675</v>
      </c>
      <c r="AJ67" s="78">
        <f>Valores!$C$35</f>
        <v>599.19</v>
      </c>
      <c r="AK67" s="79">
        <f>Valores!$C$8</f>
        <v>0</v>
      </c>
      <c r="AL67" s="79">
        <f>Valores!$C$81</f>
        <v>1300</v>
      </c>
      <c r="AM67" s="81">
        <f>Valores!$C$50</f>
        <v>265.48</v>
      </c>
      <c r="AN67" s="83">
        <f t="shared" si="8"/>
        <v>1899.19</v>
      </c>
      <c r="AO67" s="84">
        <f>AI67*-Valores!$C$65</f>
        <v>-4571.497775</v>
      </c>
      <c r="AP67" s="84">
        <f>AI67*-Valores!$C$66</f>
        <v>-175.8268375</v>
      </c>
      <c r="AQ67" s="78">
        <f>AI67*-Valores!$C$67</f>
        <v>-1582.4415374999999</v>
      </c>
      <c r="AR67" s="78">
        <f>AI67*-Valores!$C$68</f>
        <v>-949.4649225</v>
      </c>
      <c r="AS67" s="78">
        <f>AI67*-Valores!$C$69</f>
        <v>-105.4961025</v>
      </c>
      <c r="AT67" s="82">
        <f t="shared" si="4"/>
        <v>30734.791350000003</v>
      </c>
      <c r="AU67" s="82">
        <f t="shared" si="5"/>
        <v>31262.2718625</v>
      </c>
      <c r="AV67" s="78">
        <f>AI67*Valores!$C$71</f>
        <v>5626.4588</v>
      </c>
      <c r="AW67" s="78">
        <f>AI67*Valores!$C$72</f>
        <v>1582.4415374999999</v>
      </c>
      <c r="AX67" s="78">
        <f>AI67*Valores!$C$73</f>
        <v>351.653675</v>
      </c>
      <c r="AY67" s="78">
        <f>AI67*Valores!$C$75</f>
        <v>1230.7878625</v>
      </c>
      <c r="AZ67" s="78">
        <f>AI67*Valores!$C$76</f>
        <v>210.992205</v>
      </c>
      <c r="BA67" s="78">
        <f t="shared" si="9"/>
        <v>1898.9298450000001</v>
      </c>
      <c r="BB67" s="52"/>
      <c r="BC67" s="52"/>
      <c r="BD67" s="28" t="s">
        <v>4</v>
      </c>
    </row>
    <row r="68" spans="1:56" s="28" customFormat="1" ht="11.25" customHeight="1">
      <c r="A68" s="52">
        <v>67</v>
      </c>
      <c r="B68" s="52"/>
      <c r="C68" s="28" t="s">
        <v>277</v>
      </c>
      <c r="E68" s="28">
        <f t="shared" si="0"/>
        <v>24</v>
      </c>
      <c r="F68" s="72" t="s">
        <v>278</v>
      </c>
      <c r="G68" s="73">
        <v>79</v>
      </c>
      <c r="H68" s="74">
        <f>INT((G68*Valores!$C$2*100)+0.5)/100</f>
        <v>523.96</v>
      </c>
      <c r="I68" s="75">
        <v>2161</v>
      </c>
      <c r="J68" s="76">
        <f>INT((I68*Valores!$C$2*100)+0.5)/100</f>
        <v>14332.62</v>
      </c>
      <c r="K68" s="103">
        <v>0</v>
      </c>
      <c r="L68" s="76">
        <f>INT((K68*Valores!$C$2*100)+0.5)/100</f>
        <v>0</v>
      </c>
      <c r="M68" s="101">
        <v>0</v>
      </c>
      <c r="N68" s="76">
        <f>INT((M68*Valores!$C$2*100)+0.5)/100</f>
        <v>0</v>
      </c>
      <c r="O68" s="76">
        <f t="shared" si="1"/>
        <v>2823.33</v>
      </c>
      <c r="P68" s="76">
        <f t="shared" si="2"/>
        <v>0</v>
      </c>
      <c r="Q68" s="78">
        <f>Valores!$C$16</f>
        <v>4291.62</v>
      </c>
      <c r="R68" s="78">
        <f>Valores!$D$4</f>
        <v>2966.67</v>
      </c>
      <c r="S68" s="102">
        <f>Valores!$C$26</f>
        <v>3094.03</v>
      </c>
      <c r="T68" s="107">
        <f>Valores!$C$42</f>
        <v>1226.37</v>
      </c>
      <c r="U68" s="76">
        <f>Valores!$C$23</f>
        <v>2739.25</v>
      </c>
      <c r="V68" s="76">
        <f t="shared" si="13"/>
        <v>2739.25</v>
      </c>
      <c r="W68" s="76">
        <v>0</v>
      </c>
      <c r="X68" s="76">
        <v>0</v>
      </c>
      <c r="Y68" s="80">
        <v>0</v>
      </c>
      <c r="Z68" s="76">
        <f>Y68*Valores!$C$2</f>
        <v>0</v>
      </c>
      <c r="AA68" s="76">
        <v>0</v>
      </c>
      <c r="AB68" s="81">
        <f>Valores!$C$29</f>
        <v>160.21</v>
      </c>
      <c r="AC68" s="76">
        <f t="shared" si="6"/>
        <v>0</v>
      </c>
      <c r="AD68" s="76">
        <f>Valores!$C$30</f>
        <v>160.21</v>
      </c>
      <c r="AE68" s="80">
        <v>0</v>
      </c>
      <c r="AF68" s="76">
        <f>INT(((AE68*Valores!$C$2)*100)+0.5)/100</f>
        <v>0</v>
      </c>
      <c r="AG68" s="76">
        <f>Valores!$C$58</f>
        <v>325.89</v>
      </c>
      <c r="AH68" s="76">
        <f>Valores!$C$60</f>
        <v>93.11</v>
      </c>
      <c r="AI68" s="82">
        <f t="shared" si="7"/>
        <v>32737.27</v>
      </c>
      <c r="AJ68" s="78">
        <f>Valores!$C$35</f>
        <v>599.19</v>
      </c>
      <c r="AK68" s="79">
        <f>Valores!$C$8</f>
        <v>0</v>
      </c>
      <c r="AL68" s="79">
        <f>Valores!$C$82</f>
        <v>1560</v>
      </c>
      <c r="AM68" s="81">
        <f>Valores!$C$51</f>
        <v>136.56</v>
      </c>
      <c r="AN68" s="83">
        <f t="shared" si="8"/>
        <v>2159.19</v>
      </c>
      <c r="AO68" s="84">
        <f>AI68*-Valores!$C$65</f>
        <v>-4255.8451000000005</v>
      </c>
      <c r="AP68" s="84">
        <f>AI68*-Valores!$C$66</f>
        <v>-163.68635</v>
      </c>
      <c r="AQ68" s="78">
        <f>AI68*-Valores!$C$67</f>
        <v>-1473.17715</v>
      </c>
      <c r="AR68" s="78">
        <f>AI68*-Valores!$C$68</f>
        <v>-883.90629</v>
      </c>
      <c r="AS68" s="78">
        <f>AI68*-Valores!$C$69</f>
        <v>-98.21181</v>
      </c>
      <c r="AT68" s="82">
        <f t="shared" si="4"/>
        <v>29003.751399999994</v>
      </c>
      <c r="AU68" s="82">
        <f t="shared" si="5"/>
        <v>29494.810449999997</v>
      </c>
      <c r="AV68" s="78">
        <f>AI68*Valores!$C$71</f>
        <v>5237.9632</v>
      </c>
      <c r="AW68" s="78">
        <f>AI68*Valores!$C$72</f>
        <v>1473.17715</v>
      </c>
      <c r="AX68" s="78">
        <f>AI68*Valores!$C$73</f>
        <v>327.3727</v>
      </c>
      <c r="AY68" s="78">
        <f>AI68*Valores!$C$75</f>
        <v>1145.80445</v>
      </c>
      <c r="AZ68" s="78">
        <f>AI68*Valores!$C$76</f>
        <v>196.42362</v>
      </c>
      <c r="BA68" s="78">
        <f t="shared" si="9"/>
        <v>1767.81258</v>
      </c>
      <c r="BB68" s="52"/>
      <c r="BC68" s="52">
        <v>30</v>
      </c>
      <c r="BD68" s="28" t="s">
        <v>4</v>
      </c>
    </row>
    <row r="69" spans="1:56" s="28" customFormat="1" ht="11.25" customHeight="1">
      <c r="A69" s="52">
        <v>68</v>
      </c>
      <c r="B69" s="52"/>
      <c r="C69" s="28" t="s">
        <v>279</v>
      </c>
      <c r="E69" s="28">
        <f t="shared" si="0"/>
        <v>32</v>
      </c>
      <c r="F69" s="72" t="s">
        <v>280</v>
      </c>
      <c r="G69" s="73">
        <v>90</v>
      </c>
      <c r="H69" s="74">
        <f>INT((G69*Valores!$C$2*100)+0.5)/100</f>
        <v>596.92</v>
      </c>
      <c r="I69" s="75">
        <v>3010</v>
      </c>
      <c r="J69" s="76">
        <f>INT((I69*Valores!$C$2*100)+0.5)/100</f>
        <v>19963.52</v>
      </c>
      <c r="K69" s="103">
        <v>0</v>
      </c>
      <c r="L69" s="76">
        <f>INT((K69*Valores!$C$2*100)+0.5)/100</f>
        <v>0</v>
      </c>
      <c r="M69" s="101">
        <v>0</v>
      </c>
      <c r="N69" s="76">
        <f>INT((M69*Valores!$C$2*100)+0.5)/100</f>
        <v>0</v>
      </c>
      <c r="O69" s="76">
        <f t="shared" si="1"/>
        <v>3770.8844999999997</v>
      </c>
      <c r="P69" s="76">
        <f t="shared" si="2"/>
        <v>0</v>
      </c>
      <c r="Q69" s="78">
        <f>Valores!$C$16</f>
        <v>4291.62</v>
      </c>
      <c r="R69" s="78">
        <f>Valores!$D$4</f>
        <v>2966.67</v>
      </c>
      <c r="S69" s="76">
        <f>Valores!$C$26</f>
        <v>3094.03</v>
      </c>
      <c r="T69" s="79">
        <f>Valores!$C$43</f>
        <v>1839.54</v>
      </c>
      <c r="U69" s="76">
        <f>Valores!$C$23</f>
        <v>2739.25</v>
      </c>
      <c r="V69" s="76">
        <f t="shared" si="13"/>
        <v>2739.25</v>
      </c>
      <c r="W69" s="76">
        <v>0</v>
      </c>
      <c r="X69" s="76">
        <v>0</v>
      </c>
      <c r="Y69" s="80">
        <v>0</v>
      </c>
      <c r="Z69" s="76">
        <f>Y69*Valores!$C$2</f>
        <v>0</v>
      </c>
      <c r="AA69" s="76">
        <v>0</v>
      </c>
      <c r="AB69" s="81">
        <f>Valores!$C$29</f>
        <v>160.21</v>
      </c>
      <c r="AC69" s="76">
        <f t="shared" si="6"/>
        <v>0</v>
      </c>
      <c r="AD69" s="76">
        <f>Valores!$C$30</f>
        <v>160.21</v>
      </c>
      <c r="AE69" s="80">
        <v>0</v>
      </c>
      <c r="AF69" s="76">
        <f>INT(((AE69*Valores!$C$2)*100)+0.5)/100</f>
        <v>0</v>
      </c>
      <c r="AG69" s="76">
        <f>Valores!$C$58</f>
        <v>325.89</v>
      </c>
      <c r="AH69" s="76">
        <f>Valores!$C$60</f>
        <v>93.11</v>
      </c>
      <c r="AI69" s="82">
        <f t="shared" si="7"/>
        <v>40001.854499999994</v>
      </c>
      <c r="AJ69" s="78">
        <f>Valores!$C$35</f>
        <v>599.19</v>
      </c>
      <c r="AK69" s="79">
        <f>Valores!$C$9</f>
        <v>0</v>
      </c>
      <c r="AL69" s="79">
        <f>Valores!$C$82</f>
        <v>1560</v>
      </c>
      <c r="AM69" s="81">
        <f>Valores!$C$51</f>
        <v>136.56</v>
      </c>
      <c r="AN69" s="83">
        <f t="shared" si="8"/>
        <v>2159.19</v>
      </c>
      <c r="AO69" s="84">
        <f>AI69*-Valores!$C$65</f>
        <v>-5200.241085</v>
      </c>
      <c r="AP69" s="84">
        <f>AI69*-Valores!$C$66</f>
        <v>-200.00927249999998</v>
      </c>
      <c r="AQ69" s="78">
        <f>AI69*-Valores!$C$67</f>
        <v>-1800.0834524999996</v>
      </c>
      <c r="AR69" s="78">
        <f>AI69*-Valores!$C$68</f>
        <v>-1080.0500714999998</v>
      </c>
      <c r="AS69" s="78">
        <f>AI69*-Valores!$C$69</f>
        <v>-120.00556349999998</v>
      </c>
      <c r="AT69" s="82">
        <f t="shared" si="4"/>
        <v>34960.71068999999</v>
      </c>
      <c r="AU69" s="82">
        <f t="shared" si="5"/>
        <v>35560.73850749999</v>
      </c>
      <c r="AV69" s="78">
        <f>AI69*Valores!$C$71</f>
        <v>6400.296719999999</v>
      </c>
      <c r="AW69" s="78">
        <f>AI69*Valores!$C$72</f>
        <v>1800.0834524999996</v>
      </c>
      <c r="AX69" s="78">
        <f>AI69*Valores!$C$73</f>
        <v>400.01854499999996</v>
      </c>
      <c r="AY69" s="78">
        <f>AI69*Valores!$C$75</f>
        <v>1400.0649075</v>
      </c>
      <c r="AZ69" s="78">
        <f>AI69*Valores!$C$76</f>
        <v>240.01112699999996</v>
      </c>
      <c r="BA69" s="78">
        <f t="shared" si="9"/>
        <v>2160.1001429999997</v>
      </c>
      <c r="BB69" s="52"/>
      <c r="BC69" s="52"/>
      <c r="BD69" s="28" t="s">
        <v>4</v>
      </c>
    </row>
    <row r="70" spans="1:56" s="28" customFormat="1" ht="11.25" customHeight="1">
      <c r="A70" s="52">
        <v>69</v>
      </c>
      <c r="B70" s="52"/>
      <c r="C70" s="28" t="s">
        <v>281</v>
      </c>
      <c r="E70" s="28">
        <f t="shared" si="0"/>
        <v>27</v>
      </c>
      <c r="F70" s="72" t="s">
        <v>282</v>
      </c>
      <c r="G70" s="73">
        <v>78</v>
      </c>
      <c r="H70" s="74">
        <f>INT((G70*Valores!$C$2*100)+0.5)/100</f>
        <v>517.33</v>
      </c>
      <c r="I70" s="75">
        <v>2162</v>
      </c>
      <c r="J70" s="76">
        <f>INT((I70*Valores!$C$2*100)+0.5)/100</f>
        <v>14339.25</v>
      </c>
      <c r="K70" s="103">
        <v>0</v>
      </c>
      <c r="L70" s="76">
        <f>INT((K70*Valores!$C$2*100)+0.5)/100</f>
        <v>0</v>
      </c>
      <c r="M70" s="101">
        <v>0</v>
      </c>
      <c r="N70" s="76">
        <f>INT((M70*Valores!$C$2*100)+0.5)/100</f>
        <v>0</v>
      </c>
      <c r="O70" s="76">
        <f t="shared" si="1"/>
        <v>2823.33</v>
      </c>
      <c r="P70" s="76">
        <f t="shared" si="2"/>
        <v>0</v>
      </c>
      <c r="Q70" s="78">
        <f>Valores!$C$16</f>
        <v>4291.62</v>
      </c>
      <c r="R70" s="78">
        <f>Valores!$D$4</f>
        <v>2966.67</v>
      </c>
      <c r="S70" s="102">
        <f>Valores!$C$26</f>
        <v>3094.03</v>
      </c>
      <c r="T70" s="107">
        <f>Valores!$C$42</f>
        <v>1226.37</v>
      </c>
      <c r="U70" s="76">
        <f>Valores!$C$23</f>
        <v>2739.25</v>
      </c>
      <c r="V70" s="76">
        <f t="shared" si="13"/>
        <v>2739.25</v>
      </c>
      <c r="W70" s="76">
        <v>0</v>
      </c>
      <c r="X70" s="76">
        <v>0</v>
      </c>
      <c r="Y70" s="80">
        <v>0</v>
      </c>
      <c r="Z70" s="76">
        <f>Y70*Valores!$C$2</f>
        <v>0</v>
      </c>
      <c r="AA70" s="76">
        <v>0</v>
      </c>
      <c r="AB70" s="81">
        <f>Valores!$C$29</f>
        <v>160.21</v>
      </c>
      <c r="AC70" s="76">
        <f t="shared" si="6"/>
        <v>0</v>
      </c>
      <c r="AD70" s="76">
        <f>Valores!$C$30</f>
        <v>160.21</v>
      </c>
      <c r="AE70" s="80">
        <v>0</v>
      </c>
      <c r="AF70" s="76">
        <f>INT(((AE70*Valores!$C$2)*100)+0.5)/100</f>
        <v>0</v>
      </c>
      <c r="AG70" s="76">
        <f>Valores!$C$58</f>
        <v>325.89</v>
      </c>
      <c r="AH70" s="76">
        <f>Valores!$C$60</f>
        <v>93.11</v>
      </c>
      <c r="AI70" s="82">
        <f t="shared" si="7"/>
        <v>32737.269999999993</v>
      </c>
      <c r="AJ70" s="78">
        <f>Valores!$C$35</f>
        <v>599.19</v>
      </c>
      <c r="AK70" s="79">
        <f>Valores!$C$8</f>
        <v>0</v>
      </c>
      <c r="AL70" s="79">
        <f>Valores!$C$82</f>
        <v>1560</v>
      </c>
      <c r="AM70" s="81">
        <f>Valores!$C$51</f>
        <v>136.56</v>
      </c>
      <c r="AN70" s="83">
        <f t="shared" si="8"/>
        <v>2159.19</v>
      </c>
      <c r="AO70" s="84">
        <f>AI70*-Valores!$C$65</f>
        <v>-4255.8451</v>
      </c>
      <c r="AP70" s="84">
        <f>AI70*-Valores!$C$66</f>
        <v>-163.68634999999998</v>
      </c>
      <c r="AQ70" s="78">
        <f>AI70*-Valores!$C$67</f>
        <v>-1473.1771499999995</v>
      </c>
      <c r="AR70" s="78">
        <f>AI70*-Valores!$C$68</f>
        <v>-883.9062899999998</v>
      </c>
      <c r="AS70" s="78">
        <f>AI70*-Valores!$C$69</f>
        <v>-98.21180999999999</v>
      </c>
      <c r="AT70" s="82">
        <f t="shared" si="4"/>
        <v>29003.751399999986</v>
      </c>
      <c r="AU70" s="82">
        <f t="shared" si="5"/>
        <v>29494.81044999999</v>
      </c>
      <c r="AV70" s="78">
        <f>AI70*Valores!$C$71</f>
        <v>5237.963199999999</v>
      </c>
      <c r="AW70" s="78">
        <f>AI70*Valores!$C$72</f>
        <v>1473.1771499999995</v>
      </c>
      <c r="AX70" s="78">
        <f>AI70*Valores!$C$73</f>
        <v>327.37269999999995</v>
      </c>
      <c r="AY70" s="78">
        <f>AI70*Valores!$C$75</f>
        <v>1145.8044499999999</v>
      </c>
      <c r="AZ70" s="78">
        <f>AI70*Valores!$C$76</f>
        <v>196.42361999999997</v>
      </c>
      <c r="BA70" s="78">
        <f t="shared" si="9"/>
        <v>1767.8125799999998</v>
      </c>
      <c r="BB70" s="52"/>
      <c r="BC70" s="52">
        <v>25</v>
      </c>
      <c r="BD70" s="28" t="s">
        <v>4</v>
      </c>
    </row>
    <row r="71" spans="1:56" s="28" customFormat="1" ht="11.25" customHeight="1">
      <c r="A71" s="86">
        <v>70</v>
      </c>
      <c r="B71" s="86" t="s">
        <v>163</v>
      </c>
      <c r="C71" s="87" t="s">
        <v>283</v>
      </c>
      <c r="D71" s="87"/>
      <c r="E71" s="87">
        <f aca="true" t="shared" si="14" ref="E71:E134">LEN(F71)</f>
        <v>32</v>
      </c>
      <c r="F71" s="88" t="s">
        <v>284</v>
      </c>
      <c r="G71" s="89">
        <v>90</v>
      </c>
      <c r="H71" s="90">
        <f>INT((G71*Valores!$C$2*100)+0.5)/100</f>
        <v>596.92</v>
      </c>
      <c r="I71" s="91">
        <v>2800</v>
      </c>
      <c r="J71" s="92">
        <f>INT((I71*Valores!$C$2*100)+0.5)/100</f>
        <v>18570.72</v>
      </c>
      <c r="K71" s="105">
        <v>0</v>
      </c>
      <c r="L71" s="92">
        <f>INT((K71*Valores!$C$2*100)+0.5)/100</f>
        <v>0</v>
      </c>
      <c r="M71" s="106">
        <v>0</v>
      </c>
      <c r="N71" s="92">
        <f>INT((M71*Valores!$C$2*100)+0.5)/100</f>
        <v>0</v>
      </c>
      <c r="O71" s="92">
        <f aca="true" t="shared" si="15" ref="O71:O134">IF($J$2=0,IF(C71&lt;&gt;"13-930",(SUM(H71,J71,L71,N71,Z71,U71,T71)*$O$2),0),0)</f>
        <v>3561.9645</v>
      </c>
      <c r="P71" s="92">
        <f aca="true" t="shared" si="16" ref="P71:P134">SUM(H71,J71,L71,N71,Z71,T71)*$J$2</f>
        <v>0</v>
      </c>
      <c r="Q71" s="94">
        <f>Valores!$C$16</f>
        <v>4291.62</v>
      </c>
      <c r="R71" s="94">
        <f>Valores!$D$4</f>
        <v>2966.67</v>
      </c>
      <c r="S71" s="92">
        <v>0</v>
      </c>
      <c r="T71" s="95">
        <f>Valores!$C$43</f>
        <v>1839.54</v>
      </c>
      <c r="U71" s="92">
        <f>Valores!$C$23</f>
        <v>2739.25</v>
      </c>
      <c r="V71" s="92">
        <f t="shared" si="13"/>
        <v>2739.25</v>
      </c>
      <c r="W71" s="92">
        <v>0</v>
      </c>
      <c r="X71" s="92">
        <v>0</v>
      </c>
      <c r="Y71" s="96">
        <v>0</v>
      </c>
      <c r="Z71" s="92">
        <f>Y71*Valores!$C$2</f>
        <v>0</v>
      </c>
      <c r="AA71" s="92">
        <v>0</v>
      </c>
      <c r="AB71" s="97">
        <f>Valores!$C$29</f>
        <v>160.21</v>
      </c>
      <c r="AC71" s="92">
        <f t="shared" si="6"/>
        <v>0</v>
      </c>
      <c r="AD71" s="92">
        <f>Valores!$C$30</f>
        <v>160.21</v>
      </c>
      <c r="AE71" s="96">
        <v>0</v>
      </c>
      <c r="AF71" s="92">
        <f>INT(((AE71*Valores!$C$2)*100)+0.5)/100</f>
        <v>0</v>
      </c>
      <c r="AG71" s="92">
        <f>Valores!$C$58</f>
        <v>325.89</v>
      </c>
      <c r="AH71" s="92">
        <f>Valores!$C$60</f>
        <v>93.11</v>
      </c>
      <c r="AI71" s="98">
        <f t="shared" si="7"/>
        <v>35306.1045</v>
      </c>
      <c r="AJ71" s="94">
        <f>Valores!$C$35</f>
        <v>599.19</v>
      </c>
      <c r="AK71" s="95">
        <f>Valores!$C$9</f>
        <v>0</v>
      </c>
      <c r="AL71" s="95">
        <f>Valores!$C$83</f>
        <v>2600</v>
      </c>
      <c r="AM71" s="97">
        <f>Valores!$C$51</f>
        <v>136.56</v>
      </c>
      <c r="AN71" s="99">
        <f t="shared" si="8"/>
        <v>3199.19</v>
      </c>
      <c r="AO71" s="100">
        <f>AI71*-Valores!$C$65</f>
        <v>-4589.793585</v>
      </c>
      <c r="AP71" s="100">
        <f>AI71*-Valores!$C$66</f>
        <v>-176.53052250000002</v>
      </c>
      <c r="AQ71" s="94">
        <f>AI71*-Valores!$C$67</f>
        <v>-1588.7747025</v>
      </c>
      <c r="AR71" s="94">
        <f>AI71*-Valores!$C$68</f>
        <v>-953.2648215</v>
      </c>
      <c r="AS71" s="94">
        <f>AI71*-Valores!$C$69</f>
        <v>-105.91831350000001</v>
      </c>
      <c r="AT71" s="98">
        <f aca="true" t="shared" si="17" ref="AT71:AT134">AI71+AN71+AP71+AQ71+AO71</f>
        <v>32150.195690000008</v>
      </c>
      <c r="AU71" s="98">
        <f aca="true" t="shared" si="18" ref="AU71:AU134">AI71+AN71+AP71+AR71+AO71+AS71</f>
        <v>32679.787257500007</v>
      </c>
      <c r="AV71" s="94">
        <f>AI71*Valores!$C$71</f>
        <v>5648.976720000001</v>
      </c>
      <c r="AW71" s="94">
        <f>AI71*Valores!$C$72</f>
        <v>1588.7747025</v>
      </c>
      <c r="AX71" s="94">
        <f>AI71*Valores!$C$73</f>
        <v>353.06104500000004</v>
      </c>
      <c r="AY71" s="94">
        <f>AI71*Valores!$C$75</f>
        <v>1235.7136575000002</v>
      </c>
      <c r="AZ71" s="94">
        <f>AI71*Valores!$C$76</f>
        <v>211.83662700000002</v>
      </c>
      <c r="BA71" s="94">
        <f t="shared" si="9"/>
        <v>1906.5296430000003</v>
      </c>
      <c r="BB71" s="86"/>
      <c r="BC71" s="86"/>
      <c r="BD71" s="87" t="s">
        <v>8</v>
      </c>
    </row>
    <row r="72" spans="1:56" s="28" customFormat="1" ht="11.25" customHeight="1">
      <c r="A72" s="52">
        <v>71</v>
      </c>
      <c r="B72" s="52"/>
      <c r="C72" s="28" t="s">
        <v>285</v>
      </c>
      <c r="E72" s="28">
        <f t="shared" si="14"/>
        <v>27</v>
      </c>
      <c r="F72" s="72" t="s">
        <v>286</v>
      </c>
      <c r="G72" s="73">
        <v>79</v>
      </c>
      <c r="H72" s="74">
        <f>INT((G72*Valores!$C$2*100)+0.5)/100</f>
        <v>523.96</v>
      </c>
      <c r="I72" s="75">
        <v>2161</v>
      </c>
      <c r="J72" s="76">
        <f>INT((I72*Valores!$C$2*100)+0.5)/100</f>
        <v>14332.62</v>
      </c>
      <c r="K72" s="103">
        <v>0</v>
      </c>
      <c r="L72" s="76">
        <f>INT((K72*Valores!$C$2*100)+0.5)/100</f>
        <v>0</v>
      </c>
      <c r="M72" s="101">
        <v>0</v>
      </c>
      <c r="N72" s="76">
        <f>INT((M72*Valores!$C$2*100)+0.5)/100</f>
        <v>0</v>
      </c>
      <c r="O72" s="76">
        <f t="shared" si="15"/>
        <v>2823.33</v>
      </c>
      <c r="P72" s="76">
        <f t="shared" si="16"/>
        <v>0</v>
      </c>
      <c r="Q72" s="78">
        <f>Valores!$C$16</f>
        <v>4291.62</v>
      </c>
      <c r="R72" s="78">
        <f>Valores!$D$4</f>
        <v>2966.67</v>
      </c>
      <c r="S72" s="102">
        <f>Valores!$C$26</f>
        <v>3094.03</v>
      </c>
      <c r="T72" s="107">
        <f>Valores!$C$42</f>
        <v>1226.37</v>
      </c>
      <c r="U72" s="76">
        <f>Valores!$C$23</f>
        <v>2739.25</v>
      </c>
      <c r="V72" s="76">
        <f t="shared" si="13"/>
        <v>2739.25</v>
      </c>
      <c r="W72" s="76">
        <v>0</v>
      </c>
      <c r="X72" s="76">
        <v>0</v>
      </c>
      <c r="Y72" s="80">
        <v>0</v>
      </c>
      <c r="Z72" s="76">
        <f>Y72*Valores!$C$2</f>
        <v>0</v>
      </c>
      <c r="AA72" s="76">
        <v>0</v>
      </c>
      <c r="AB72" s="81">
        <f>Valores!$C$29</f>
        <v>160.21</v>
      </c>
      <c r="AC72" s="76">
        <f aca="true" t="shared" si="19" ref="AC72:AC135">SUM(H72,J72,L72,Z72,T72)*$H$3/100</f>
        <v>0</v>
      </c>
      <c r="AD72" s="76">
        <f>Valores!$C$30</f>
        <v>160.21</v>
      </c>
      <c r="AE72" s="80">
        <v>0</v>
      </c>
      <c r="AF72" s="76">
        <f>INT(((AE72*Valores!$C$2)*100)+0.5)/100</f>
        <v>0</v>
      </c>
      <c r="AG72" s="76">
        <f>Valores!$C$58</f>
        <v>325.89</v>
      </c>
      <c r="AH72" s="76">
        <f>Valores!$C$60</f>
        <v>93.11</v>
      </c>
      <c r="AI72" s="82">
        <f aca="true" t="shared" si="20" ref="AI72:AI135">SUM(H72,J72,L72,N72,O72,P72,Q72,R72,S72,V72,W72,X72,Z72,AA72,AB72,AC72,AD72,AF72,T72,AG72,AH72)</f>
        <v>32737.27</v>
      </c>
      <c r="AJ72" s="78">
        <f>Valores!$C$35</f>
        <v>599.19</v>
      </c>
      <c r="AK72" s="79">
        <f>Valores!$C$8</f>
        <v>0</v>
      </c>
      <c r="AL72" s="79">
        <f>Valores!$C$83</f>
        <v>2600</v>
      </c>
      <c r="AM72" s="81">
        <f>Valores!$C$51</f>
        <v>136.56</v>
      </c>
      <c r="AN72" s="83">
        <f aca="true" t="shared" si="21" ref="AN72:AN135">IF($H$4="SI",SUM(AJ72:AL72,AM72),SUM(AJ72:AL72))</f>
        <v>3199.19</v>
      </c>
      <c r="AO72" s="84">
        <f>AI72*-Valores!$C$65</f>
        <v>-4255.8451000000005</v>
      </c>
      <c r="AP72" s="84">
        <f>AI72*-Valores!$C$66</f>
        <v>-163.68635</v>
      </c>
      <c r="AQ72" s="78">
        <f>AI72*-Valores!$C$67</f>
        <v>-1473.17715</v>
      </c>
      <c r="AR72" s="78">
        <f>AI72*-Valores!$C$68</f>
        <v>-883.90629</v>
      </c>
      <c r="AS72" s="78">
        <f>AI72*-Valores!$C$69</f>
        <v>-98.21181</v>
      </c>
      <c r="AT72" s="82">
        <f t="shared" si="17"/>
        <v>30043.751399999994</v>
      </c>
      <c r="AU72" s="82">
        <f t="shared" si="18"/>
        <v>30534.810449999997</v>
      </c>
      <c r="AV72" s="78">
        <f>AI72*Valores!$C$71</f>
        <v>5237.9632</v>
      </c>
      <c r="AW72" s="78">
        <f>AI72*Valores!$C$72</f>
        <v>1473.17715</v>
      </c>
      <c r="AX72" s="78">
        <f>AI72*Valores!$C$73</f>
        <v>327.3727</v>
      </c>
      <c r="AY72" s="78">
        <f>AI72*Valores!$C$75</f>
        <v>1145.80445</v>
      </c>
      <c r="AZ72" s="78">
        <f>AI72*Valores!$C$76</f>
        <v>196.42362</v>
      </c>
      <c r="BA72" s="78">
        <f t="shared" si="9"/>
        <v>1767.81258</v>
      </c>
      <c r="BB72" s="52"/>
      <c r="BC72" s="52">
        <v>30</v>
      </c>
      <c r="BD72" s="28" t="s">
        <v>4</v>
      </c>
    </row>
    <row r="73" spans="1:56" s="28" customFormat="1" ht="11.25" customHeight="1">
      <c r="A73" s="52">
        <v>72</v>
      </c>
      <c r="B73" s="52"/>
      <c r="C73" s="28" t="s">
        <v>287</v>
      </c>
      <c r="E73" s="28">
        <f t="shared" si="14"/>
        <v>32</v>
      </c>
      <c r="F73" s="72" t="s">
        <v>288</v>
      </c>
      <c r="G73" s="73">
        <v>90</v>
      </c>
      <c r="H73" s="74">
        <f>INT((G73*Valores!$C$2*100)+0.5)/100</f>
        <v>596.92</v>
      </c>
      <c r="I73" s="75">
        <v>2720</v>
      </c>
      <c r="J73" s="76">
        <f>INT((I73*Valores!$C$2*100)+0.5)/100</f>
        <v>18040.13</v>
      </c>
      <c r="K73" s="103">
        <v>0</v>
      </c>
      <c r="L73" s="76">
        <f>INT((K73*Valores!$C$2*100)+0.5)/100</f>
        <v>0</v>
      </c>
      <c r="M73" s="101">
        <v>0</v>
      </c>
      <c r="N73" s="76">
        <f>INT((M73*Valores!$C$2*100)+0.5)/100</f>
        <v>0</v>
      </c>
      <c r="O73" s="76">
        <f t="shared" si="15"/>
        <v>3482.3759999999997</v>
      </c>
      <c r="P73" s="76">
        <f t="shared" si="16"/>
        <v>0</v>
      </c>
      <c r="Q73" s="78">
        <f>Valores!$C$16</f>
        <v>4291.62</v>
      </c>
      <c r="R73" s="78">
        <f>Valores!$D$4</f>
        <v>2966.67</v>
      </c>
      <c r="S73" s="76">
        <v>0</v>
      </c>
      <c r="T73" s="79">
        <f>Valores!$C$43</f>
        <v>1839.54</v>
      </c>
      <c r="U73" s="76">
        <f>Valores!$C$23</f>
        <v>2739.25</v>
      </c>
      <c r="V73" s="76">
        <f t="shared" si="13"/>
        <v>2739.25</v>
      </c>
      <c r="W73" s="76">
        <v>0</v>
      </c>
      <c r="X73" s="76">
        <v>0</v>
      </c>
      <c r="Y73" s="80">
        <v>0</v>
      </c>
      <c r="Z73" s="76">
        <f>Y73*Valores!$C$2</f>
        <v>0</v>
      </c>
      <c r="AA73" s="76">
        <v>0</v>
      </c>
      <c r="AB73" s="81">
        <f>Valores!$C$29</f>
        <v>160.21</v>
      </c>
      <c r="AC73" s="76">
        <f t="shared" si="19"/>
        <v>0</v>
      </c>
      <c r="AD73" s="76">
        <f>Valores!$C$30</f>
        <v>160.21</v>
      </c>
      <c r="AE73" s="80">
        <v>0</v>
      </c>
      <c r="AF73" s="76">
        <f>INT(((AE73*Valores!$C$2)*100)+0.5)/100</f>
        <v>0</v>
      </c>
      <c r="AG73" s="76">
        <f>Valores!$C$58</f>
        <v>325.89</v>
      </c>
      <c r="AH73" s="76">
        <f>Valores!$C$60</f>
        <v>93.11</v>
      </c>
      <c r="AI73" s="82">
        <f t="shared" si="20"/>
        <v>34695.926</v>
      </c>
      <c r="AJ73" s="78">
        <f>Valores!$C$35</f>
        <v>599.19</v>
      </c>
      <c r="AK73" s="79">
        <f>Valores!$C$9</f>
        <v>0</v>
      </c>
      <c r="AL73" s="79">
        <f>Valores!$C$83</f>
        <v>2600</v>
      </c>
      <c r="AM73" s="81">
        <f>Valores!$C$51</f>
        <v>136.56</v>
      </c>
      <c r="AN73" s="83">
        <f t="shared" si="21"/>
        <v>3199.19</v>
      </c>
      <c r="AO73" s="84">
        <f>AI73*-Valores!$C$65</f>
        <v>-4510.47038</v>
      </c>
      <c r="AP73" s="84">
        <f>AI73*-Valores!$C$66</f>
        <v>-173.47963000000001</v>
      </c>
      <c r="AQ73" s="78">
        <f>AI73*-Valores!$C$67</f>
        <v>-1561.31667</v>
      </c>
      <c r="AR73" s="78">
        <f>AI73*-Valores!$C$68</f>
        <v>-936.790002</v>
      </c>
      <c r="AS73" s="78">
        <f>AI73*-Valores!$C$69</f>
        <v>-104.087778</v>
      </c>
      <c r="AT73" s="82">
        <f t="shared" si="17"/>
        <v>31649.84932</v>
      </c>
      <c r="AU73" s="82">
        <f t="shared" si="18"/>
        <v>32170.28821</v>
      </c>
      <c r="AV73" s="78">
        <f>AI73*Valores!$C$71</f>
        <v>5551.3481600000005</v>
      </c>
      <c r="AW73" s="78">
        <f>AI73*Valores!$C$72</f>
        <v>1561.31667</v>
      </c>
      <c r="AX73" s="78">
        <f>AI73*Valores!$C$73</f>
        <v>346.95926000000003</v>
      </c>
      <c r="AY73" s="78">
        <f>AI73*Valores!$C$75</f>
        <v>1214.35741</v>
      </c>
      <c r="AZ73" s="78">
        <f>AI73*Valores!$C$76</f>
        <v>208.175556</v>
      </c>
      <c r="BA73" s="78">
        <f aca="true" t="shared" si="22" ref="BA73:BA136">AI73*5.4/100</f>
        <v>1873.5800040000001</v>
      </c>
      <c r="BB73" s="52"/>
      <c r="BC73" s="52"/>
      <c r="BD73" s="28" t="s">
        <v>8</v>
      </c>
    </row>
    <row r="74" spans="1:56" s="28" customFormat="1" ht="11.25" customHeight="1">
      <c r="A74" s="52">
        <v>73</v>
      </c>
      <c r="B74" s="52"/>
      <c r="C74" s="28" t="s">
        <v>289</v>
      </c>
      <c r="E74" s="28">
        <f t="shared" si="14"/>
        <v>16</v>
      </c>
      <c r="F74" s="72" t="s">
        <v>290</v>
      </c>
      <c r="G74" s="73">
        <v>78</v>
      </c>
      <c r="H74" s="74">
        <f>INT((G74*Valores!$C$2*100)+0.5)/100</f>
        <v>517.33</v>
      </c>
      <c r="I74" s="75">
        <v>1284</v>
      </c>
      <c r="J74" s="76">
        <f>INT((I74*Valores!$C$2*100)+0.5)/100</f>
        <v>8516</v>
      </c>
      <c r="K74" s="103">
        <v>0</v>
      </c>
      <c r="L74" s="76">
        <f>INT((K74*Valores!$C$2*100)+0.5)/100</f>
        <v>0</v>
      </c>
      <c r="M74" s="101">
        <v>0</v>
      </c>
      <c r="N74" s="76">
        <f>INT((M74*Valores!$C$2*100)+0.5)/100</f>
        <v>0</v>
      </c>
      <c r="O74" s="76">
        <f t="shared" si="15"/>
        <v>1944.2504999999996</v>
      </c>
      <c r="P74" s="76">
        <f t="shared" si="16"/>
        <v>0</v>
      </c>
      <c r="Q74" s="78">
        <f>Valores!$C$15</f>
        <v>4266.78</v>
      </c>
      <c r="R74" s="78">
        <f>Valores!$D$4</f>
        <v>2966.67</v>
      </c>
      <c r="S74" s="76">
        <f>Valores!$C$26</f>
        <v>3094.03</v>
      </c>
      <c r="T74" s="79">
        <f>Valores!$C$42</f>
        <v>1226.37</v>
      </c>
      <c r="U74" s="102">
        <f>Valores!$C$24</f>
        <v>2701.97</v>
      </c>
      <c r="V74" s="76">
        <f t="shared" si="13"/>
        <v>2701.97</v>
      </c>
      <c r="W74" s="76">
        <v>0</v>
      </c>
      <c r="X74" s="76">
        <v>0</v>
      </c>
      <c r="Y74" s="80">
        <v>0</v>
      </c>
      <c r="Z74" s="76">
        <f>Y74*Valores!$C$2</f>
        <v>0</v>
      </c>
      <c r="AA74" s="76">
        <v>0</v>
      </c>
      <c r="AB74" s="81">
        <f>Valores!$C$29</f>
        <v>160.21</v>
      </c>
      <c r="AC74" s="76">
        <f t="shared" si="19"/>
        <v>0</v>
      </c>
      <c r="AD74" s="76">
        <f>Valores!$C$30</f>
        <v>160.21</v>
      </c>
      <c r="AE74" s="80">
        <v>0</v>
      </c>
      <c r="AF74" s="76">
        <f>INT(((AE74*Valores!$C$2)*100)+0.5)/100</f>
        <v>0</v>
      </c>
      <c r="AG74" s="76">
        <f>Valores!$C$58</f>
        <v>325.89</v>
      </c>
      <c r="AH74" s="76">
        <f>Valores!$C$60</f>
        <v>93.11</v>
      </c>
      <c r="AI74" s="82">
        <f t="shared" si="20"/>
        <v>25972.820499999998</v>
      </c>
      <c r="AJ74" s="78">
        <f>Valores!$C$35</f>
        <v>599.19</v>
      </c>
      <c r="AK74" s="79">
        <f>Valores!$C$8</f>
        <v>0</v>
      </c>
      <c r="AL74" s="79">
        <f>Valores!$C$81</f>
        <v>1300</v>
      </c>
      <c r="AM74" s="81">
        <f>Valores!$C$51</f>
        <v>136.56</v>
      </c>
      <c r="AN74" s="83">
        <f t="shared" si="21"/>
        <v>1899.19</v>
      </c>
      <c r="AO74" s="84">
        <f>AI74*-Valores!$C$65</f>
        <v>-3376.466665</v>
      </c>
      <c r="AP74" s="84">
        <f>AI74*-Valores!$C$66</f>
        <v>-129.8641025</v>
      </c>
      <c r="AQ74" s="78">
        <f>AI74*-Valores!$C$67</f>
        <v>-1168.7769225</v>
      </c>
      <c r="AR74" s="78">
        <f>AI74*-Valores!$C$68</f>
        <v>-701.2661535</v>
      </c>
      <c r="AS74" s="78">
        <f>AI74*-Valores!$C$69</f>
        <v>-77.91846149999999</v>
      </c>
      <c r="AT74" s="82">
        <f t="shared" si="17"/>
        <v>23196.902809999996</v>
      </c>
      <c r="AU74" s="82">
        <f t="shared" si="18"/>
        <v>23586.495117499995</v>
      </c>
      <c r="AV74" s="78">
        <f>AI74*Valores!$C$71</f>
        <v>4155.65128</v>
      </c>
      <c r="AW74" s="78">
        <f>AI74*Valores!$C$72</f>
        <v>1168.7769225</v>
      </c>
      <c r="AX74" s="78">
        <f>AI74*Valores!$C$73</f>
        <v>259.728205</v>
      </c>
      <c r="AY74" s="78">
        <f>AI74*Valores!$C$75</f>
        <v>909.0487175000001</v>
      </c>
      <c r="AZ74" s="78">
        <f>AI74*Valores!$C$76</f>
        <v>155.83692299999998</v>
      </c>
      <c r="BA74" s="78">
        <f t="shared" si="22"/>
        <v>1402.532307</v>
      </c>
      <c r="BB74" s="52"/>
      <c r="BC74" s="52">
        <v>30</v>
      </c>
      <c r="BD74" s="28" t="s">
        <v>4</v>
      </c>
    </row>
    <row r="75" spans="1:56" s="28" customFormat="1" ht="11.25" customHeight="1">
      <c r="A75" s="52">
        <v>74</v>
      </c>
      <c r="B75" s="52"/>
      <c r="C75" s="28" t="s">
        <v>291</v>
      </c>
      <c r="E75" s="28">
        <f t="shared" si="14"/>
        <v>33</v>
      </c>
      <c r="F75" s="72" t="s">
        <v>292</v>
      </c>
      <c r="G75" s="73">
        <v>78</v>
      </c>
      <c r="H75" s="74">
        <f>INT((G75*Valores!$C$2*100)+0.5)/100</f>
        <v>517.33</v>
      </c>
      <c r="I75" s="75">
        <v>1284</v>
      </c>
      <c r="J75" s="76">
        <f>INT((I75*Valores!$C$2*100)+0.5)/100</f>
        <v>8516</v>
      </c>
      <c r="K75" s="103">
        <v>0</v>
      </c>
      <c r="L75" s="76">
        <f>INT((K75*Valores!$C$2*100)+0.5)/100</f>
        <v>0</v>
      </c>
      <c r="M75" s="101">
        <v>0</v>
      </c>
      <c r="N75" s="76">
        <f>INT((M75*Valores!$C$2*100)+0.5)/100</f>
        <v>0</v>
      </c>
      <c r="O75" s="76">
        <f t="shared" si="15"/>
        <v>1944.2504999999996</v>
      </c>
      <c r="P75" s="76">
        <f t="shared" si="16"/>
        <v>0</v>
      </c>
      <c r="Q75" s="78">
        <f>Valores!$C$15</f>
        <v>4266.78</v>
      </c>
      <c r="R75" s="78">
        <f>Valores!$D$4</f>
        <v>2966.67</v>
      </c>
      <c r="S75" s="102">
        <f>Valores!$C$26</f>
        <v>3094.03</v>
      </c>
      <c r="T75" s="107">
        <f>Valores!$C$42</f>
        <v>1226.37</v>
      </c>
      <c r="U75" s="102">
        <f>Valores!$C$24</f>
        <v>2701.97</v>
      </c>
      <c r="V75" s="76">
        <f t="shared" si="13"/>
        <v>2701.97</v>
      </c>
      <c r="W75" s="76">
        <v>0</v>
      </c>
      <c r="X75" s="76">
        <v>0</v>
      </c>
      <c r="Y75" s="80">
        <v>0</v>
      </c>
      <c r="Z75" s="76">
        <f>Y75*Valores!$C$2</f>
        <v>0</v>
      </c>
      <c r="AA75" s="76">
        <v>0</v>
      </c>
      <c r="AB75" s="81">
        <f>Valores!$C$29</f>
        <v>160.21</v>
      </c>
      <c r="AC75" s="76">
        <f t="shared" si="19"/>
        <v>0</v>
      </c>
      <c r="AD75" s="76">
        <f>Valores!$C$30</f>
        <v>160.21</v>
      </c>
      <c r="AE75" s="80">
        <v>0</v>
      </c>
      <c r="AF75" s="76">
        <f>INT(((AE75*Valores!$C$2)*100)+0.5)/100</f>
        <v>0</v>
      </c>
      <c r="AG75" s="76">
        <f>Valores!$C$58</f>
        <v>325.89</v>
      </c>
      <c r="AH75" s="76">
        <f>Valores!$C$60</f>
        <v>93.11</v>
      </c>
      <c r="AI75" s="82">
        <f t="shared" si="20"/>
        <v>25972.820499999998</v>
      </c>
      <c r="AJ75" s="78">
        <f>Valores!$C$35</f>
        <v>599.19</v>
      </c>
      <c r="AK75" s="79">
        <f>Valores!$C$8</f>
        <v>0</v>
      </c>
      <c r="AL75" s="79">
        <f>Valores!$C$81</f>
        <v>1300</v>
      </c>
      <c r="AM75" s="81">
        <v>0</v>
      </c>
      <c r="AN75" s="83">
        <f t="shared" si="21"/>
        <v>1899.19</v>
      </c>
      <c r="AO75" s="84">
        <f>AI75*-Valores!$C$65</f>
        <v>-3376.466665</v>
      </c>
      <c r="AP75" s="84">
        <f>AI75*-Valores!$C$66</f>
        <v>-129.8641025</v>
      </c>
      <c r="AQ75" s="78">
        <f>AI75*-Valores!$C$67</f>
        <v>-1168.7769225</v>
      </c>
      <c r="AR75" s="78">
        <f>AI75*-Valores!$C$68</f>
        <v>-701.2661535</v>
      </c>
      <c r="AS75" s="78">
        <f>AI75*-Valores!$C$69</f>
        <v>-77.91846149999999</v>
      </c>
      <c r="AT75" s="82">
        <f t="shared" si="17"/>
        <v>23196.902809999996</v>
      </c>
      <c r="AU75" s="82">
        <f t="shared" si="18"/>
        <v>23586.495117499995</v>
      </c>
      <c r="AV75" s="78">
        <f>AI75*Valores!$C$71</f>
        <v>4155.65128</v>
      </c>
      <c r="AW75" s="78">
        <f>AI75*Valores!$C$72</f>
        <v>1168.7769225</v>
      </c>
      <c r="AX75" s="78">
        <f>AI75*Valores!$C$73</f>
        <v>259.728205</v>
      </c>
      <c r="AY75" s="78">
        <f>AI75*Valores!$C$75</f>
        <v>909.0487175000001</v>
      </c>
      <c r="AZ75" s="78">
        <f>AI75*Valores!$C$76</f>
        <v>155.83692299999998</v>
      </c>
      <c r="BA75" s="78">
        <f t="shared" si="22"/>
        <v>1402.532307</v>
      </c>
      <c r="BB75" s="52"/>
      <c r="BC75" s="52"/>
      <c r="BD75" s="28" t="s">
        <v>8</v>
      </c>
    </row>
    <row r="76" spans="1:56" s="28" customFormat="1" ht="11.25" customHeight="1">
      <c r="A76" s="86">
        <v>75</v>
      </c>
      <c r="B76" s="86" t="s">
        <v>163</v>
      </c>
      <c r="C76" s="87" t="s">
        <v>293</v>
      </c>
      <c r="D76" s="87"/>
      <c r="E76" s="87">
        <f t="shared" si="14"/>
        <v>33</v>
      </c>
      <c r="F76" s="88" t="s">
        <v>294</v>
      </c>
      <c r="G76" s="89">
        <v>78</v>
      </c>
      <c r="H76" s="90">
        <f>INT((G76*Valores!$C$2*100)+0.5)/100</f>
        <v>517.33</v>
      </c>
      <c r="I76" s="91">
        <v>1284</v>
      </c>
      <c r="J76" s="92">
        <f>INT((I76*Valores!$C$2*100)+0.5)/100</f>
        <v>8516</v>
      </c>
      <c r="K76" s="105">
        <v>0</v>
      </c>
      <c r="L76" s="92">
        <f>INT((K76*Valores!$C$2*100)+0.5)/100</f>
        <v>0</v>
      </c>
      <c r="M76" s="106">
        <v>0</v>
      </c>
      <c r="N76" s="92">
        <f>INT((M76*Valores!$C$2*100)+0.5)/100</f>
        <v>0</v>
      </c>
      <c r="O76" s="92">
        <f t="shared" si="15"/>
        <v>1538.9550000000002</v>
      </c>
      <c r="P76" s="92">
        <f t="shared" si="16"/>
        <v>0</v>
      </c>
      <c r="Q76" s="94">
        <f>Valores!$C$20</f>
        <v>4080.56</v>
      </c>
      <c r="R76" s="94">
        <f>Valores!$D$4</f>
        <v>2966.67</v>
      </c>
      <c r="S76" s="108">
        <f>Valores!$C$26</f>
        <v>3094.03</v>
      </c>
      <c r="T76" s="109">
        <f>Valores!$C$42</f>
        <v>1226.37</v>
      </c>
      <c r="U76" s="108">
        <v>0</v>
      </c>
      <c r="V76" s="92">
        <f t="shared" si="13"/>
        <v>0</v>
      </c>
      <c r="W76" s="92">
        <v>0</v>
      </c>
      <c r="X76" s="92">
        <v>0</v>
      </c>
      <c r="Y76" s="96">
        <v>0</v>
      </c>
      <c r="Z76" s="92">
        <f>Y76*Valores!$C$2</f>
        <v>0</v>
      </c>
      <c r="AA76" s="92">
        <v>0</v>
      </c>
      <c r="AB76" s="97">
        <f>Valores!$C$29</f>
        <v>160.21</v>
      </c>
      <c r="AC76" s="92">
        <f t="shared" si="19"/>
        <v>0</v>
      </c>
      <c r="AD76" s="92">
        <f>Valores!$C$30</f>
        <v>160.21</v>
      </c>
      <c r="AE76" s="96">
        <v>0</v>
      </c>
      <c r="AF76" s="92">
        <f>INT(((AE76*Valores!$C$2)*100)+0.5)/100</f>
        <v>0</v>
      </c>
      <c r="AG76" s="92">
        <f>Valores!$C$58</f>
        <v>325.89</v>
      </c>
      <c r="AH76" s="92">
        <f>Valores!$C$60</f>
        <v>93.11</v>
      </c>
      <c r="AI76" s="98">
        <f t="shared" si="20"/>
        <v>22679.334999999995</v>
      </c>
      <c r="AJ76" s="94">
        <f>Valores!$C$35</f>
        <v>599.19</v>
      </c>
      <c r="AK76" s="95">
        <f>Valores!$C$8</f>
        <v>0</v>
      </c>
      <c r="AL76" s="95">
        <f>Valores!$C$81</f>
        <v>1300</v>
      </c>
      <c r="AM76" s="97">
        <v>0</v>
      </c>
      <c r="AN76" s="99">
        <f t="shared" si="21"/>
        <v>1899.19</v>
      </c>
      <c r="AO76" s="100">
        <f>AI76*-Valores!$C$65</f>
        <v>-2948.3135499999994</v>
      </c>
      <c r="AP76" s="100">
        <f>AI76*-Valores!$C$66</f>
        <v>-113.39667499999997</v>
      </c>
      <c r="AQ76" s="94">
        <f>AI76*-Valores!$C$67</f>
        <v>-1020.5700749999997</v>
      </c>
      <c r="AR76" s="94">
        <f>AI76*-Valores!$C$68</f>
        <v>-612.3420449999999</v>
      </c>
      <c r="AS76" s="94">
        <f>AI76*-Valores!$C$69</f>
        <v>-68.03800499999998</v>
      </c>
      <c r="AT76" s="98">
        <f t="shared" si="17"/>
        <v>20496.244699999996</v>
      </c>
      <c r="AU76" s="98">
        <f t="shared" si="18"/>
        <v>20836.434724999996</v>
      </c>
      <c r="AV76" s="94">
        <f>AI76*Valores!$C$71</f>
        <v>3628.693599999999</v>
      </c>
      <c r="AW76" s="94">
        <f>AI76*Valores!$C$72</f>
        <v>1020.5700749999997</v>
      </c>
      <c r="AX76" s="94">
        <f>AI76*Valores!$C$73</f>
        <v>226.79334999999995</v>
      </c>
      <c r="AY76" s="94">
        <f>AI76*Valores!$C$75</f>
        <v>793.7767249999999</v>
      </c>
      <c r="AZ76" s="94">
        <f>AI76*Valores!$C$76</f>
        <v>136.07600999999997</v>
      </c>
      <c r="BA76" s="94">
        <f t="shared" si="22"/>
        <v>1224.6840899999997</v>
      </c>
      <c r="BB76" s="86"/>
      <c r="BC76" s="86"/>
      <c r="BD76" s="87" t="s">
        <v>8</v>
      </c>
    </row>
    <row r="77" spans="1:56" s="28" customFormat="1" ht="11.25" customHeight="1">
      <c r="A77" s="52">
        <v>76</v>
      </c>
      <c r="B77" s="52"/>
      <c r="C77" s="28" t="s">
        <v>295</v>
      </c>
      <c r="E77" s="28">
        <f t="shared" si="14"/>
        <v>29</v>
      </c>
      <c r="F77" s="72" t="s">
        <v>296</v>
      </c>
      <c r="G77" s="73">
        <v>82</v>
      </c>
      <c r="H77" s="74">
        <f>INT((G77*Valores!$C$2*100)+0.5)/100</f>
        <v>543.86</v>
      </c>
      <c r="I77" s="75">
        <v>2038</v>
      </c>
      <c r="J77" s="76">
        <f>INT((I77*Valores!$C$2*100)+0.5)/100</f>
        <v>13516.83</v>
      </c>
      <c r="K77" s="103">
        <v>0</v>
      </c>
      <c r="L77" s="76">
        <f>INT((K77*Valores!$C$2*100)+0.5)/100</f>
        <v>0</v>
      </c>
      <c r="M77" s="101">
        <v>0</v>
      </c>
      <c r="N77" s="76">
        <f>INT((M77*Valores!$C$2*100)+0.5)/100</f>
        <v>0</v>
      </c>
      <c r="O77" s="76">
        <f t="shared" si="15"/>
        <v>2703.9465</v>
      </c>
      <c r="P77" s="76">
        <f t="shared" si="16"/>
        <v>0</v>
      </c>
      <c r="Q77" s="110">
        <f>Valores!$C$16</f>
        <v>4291.62</v>
      </c>
      <c r="R77" s="110">
        <f>Valores!$D$4</f>
        <v>2966.67</v>
      </c>
      <c r="S77" s="107">
        <f>Valores!$C$26</f>
        <v>3094.03</v>
      </c>
      <c r="T77" s="107">
        <f>Valores!$C$42</f>
        <v>1226.37</v>
      </c>
      <c r="U77" s="79">
        <f>Valores!$C$23</f>
        <v>2739.25</v>
      </c>
      <c r="V77" s="76">
        <f t="shared" si="13"/>
        <v>2739.25</v>
      </c>
      <c r="W77" s="76">
        <v>0</v>
      </c>
      <c r="X77" s="76">
        <v>0</v>
      </c>
      <c r="Y77" s="80">
        <v>0</v>
      </c>
      <c r="Z77" s="76">
        <f>Y77*Valores!$C$2</f>
        <v>0</v>
      </c>
      <c r="AA77" s="76">
        <v>0</v>
      </c>
      <c r="AB77" s="81">
        <f>Valores!$C$29</f>
        <v>160.21</v>
      </c>
      <c r="AC77" s="76">
        <f t="shared" si="19"/>
        <v>0</v>
      </c>
      <c r="AD77" s="76">
        <f>Valores!$C$30</f>
        <v>160.21</v>
      </c>
      <c r="AE77" s="80">
        <v>0</v>
      </c>
      <c r="AF77" s="76">
        <f>INT(((AE77*Valores!$C$2)*100)+0.5)/100</f>
        <v>0</v>
      </c>
      <c r="AG77" s="76">
        <f>Valores!$C$58</f>
        <v>325.89</v>
      </c>
      <c r="AH77" s="76">
        <f>Valores!$C$60</f>
        <v>93.11</v>
      </c>
      <c r="AI77" s="82">
        <f t="shared" si="20"/>
        <v>31821.996499999997</v>
      </c>
      <c r="AJ77" s="78">
        <f>Valores!$C$35</f>
        <v>599.19</v>
      </c>
      <c r="AK77" s="79">
        <f>Valores!$C$8</f>
        <v>0</v>
      </c>
      <c r="AL77" s="79">
        <f>Valores!$C$81</f>
        <v>1300</v>
      </c>
      <c r="AM77" s="81">
        <f>Valores!$C$51</f>
        <v>136.56</v>
      </c>
      <c r="AN77" s="83">
        <f t="shared" si="21"/>
        <v>1899.19</v>
      </c>
      <c r="AO77" s="84">
        <f>AI77*-Valores!$C$65</f>
        <v>-4136.859545</v>
      </c>
      <c r="AP77" s="84">
        <f>AI77*-Valores!$C$66</f>
        <v>-159.1099825</v>
      </c>
      <c r="AQ77" s="78">
        <f>AI77*-Valores!$C$67</f>
        <v>-1431.9898425</v>
      </c>
      <c r="AR77" s="78">
        <f>AI77*-Valores!$C$68</f>
        <v>-859.1939054999999</v>
      </c>
      <c r="AS77" s="78">
        <f>AI77*-Valores!$C$69</f>
        <v>-95.46598949999999</v>
      </c>
      <c r="AT77" s="82">
        <f t="shared" si="17"/>
        <v>27993.22713</v>
      </c>
      <c r="AU77" s="82">
        <f t="shared" si="18"/>
        <v>28470.557077499998</v>
      </c>
      <c r="AV77" s="78">
        <f>AI77*Valores!$C$71</f>
        <v>5091.51944</v>
      </c>
      <c r="AW77" s="78">
        <f>AI77*Valores!$C$72</f>
        <v>1431.9898425</v>
      </c>
      <c r="AX77" s="78">
        <f>AI77*Valores!$C$73</f>
        <v>318.219965</v>
      </c>
      <c r="AY77" s="78">
        <f>AI77*Valores!$C$75</f>
        <v>1113.7698775000001</v>
      </c>
      <c r="AZ77" s="78">
        <f>AI77*Valores!$C$76</f>
        <v>190.93197899999998</v>
      </c>
      <c r="BA77" s="78">
        <f t="shared" si="22"/>
        <v>1718.3878109999998</v>
      </c>
      <c r="BB77" s="52"/>
      <c r="BC77" s="52">
        <v>25</v>
      </c>
      <c r="BD77" s="28" t="s">
        <v>4</v>
      </c>
    </row>
    <row r="78" spans="1:56" s="28" customFormat="1" ht="11.25" customHeight="1">
      <c r="A78" s="52">
        <v>77</v>
      </c>
      <c r="B78" s="52"/>
      <c r="C78" s="28" t="s">
        <v>297</v>
      </c>
      <c r="E78" s="28">
        <f t="shared" si="14"/>
        <v>24</v>
      </c>
      <c r="F78" s="72" t="s">
        <v>298</v>
      </c>
      <c r="G78" s="73">
        <v>78</v>
      </c>
      <c r="H78" s="74">
        <f>INT((G78*Valores!$C$2*100)+0.5)/100</f>
        <v>517.33</v>
      </c>
      <c r="I78" s="75">
        <v>2072</v>
      </c>
      <c r="J78" s="76">
        <f>INT((I78*Valores!$C$2*100)+0.5)/100</f>
        <v>13742.33</v>
      </c>
      <c r="K78" s="103">
        <v>0</v>
      </c>
      <c r="L78" s="76">
        <f>INT((K78*Valores!$C$2*100)+0.5)/100</f>
        <v>0</v>
      </c>
      <c r="M78" s="101">
        <v>0</v>
      </c>
      <c r="N78" s="76">
        <f>INT((M78*Valores!$C$2*100)+0.5)/100</f>
        <v>0</v>
      </c>
      <c r="O78" s="76">
        <f t="shared" si="15"/>
        <v>2733.792</v>
      </c>
      <c r="P78" s="76">
        <f t="shared" si="16"/>
        <v>0</v>
      </c>
      <c r="Q78" s="110">
        <f>Valores!$C$16</f>
        <v>4291.62</v>
      </c>
      <c r="R78" s="110">
        <f>Valores!$D$4</f>
        <v>2966.67</v>
      </c>
      <c r="S78" s="107">
        <f>Valores!$C$26</f>
        <v>3094.03</v>
      </c>
      <c r="T78" s="107">
        <f>Valores!$C$42</f>
        <v>1226.37</v>
      </c>
      <c r="U78" s="79">
        <f>Valores!$C$23</f>
        <v>2739.25</v>
      </c>
      <c r="V78" s="76">
        <f t="shared" si="13"/>
        <v>2739.25</v>
      </c>
      <c r="W78" s="76">
        <v>0</v>
      </c>
      <c r="X78" s="76">
        <v>0</v>
      </c>
      <c r="Y78" s="80">
        <v>0</v>
      </c>
      <c r="Z78" s="76">
        <f>Y78*Valores!$C$2</f>
        <v>0</v>
      </c>
      <c r="AA78" s="76">
        <v>0</v>
      </c>
      <c r="AB78" s="81">
        <f>Valores!$C$29</f>
        <v>160.21</v>
      </c>
      <c r="AC78" s="76">
        <f t="shared" si="19"/>
        <v>0</v>
      </c>
      <c r="AD78" s="76">
        <f>Valores!$C$30</f>
        <v>160.21</v>
      </c>
      <c r="AE78" s="80">
        <v>0</v>
      </c>
      <c r="AF78" s="76">
        <f>INT(((AE78*Valores!$C$2)*100)+0.5)/100</f>
        <v>0</v>
      </c>
      <c r="AG78" s="76">
        <f>Valores!$C$58</f>
        <v>325.89</v>
      </c>
      <c r="AH78" s="76">
        <f>Valores!$C$60</f>
        <v>93.11</v>
      </c>
      <c r="AI78" s="82">
        <f t="shared" si="20"/>
        <v>32050.811999999994</v>
      </c>
      <c r="AJ78" s="78">
        <f>Valores!$C$35</f>
        <v>599.19</v>
      </c>
      <c r="AK78" s="79">
        <f>Valores!$C$8</f>
        <v>0</v>
      </c>
      <c r="AL78" s="79">
        <f>Valores!$C$83</f>
        <v>2600</v>
      </c>
      <c r="AM78" s="81">
        <f>Valores!$C$51</f>
        <v>136.56</v>
      </c>
      <c r="AN78" s="83">
        <f t="shared" si="21"/>
        <v>3199.19</v>
      </c>
      <c r="AO78" s="84">
        <f>AI78*-Valores!$C$65</f>
        <v>-4166.605559999999</v>
      </c>
      <c r="AP78" s="84">
        <f>AI78*-Valores!$C$66</f>
        <v>-160.25405999999998</v>
      </c>
      <c r="AQ78" s="78">
        <f>AI78*-Valores!$C$67</f>
        <v>-1442.2865399999996</v>
      </c>
      <c r="AR78" s="78">
        <f>AI78*-Valores!$C$68</f>
        <v>-865.3719239999998</v>
      </c>
      <c r="AS78" s="78">
        <f>AI78*-Valores!$C$69</f>
        <v>-96.15243599999998</v>
      </c>
      <c r="AT78" s="82">
        <f t="shared" si="17"/>
        <v>29480.855839999993</v>
      </c>
      <c r="AU78" s="82">
        <f t="shared" si="18"/>
        <v>29961.618019999994</v>
      </c>
      <c r="AV78" s="78">
        <f>AI78*Valores!$C$71</f>
        <v>5128.129919999999</v>
      </c>
      <c r="AW78" s="78">
        <f>AI78*Valores!$C$72</f>
        <v>1442.2865399999996</v>
      </c>
      <c r="AX78" s="78">
        <f>AI78*Valores!$C$73</f>
        <v>320.50811999999996</v>
      </c>
      <c r="AY78" s="78">
        <f>AI78*Valores!$C$75</f>
        <v>1121.7784199999999</v>
      </c>
      <c r="AZ78" s="78">
        <f>AI78*Valores!$C$76</f>
        <v>192.30487199999996</v>
      </c>
      <c r="BA78" s="78">
        <f t="shared" si="22"/>
        <v>1730.7438479999996</v>
      </c>
      <c r="BB78" s="52"/>
      <c r="BC78" s="52">
        <v>30</v>
      </c>
      <c r="BD78" s="28" t="s">
        <v>4</v>
      </c>
    </row>
    <row r="79" spans="1:56" s="28" customFormat="1" ht="11.25" customHeight="1">
      <c r="A79" s="52">
        <v>78</v>
      </c>
      <c r="B79" s="52"/>
      <c r="C79" s="28" t="s">
        <v>299</v>
      </c>
      <c r="E79" s="28">
        <f t="shared" si="14"/>
        <v>24</v>
      </c>
      <c r="F79" s="72" t="s">
        <v>300</v>
      </c>
      <c r="G79" s="73">
        <v>78</v>
      </c>
      <c r="H79" s="74">
        <f>INT((G79*Valores!$C$2*100)+0.5)/100</f>
        <v>517.33</v>
      </c>
      <c r="I79" s="75">
        <v>1770</v>
      </c>
      <c r="J79" s="76">
        <f>INT((I79*Valores!$C$2*100)+0.5)/100</f>
        <v>11739.35</v>
      </c>
      <c r="K79" s="103">
        <v>0</v>
      </c>
      <c r="L79" s="76">
        <f>INT((K79*Valores!$C$2*100)+0.5)/100</f>
        <v>0</v>
      </c>
      <c r="M79" s="101">
        <v>0</v>
      </c>
      <c r="N79" s="76">
        <f>INT((M79*Valores!$C$2*100)+0.5)/100</f>
        <v>0</v>
      </c>
      <c r="O79" s="76">
        <f t="shared" si="15"/>
        <v>2433.345</v>
      </c>
      <c r="P79" s="76">
        <f t="shared" si="16"/>
        <v>0</v>
      </c>
      <c r="Q79" s="110">
        <f>Valores!$C$16</f>
        <v>4291.62</v>
      </c>
      <c r="R79" s="110">
        <f>Valores!$D$4</f>
        <v>2966.67</v>
      </c>
      <c r="S79" s="79">
        <f>Valores!$C$26</f>
        <v>3094.03</v>
      </c>
      <c r="T79" s="79">
        <f>Valores!$C$42</f>
        <v>1226.37</v>
      </c>
      <c r="U79" s="79">
        <f>Valores!$C$23</f>
        <v>2739.25</v>
      </c>
      <c r="V79" s="76">
        <f t="shared" si="13"/>
        <v>2739.25</v>
      </c>
      <c r="W79" s="76">
        <v>0</v>
      </c>
      <c r="X79" s="76">
        <v>0</v>
      </c>
      <c r="Y79" s="80">
        <v>0</v>
      </c>
      <c r="Z79" s="76">
        <f>Y79*Valores!$C$2</f>
        <v>0</v>
      </c>
      <c r="AA79" s="76">
        <v>0</v>
      </c>
      <c r="AB79" s="81">
        <f>Valores!$C$29</f>
        <v>160.21</v>
      </c>
      <c r="AC79" s="76">
        <f t="shared" si="19"/>
        <v>0</v>
      </c>
      <c r="AD79" s="76">
        <f>Valores!$C$30</f>
        <v>160.21</v>
      </c>
      <c r="AE79" s="80">
        <v>0</v>
      </c>
      <c r="AF79" s="76">
        <f>INT(((AE79*Valores!$C$2)*100)+0.5)/100</f>
        <v>0</v>
      </c>
      <c r="AG79" s="76">
        <f>Valores!$C$58</f>
        <v>325.89</v>
      </c>
      <c r="AH79" s="76">
        <f>Valores!$C$60</f>
        <v>93.11</v>
      </c>
      <c r="AI79" s="82">
        <f t="shared" si="20"/>
        <v>29747.385</v>
      </c>
      <c r="AJ79" s="78">
        <f>Valores!$C$35</f>
        <v>599.19</v>
      </c>
      <c r="AK79" s="79">
        <f>Valores!$C$8</f>
        <v>0</v>
      </c>
      <c r="AL79" s="79">
        <f>Valores!$C$83</f>
        <v>2600</v>
      </c>
      <c r="AM79" s="81">
        <f>Valores!$C$51</f>
        <v>136.56</v>
      </c>
      <c r="AN79" s="83">
        <f t="shared" si="21"/>
        <v>3199.19</v>
      </c>
      <c r="AO79" s="84">
        <f>AI79*-Valores!$C$65</f>
        <v>-3867.16005</v>
      </c>
      <c r="AP79" s="84">
        <f>AI79*-Valores!$C$66</f>
        <v>-148.73692499999999</v>
      </c>
      <c r="AQ79" s="78">
        <f>AI79*-Valores!$C$67</f>
        <v>-1338.6323249999998</v>
      </c>
      <c r="AR79" s="78">
        <f>AI79*-Valores!$C$68</f>
        <v>-803.179395</v>
      </c>
      <c r="AS79" s="78">
        <f>AI79*-Valores!$C$69</f>
        <v>-89.242155</v>
      </c>
      <c r="AT79" s="82">
        <f t="shared" si="17"/>
        <v>27592.045700000002</v>
      </c>
      <c r="AU79" s="82">
        <f t="shared" si="18"/>
        <v>28038.256475000002</v>
      </c>
      <c r="AV79" s="78">
        <f>AI79*Valores!$C$71</f>
        <v>4759.5815999999995</v>
      </c>
      <c r="AW79" s="78">
        <f>AI79*Valores!$C$72</f>
        <v>1338.6323249999998</v>
      </c>
      <c r="AX79" s="78">
        <f>AI79*Valores!$C$73</f>
        <v>297.47384999999997</v>
      </c>
      <c r="AY79" s="78">
        <f>AI79*Valores!$C$75</f>
        <v>1041.158475</v>
      </c>
      <c r="AZ79" s="78">
        <f>AI79*Valores!$C$76</f>
        <v>178.48431</v>
      </c>
      <c r="BA79" s="78">
        <f t="shared" si="22"/>
        <v>1606.3587900000002</v>
      </c>
      <c r="BB79" s="52"/>
      <c r="BC79" s="52"/>
      <c r="BD79" s="28" t="s">
        <v>4</v>
      </c>
    </row>
    <row r="80" spans="1:56" s="28" customFormat="1" ht="11.25" customHeight="1">
      <c r="A80" s="52">
        <v>79</v>
      </c>
      <c r="B80" s="52"/>
      <c r="C80" s="28" t="s">
        <v>301</v>
      </c>
      <c r="E80" s="28">
        <f t="shared" si="14"/>
        <v>27</v>
      </c>
      <c r="F80" s="72" t="s">
        <v>302</v>
      </c>
      <c r="G80" s="73">
        <v>77</v>
      </c>
      <c r="H80" s="74">
        <f>INT((G80*Valores!$C$2*100)+0.5)/100</f>
        <v>510.69</v>
      </c>
      <c r="I80" s="75">
        <v>2073</v>
      </c>
      <c r="J80" s="76">
        <f>INT((I80*Valores!$C$2*100)+0.5)/100</f>
        <v>13748.97</v>
      </c>
      <c r="K80" s="103">
        <v>0</v>
      </c>
      <c r="L80" s="76">
        <f>INT((K80*Valores!$C$2*100)+0.5)/100</f>
        <v>0</v>
      </c>
      <c r="M80" s="101">
        <v>0</v>
      </c>
      <c r="N80" s="76">
        <f>INT((M80*Valores!$C$2*100)+0.5)/100</f>
        <v>0</v>
      </c>
      <c r="O80" s="76">
        <f t="shared" si="15"/>
        <v>2733.792</v>
      </c>
      <c r="P80" s="76">
        <f t="shared" si="16"/>
        <v>0</v>
      </c>
      <c r="Q80" s="110">
        <f>Valores!$C$16</f>
        <v>4291.62</v>
      </c>
      <c r="R80" s="110">
        <f>Valores!$D$4</f>
        <v>2966.67</v>
      </c>
      <c r="S80" s="107">
        <f>Valores!$C$26</f>
        <v>3094.03</v>
      </c>
      <c r="T80" s="107">
        <f>Valores!$C$42</f>
        <v>1226.37</v>
      </c>
      <c r="U80" s="79">
        <f>Valores!$C$23</f>
        <v>2739.25</v>
      </c>
      <c r="V80" s="76">
        <f t="shared" si="13"/>
        <v>2739.25</v>
      </c>
      <c r="W80" s="76">
        <v>0</v>
      </c>
      <c r="X80" s="76">
        <v>0</v>
      </c>
      <c r="Y80" s="80">
        <v>0</v>
      </c>
      <c r="Z80" s="76">
        <f>Y80*Valores!$C$2</f>
        <v>0</v>
      </c>
      <c r="AA80" s="76">
        <v>0</v>
      </c>
      <c r="AB80" s="81">
        <f>Valores!$C$29</f>
        <v>160.21</v>
      </c>
      <c r="AC80" s="76">
        <f t="shared" si="19"/>
        <v>0</v>
      </c>
      <c r="AD80" s="76">
        <f>Valores!$C$30</f>
        <v>160.21</v>
      </c>
      <c r="AE80" s="80">
        <v>0</v>
      </c>
      <c r="AF80" s="76">
        <f>INT(((AE80*Valores!$C$2)*100)+0.5)/100</f>
        <v>0</v>
      </c>
      <c r="AG80" s="76">
        <f>Valores!$C$58</f>
        <v>325.89</v>
      </c>
      <c r="AH80" s="76">
        <f>Valores!$C$60</f>
        <v>93.11</v>
      </c>
      <c r="AI80" s="82">
        <f t="shared" si="20"/>
        <v>32050.811999999994</v>
      </c>
      <c r="AJ80" s="78">
        <f>Valores!$C$35</f>
        <v>599.19</v>
      </c>
      <c r="AK80" s="79">
        <f>Valores!$C$8</f>
        <v>0</v>
      </c>
      <c r="AL80" s="79">
        <f>Valores!$C$81</f>
        <v>1300</v>
      </c>
      <c r="AM80" s="81">
        <f>Valores!$C$51</f>
        <v>136.56</v>
      </c>
      <c r="AN80" s="83">
        <f t="shared" si="21"/>
        <v>1899.19</v>
      </c>
      <c r="AO80" s="84">
        <f>AI80*-Valores!$C$65</f>
        <v>-4166.605559999999</v>
      </c>
      <c r="AP80" s="84">
        <f>AI80*-Valores!$C$66</f>
        <v>-160.25405999999998</v>
      </c>
      <c r="AQ80" s="78">
        <f>AI80*-Valores!$C$67</f>
        <v>-1442.2865399999996</v>
      </c>
      <c r="AR80" s="78">
        <f>AI80*-Valores!$C$68</f>
        <v>-865.3719239999998</v>
      </c>
      <c r="AS80" s="78">
        <f>AI80*-Valores!$C$69</f>
        <v>-96.15243599999998</v>
      </c>
      <c r="AT80" s="82">
        <f t="shared" si="17"/>
        <v>28180.855839999993</v>
      </c>
      <c r="AU80" s="82">
        <f t="shared" si="18"/>
        <v>28661.618019999994</v>
      </c>
      <c r="AV80" s="78">
        <f>AI80*Valores!$C$71</f>
        <v>5128.129919999999</v>
      </c>
      <c r="AW80" s="78">
        <f>AI80*Valores!$C$72</f>
        <v>1442.2865399999996</v>
      </c>
      <c r="AX80" s="78">
        <f>AI80*Valores!$C$73</f>
        <v>320.50811999999996</v>
      </c>
      <c r="AY80" s="78">
        <f>AI80*Valores!$C$75</f>
        <v>1121.7784199999999</v>
      </c>
      <c r="AZ80" s="78">
        <f>AI80*Valores!$C$76</f>
        <v>192.30487199999996</v>
      </c>
      <c r="BA80" s="78">
        <f t="shared" si="22"/>
        <v>1730.7438479999996</v>
      </c>
      <c r="BB80" s="52"/>
      <c r="BC80" s="52">
        <v>25</v>
      </c>
      <c r="BD80" s="28" t="s">
        <v>8</v>
      </c>
    </row>
    <row r="81" spans="1:56" s="28" customFormat="1" ht="11.25" customHeight="1">
      <c r="A81" s="86">
        <v>80</v>
      </c>
      <c r="B81" s="86" t="s">
        <v>163</v>
      </c>
      <c r="C81" s="87" t="s">
        <v>303</v>
      </c>
      <c r="D81" s="87"/>
      <c r="E81" s="87">
        <f t="shared" si="14"/>
        <v>27</v>
      </c>
      <c r="F81" s="88" t="s">
        <v>304</v>
      </c>
      <c r="G81" s="89">
        <v>76</v>
      </c>
      <c r="H81" s="90">
        <f>INT((G81*Valores!$C$2*100)+0.5)/100</f>
        <v>504.06</v>
      </c>
      <c r="I81" s="91">
        <v>1872</v>
      </c>
      <c r="J81" s="92">
        <f>INT((I81*Valores!$C$2*100)+0.5)/100</f>
        <v>12415.85</v>
      </c>
      <c r="K81" s="105">
        <v>0</v>
      </c>
      <c r="L81" s="92">
        <f>INT((K81*Valores!$C$2*100)+0.5)/100</f>
        <v>0</v>
      </c>
      <c r="M81" s="106">
        <v>0</v>
      </c>
      <c r="N81" s="92">
        <f>INT((M81*Valores!$C$2*100)+0.5)/100</f>
        <v>0</v>
      </c>
      <c r="O81" s="92">
        <f t="shared" si="15"/>
        <v>2532.8295</v>
      </c>
      <c r="P81" s="92">
        <f t="shared" si="16"/>
        <v>0</v>
      </c>
      <c r="Q81" s="111">
        <f>Valores!$C$16</f>
        <v>4291.62</v>
      </c>
      <c r="R81" s="111">
        <f>Valores!$D$4</f>
        <v>2966.67</v>
      </c>
      <c r="S81" s="95">
        <v>0</v>
      </c>
      <c r="T81" s="95">
        <f>Valores!$C$42</f>
        <v>1226.37</v>
      </c>
      <c r="U81" s="95">
        <f>Valores!$C$23</f>
        <v>2739.25</v>
      </c>
      <c r="V81" s="92">
        <f t="shared" si="13"/>
        <v>2739.25</v>
      </c>
      <c r="W81" s="92">
        <v>0</v>
      </c>
      <c r="X81" s="92">
        <v>0</v>
      </c>
      <c r="Y81" s="96">
        <v>0</v>
      </c>
      <c r="Z81" s="92">
        <f>Y81*Valores!$C$2</f>
        <v>0</v>
      </c>
      <c r="AA81" s="92">
        <v>0</v>
      </c>
      <c r="AB81" s="97">
        <f>Valores!$C$29</f>
        <v>160.21</v>
      </c>
      <c r="AC81" s="92">
        <f t="shared" si="19"/>
        <v>0</v>
      </c>
      <c r="AD81" s="92">
        <f>Valores!$C$30</f>
        <v>160.21</v>
      </c>
      <c r="AE81" s="96">
        <v>0</v>
      </c>
      <c r="AF81" s="92">
        <f>INT(((AE81*Valores!$C$2)*100)+0.5)/100</f>
        <v>0</v>
      </c>
      <c r="AG81" s="92">
        <f>Valores!$C$58</f>
        <v>325.89</v>
      </c>
      <c r="AH81" s="92">
        <f>Valores!$C$60</f>
        <v>93.11</v>
      </c>
      <c r="AI81" s="98">
        <f t="shared" si="20"/>
        <v>27416.069499999994</v>
      </c>
      <c r="AJ81" s="94">
        <f>Valores!$C$35</f>
        <v>599.19</v>
      </c>
      <c r="AK81" s="95">
        <f>Valores!$C$8</f>
        <v>0</v>
      </c>
      <c r="AL81" s="95">
        <f>Valores!$C$81</f>
        <v>1300</v>
      </c>
      <c r="AM81" s="97">
        <f>Valores!$C$51</f>
        <v>136.56</v>
      </c>
      <c r="AN81" s="99">
        <f t="shared" si="21"/>
        <v>1899.19</v>
      </c>
      <c r="AO81" s="100">
        <f>AI81*-Valores!$C$65</f>
        <v>-3564.0890349999995</v>
      </c>
      <c r="AP81" s="100">
        <f>AI81*-Valores!$C$66</f>
        <v>-137.0803475</v>
      </c>
      <c r="AQ81" s="94">
        <f>AI81*-Valores!$C$67</f>
        <v>-1233.7231274999997</v>
      </c>
      <c r="AR81" s="94">
        <f>AI81*-Valores!$C$68</f>
        <v>-740.2338764999998</v>
      </c>
      <c r="AS81" s="94">
        <f>AI81*-Valores!$C$69</f>
        <v>-82.24820849999999</v>
      </c>
      <c r="AT81" s="98">
        <f t="shared" si="17"/>
        <v>24380.36698999999</v>
      </c>
      <c r="AU81" s="98">
        <f t="shared" si="18"/>
        <v>24791.608032499993</v>
      </c>
      <c r="AV81" s="94">
        <f>AI81*Valores!$C$71</f>
        <v>4386.57112</v>
      </c>
      <c r="AW81" s="94">
        <f>AI81*Valores!$C$72</f>
        <v>1233.7231274999997</v>
      </c>
      <c r="AX81" s="94">
        <f>AI81*Valores!$C$73</f>
        <v>274.160695</v>
      </c>
      <c r="AY81" s="94">
        <f>AI81*Valores!$C$75</f>
        <v>959.5624324999999</v>
      </c>
      <c r="AZ81" s="94">
        <f>AI81*Valores!$C$76</f>
        <v>164.49641699999998</v>
      </c>
      <c r="BA81" s="94">
        <f t="shared" si="22"/>
        <v>1480.467753</v>
      </c>
      <c r="BB81" s="86"/>
      <c r="BC81" s="86">
        <v>30</v>
      </c>
      <c r="BD81" s="87" t="s">
        <v>8</v>
      </c>
    </row>
    <row r="82" spans="1:56" s="28" customFormat="1" ht="11.25" customHeight="1">
      <c r="A82" s="52">
        <v>81</v>
      </c>
      <c r="B82" s="52"/>
      <c r="C82" s="28" t="s">
        <v>305</v>
      </c>
      <c r="E82" s="28">
        <f t="shared" si="14"/>
        <v>30</v>
      </c>
      <c r="F82" s="72" t="s">
        <v>306</v>
      </c>
      <c r="G82" s="73">
        <v>75</v>
      </c>
      <c r="H82" s="74">
        <f>INT((G82*Valores!$C$2*100)+0.5)/100</f>
        <v>497.43</v>
      </c>
      <c r="I82" s="75">
        <v>1873</v>
      </c>
      <c r="J82" s="76">
        <f>INT((I82*Valores!$C$2*100)+0.5)/100</f>
        <v>12422.49</v>
      </c>
      <c r="K82" s="103">
        <v>0</v>
      </c>
      <c r="L82" s="76">
        <f>INT((K82*Valores!$C$2*100)+0.5)/100</f>
        <v>0</v>
      </c>
      <c r="M82" s="101">
        <v>0</v>
      </c>
      <c r="N82" s="76">
        <f>INT((M82*Valores!$C$2*100)+0.5)/100</f>
        <v>0</v>
      </c>
      <c r="O82" s="76">
        <f t="shared" si="15"/>
        <v>2532.831</v>
      </c>
      <c r="P82" s="76">
        <f t="shared" si="16"/>
        <v>0</v>
      </c>
      <c r="Q82" s="110">
        <f>Valores!$C$16</f>
        <v>4291.62</v>
      </c>
      <c r="R82" s="110">
        <f>Valores!$D$4</f>
        <v>2966.67</v>
      </c>
      <c r="S82" s="107">
        <f>Valores!$C$26</f>
        <v>3094.03</v>
      </c>
      <c r="T82" s="107">
        <f>Valores!$C$42</f>
        <v>1226.37</v>
      </c>
      <c r="U82" s="79">
        <f>Valores!$C$23</f>
        <v>2739.25</v>
      </c>
      <c r="V82" s="76">
        <f t="shared" si="13"/>
        <v>2739.25</v>
      </c>
      <c r="W82" s="76">
        <v>0</v>
      </c>
      <c r="X82" s="76">
        <v>0</v>
      </c>
      <c r="Y82" s="80">
        <v>0</v>
      </c>
      <c r="Z82" s="76">
        <f>Y82*Valores!$C$2</f>
        <v>0</v>
      </c>
      <c r="AA82" s="76">
        <v>0</v>
      </c>
      <c r="AB82" s="81">
        <f>Valores!$C$29</f>
        <v>160.21</v>
      </c>
      <c r="AC82" s="76">
        <f t="shared" si="19"/>
        <v>0</v>
      </c>
      <c r="AD82" s="76">
        <f>Valores!$C$30</f>
        <v>160.21</v>
      </c>
      <c r="AE82" s="80">
        <v>0</v>
      </c>
      <c r="AF82" s="76">
        <f>INT(((AE82*Valores!$C$2)*100)+0.5)/100</f>
        <v>0</v>
      </c>
      <c r="AG82" s="76">
        <f>Valores!$C$58</f>
        <v>325.89</v>
      </c>
      <c r="AH82" s="76">
        <f>Valores!$C$60</f>
        <v>93.11</v>
      </c>
      <c r="AI82" s="82">
        <f t="shared" si="20"/>
        <v>30510.110999999994</v>
      </c>
      <c r="AJ82" s="78">
        <f>Valores!$C$35</f>
        <v>599.19</v>
      </c>
      <c r="AK82" s="79">
        <f>Valores!$C$8</f>
        <v>0</v>
      </c>
      <c r="AL82" s="79">
        <f>Valores!$C$82</f>
        <v>1560</v>
      </c>
      <c r="AM82" s="81">
        <f>Valores!$C$51</f>
        <v>136.56</v>
      </c>
      <c r="AN82" s="83">
        <f t="shared" si="21"/>
        <v>2159.19</v>
      </c>
      <c r="AO82" s="84">
        <f>AI82*-Valores!$C$65</f>
        <v>-3966.3144299999994</v>
      </c>
      <c r="AP82" s="84">
        <f>AI82*-Valores!$C$66</f>
        <v>-152.55055499999997</v>
      </c>
      <c r="AQ82" s="78">
        <f>AI82*-Valores!$C$67</f>
        <v>-1372.9549949999996</v>
      </c>
      <c r="AR82" s="78">
        <f>AI82*-Valores!$C$68</f>
        <v>-823.7729969999998</v>
      </c>
      <c r="AS82" s="78">
        <f>AI82*-Valores!$C$69</f>
        <v>-91.53033299999998</v>
      </c>
      <c r="AT82" s="82">
        <f t="shared" si="17"/>
        <v>27177.481019999992</v>
      </c>
      <c r="AU82" s="82">
        <f t="shared" si="18"/>
        <v>27635.132684999993</v>
      </c>
      <c r="AV82" s="78">
        <f>AI82*Valores!$C$71</f>
        <v>4881.617759999999</v>
      </c>
      <c r="AW82" s="78">
        <f>AI82*Valores!$C$72</f>
        <v>1372.9549949999996</v>
      </c>
      <c r="AX82" s="78">
        <f>AI82*Valores!$C$73</f>
        <v>305.10110999999995</v>
      </c>
      <c r="AY82" s="78">
        <f>AI82*Valores!$C$75</f>
        <v>1067.8538849999998</v>
      </c>
      <c r="AZ82" s="78">
        <f>AI82*Valores!$C$76</f>
        <v>183.06066599999997</v>
      </c>
      <c r="BA82" s="78">
        <f t="shared" si="22"/>
        <v>1647.5459939999998</v>
      </c>
      <c r="BB82" s="52"/>
      <c r="BC82" s="52">
        <v>25</v>
      </c>
      <c r="BD82" s="28" t="s">
        <v>4</v>
      </c>
    </row>
    <row r="83" spans="1:56" s="28" customFormat="1" ht="11.25" customHeight="1">
      <c r="A83" s="52">
        <v>82</v>
      </c>
      <c r="B83" s="52"/>
      <c r="C83" s="28" t="s">
        <v>307</v>
      </c>
      <c r="E83" s="28">
        <f t="shared" si="14"/>
        <v>27</v>
      </c>
      <c r="F83" s="72" t="s">
        <v>308</v>
      </c>
      <c r="G83" s="73">
        <v>76</v>
      </c>
      <c r="H83" s="74">
        <f>INT((G83*Valores!$C$2*100)+0.5)/100</f>
        <v>504.06</v>
      </c>
      <c r="I83" s="75">
        <v>1752</v>
      </c>
      <c r="J83" s="76">
        <f>INT((I83*Valores!$C$2*100)+0.5)/100</f>
        <v>11619.96</v>
      </c>
      <c r="K83" s="103">
        <v>0</v>
      </c>
      <c r="L83" s="76">
        <f>INT((K83*Valores!$C$2*100)+0.5)/100</f>
        <v>0</v>
      </c>
      <c r="M83" s="101">
        <v>0</v>
      </c>
      <c r="N83" s="76">
        <f>INT((M83*Valores!$C$2*100)+0.5)/100</f>
        <v>0</v>
      </c>
      <c r="O83" s="76">
        <f t="shared" si="15"/>
        <v>2413.446</v>
      </c>
      <c r="P83" s="76">
        <f t="shared" si="16"/>
        <v>0</v>
      </c>
      <c r="Q83" s="110">
        <f>Valores!$C$15</f>
        <v>4266.78</v>
      </c>
      <c r="R83" s="110">
        <f>Valores!$D$4</f>
        <v>2966.67</v>
      </c>
      <c r="S83" s="107">
        <f>Valores!$C$26</f>
        <v>3094.03</v>
      </c>
      <c r="T83" s="107">
        <f>Valores!$C$42</f>
        <v>1226.37</v>
      </c>
      <c r="U83" s="79">
        <f>Valores!$C$23</f>
        <v>2739.25</v>
      </c>
      <c r="V83" s="76">
        <f t="shared" si="13"/>
        <v>2739.25</v>
      </c>
      <c r="W83" s="76">
        <v>0</v>
      </c>
      <c r="X83" s="76">
        <v>0</v>
      </c>
      <c r="Y83" s="80">
        <v>0</v>
      </c>
      <c r="Z83" s="76">
        <f>Y83*Valores!$C$2</f>
        <v>0</v>
      </c>
      <c r="AA83" s="76">
        <v>0</v>
      </c>
      <c r="AB83" s="81">
        <f>Valores!$C$29</f>
        <v>160.21</v>
      </c>
      <c r="AC83" s="76">
        <f t="shared" si="19"/>
        <v>0</v>
      </c>
      <c r="AD83" s="76">
        <f>Valores!$C$30</f>
        <v>160.21</v>
      </c>
      <c r="AE83" s="80">
        <v>0</v>
      </c>
      <c r="AF83" s="76">
        <f>INT(((AE83*Valores!$C$2)*100)+0.5)/100</f>
        <v>0</v>
      </c>
      <c r="AG83" s="76">
        <f>Valores!$C$58</f>
        <v>325.89</v>
      </c>
      <c r="AH83" s="76">
        <f>Valores!$C$60</f>
        <v>93.11</v>
      </c>
      <c r="AI83" s="82">
        <f t="shared" si="20"/>
        <v>29569.985999999994</v>
      </c>
      <c r="AJ83" s="78">
        <f>Valores!$C$35</f>
        <v>599.19</v>
      </c>
      <c r="AK83" s="79">
        <f>Valores!$C$8</f>
        <v>0</v>
      </c>
      <c r="AL83" s="79">
        <f>Valores!$C$81</f>
        <v>1300</v>
      </c>
      <c r="AM83" s="81">
        <f>Valores!$C$51</f>
        <v>136.56</v>
      </c>
      <c r="AN83" s="83">
        <f t="shared" si="21"/>
        <v>1899.19</v>
      </c>
      <c r="AO83" s="84">
        <f>AI83*-Valores!$C$65</f>
        <v>-3844.0981799999995</v>
      </c>
      <c r="AP83" s="84">
        <f>AI83*-Valores!$C$66</f>
        <v>-147.84992999999997</v>
      </c>
      <c r="AQ83" s="78">
        <f>AI83*-Valores!$C$67</f>
        <v>-1330.6493699999996</v>
      </c>
      <c r="AR83" s="78">
        <f>AI83*-Valores!$C$68</f>
        <v>-798.3896219999998</v>
      </c>
      <c r="AS83" s="78">
        <f>AI83*-Valores!$C$69</f>
        <v>-88.70995799999999</v>
      </c>
      <c r="AT83" s="82">
        <f t="shared" si="17"/>
        <v>26146.578519999992</v>
      </c>
      <c r="AU83" s="82">
        <f t="shared" si="18"/>
        <v>26590.128309999993</v>
      </c>
      <c r="AV83" s="78">
        <f>AI83*Valores!$C$71</f>
        <v>4731.197759999999</v>
      </c>
      <c r="AW83" s="78">
        <f>AI83*Valores!$C$72</f>
        <v>1330.6493699999996</v>
      </c>
      <c r="AX83" s="78">
        <f>AI83*Valores!$C$73</f>
        <v>295.69985999999994</v>
      </c>
      <c r="AY83" s="78">
        <f>AI83*Valores!$C$75</f>
        <v>1034.94951</v>
      </c>
      <c r="AZ83" s="78">
        <f>AI83*Valores!$C$76</f>
        <v>177.41991599999997</v>
      </c>
      <c r="BA83" s="78">
        <f t="shared" si="22"/>
        <v>1596.7792439999998</v>
      </c>
      <c r="BB83" s="52"/>
      <c r="BC83" s="52">
        <v>25</v>
      </c>
      <c r="BD83" s="28" t="s">
        <v>8</v>
      </c>
    </row>
    <row r="84" spans="1:56" s="28" customFormat="1" ht="11.25" customHeight="1">
      <c r="A84" s="52">
        <v>83</v>
      </c>
      <c r="B84" s="52"/>
      <c r="C84" s="28" t="s">
        <v>309</v>
      </c>
      <c r="E84" s="28">
        <f t="shared" si="14"/>
        <v>31</v>
      </c>
      <c r="F84" s="72" t="s">
        <v>310</v>
      </c>
      <c r="G84" s="73">
        <v>78</v>
      </c>
      <c r="H84" s="74">
        <f>INT((G84*Valores!$C$2*100)+0.5)/100</f>
        <v>517.33</v>
      </c>
      <c r="I84" s="75">
        <v>1770</v>
      </c>
      <c r="J84" s="76">
        <f>INT((I84*Valores!$C$2*100)+0.5)/100</f>
        <v>11739.35</v>
      </c>
      <c r="K84" s="103">
        <v>0</v>
      </c>
      <c r="L84" s="76">
        <f>INT((K84*Valores!$C$2*100)+0.5)/100</f>
        <v>0</v>
      </c>
      <c r="M84" s="101">
        <v>0</v>
      </c>
      <c r="N84" s="76">
        <f>INT((M84*Valores!$C$2*100)+0.5)/100</f>
        <v>0</v>
      </c>
      <c r="O84" s="76">
        <f t="shared" si="15"/>
        <v>2410.3485</v>
      </c>
      <c r="P84" s="76">
        <f t="shared" si="16"/>
        <v>0</v>
      </c>
      <c r="Q84" s="110">
        <f>Valores!$C$16</f>
        <v>4291.62</v>
      </c>
      <c r="R84" s="110">
        <f>Valores!$D$4</f>
        <v>2966.67</v>
      </c>
      <c r="S84" s="112">
        <f>Valores!$C$26</f>
        <v>3094.03</v>
      </c>
      <c r="T84" s="79">
        <f>Valores!$C$41</f>
        <v>1073.06</v>
      </c>
      <c r="U84" s="107">
        <f>Valores!$C$23</f>
        <v>2739.25</v>
      </c>
      <c r="V84" s="76">
        <f t="shared" si="13"/>
        <v>2739.25</v>
      </c>
      <c r="W84" s="76">
        <v>0</v>
      </c>
      <c r="X84" s="76">
        <v>0</v>
      </c>
      <c r="Y84" s="80">
        <v>0</v>
      </c>
      <c r="Z84" s="76">
        <f>Y84*Valores!$C$2</f>
        <v>0</v>
      </c>
      <c r="AA84" s="76">
        <v>0</v>
      </c>
      <c r="AB84" s="81">
        <f>Valores!$C$29</f>
        <v>160.21</v>
      </c>
      <c r="AC84" s="76">
        <f t="shared" si="19"/>
        <v>0</v>
      </c>
      <c r="AD84" s="76">
        <f>Valores!$C$30</f>
        <v>160.21</v>
      </c>
      <c r="AE84" s="80">
        <v>0</v>
      </c>
      <c r="AF84" s="76">
        <f>INT(((AE84*Valores!$C$2)*100)+0.5)/100</f>
        <v>0</v>
      </c>
      <c r="AG84" s="76">
        <f>Valores!$C$58</f>
        <v>325.89</v>
      </c>
      <c r="AH84" s="76">
        <f>Valores!$C$60</f>
        <v>93.11</v>
      </c>
      <c r="AI84" s="82">
        <f t="shared" si="20"/>
        <v>29571.0785</v>
      </c>
      <c r="AJ84" s="78">
        <f>Valores!$C$35</f>
        <v>599.19</v>
      </c>
      <c r="AK84" s="79">
        <f>Valores!$C$7</f>
        <v>0</v>
      </c>
      <c r="AL84" s="79">
        <f>Valores!$C$81</f>
        <v>1300</v>
      </c>
      <c r="AM84" s="81">
        <f>Valores!$C$51</f>
        <v>136.56</v>
      </c>
      <c r="AN84" s="83">
        <f t="shared" si="21"/>
        <v>1899.19</v>
      </c>
      <c r="AO84" s="84">
        <f>AI84*-Valores!$C$65</f>
        <v>-3844.240205</v>
      </c>
      <c r="AP84" s="84">
        <f>AI84*-Valores!$C$66</f>
        <v>-147.8553925</v>
      </c>
      <c r="AQ84" s="78">
        <f>AI84*-Valores!$C$67</f>
        <v>-1330.6985324999998</v>
      </c>
      <c r="AR84" s="78">
        <f>AI84*-Valores!$C$68</f>
        <v>-798.4191195</v>
      </c>
      <c r="AS84" s="78">
        <f>AI84*-Valores!$C$69</f>
        <v>-88.7132355</v>
      </c>
      <c r="AT84" s="82">
        <f t="shared" si="17"/>
        <v>26147.474369999996</v>
      </c>
      <c r="AU84" s="82">
        <f t="shared" si="18"/>
        <v>26591.0405475</v>
      </c>
      <c r="AV84" s="78">
        <f>AI84*Valores!$C$71</f>
        <v>4731.37256</v>
      </c>
      <c r="AW84" s="78">
        <f>AI84*Valores!$C$72</f>
        <v>1330.6985324999998</v>
      </c>
      <c r="AX84" s="78">
        <f>AI84*Valores!$C$73</f>
        <v>295.710785</v>
      </c>
      <c r="AY84" s="78">
        <f>AI84*Valores!$C$75</f>
        <v>1034.9877475</v>
      </c>
      <c r="AZ84" s="78">
        <f>AI84*Valores!$C$76</f>
        <v>177.426471</v>
      </c>
      <c r="BA84" s="78">
        <f t="shared" si="22"/>
        <v>1596.8382390000002</v>
      </c>
      <c r="BB84" s="52"/>
      <c r="BC84" s="52">
        <v>27</v>
      </c>
      <c r="BD84" s="28" t="s">
        <v>4</v>
      </c>
    </row>
    <row r="85" spans="1:56" s="28" customFormat="1" ht="11.25" customHeight="1">
      <c r="A85" s="52">
        <v>84</v>
      </c>
      <c r="B85" s="52"/>
      <c r="C85" s="28" t="s">
        <v>311</v>
      </c>
      <c r="E85" s="28">
        <f t="shared" si="14"/>
        <v>28</v>
      </c>
      <c r="F85" s="72" t="s">
        <v>312</v>
      </c>
      <c r="G85" s="73">
        <v>76</v>
      </c>
      <c r="H85" s="74">
        <f>INT((G85*Valores!$C$2*100)+0.5)/100</f>
        <v>504.06</v>
      </c>
      <c r="I85" s="75">
        <v>1872</v>
      </c>
      <c r="J85" s="76">
        <f>INT((I85*Valores!$C$2*100)+0.5)/100</f>
        <v>12415.85</v>
      </c>
      <c r="K85" s="103">
        <v>0</v>
      </c>
      <c r="L85" s="76">
        <f>INT((K85*Valores!$C$2*100)+0.5)/100</f>
        <v>0</v>
      </c>
      <c r="M85" s="101">
        <v>0</v>
      </c>
      <c r="N85" s="76">
        <f>INT((M85*Valores!$C$2*100)+0.5)/100</f>
        <v>0</v>
      </c>
      <c r="O85" s="76">
        <f t="shared" si="15"/>
        <v>2509.833</v>
      </c>
      <c r="P85" s="76">
        <f t="shared" si="16"/>
        <v>0</v>
      </c>
      <c r="Q85" s="110">
        <f>Valores!$C$16</f>
        <v>4291.62</v>
      </c>
      <c r="R85" s="110">
        <f>Valores!$D$4</f>
        <v>2966.67</v>
      </c>
      <c r="S85" s="79">
        <v>0</v>
      </c>
      <c r="T85" s="79">
        <f>Valores!$C$41</f>
        <v>1073.06</v>
      </c>
      <c r="U85" s="107">
        <f>Valores!$C$23</f>
        <v>2739.25</v>
      </c>
      <c r="V85" s="76">
        <f t="shared" si="13"/>
        <v>2739.25</v>
      </c>
      <c r="W85" s="76">
        <v>0</v>
      </c>
      <c r="X85" s="76">
        <v>0</v>
      </c>
      <c r="Y85" s="80">
        <v>0</v>
      </c>
      <c r="Z85" s="76">
        <f>Y85*Valores!$C$2</f>
        <v>0</v>
      </c>
      <c r="AA85" s="76">
        <v>0</v>
      </c>
      <c r="AB85" s="81">
        <f>Valores!$C$29</f>
        <v>160.21</v>
      </c>
      <c r="AC85" s="76">
        <f t="shared" si="19"/>
        <v>0</v>
      </c>
      <c r="AD85" s="76">
        <f>Valores!$C$30</f>
        <v>160.21</v>
      </c>
      <c r="AE85" s="80">
        <v>0</v>
      </c>
      <c r="AF85" s="76">
        <f>INT(((AE85*Valores!$C$2)*100)+0.5)/100</f>
        <v>0</v>
      </c>
      <c r="AG85" s="76">
        <f>Valores!$C$58</f>
        <v>325.89</v>
      </c>
      <c r="AH85" s="76">
        <f>Valores!$C$60</f>
        <v>93.11</v>
      </c>
      <c r="AI85" s="82">
        <f t="shared" si="20"/>
        <v>27239.763000000003</v>
      </c>
      <c r="AJ85" s="78">
        <f>Valores!$C$35</f>
        <v>599.19</v>
      </c>
      <c r="AK85" s="79">
        <f>Valores!$C$7</f>
        <v>0</v>
      </c>
      <c r="AL85" s="79">
        <f>Valores!$C$81</f>
        <v>1300</v>
      </c>
      <c r="AM85" s="81">
        <f>Valores!$C$51</f>
        <v>136.56</v>
      </c>
      <c r="AN85" s="83">
        <f t="shared" si="21"/>
        <v>1899.19</v>
      </c>
      <c r="AO85" s="84">
        <f>AI85*-Valores!$C$65</f>
        <v>-3541.1691900000005</v>
      </c>
      <c r="AP85" s="84">
        <f>AI85*-Valores!$C$66</f>
        <v>-136.19881500000002</v>
      </c>
      <c r="AQ85" s="78">
        <f>AI85*-Valores!$C$67</f>
        <v>-1225.7893350000002</v>
      </c>
      <c r="AR85" s="78">
        <f>AI85*-Valores!$C$68</f>
        <v>-735.473601</v>
      </c>
      <c r="AS85" s="78">
        <f>AI85*-Valores!$C$69</f>
        <v>-81.719289</v>
      </c>
      <c r="AT85" s="82">
        <f t="shared" si="17"/>
        <v>24235.79566</v>
      </c>
      <c r="AU85" s="82">
        <f t="shared" si="18"/>
        <v>24644.392105</v>
      </c>
      <c r="AV85" s="78">
        <f>AI85*Valores!$C$71</f>
        <v>4358.362080000001</v>
      </c>
      <c r="AW85" s="78">
        <f>AI85*Valores!$C$72</f>
        <v>1225.7893350000002</v>
      </c>
      <c r="AX85" s="78">
        <f>AI85*Valores!$C$73</f>
        <v>272.39763000000005</v>
      </c>
      <c r="AY85" s="78">
        <f>AI85*Valores!$C$75</f>
        <v>953.3917050000002</v>
      </c>
      <c r="AZ85" s="78">
        <f>AI85*Valores!$C$76</f>
        <v>163.438578</v>
      </c>
      <c r="BA85" s="78">
        <f t="shared" si="22"/>
        <v>1470.947202</v>
      </c>
      <c r="BB85" s="52"/>
      <c r="BC85" s="52">
        <v>27</v>
      </c>
      <c r="BD85" s="28" t="s">
        <v>4</v>
      </c>
    </row>
    <row r="86" spans="1:56" s="28" customFormat="1" ht="11.25" customHeight="1">
      <c r="A86" s="86">
        <v>85</v>
      </c>
      <c r="B86" s="86" t="s">
        <v>163</v>
      </c>
      <c r="C86" s="87" t="s">
        <v>313</v>
      </c>
      <c r="D86" s="87"/>
      <c r="E86" s="87">
        <f t="shared" si="14"/>
        <v>21</v>
      </c>
      <c r="F86" s="88" t="s">
        <v>314</v>
      </c>
      <c r="G86" s="89">
        <v>169</v>
      </c>
      <c r="H86" s="90">
        <f>INT((G86*Valores!$C$2*100)+0.5)/100</f>
        <v>1120.88</v>
      </c>
      <c r="I86" s="91">
        <f>1997</f>
        <v>1997</v>
      </c>
      <c r="J86" s="92">
        <f>INT((I86*Valores!$C$2*100)+0.5)/100</f>
        <v>13244.9</v>
      </c>
      <c r="K86" s="105">
        <v>0</v>
      </c>
      <c r="L86" s="92">
        <f>INT((K86*Valores!$C$2*100)+0.5)/100</f>
        <v>0</v>
      </c>
      <c r="M86" s="106">
        <v>0</v>
      </c>
      <c r="N86" s="92">
        <f>INT((M86*Valores!$C$2*100)+0.5)/100</f>
        <v>0</v>
      </c>
      <c r="O86" s="92">
        <f t="shared" si="15"/>
        <v>2749.7099999999996</v>
      </c>
      <c r="P86" s="92">
        <f t="shared" si="16"/>
        <v>0</v>
      </c>
      <c r="Q86" s="94">
        <f>Valores!$C$16</f>
        <v>4291.62</v>
      </c>
      <c r="R86" s="94">
        <f>Valores!$D$4</f>
        <v>2966.67</v>
      </c>
      <c r="S86" s="108">
        <f>Valores!$C$26</f>
        <v>3094.03</v>
      </c>
      <c r="T86" s="109">
        <f>Valores!$C$42</f>
        <v>1226.37</v>
      </c>
      <c r="U86" s="92">
        <f>Valores!$C$23</f>
        <v>2739.25</v>
      </c>
      <c r="V86" s="92">
        <f t="shared" si="13"/>
        <v>2739.25</v>
      </c>
      <c r="W86" s="92">
        <v>0</v>
      </c>
      <c r="X86" s="92">
        <v>0</v>
      </c>
      <c r="Y86" s="96">
        <v>0</v>
      </c>
      <c r="Z86" s="92">
        <f>Y86*Valores!$C$2</f>
        <v>0</v>
      </c>
      <c r="AA86" s="92">
        <v>0</v>
      </c>
      <c r="AB86" s="97">
        <f>Valores!$C$29</f>
        <v>160.21</v>
      </c>
      <c r="AC86" s="92">
        <f t="shared" si="19"/>
        <v>0</v>
      </c>
      <c r="AD86" s="92">
        <f>Valores!$C$30</f>
        <v>160.21</v>
      </c>
      <c r="AE86" s="96">
        <v>0</v>
      </c>
      <c r="AF86" s="92">
        <f>INT(((AE86*Valores!$C$2)*100)+0.5)/100</f>
        <v>0</v>
      </c>
      <c r="AG86" s="92">
        <f>Valores!$C$58</f>
        <v>325.89</v>
      </c>
      <c r="AH86" s="92">
        <f>Valores!$C$60</f>
        <v>93.11</v>
      </c>
      <c r="AI86" s="98">
        <f t="shared" si="20"/>
        <v>32172.849999999995</v>
      </c>
      <c r="AJ86" s="94">
        <f>Valores!$C$35</f>
        <v>599.19</v>
      </c>
      <c r="AK86" s="95">
        <f>Valores!$C$8</f>
        <v>0</v>
      </c>
      <c r="AL86" s="95">
        <f>Valores!$C$81</f>
        <v>1300</v>
      </c>
      <c r="AM86" s="97">
        <f>Valores!$C$51</f>
        <v>136.56</v>
      </c>
      <c r="AN86" s="99">
        <f t="shared" si="21"/>
        <v>1899.19</v>
      </c>
      <c r="AO86" s="100">
        <f>AI86*-Valores!$C$65</f>
        <v>-4182.470499999999</v>
      </c>
      <c r="AP86" s="100">
        <f>AI86*-Valores!$C$66</f>
        <v>-160.86424999999997</v>
      </c>
      <c r="AQ86" s="94">
        <f>AI86*-Valores!$C$67</f>
        <v>-1447.7782499999996</v>
      </c>
      <c r="AR86" s="94">
        <f>AI86*-Valores!$C$68</f>
        <v>-868.6669499999998</v>
      </c>
      <c r="AS86" s="94">
        <f>AI86*-Valores!$C$69</f>
        <v>-96.51854999999999</v>
      </c>
      <c r="AT86" s="98">
        <f t="shared" si="17"/>
        <v>28280.926999999996</v>
      </c>
      <c r="AU86" s="98">
        <f t="shared" si="18"/>
        <v>28763.519749999996</v>
      </c>
      <c r="AV86" s="94">
        <f>AI86*Valores!$C$71</f>
        <v>5147.655999999999</v>
      </c>
      <c r="AW86" s="94">
        <f>AI86*Valores!$C$72</f>
        <v>1447.7782499999996</v>
      </c>
      <c r="AX86" s="94">
        <f>AI86*Valores!$C$73</f>
        <v>321.72849999999994</v>
      </c>
      <c r="AY86" s="94">
        <f>AI86*Valores!$C$75</f>
        <v>1126.04975</v>
      </c>
      <c r="AZ86" s="94">
        <f>AI86*Valores!$C$76</f>
        <v>193.03709999999998</v>
      </c>
      <c r="BA86" s="94">
        <f t="shared" si="22"/>
        <v>1737.3338999999999</v>
      </c>
      <c r="BB86" s="86"/>
      <c r="BC86" s="86">
        <v>25</v>
      </c>
      <c r="BD86" s="87" t="s">
        <v>8</v>
      </c>
    </row>
    <row r="87" spans="1:56" s="28" customFormat="1" ht="11.25" customHeight="1">
      <c r="A87" s="52">
        <v>86</v>
      </c>
      <c r="B87" s="52"/>
      <c r="C87" s="28" t="s">
        <v>315</v>
      </c>
      <c r="E87" s="28">
        <f t="shared" si="14"/>
        <v>28</v>
      </c>
      <c r="F87" s="72" t="s">
        <v>316</v>
      </c>
      <c r="G87" s="73">
        <v>218</v>
      </c>
      <c r="H87" s="74">
        <f>INT((G87*Valores!$C$2*100)+0.5)/100</f>
        <v>1445.86</v>
      </c>
      <c r="I87" s="75">
        <f>1997</f>
        <v>1997</v>
      </c>
      <c r="J87" s="76">
        <f>INT((I87*Valores!$C$2*100)+0.5)/100</f>
        <v>13244.9</v>
      </c>
      <c r="K87" s="103">
        <v>0</v>
      </c>
      <c r="L87" s="76">
        <f>INT((K87*Valores!$C$2*100)+0.5)/100</f>
        <v>0</v>
      </c>
      <c r="M87" s="101">
        <v>0</v>
      </c>
      <c r="N87" s="76">
        <f>INT((M87*Valores!$C$2*100)+0.5)/100</f>
        <v>0</v>
      </c>
      <c r="O87" s="76">
        <f t="shared" si="15"/>
        <v>2798.457</v>
      </c>
      <c r="P87" s="76">
        <f t="shared" si="16"/>
        <v>0</v>
      </c>
      <c r="Q87" s="78">
        <f>Valores!$C$16</f>
        <v>4291.62</v>
      </c>
      <c r="R87" s="78">
        <f>Valores!$D$4</f>
        <v>2966.67</v>
      </c>
      <c r="S87" s="102">
        <f>Valores!$C$26</f>
        <v>3094.03</v>
      </c>
      <c r="T87" s="107">
        <f>Valores!$C$42</f>
        <v>1226.37</v>
      </c>
      <c r="U87" s="76">
        <f>Valores!$C$23</f>
        <v>2739.25</v>
      </c>
      <c r="V87" s="76">
        <f t="shared" si="13"/>
        <v>2739.25</v>
      </c>
      <c r="W87" s="76">
        <v>0</v>
      </c>
      <c r="X87" s="76">
        <v>0</v>
      </c>
      <c r="Y87" s="80">
        <v>0</v>
      </c>
      <c r="Z87" s="76">
        <f>Y87*Valores!$C$2</f>
        <v>0</v>
      </c>
      <c r="AA87" s="76">
        <v>0</v>
      </c>
      <c r="AB87" s="81">
        <f>Valores!$C$29</f>
        <v>160.21</v>
      </c>
      <c r="AC87" s="76">
        <f t="shared" si="19"/>
        <v>0</v>
      </c>
      <c r="AD87" s="76">
        <f>Valores!$C$30</f>
        <v>160.21</v>
      </c>
      <c r="AE87" s="80">
        <v>0</v>
      </c>
      <c r="AF87" s="76">
        <f>INT(((AE87*Valores!$C$2)*100)+0.5)/100</f>
        <v>0</v>
      </c>
      <c r="AG87" s="76">
        <f>Valores!$C$58</f>
        <v>325.89</v>
      </c>
      <c r="AH87" s="76">
        <f>Valores!$C$60</f>
        <v>93.11</v>
      </c>
      <c r="AI87" s="82">
        <f t="shared" si="20"/>
        <v>32546.576999999994</v>
      </c>
      <c r="AJ87" s="78">
        <f>Valores!$C$35</f>
        <v>599.19</v>
      </c>
      <c r="AK87" s="79">
        <f>Valores!$C$8</f>
        <v>0</v>
      </c>
      <c r="AL87" s="79">
        <f>Valores!$C$81</f>
        <v>1300</v>
      </c>
      <c r="AM87" s="81">
        <f>Valores!$C$51</f>
        <v>136.56</v>
      </c>
      <c r="AN87" s="83">
        <f t="shared" si="21"/>
        <v>1899.19</v>
      </c>
      <c r="AO87" s="84">
        <f>AI87*-Valores!$C$65</f>
        <v>-4231.055009999999</v>
      </c>
      <c r="AP87" s="84">
        <f>AI87*-Valores!$C$66</f>
        <v>-162.73288499999998</v>
      </c>
      <c r="AQ87" s="78">
        <f>AI87*-Valores!$C$67</f>
        <v>-1464.5959649999998</v>
      </c>
      <c r="AR87" s="78">
        <f>AI87*-Valores!$C$68</f>
        <v>-878.7575789999999</v>
      </c>
      <c r="AS87" s="78">
        <f>AI87*-Valores!$C$69</f>
        <v>-97.63973099999998</v>
      </c>
      <c r="AT87" s="82">
        <f t="shared" si="17"/>
        <v>28587.383139999994</v>
      </c>
      <c r="AU87" s="82">
        <f t="shared" si="18"/>
        <v>29075.581795</v>
      </c>
      <c r="AV87" s="78">
        <f>AI87*Valores!$C$71</f>
        <v>5207.452319999999</v>
      </c>
      <c r="AW87" s="78">
        <f>AI87*Valores!$C$72</f>
        <v>1464.5959649999998</v>
      </c>
      <c r="AX87" s="78">
        <f>AI87*Valores!$C$73</f>
        <v>325.46576999999996</v>
      </c>
      <c r="AY87" s="78">
        <f>AI87*Valores!$C$75</f>
        <v>1139.130195</v>
      </c>
      <c r="AZ87" s="78">
        <f>AI87*Valores!$C$76</f>
        <v>195.27946199999997</v>
      </c>
      <c r="BA87" s="78">
        <f t="shared" si="22"/>
        <v>1757.5151579999997</v>
      </c>
      <c r="BB87" s="52"/>
      <c r="BC87" s="52">
        <v>25</v>
      </c>
      <c r="BD87" s="28" t="s">
        <v>4</v>
      </c>
    </row>
    <row r="88" spans="1:56" s="28" customFormat="1" ht="11.25" customHeight="1">
      <c r="A88" s="52">
        <v>87</v>
      </c>
      <c r="B88" s="52"/>
      <c r="C88" s="28" t="s">
        <v>315</v>
      </c>
      <c r="E88" s="28">
        <f t="shared" si="14"/>
        <v>41</v>
      </c>
      <c r="F88" s="72" t="s">
        <v>317</v>
      </c>
      <c r="G88" s="73">
        <v>218</v>
      </c>
      <c r="H88" s="74">
        <f>INT((G88*Valores!$C$2*100)+0.5)/100</f>
        <v>1445.86</v>
      </c>
      <c r="I88" s="75">
        <f>1997</f>
        <v>1997</v>
      </c>
      <c r="J88" s="76">
        <f>INT((I88*Valores!$C$2*100)+0.5)/100</f>
        <v>13244.9</v>
      </c>
      <c r="K88" s="103">
        <v>0</v>
      </c>
      <c r="L88" s="76">
        <f>INT((K88*Valores!$C$2*100)+0.5)/100</f>
        <v>0</v>
      </c>
      <c r="M88" s="101">
        <v>0</v>
      </c>
      <c r="N88" s="76">
        <f>INT((M88*Valores!$C$2*100)+0.5)/100</f>
        <v>0</v>
      </c>
      <c r="O88" s="76">
        <f t="shared" si="15"/>
        <v>2798.457</v>
      </c>
      <c r="P88" s="76">
        <f t="shared" si="16"/>
        <v>0</v>
      </c>
      <c r="Q88" s="78">
        <f>Valores!$C$16</f>
        <v>4291.62</v>
      </c>
      <c r="R88" s="78">
        <f>Valores!$D$4</f>
        <v>2966.67</v>
      </c>
      <c r="S88" s="102">
        <f>Valores!$C$26</f>
        <v>3094.03</v>
      </c>
      <c r="T88" s="107">
        <f>Valores!$C$42</f>
        <v>1226.37</v>
      </c>
      <c r="U88" s="76">
        <f>Valores!$C$23</f>
        <v>2739.25</v>
      </c>
      <c r="V88" s="76">
        <f t="shared" si="13"/>
        <v>2739.25</v>
      </c>
      <c r="W88" s="76">
        <v>0</v>
      </c>
      <c r="X88" s="76">
        <v>0</v>
      </c>
      <c r="Y88" s="80">
        <v>0</v>
      </c>
      <c r="Z88" s="76">
        <f>Y88*Valores!$C$2</f>
        <v>0</v>
      </c>
      <c r="AA88" s="76">
        <v>0</v>
      </c>
      <c r="AB88" s="81">
        <f>Valores!$C$29</f>
        <v>160.21</v>
      </c>
      <c r="AC88" s="76">
        <f t="shared" si="19"/>
        <v>0</v>
      </c>
      <c r="AD88" s="76">
        <f>Valores!$C$30</f>
        <v>160.21</v>
      </c>
      <c r="AE88" s="80">
        <v>19</v>
      </c>
      <c r="AF88" s="76">
        <f>INT(((AE88*Valores!$C$2)*100)+0.5)/100</f>
        <v>126.02</v>
      </c>
      <c r="AG88" s="76">
        <f>Valores!$C$58</f>
        <v>325.89</v>
      </c>
      <c r="AH88" s="76">
        <f>Valores!$C$60</f>
        <v>93.11</v>
      </c>
      <c r="AI88" s="82">
        <f t="shared" si="20"/>
        <v>32672.596999999994</v>
      </c>
      <c r="AJ88" s="78">
        <f>Valores!$C$35</f>
        <v>599.19</v>
      </c>
      <c r="AK88" s="79">
        <f>Valores!$C$8</f>
        <v>0</v>
      </c>
      <c r="AL88" s="79">
        <f>Valores!$C$81</f>
        <v>1300</v>
      </c>
      <c r="AM88" s="81">
        <f>Valores!$C$51</f>
        <v>136.56</v>
      </c>
      <c r="AN88" s="83">
        <f t="shared" si="21"/>
        <v>1899.19</v>
      </c>
      <c r="AO88" s="84">
        <f>AI88*-Valores!$C$65</f>
        <v>-4247.437609999999</v>
      </c>
      <c r="AP88" s="84">
        <f>AI88*-Valores!$C$66</f>
        <v>-163.36298499999998</v>
      </c>
      <c r="AQ88" s="78">
        <f>AI88*-Valores!$C$67</f>
        <v>-1470.2668649999996</v>
      </c>
      <c r="AR88" s="78">
        <f>AI88*-Valores!$C$68</f>
        <v>-882.1601189999998</v>
      </c>
      <c r="AS88" s="78">
        <f>AI88*-Valores!$C$69</f>
        <v>-98.01779099999999</v>
      </c>
      <c r="AT88" s="82">
        <f t="shared" si="17"/>
        <v>28690.71954</v>
      </c>
      <c r="AU88" s="82">
        <f t="shared" si="18"/>
        <v>29180.808494999997</v>
      </c>
      <c r="AV88" s="78">
        <f>AI88*Valores!$C$71</f>
        <v>5227.615519999999</v>
      </c>
      <c r="AW88" s="78">
        <f>AI88*Valores!$C$72</f>
        <v>1470.2668649999996</v>
      </c>
      <c r="AX88" s="78">
        <f>AI88*Valores!$C$73</f>
        <v>326.72596999999996</v>
      </c>
      <c r="AY88" s="78">
        <f>AI88*Valores!$C$75</f>
        <v>1143.5408949999999</v>
      </c>
      <c r="AZ88" s="78">
        <f>AI88*Valores!$C$76</f>
        <v>196.03558199999998</v>
      </c>
      <c r="BA88" s="78">
        <f t="shared" si="22"/>
        <v>1764.3202379999996</v>
      </c>
      <c r="BB88" s="52"/>
      <c r="BC88" s="52">
        <v>25</v>
      </c>
      <c r="BD88" s="28" t="s">
        <v>4</v>
      </c>
    </row>
    <row r="89" spans="1:56" s="28" customFormat="1" ht="11.25" customHeight="1">
      <c r="A89" s="52">
        <v>88</v>
      </c>
      <c r="B89" s="52"/>
      <c r="C89" s="28" t="s">
        <v>318</v>
      </c>
      <c r="E89" s="28">
        <f t="shared" si="14"/>
        <v>33</v>
      </c>
      <c r="F89" s="72" t="s">
        <v>319</v>
      </c>
      <c r="G89" s="73">
        <f>75+143</f>
        <v>218</v>
      </c>
      <c r="H89" s="74">
        <f>INT((G89*Valores!$C$2*100)+0.5)/100</f>
        <v>1445.86</v>
      </c>
      <c r="I89" s="75">
        <v>1997</v>
      </c>
      <c r="J89" s="76">
        <f>INT((I89*Valores!$C$2*100)+0.5)/100</f>
        <v>13244.9</v>
      </c>
      <c r="K89" s="103">
        <v>0</v>
      </c>
      <c r="L89" s="76">
        <f>INT((K89*Valores!$C$2*100)+0.5)/100</f>
        <v>0</v>
      </c>
      <c r="M89" s="101">
        <v>0</v>
      </c>
      <c r="N89" s="76">
        <f>INT((M89*Valores!$C$2*100)+0.5)/100</f>
        <v>0</v>
      </c>
      <c r="O89" s="76">
        <f t="shared" si="15"/>
        <v>2706.4792500000003</v>
      </c>
      <c r="P89" s="76">
        <f t="shared" si="16"/>
        <v>0</v>
      </c>
      <c r="Q89" s="78">
        <f>Valores!$C$16</f>
        <v>4291.62</v>
      </c>
      <c r="R89" s="78">
        <f>Valores!$D$4</f>
        <v>2966.67</v>
      </c>
      <c r="S89" s="76">
        <f>Valores!$C$26</f>
        <v>3094.03</v>
      </c>
      <c r="T89" s="79">
        <f>Valores!$C$42/2</f>
        <v>613.185</v>
      </c>
      <c r="U89" s="76">
        <f>Valores!$C$23</f>
        <v>2739.25</v>
      </c>
      <c r="V89" s="76">
        <f t="shared" si="13"/>
        <v>2739.25</v>
      </c>
      <c r="W89" s="76">
        <v>0</v>
      </c>
      <c r="X89" s="76">
        <v>0</v>
      </c>
      <c r="Y89" s="80">
        <v>0</v>
      </c>
      <c r="Z89" s="76">
        <f>Y89*Valores!$C$2</f>
        <v>0</v>
      </c>
      <c r="AA89" s="76">
        <v>0</v>
      </c>
      <c r="AB89" s="81">
        <f>Valores!$C$29</f>
        <v>160.21</v>
      </c>
      <c r="AC89" s="76">
        <f t="shared" si="19"/>
        <v>0</v>
      </c>
      <c r="AD89" s="76">
        <f>Valores!$C$30</f>
        <v>160.21</v>
      </c>
      <c r="AE89" s="80">
        <v>0</v>
      </c>
      <c r="AF89" s="76">
        <f>INT(((AE89*Valores!$C$2)*100)+0.5)/100</f>
        <v>0</v>
      </c>
      <c r="AG89" s="76">
        <f>Valores!$C$58</f>
        <v>325.89</v>
      </c>
      <c r="AH89" s="76">
        <f>Valores!$C$60</f>
        <v>93.11</v>
      </c>
      <c r="AI89" s="82">
        <f t="shared" si="20"/>
        <v>31841.414249999998</v>
      </c>
      <c r="AJ89" s="78">
        <f>Valores!$C$35</f>
        <v>599.19</v>
      </c>
      <c r="AK89" s="79">
        <f>Valores!$C$8/2</f>
        <v>0</v>
      </c>
      <c r="AL89" s="79">
        <f>Valores!$C$81</f>
        <v>1300</v>
      </c>
      <c r="AM89" s="81">
        <f>Valores!$C$51</f>
        <v>136.56</v>
      </c>
      <c r="AN89" s="83">
        <f t="shared" si="21"/>
        <v>1899.19</v>
      </c>
      <c r="AO89" s="84">
        <f>AI89*-Valores!$C$65</f>
        <v>-4139.3838525</v>
      </c>
      <c r="AP89" s="84">
        <f>AI89*-Valores!$C$66</f>
        <v>-159.20707124999998</v>
      </c>
      <c r="AQ89" s="78">
        <f>AI89*-Valores!$C$67</f>
        <v>-1432.8636412499998</v>
      </c>
      <c r="AR89" s="78">
        <f>AI89*-Valores!$C$68</f>
        <v>-859.71818475</v>
      </c>
      <c r="AS89" s="78">
        <f>AI89*-Valores!$C$69</f>
        <v>-95.52424275</v>
      </c>
      <c r="AT89" s="82">
        <f t="shared" si="17"/>
        <v>28009.149685</v>
      </c>
      <c r="AU89" s="82">
        <f t="shared" si="18"/>
        <v>28486.770898749997</v>
      </c>
      <c r="AV89" s="78">
        <f>AI89*Valores!$C$71</f>
        <v>5094.6262799999995</v>
      </c>
      <c r="AW89" s="78">
        <f>AI89*Valores!$C$72</f>
        <v>1432.8636412499998</v>
      </c>
      <c r="AX89" s="78">
        <f>AI89*Valores!$C$73</f>
        <v>318.41414249999997</v>
      </c>
      <c r="AY89" s="78">
        <f>AI89*Valores!$C$75</f>
        <v>1114.44949875</v>
      </c>
      <c r="AZ89" s="78">
        <f>AI89*Valores!$C$76</f>
        <v>191.0484855</v>
      </c>
      <c r="BA89" s="78">
        <f t="shared" si="22"/>
        <v>1719.4363695000002</v>
      </c>
      <c r="BB89" s="52"/>
      <c r="BC89" s="52">
        <v>25</v>
      </c>
      <c r="BD89" s="28" t="s">
        <v>8</v>
      </c>
    </row>
    <row r="90" spans="1:56" s="28" customFormat="1" ht="11.25" customHeight="1">
      <c r="A90" s="52">
        <v>89</v>
      </c>
      <c r="B90" s="52"/>
      <c r="C90" s="28" t="s">
        <v>320</v>
      </c>
      <c r="E90" s="28">
        <f t="shared" si="14"/>
        <v>28</v>
      </c>
      <c r="F90" s="72" t="s">
        <v>321</v>
      </c>
      <c r="G90" s="73">
        <v>187</v>
      </c>
      <c r="H90" s="74">
        <f>INT((G90*Valores!$C$2*100)+0.5)/100</f>
        <v>1240.26</v>
      </c>
      <c r="I90" s="75">
        <v>1704</v>
      </c>
      <c r="J90" s="76">
        <f>INT((I90*Valores!$C$2*100)+0.5)/100</f>
        <v>11301.61</v>
      </c>
      <c r="K90" s="103">
        <v>0</v>
      </c>
      <c r="L90" s="76">
        <f>INT((K90*Valores!$C$2*100)+0.5)/100</f>
        <v>0</v>
      </c>
      <c r="M90" s="101">
        <v>0</v>
      </c>
      <c r="N90" s="76">
        <f>INT((M90*Valores!$C$2*100)+0.5)/100</f>
        <v>0</v>
      </c>
      <c r="O90" s="76">
        <f t="shared" si="15"/>
        <v>2476.1235</v>
      </c>
      <c r="P90" s="76">
        <f t="shared" si="16"/>
        <v>0</v>
      </c>
      <c r="Q90" s="78">
        <f>Valores!$C$16</f>
        <v>4291.62</v>
      </c>
      <c r="R90" s="78">
        <f>Valores!$D$4</f>
        <v>2966.67</v>
      </c>
      <c r="S90" s="76">
        <f>Valores!$C$26</f>
        <v>3094.03</v>
      </c>
      <c r="T90" s="79">
        <f>Valores!$C$42</f>
        <v>1226.37</v>
      </c>
      <c r="U90" s="76">
        <f>Valores!$C$23</f>
        <v>2739.25</v>
      </c>
      <c r="V90" s="76">
        <f t="shared" si="13"/>
        <v>2739.25</v>
      </c>
      <c r="W90" s="76">
        <v>0</v>
      </c>
      <c r="X90" s="76">
        <v>0</v>
      </c>
      <c r="Y90" s="80">
        <v>0</v>
      </c>
      <c r="Z90" s="76">
        <f>Y90*Valores!$C$2</f>
        <v>0</v>
      </c>
      <c r="AA90" s="76">
        <v>0</v>
      </c>
      <c r="AB90" s="81">
        <f>Valores!$C$29</f>
        <v>160.21</v>
      </c>
      <c r="AC90" s="76">
        <f t="shared" si="19"/>
        <v>0</v>
      </c>
      <c r="AD90" s="76">
        <f>Valores!$C$30</f>
        <v>160.21</v>
      </c>
      <c r="AE90" s="80">
        <v>0</v>
      </c>
      <c r="AF90" s="76">
        <f>INT(((AE90*Valores!$C$2)*100)+0.5)/100</f>
        <v>0</v>
      </c>
      <c r="AG90" s="76">
        <f>Valores!$C$58</f>
        <v>325.89</v>
      </c>
      <c r="AH90" s="76">
        <f>Valores!$C$60</f>
        <v>93.11</v>
      </c>
      <c r="AI90" s="82">
        <f t="shared" si="20"/>
        <v>30075.353499999994</v>
      </c>
      <c r="AJ90" s="78">
        <f>Valores!$C$35</f>
        <v>599.19</v>
      </c>
      <c r="AK90" s="79">
        <f>Valores!$C$8</f>
        <v>0</v>
      </c>
      <c r="AL90" s="79">
        <f>Valores!$C$81</f>
        <v>1300</v>
      </c>
      <c r="AM90" s="81">
        <f>Valores!$C$51</f>
        <v>136.56</v>
      </c>
      <c r="AN90" s="83">
        <f t="shared" si="21"/>
        <v>1899.19</v>
      </c>
      <c r="AO90" s="84">
        <f>AI90*-Valores!$C$65</f>
        <v>-3909.795954999999</v>
      </c>
      <c r="AP90" s="84">
        <f>AI90*-Valores!$C$66</f>
        <v>-150.37676749999997</v>
      </c>
      <c r="AQ90" s="78">
        <f>AI90*-Valores!$C$67</f>
        <v>-1353.3909074999997</v>
      </c>
      <c r="AR90" s="78">
        <f>AI90*-Valores!$C$68</f>
        <v>-812.0345444999998</v>
      </c>
      <c r="AS90" s="78">
        <f>AI90*-Valores!$C$69</f>
        <v>-90.22606049999999</v>
      </c>
      <c r="AT90" s="82">
        <f t="shared" si="17"/>
        <v>26560.979869999992</v>
      </c>
      <c r="AU90" s="82">
        <f t="shared" si="18"/>
        <v>27012.110172499993</v>
      </c>
      <c r="AV90" s="78">
        <f>AI90*Valores!$C$71</f>
        <v>4812.056559999999</v>
      </c>
      <c r="AW90" s="78">
        <f>AI90*Valores!$C$72</f>
        <v>1353.3909074999997</v>
      </c>
      <c r="AX90" s="78">
        <f>AI90*Valores!$C$73</f>
        <v>300.75353499999994</v>
      </c>
      <c r="AY90" s="78">
        <f>AI90*Valores!$C$75</f>
        <v>1052.6373724999999</v>
      </c>
      <c r="AZ90" s="78">
        <f>AI90*Valores!$C$76</f>
        <v>180.45212099999998</v>
      </c>
      <c r="BA90" s="78">
        <f t="shared" si="22"/>
        <v>1624.0690889999998</v>
      </c>
      <c r="BB90" s="52"/>
      <c r="BC90" s="52">
        <v>25</v>
      </c>
      <c r="BD90" s="28" t="s">
        <v>4</v>
      </c>
    </row>
    <row r="91" spans="1:56" s="28" customFormat="1" ht="11.25" customHeight="1">
      <c r="A91" s="86">
        <v>90</v>
      </c>
      <c r="B91" s="86" t="s">
        <v>163</v>
      </c>
      <c r="C91" s="87" t="s">
        <v>320</v>
      </c>
      <c r="D91" s="87"/>
      <c r="E91" s="87">
        <f t="shared" si="14"/>
        <v>41</v>
      </c>
      <c r="F91" s="88" t="s">
        <v>322</v>
      </c>
      <c r="G91" s="89">
        <v>187</v>
      </c>
      <c r="H91" s="90">
        <f>INT((G91*Valores!$C$2*100)+0.5)/100</f>
        <v>1240.26</v>
      </c>
      <c r="I91" s="91">
        <v>1704</v>
      </c>
      <c r="J91" s="92">
        <f>INT((I91*Valores!$C$2*100)+0.5)/100</f>
        <v>11301.61</v>
      </c>
      <c r="K91" s="105">
        <v>0</v>
      </c>
      <c r="L91" s="92">
        <f>INT((K91*Valores!$C$2*100)+0.5)/100</f>
        <v>0</v>
      </c>
      <c r="M91" s="106">
        <v>0</v>
      </c>
      <c r="N91" s="92">
        <f>INT((M91*Valores!$C$2*100)+0.5)/100</f>
        <v>0</v>
      </c>
      <c r="O91" s="92">
        <f t="shared" si="15"/>
        <v>2476.1235</v>
      </c>
      <c r="P91" s="92">
        <f t="shared" si="16"/>
        <v>0</v>
      </c>
      <c r="Q91" s="94">
        <f>Valores!$C$16</f>
        <v>4291.62</v>
      </c>
      <c r="R91" s="94">
        <f>Valores!$D$4</f>
        <v>2966.67</v>
      </c>
      <c r="S91" s="92">
        <f>Valores!$C$26</f>
        <v>3094.03</v>
      </c>
      <c r="T91" s="95">
        <f>Valores!$C$42</f>
        <v>1226.37</v>
      </c>
      <c r="U91" s="92">
        <f>Valores!$C$23</f>
        <v>2739.25</v>
      </c>
      <c r="V91" s="92">
        <f t="shared" si="13"/>
        <v>2739.25</v>
      </c>
      <c r="W91" s="92">
        <v>0</v>
      </c>
      <c r="X91" s="92">
        <v>0</v>
      </c>
      <c r="Y91" s="96">
        <v>0</v>
      </c>
      <c r="Z91" s="92">
        <f>Y91*Valores!$C$2</f>
        <v>0</v>
      </c>
      <c r="AA91" s="92">
        <v>0</v>
      </c>
      <c r="AB91" s="97">
        <f>Valores!$C$29</f>
        <v>160.21</v>
      </c>
      <c r="AC91" s="92">
        <f t="shared" si="19"/>
        <v>0</v>
      </c>
      <c r="AD91" s="92">
        <f>Valores!$C$30</f>
        <v>160.21</v>
      </c>
      <c r="AE91" s="96">
        <v>19</v>
      </c>
      <c r="AF91" s="92">
        <f>INT(((AE91*Valores!$C$2)*100)+0.5)/100</f>
        <v>126.02</v>
      </c>
      <c r="AG91" s="92">
        <f>Valores!$C$58</f>
        <v>325.89</v>
      </c>
      <c r="AH91" s="92">
        <f>Valores!$C$60</f>
        <v>93.11</v>
      </c>
      <c r="AI91" s="98">
        <f t="shared" si="20"/>
        <v>30201.373499999994</v>
      </c>
      <c r="AJ91" s="94">
        <f>Valores!$C$35</f>
        <v>599.19</v>
      </c>
      <c r="AK91" s="95">
        <f>Valores!$C$8</f>
        <v>0</v>
      </c>
      <c r="AL91" s="95">
        <f>Valores!$C$81</f>
        <v>1300</v>
      </c>
      <c r="AM91" s="97">
        <f>Valores!$C$51</f>
        <v>136.56</v>
      </c>
      <c r="AN91" s="99">
        <f t="shared" si="21"/>
        <v>1899.19</v>
      </c>
      <c r="AO91" s="100">
        <f>AI91*-Valores!$C$65</f>
        <v>-3926.1785549999995</v>
      </c>
      <c r="AP91" s="100">
        <f>AI91*-Valores!$C$66</f>
        <v>-151.00686749999997</v>
      </c>
      <c r="AQ91" s="94">
        <f>AI91*-Valores!$C$67</f>
        <v>-1359.0618074999998</v>
      </c>
      <c r="AR91" s="94">
        <f>AI91*-Valores!$C$68</f>
        <v>-815.4370844999999</v>
      </c>
      <c r="AS91" s="94">
        <f>AI91*-Valores!$C$69</f>
        <v>-90.60412049999998</v>
      </c>
      <c r="AT91" s="98">
        <f t="shared" si="17"/>
        <v>26664.316269999996</v>
      </c>
      <c r="AU91" s="98">
        <f t="shared" si="18"/>
        <v>27117.336872499993</v>
      </c>
      <c r="AV91" s="94">
        <f>AI91*Valores!$C$71</f>
        <v>4832.219759999999</v>
      </c>
      <c r="AW91" s="94">
        <f>AI91*Valores!$C$72</f>
        <v>1359.0618074999998</v>
      </c>
      <c r="AX91" s="94">
        <f>AI91*Valores!$C$73</f>
        <v>302.01373499999994</v>
      </c>
      <c r="AY91" s="94">
        <f>AI91*Valores!$C$75</f>
        <v>1057.0480725</v>
      </c>
      <c r="AZ91" s="94">
        <f>AI91*Valores!$C$76</f>
        <v>181.20824099999996</v>
      </c>
      <c r="BA91" s="94">
        <f t="shared" si="22"/>
        <v>1630.8741689999997</v>
      </c>
      <c r="BB91" s="86"/>
      <c r="BC91" s="86">
        <v>25</v>
      </c>
      <c r="BD91" s="87" t="s">
        <v>4</v>
      </c>
    </row>
    <row r="92" spans="1:56" s="28" customFormat="1" ht="11.25" customHeight="1">
      <c r="A92" s="52">
        <v>91</v>
      </c>
      <c r="B92" s="52"/>
      <c r="C92" s="28" t="s">
        <v>323</v>
      </c>
      <c r="E92" s="28">
        <f t="shared" si="14"/>
        <v>28</v>
      </c>
      <c r="F92" s="72" t="s">
        <v>324</v>
      </c>
      <c r="G92" s="73">
        <v>161</v>
      </c>
      <c r="H92" s="74">
        <f>INT((G92*Valores!$C$2*100)+0.5)/100</f>
        <v>1067.82</v>
      </c>
      <c r="I92" s="75">
        <f>1480</f>
        <v>1480</v>
      </c>
      <c r="J92" s="76">
        <f>INT((I92*Valores!$C$2*100)+0.5)/100</f>
        <v>9815.95</v>
      </c>
      <c r="K92" s="103">
        <v>0</v>
      </c>
      <c r="L92" s="76">
        <f>INT((K92*Valores!$C$2*100)+0.5)/100</f>
        <v>0</v>
      </c>
      <c r="M92" s="101">
        <v>0</v>
      </c>
      <c r="N92" s="76">
        <f>INT((M92*Valores!$C$2*100)+0.5)/100</f>
        <v>0</v>
      </c>
      <c r="O92" s="76">
        <f t="shared" si="15"/>
        <v>2227.4085</v>
      </c>
      <c r="P92" s="76">
        <f t="shared" si="16"/>
        <v>0</v>
      </c>
      <c r="Q92" s="78">
        <f>Valores!$C$16</f>
        <v>4291.62</v>
      </c>
      <c r="R92" s="78">
        <f>Valores!$D$4</f>
        <v>2966.67</v>
      </c>
      <c r="S92" s="102">
        <f>Valores!$C$26</f>
        <v>3094.03</v>
      </c>
      <c r="T92" s="107">
        <f>Valores!$C$42</f>
        <v>1226.37</v>
      </c>
      <c r="U92" s="76">
        <f>Valores!$C$23</f>
        <v>2739.25</v>
      </c>
      <c r="V92" s="76">
        <f t="shared" si="13"/>
        <v>2739.25</v>
      </c>
      <c r="W92" s="76">
        <v>0</v>
      </c>
      <c r="X92" s="76">
        <v>0</v>
      </c>
      <c r="Y92" s="80">
        <v>0</v>
      </c>
      <c r="Z92" s="76">
        <f>Y92*Valores!$C$2</f>
        <v>0</v>
      </c>
      <c r="AA92" s="76">
        <v>0</v>
      </c>
      <c r="AB92" s="81">
        <f>Valores!$C$29</f>
        <v>160.21</v>
      </c>
      <c r="AC92" s="76">
        <f t="shared" si="19"/>
        <v>0</v>
      </c>
      <c r="AD92" s="76">
        <f>Valores!$C$30</f>
        <v>160.21</v>
      </c>
      <c r="AE92" s="80">
        <v>0</v>
      </c>
      <c r="AF92" s="76">
        <f>INT(((AE92*Valores!$C$2)*100)+0.5)/100</f>
        <v>0</v>
      </c>
      <c r="AG92" s="76">
        <f>Valores!$C$58</f>
        <v>325.89</v>
      </c>
      <c r="AH92" s="76">
        <f>Valores!$C$60</f>
        <v>93.11</v>
      </c>
      <c r="AI92" s="82">
        <f t="shared" si="20"/>
        <v>28168.5385</v>
      </c>
      <c r="AJ92" s="78">
        <f>Valores!$C$35</f>
        <v>599.19</v>
      </c>
      <c r="AK92" s="79">
        <f>Valores!$C$8</f>
        <v>0</v>
      </c>
      <c r="AL92" s="79">
        <f>Valores!$C$81</f>
        <v>1300</v>
      </c>
      <c r="AM92" s="81">
        <f>Valores!$C$51</f>
        <v>136.56</v>
      </c>
      <c r="AN92" s="83">
        <f t="shared" si="21"/>
        <v>1899.19</v>
      </c>
      <c r="AO92" s="84">
        <f>AI92*-Valores!$C$65</f>
        <v>-3661.910005</v>
      </c>
      <c r="AP92" s="84">
        <f>AI92*-Valores!$C$66</f>
        <v>-140.8426925</v>
      </c>
      <c r="AQ92" s="78">
        <f>AI92*-Valores!$C$67</f>
        <v>-1267.5842324999999</v>
      </c>
      <c r="AR92" s="78">
        <f>AI92*-Valores!$C$68</f>
        <v>-760.5505395</v>
      </c>
      <c r="AS92" s="78">
        <f>AI92*-Valores!$C$69</f>
        <v>-84.5056155</v>
      </c>
      <c r="AT92" s="82">
        <f t="shared" si="17"/>
        <v>24997.391569999996</v>
      </c>
      <c r="AU92" s="82">
        <f t="shared" si="18"/>
        <v>25419.9196475</v>
      </c>
      <c r="AV92" s="78">
        <f>AI92*Valores!$C$71</f>
        <v>4506.96616</v>
      </c>
      <c r="AW92" s="78">
        <f>AI92*Valores!$C$72</f>
        <v>1267.5842324999999</v>
      </c>
      <c r="AX92" s="78">
        <f>AI92*Valores!$C$73</f>
        <v>281.685385</v>
      </c>
      <c r="AY92" s="78">
        <f>AI92*Valores!$C$75</f>
        <v>985.8988475000001</v>
      </c>
      <c r="AZ92" s="78">
        <f>AI92*Valores!$C$76</f>
        <v>169.011231</v>
      </c>
      <c r="BA92" s="78">
        <f t="shared" si="22"/>
        <v>1521.101079</v>
      </c>
      <c r="BB92" s="52"/>
      <c r="BC92" s="52">
        <v>25</v>
      </c>
      <c r="BD92" s="28" t="s">
        <v>4</v>
      </c>
    </row>
    <row r="93" spans="1:56" s="28" customFormat="1" ht="11.25" customHeight="1">
      <c r="A93" s="52">
        <v>92</v>
      </c>
      <c r="B93" s="52"/>
      <c r="C93" s="28" t="s">
        <v>323</v>
      </c>
      <c r="E93" s="28">
        <f t="shared" si="14"/>
        <v>41</v>
      </c>
      <c r="F93" s="72" t="s">
        <v>325</v>
      </c>
      <c r="G93" s="73">
        <v>161</v>
      </c>
      <c r="H93" s="74">
        <f>INT((G93*Valores!$C$2*100)+0.5)/100</f>
        <v>1067.82</v>
      </c>
      <c r="I93" s="75">
        <f>1480</f>
        <v>1480</v>
      </c>
      <c r="J93" s="76">
        <f>INT((I93*Valores!$C$2*100)+0.5)/100</f>
        <v>9815.95</v>
      </c>
      <c r="K93" s="103">
        <v>0</v>
      </c>
      <c r="L93" s="76">
        <f>INT((K93*Valores!$C$2*100)+0.5)/100</f>
        <v>0</v>
      </c>
      <c r="M93" s="101">
        <v>0</v>
      </c>
      <c r="N93" s="76">
        <f>INT((M93*Valores!$C$2*100)+0.5)/100</f>
        <v>0</v>
      </c>
      <c r="O93" s="76">
        <f t="shared" si="15"/>
        <v>2227.4085</v>
      </c>
      <c r="P93" s="76">
        <f t="shared" si="16"/>
        <v>0</v>
      </c>
      <c r="Q93" s="78">
        <f>Valores!$C$16</f>
        <v>4291.62</v>
      </c>
      <c r="R93" s="78">
        <f>Valores!$D$4</f>
        <v>2966.67</v>
      </c>
      <c r="S93" s="102">
        <f>Valores!$C$26</f>
        <v>3094.03</v>
      </c>
      <c r="T93" s="107">
        <f>Valores!$C$42</f>
        <v>1226.37</v>
      </c>
      <c r="U93" s="76">
        <f>Valores!$C$23</f>
        <v>2739.25</v>
      </c>
      <c r="V93" s="76">
        <f t="shared" si="13"/>
        <v>2739.25</v>
      </c>
      <c r="W93" s="76">
        <v>0</v>
      </c>
      <c r="X93" s="76">
        <v>0</v>
      </c>
      <c r="Y93" s="80">
        <v>0</v>
      </c>
      <c r="Z93" s="76">
        <f>Y93*Valores!$C$2</f>
        <v>0</v>
      </c>
      <c r="AA93" s="76">
        <v>0</v>
      </c>
      <c r="AB93" s="81">
        <f>Valores!$C$29</f>
        <v>160.21</v>
      </c>
      <c r="AC93" s="76">
        <f t="shared" si="19"/>
        <v>0</v>
      </c>
      <c r="AD93" s="76">
        <f>Valores!$C$30</f>
        <v>160.21</v>
      </c>
      <c r="AE93" s="80">
        <v>19</v>
      </c>
      <c r="AF93" s="76">
        <f>INT(((AE93*Valores!$C$2)*100)+0.5)/100</f>
        <v>126.02</v>
      </c>
      <c r="AG93" s="76">
        <f>Valores!$C$58</f>
        <v>325.89</v>
      </c>
      <c r="AH93" s="76">
        <f>Valores!$C$60</f>
        <v>93.11</v>
      </c>
      <c r="AI93" s="82">
        <f t="shared" si="20"/>
        <v>28294.5585</v>
      </c>
      <c r="AJ93" s="78">
        <f>Valores!$C$35</f>
        <v>599.19</v>
      </c>
      <c r="AK93" s="79">
        <f>Valores!$C$8</f>
        <v>0</v>
      </c>
      <c r="AL93" s="79">
        <f>Valores!$C$81</f>
        <v>1300</v>
      </c>
      <c r="AM93" s="81">
        <f>Valores!$C$51</f>
        <v>136.56</v>
      </c>
      <c r="AN93" s="83">
        <f t="shared" si="21"/>
        <v>1899.19</v>
      </c>
      <c r="AO93" s="84">
        <f>AI93*-Valores!$C$65</f>
        <v>-3678.292605</v>
      </c>
      <c r="AP93" s="84">
        <f>AI93*-Valores!$C$66</f>
        <v>-141.4727925</v>
      </c>
      <c r="AQ93" s="78">
        <f>AI93*-Valores!$C$67</f>
        <v>-1273.2551325</v>
      </c>
      <c r="AR93" s="78">
        <f>AI93*-Valores!$C$68</f>
        <v>-763.9530795</v>
      </c>
      <c r="AS93" s="78">
        <f>AI93*-Valores!$C$69</f>
        <v>-84.8836755</v>
      </c>
      <c r="AT93" s="82">
        <f t="shared" si="17"/>
        <v>25100.72797</v>
      </c>
      <c r="AU93" s="82">
        <f t="shared" si="18"/>
        <v>25525.1463475</v>
      </c>
      <c r="AV93" s="78">
        <f>AI93*Valores!$C$71</f>
        <v>4527.12936</v>
      </c>
      <c r="AW93" s="78">
        <f>AI93*Valores!$C$72</f>
        <v>1273.2551325</v>
      </c>
      <c r="AX93" s="78">
        <f>AI93*Valores!$C$73</f>
        <v>282.945585</v>
      </c>
      <c r="AY93" s="78">
        <f>AI93*Valores!$C$75</f>
        <v>990.3095475000001</v>
      </c>
      <c r="AZ93" s="78">
        <f>AI93*Valores!$C$76</f>
        <v>169.767351</v>
      </c>
      <c r="BA93" s="78">
        <f t="shared" si="22"/>
        <v>1527.9061590000001</v>
      </c>
      <c r="BB93" s="52"/>
      <c r="BC93" s="52">
        <v>25</v>
      </c>
      <c r="BD93" s="28" t="s">
        <v>4</v>
      </c>
    </row>
    <row r="94" spans="1:56" s="28" customFormat="1" ht="11.25" customHeight="1">
      <c r="A94" s="52">
        <v>93</v>
      </c>
      <c r="B94" s="52"/>
      <c r="C94" s="28" t="s">
        <v>326</v>
      </c>
      <c r="E94" s="28">
        <f t="shared" si="14"/>
        <v>26</v>
      </c>
      <c r="F94" s="72" t="s">
        <v>327</v>
      </c>
      <c r="G94" s="73">
        <v>179</v>
      </c>
      <c r="H94" s="74">
        <f>INT((G94*Valores!$C$2*100)+0.5)/100</f>
        <v>1187.2</v>
      </c>
      <c r="I94" s="75">
        <v>1712</v>
      </c>
      <c r="J94" s="76">
        <f>INT((I94*Valores!$C$2*100)+0.5)/100</f>
        <v>11354.67</v>
      </c>
      <c r="K94" s="103">
        <v>0</v>
      </c>
      <c r="L94" s="76">
        <f>INT((K94*Valores!$C$2*100)+0.5)/100</f>
        <v>0</v>
      </c>
      <c r="M94" s="101">
        <v>0</v>
      </c>
      <c r="N94" s="76">
        <f>INT((M94*Valores!$C$2*100)+0.5)/100</f>
        <v>0</v>
      </c>
      <c r="O94" s="76">
        <f t="shared" si="15"/>
        <v>2476.1235</v>
      </c>
      <c r="P94" s="76">
        <f t="shared" si="16"/>
        <v>0</v>
      </c>
      <c r="Q94" s="78">
        <f>Valores!$C$16</f>
        <v>4291.62</v>
      </c>
      <c r="R94" s="78">
        <f>Valores!$D$4</f>
        <v>2966.67</v>
      </c>
      <c r="S94" s="102">
        <f>Valores!$C$26</f>
        <v>3094.03</v>
      </c>
      <c r="T94" s="107">
        <f>Valores!$C$42</f>
        <v>1226.37</v>
      </c>
      <c r="U94" s="76">
        <f>Valores!$C$23</f>
        <v>2739.25</v>
      </c>
      <c r="V94" s="76">
        <f t="shared" si="13"/>
        <v>2739.25</v>
      </c>
      <c r="W94" s="76">
        <v>0</v>
      </c>
      <c r="X94" s="76">
        <v>0</v>
      </c>
      <c r="Y94" s="80">
        <v>0</v>
      </c>
      <c r="Z94" s="76">
        <f>Y94*Valores!$C$2</f>
        <v>0</v>
      </c>
      <c r="AA94" s="76">
        <v>0</v>
      </c>
      <c r="AB94" s="81">
        <f>Valores!$C$29</f>
        <v>160.21</v>
      </c>
      <c r="AC94" s="76">
        <f t="shared" si="19"/>
        <v>0</v>
      </c>
      <c r="AD94" s="76">
        <f>Valores!$C$30</f>
        <v>160.21</v>
      </c>
      <c r="AE94" s="80">
        <v>0</v>
      </c>
      <c r="AF94" s="76">
        <f>INT(((AE94*Valores!$C$2)*100)+0.5)/100</f>
        <v>0</v>
      </c>
      <c r="AG94" s="76">
        <f>Valores!$C$58</f>
        <v>325.89</v>
      </c>
      <c r="AH94" s="76">
        <f>Valores!$C$60</f>
        <v>93.11</v>
      </c>
      <c r="AI94" s="82">
        <f t="shared" si="20"/>
        <v>30075.353499999994</v>
      </c>
      <c r="AJ94" s="78">
        <f>Valores!$C$35</f>
        <v>599.19</v>
      </c>
      <c r="AK94" s="79">
        <f>Valores!$C$8</f>
        <v>0</v>
      </c>
      <c r="AL94" s="79">
        <f>Valores!$C$81</f>
        <v>1300</v>
      </c>
      <c r="AM94" s="81">
        <f>Valores!$C$51</f>
        <v>136.56</v>
      </c>
      <c r="AN94" s="83">
        <f t="shared" si="21"/>
        <v>1899.19</v>
      </c>
      <c r="AO94" s="84">
        <f>AI94*-Valores!$C$65</f>
        <v>-3909.795954999999</v>
      </c>
      <c r="AP94" s="84">
        <f>AI94*-Valores!$C$66</f>
        <v>-150.37676749999997</v>
      </c>
      <c r="AQ94" s="78">
        <f>AI94*-Valores!$C$67</f>
        <v>-1353.3909074999997</v>
      </c>
      <c r="AR94" s="78">
        <f>AI94*-Valores!$C$68</f>
        <v>-812.0345444999998</v>
      </c>
      <c r="AS94" s="78">
        <f>AI94*-Valores!$C$69</f>
        <v>-90.22606049999999</v>
      </c>
      <c r="AT94" s="82">
        <f t="shared" si="17"/>
        <v>26560.979869999992</v>
      </c>
      <c r="AU94" s="82">
        <f t="shared" si="18"/>
        <v>27012.110172499993</v>
      </c>
      <c r="AV94" s="78">
        <f>AI94*Valores!$C$71</f>
        <v>4812.056559999999</v>
      </c>
      <c r="AW94" s="78">
        <f>AI94*Valores!$C$72</f>
        <v>1353.3909074999997</v>
      </c>
      <c r="AX94" s="78">
        <f>AI94*Valores!$C$73</f>
        <v>300.75353499999994</v>
      </c>
      <c r="AY94" s="78">
        <f>AI94*Valores!$C$75</f>
        <v>1052.6373724999999</v>
      </c>
      <c r="AZ94" s="78">
        <f>AI94*Valores!$C$76</f>
        <v>180.45212099999998</v>
      </c>
      <c r="BA94" s="78">
        <f t="shared" si="22"/>
        <v>1624.0690889999998</v>
      </c>
      <c r="BB94" s="52"/>
      <c r="BC94" s="86">
        <v>25</v>
      </c>
      <c r="BD94" s="28" t="s">
        <v>4</v>
      </c>
    </row>
    <row r="95" spans="1:56" s="28" customFormat="1" ht="11.25" customHeight="1">
      <c r="A95" s="52">
        <v>94</v>
      </c>
      <c r="B95" s="52"/>
      <c r="C95" s="28" t="s">
        <v>328</v>
      </c>
      <c r="E95" s="28">
        <f t="shared" si="14"/>
        <v>30</v>
      </c>
      <c r="F95" s="72" t="s">
        <v>329</v>
      </c>
      <c r="G95" s="73">
        <v>64</v>
      </c>
      <c r="H95" s="74">
        <f>INT((G95*Valores!$C$2*100)+0.5)/100</f>
        <v>424.47</v>
      </c>
      <c r="I95" s="75">
        <v>2086</v>
      </c>
      <c r="J95" s="76">
        <f>INT((I95*Valores!$C$2*100)+0.5)/100</f>
        <v>13835.19</v>
      </c>
      <c r="K95" s="103">
        <v>0</v>
      </c>
      <c r="L95" s="76">
        <f>INT((K95*Valores!$C$2*100)+0.5)/100</f>
        <v>0</v>
      </c>
      <c r="M95" s="101">
        <v>0</v>
      </c>
      <c r="N95" s="76">
        <f>INT((M95*Valores!$C$2*100)+0.5)/100</f>
        <v>0</v>
      </c>
      <c r="O95" s="76">
        <f t="shared" si="15"/>
        <v>2733.792</v>
      </c>
      <c r="P95" s="76">
        <f t="shared" si="16"/>
        <v>0</v>
      </c>
      <c r="Q95" s="78">
        <f>Valores!$C$16</f>
        <v>4291.62</v>
      </c>
      <c r="R95" s="78">
        <f>Valores!$D$4</f>
        <v>2966.67</v>
      </c>
      <c r="S95" s="102">
        <f>Valores!$C$26</f>
        <v>3094.03</v>
      </c>
      <c r="T95" s="107">
        <f>Valores!$C$42</f>
        <v>1226.37</v>
      </c>
      <c r="U95" s="76">
        <f>Valores!$C$23</f>
        <v>2739.25</v>
      </c>
      <c r="V95" s="76">
        <f t="shared" si="13"/>
        <v>2739.25</v>
      </c>
      <c r="W95" s="76">
        <v>0</v>
      </c>
      <c r="X95" s="76">
        <v>0</v>
      </c>
      <c r="Y95" s="80">
        <v>0</v>
      </c>
      <c r="Z95" s="76">
        <f>Y95*Valores!$C$2</f>
        <v>0</v>
      </c>
      <c r="AA95" s="76">
        <v>0</v>
      </c>
      <c r="AB95" s="81">
        <f>Valores!$C$29</f>
        <v>160.21</v>
      </c>
      <c r="AC95" s="76">
        <f t="shared" si="19"/>
        <v>0</v>
      </c>
      <c r="AD95" s="76">
        <f>Valores!$C$30</f>
        <v>160.21</v>
      </c>
      <c r="AE95" s="80">
        <v>0</v>
      </c>
      <c r="AF95" s="76">
        <f>INT(((AE95*Valores!$C$2)*100)+0.5)/100</f>
        <v>0</v>
      </c>
      <c r="AG95" s="76">
        <f>Valores!$C$58</f>
        <v>325.89</v>
      </c>
      <c r="AH95" s="76">
        <f>Valores!$C$60</f>
        <v>93.11</v>
      </c>
      <c r="AI95" s="82">
        <f t="shared" si="20"/>
        <v>32050.811999999994</v>
      </c>
      <c r="AJ95" s="78">
        <f>Valores!$C$35</f>
        <v>599.19</v>
      </c>
      <c r="AK95" s="79">
        <f>Valores!$C$8</f>
        <v>0</v>
      </c>
      <c r="AL95" s="79">
        <f>Valores!$C$82</f>
        <v>1560</v>
      </c>
      <c r="AM95" s="81">
        <f>Valores!$C$51</f>
        <v>136.56</v>
      </c>
      <c r="AN95" s="83">
        <f t="shared" si="21"/>
        <v>2159.19</v>
      </c>
      <c r="AO95" s="84">
        <f>AI95*-Valores!$C$65</f>
        <v>-4166.605559999999</v>
      </c>
      <c r="AP95" s="84">
        <f>AI95*-Valores!$C$66</f>
        <v>-160.25405999999998</v>
      </c>
      <c r="AQ95" s="78">
        <f>AI95*-Valores!$C$67</f>
        <v>-1442.2865399999996</v>
      </c>
      <c r="AR95" s="78">
        <f>AI95*-Valores!$C$68</f>
        <v>-865.3719239999998</v>
      </c>
      <c r="AS95" s="78">
        <f>AI95*-Valores!$C$69</f>
        <v>-96.15243599999998</v>
      </c>
      <c r="AT95" s="82">
        <f t="shared" si="17"/>
        <v>28440.855839999993</v>
      </c>
      <c r="AU95" s="82">
        <f t="shared" si="18"/>
        <v>28921.618019999994</v>
      </c>
      <c r="AV95" s="78">
        <f>AI95*Valores!$C$71</f>
        <v>5128.129919999999</v>
      </c>
      <c r="AW95" s="78">
        <f>AI95*Valores!$C$72</f>
        <v>1442.2865399999996</v>
      </c>
      <c r="AX95" s="78">
        <f>AI95*Valores!$C$73</f>
        <v>320.50811999999996</v>
      </c>
      <c r="AY95" s="78">
        <f>AI95*Valores!$C$75</f>
        <v>1121.7784199999999</v>
      </c>
      <c r="AZ95" s="78">
        <f>AI95*Valores!$C$76</f>
        <v>192.30487199999996</v>
      </c>
      <c r="BA95" s="78">
        <f t="shared" si="22"/>
        <v>1730.7438479999996</v>
      </c>
      <c r="BB95" s="52"/>
      <c r="BC95" s="52">
        <v>25</v>
      </c>
      <c r="BD95" s="28" t="s">
        <v>4</v>
      </c>
    </row>
    <row r="96" spans="1:56" s="28" customFormat="1" ht="11.25" customHeight="1">
      <c r="A96" s="86">
        <v>95</v>
      </c>
      <c r="B96" s="86" t="s">
        <v>163</v>
      </c>
      <c r="C96" s="87" t="s">
        <v>330</v>
      </c>
      <c r="D96" s="87"/>
      <c r="E96" s="87">
        <f t="shared" si="14"/>
        <v>31</v>
      </c>
      <c r="F96" s="88" t="s">
        <v>331</v>
      </c>
      <c r="G96" s="89">
        <v>89</v>
      </c>
      <c r="H96" s="90">
        <f>INT((G96*Valores!$C$2*100)+0.5)/100</f>
        <v>590.28</v>
      </c>
      <c r="I96" s="91">
        <v>2481</v>
      </c>
      <c r="J96" s="92">
        <f>INT((I96*Valores!$C$2*100)+0.5)/100</f>
        <v>16454.98</v>
      </c>
      <c r="K96" s="105">
        <v>0</v>
      </c>
      <c r="L96" s="92">
        <f>INT((K96*Valores!$C$2*100)+0.5)/100</f>
        <v>0</v>
      </c>
      <c r="M96" s="106">
        <v>0</v>
      </c>
      <c r="N96" s="92">
        <f>INT((M96*Valores!$C$2*100)+0.5)/100</f>
        <v>0</v>
      </c>
      <c r="O96" s="92">
        <f t="shared" si="15"/>
        <v>3151.6319999999996</v>
      </c>
      <c r="P96" s="92">
        <f t="shared" si="16"/>
        <v>0</v>
      </c>
      <c r="Q96" s="94">
        <f>Valores!$C$15</f>
        <v>4266.78</v>
      </c>
      <c r="R96" s="94">
        <f>Valores!$D$4</f>
        <v>2966.67</v>
      </c>
      <c r="S96" s="92">
        <v>0</v>
      </c>
      <c r="T96" s="95">
        <f>Valores!$C$42</f>
        <v>1226.37</v>
      </c>
      <c r="U96" s="92">
        <f>Valores!$C$23</f>
        <v>2739.25</v>
      </c>
      <c r="V96" s="92">
        <f t="shared" si="13"/>
        <v>2739.25</v>
      </c>
      <c r="W96" s="92">
        <v>0</v>
      </c>
      <c r="X96" s="92">
        <v>0</v>
      </c>
      <c r="Y96" s="96">
        <v>0</v>
      </c>
      <c r="Z96" s="92">
        <f>Y96*Valores!$C$2</f>
        <v>0</v>
      </c>
      <c r="AA96" s="92">
        <v>0</v>
      </c>
      <c r="AB96" s="97">
        <f>Valores!$C$29</f>
        <v>160.21</v>
      </c>
      <c r="AC96" s="92">
        <f t="shared" si="19"/>
        <v>0</v>
      </c>
      <c r="AD96" s="92">
        <f>Valores!$C$30</f>
        <v>160.21</v>
      </c>
      <c r="AE96" s="96">
        <v>0</v>
      </c>
      <c r="AF96" s="92">
        <f>INT(((AE96*Valores!$C$2)*100)+0.5)/100</f>
        <v>0</v>
      </c>
      <c r="AG96" s="92">
        <f>Valores!$C$58</f>
        <v>325.89</v>
      </c>
      <c r="AH96" s="92">
        <f>Valores!$C$60</f>
        <v>93.11</v>
      </c>
      <c r="AI96" s="98">
        <f t="shared" si="20"/>
        <v>32135.381999999994</v>
      </c>
      <c r="AJ96" s="94">
        <f>Valores!$C$35</f>
        <v>599.19</v>
      </c>
      <c r="AK96" s="95">
        <f>Valores!$C$8</f>
        <v>0</v>
      </c>
      <c r="AL96" s="95">
        <f>Valores!$C$81</f>
        <v>1300</v>
      </c>
      <c r="AM96" s="97">
        <f>Valores!$C$51</f>
        <v>136.56</v>
      </c>
      <c r="AN96" s="99">
        <f t="shared" si="21"/>
        <v>1899.19</v>
      </c>
      <c r="AO96" s="100">
        <f>AI96*-Valores!$C$65</f>
        <v>-4177.599659999999</v>
      </c>
      <c r="AP96" s="100">
        <f>AI96*-Valores!$C$66</f>
        <v>-160.67690999999996</v>
      </c>
      <c r="AQ96" s="94">
        <f>AI96*-Valores!$C$67</f>
        <v>-1446.0921899999996</v>
      </c>
      <c r="AR96" s="94">
        <f>AI96*-Valores!$C$68</f>
        <v>-867.6553139999999</v>
      </c>
      <c r="AS96" s="94">
        <f>AI96*-Valores!$C$69</f>
        <v>-96.40614599999998</v>
      </c>
      <c r="AT96" s="98">
        <f t="shared" si="17"/>
        <v>28250.20323999999</v>
      </c>
      <c r="AU96" s="98">
        <f t="shared" si="18"/>
        <v>28732.233969999987</v>
      </c>
      <c r="AV96" s="94">
        <f>AI96*Valores!$C$71</f>
        <v>5141.661119999999</v>
      </c>
      <c r="AW96" s="94">
        <f>AI96*Valores!$C$72</f>
        <v>1446.0921899999996</v>
      </c>
      <c r="AX96" s="94">
        <f>AI96*Valores!$C$73</f>
        <v>321.3538199999999</v>
      </c>
      <c r="AY96" s="94">
        <f>AI96*Valores!$C$75</f>
        <v>1124.7383699999998</v>
      </c>
      <c r="AZ96" s="94">
        <f>AI96*Valores!$C$76</f>
        <v>192.81229199999996</v>
      </c>
      <c r="BA96" s="94">
        <f t="shared" si="22"/>
        <v>1735.310628</v>
      </c>
      <c r="BB96" s="86"/>
      <c r="BC96" s="86">
        <v>25</v>
      </c>
      <c r="BD96" s="87" t="s">
        <v>8</v>
      </c>
    </row>
    <row r="97" spans="1:56" s="28" customFormat="1" ht="11.25" customHeight="1">
      <c r="A97" s="52">
        <v>96</v>
      </c>
      <c r="B97" s="52"/>
      <c r="C97" s="28" t="s">
        <v>332</v>
      </c>
      <c r="E97" s="28">
        <f t="shared" si="14"/>
        <v>31</v>
      </c>
      <c r="F97" s="72" t="s">
        <v>333</v>
      </c>
      <c r="G97" s="73">
        <v>89</v>
      </c>
      <c r="H97" s="74">
        <f>INT((G97*Valores!$C$2*100)+0.5)/100</f>
        <v>590.28</v>
      </c>
      <c r="I97" s="75">
        <v>2381</v>
      </c>
      <c r="J97" s="76">
        <f>INT((I97*Valores!$C$2*100)+0.5)/100</f>
        <v>15791.74</v>
      </c>
      <c r="K97" s="103">
        <v>0</v>
      </c>
      <c r="L97" s="76">
        <f>INT((K97*Valores!$C$2*100)+0.5)/100</f>
        <v>0</v>
      </c>
      <c r="M97" s="101">
        <v>0</v>
      </c>
      <c r="N97" s="76">
        <f>INT((M97*Valores!$C$2*100)+0.5)/100</f>
        <v>0</v>
      </c>
      <c r="O97" s="76">
        <f t="shared" si="15"/>
        <v>3052.1459999999997</v>
      </c>
      <c r="P97" s="76">
        <f t="shared" si="16"/>
        <v>0</v>
      </c>
      <c r="Q97" s="78">
        <f>Valores!$C$20</f>
        <v>4080.56</v>
      </c>
      <c r="R97" s="78">
        <f>Valores!$D$4</f>
        <v>2966.67</v>
      </c>
      <c r="S97" s="76">
        <f>Valores!$C$26</f>
        <v>3094.03</v>
      </c>
      <c r="T97" s="79">
        <f>Valores!$C$42</f>
        <v>1226.37</v>
      </c>
      <c r="U97" s="76">
        <f>Valores!$C$23</f>
        <v>2739.25</v>
      </c>
      <c r="V97" s="76">
        <f t="shared" si="13"/>
        <v>2739.25</v>
      </c>
      <c r="W97" s="76">
        <v>0</v>
      </c>
      <c r="X97" s="76">
        <v>0</v>
      </c>
      <c r="Y97" s="80">
        <v>0</v>
      </c>
      <c r="Z97" s="76">
        <f>Y97*Valores!$C$2</f>
        <v>0</v>
      </c>
      <c r="AA97" s="76">
        <v>0</v>
      </c>
      <c r="AB97" s="81">
        <f>Valores!$C$29</f>
        <v>160.21</v>
      </c>
      <c r="AC97" s="76">
        <f t="shared" si="19"/>
        <v>0</v>
      </c>
      <c r="AD97" s="76">
        <f>Valores!$C$30</f>
        <v>160.21</v>
      </c>
      <c r="AE97" s="80">
        <v>0</v>
      </c>
      <c r="AF97" s="76">
        <f>INT(((AE97*Valores!$C$2)*100)+0.5)/100</f>
        <v>0</v>
      </c>
      <c r="AG97" s="76">
        <f>Valores!$C$58</f>
        <v>325.89</v>
      </c>
      <c r="AH97" s="76">
        <f>Valores!$C$60</f>
        <v>93.11</v>
      </c>
      <c r="AI97" s="82">
        <f t="shared" si="20"/>
        <v>34280.466</v>
      </c>
      <c r="AJ97" s="78">
        <f>Valores!$C$35</f>
        <v>599.19</v>
      </c>
      <c r="AK97" s="79">
        <f>Valores!$C$8</f>
        <v>0</v>
      </c>
      <c r="AL97" s="79">
        <f>Valores!$C$81</f>
        <v>1300</v>
      </c>
      <c r="AM97" s="81">
        <f>Valores!$C$51</f>
        <v>136.56</v>
      </c>
      <c r="AN97" s="83">
        <f t="shared" si="21"/>
        <v>1899.19</v>
      </c>
      <c r="AO97" s="84">
        <f>AI97*-Valores!$C$65</f>
        <v>-4456.46058</v>
      </c>
      <c r="AP97" s="84">
        <f>AI97*-Valores!$C$66</f>
        <v>-171.40233</v>
      </c>
      <c r="AQ97" s="78">
        <f>AI97*-Valores!$C$67</f>
        <v>-1542.62097</v>
      </c>
      <c r="AR97" s="78">
        <f>AI97*-Valores!$C$68</f>
        <v>-925.572582</v>
      </c>
      <c r="AS97" s="78">
        <f>AI97*-Valores!$C$69</f>
        <v>-102.841398</v>
      </c>
      <c r="AT97" s="82">
        <f t="shared" si="17"/>
        <v>30009.172120000003</v>
      </c>
      <c r="AU97" s="82">
        <f t="shared" si="18"/>
        <v>30523.379110000005</v>
      </c>
      <c r="AV97" s="78">
        <f>AI97*Valores!$C$71</f>
        <v>5484.87456</v>
      </c>
      <c r="AW97" s="78">
        <f>AI97*Valores!$C$72</f>
        <v>1542.62097</v>
      </c>
      <c r="AX97" s="78">
        <f>AI97*Valores!$C$73</f>
        <v>342.80466</v>
      </c>
      <c r="AY97" s="78">
        <f>AI97*Valores!$C$75</f>
        <v>1199.8163100000002</v>
      </c>
      <c r="AZ97" s="78">
        <f>AI97*Valores!$C$76</f>
        <v>205.682796</v>
      </c>
      <c r="BA97" s="78">
        <f t="shared" si="22"/>
        <v>1851.1451640000002</v>
      </c>
      <c r="BB97" s="52"/>
      <c r="BC97" s="52">
        <v>25</v>
      </c>
      <c r="BD97" s="28" t="s">
        <v>4</v>
      </c>
    </row>
    <row r="98" spans="1:56" s="28" customFormat="1" ht="11.25" customHeight="1">
      <c r="A98" s="52">
        <v>97</v>
      </c>
      <c r="B98" s="52"/>
      <c r="C98" s="28" t="s">
        <v>334</v>
      </c>
      <c r="E98" s="28">
        <f t="shared" si="14"/>
        <v>31</v>
      </c>
      <c r="F98" s="72" t="s">
        <v>335</v>
      </c>
      <c r="G98" s="73">
        <v>89</v>
      </c>
      <c r="H98" s="74">
        <f>INT((G98*Valores!$C$2*100)+0.5)/100</f>
        <v>590.28</v>
      </c>
      <c r="I98" s="75">
        <v>1768</v>
      </c>
      <c r="J98" s="76">
        <f>INT((I98*Valores!$C$2*100)+0.5)/100</f>
        <v>11726.08</v>
      </c>
      <c r="K98" s="103">
        <v>0</v>
      </c>
      <c r="L98" s="76">
        <f>INT((K98*Valores!$C$2*100)+0.5)/100</f>
        <v>0</v>
      </c>
      <c r="M98" s="101">
        <v>0</v>
      </c>
      <c r="N98" s="76">
        <f>INT((M98*Valores!$C$2*100)+0.5)/100</f>
        <v>0</v>
      </c>
      <c r="O98" s="76">
        <f t="shared" si="15"/>
        <v>2442.297</v>
      </c>
      <c r="P98" s="76">
        <f t="shared" si="16"/>
        <v>0</v>
      </c>
      <c r="Q98" s="78">
        <f>Valores!$C$20</f>
        <v>4080.56</v>
      </c>
      <c r="R98" s="78">
        <f>Valores!$D$4</f>
        <v>2966.67</v>
      </c>
      <c r="S98" s="102">
        <f>Valores!$C$26</f>
        <v>3094.03</v>
      </c>
      <c r="T98" s="107">
        <f>Valores!$C$42</f>
        <v>1226.37</v>
      </c>
      <c r="U98" s="76">
        <f>Valores!$C$23</f>
        <v>2739.25</v>
      </c>
      <c r="V98" s="76">
        <f t="shared" si="13"/>
        <v>2739.25</v>
      </c>
      <c r="W98" s="76">
        <v>0</v>
      </c>
      <c r="X98" s="76">
        <v>0</v>
      </c>
      <c r="Y98" s="80">
        <v>0</v>
      </c>
      <c r="Z98" s="76">
        <f>Y98*Valores!$C$2</f>
        <v>0</v>
      </c>
      <c r="AA98" s="76">
        <v>0</v>
      </c>
      <c r="AB98" s="81">
        <f>Valores!$C$29</f>
        <v>160.21</v>
      </c>
      <c r="AC98" s="76">
        <f t="shared" si="19"/>
        <v>0</v>
      </c>
      <c r="AD98" s="76">
        <f>Valores!$C$30</f>
        <v>160.21</v>
      </c>
      <c r="AE98" s="80">
        <v>0</v>
      </c>
      <c r="AF98" s="76">
        <f>INT(((AE98*Valores!$C$2)*100)+0.5)/100</f>
        <v>0</v>
      </c>
      <c r="AG98" s="76">
        <f>Valores!$C$58</f>
        <v>325.89</v>
      </c>
      <c r="AH98" s="76">
        <f>Valores!$C$60</f>
        <v>93.11</v>
      </c>
      <c r="AI98" s="82">
        <f t="shared" si="20"/>
        <v>29604.957</v>
      </c>
      <c r="AJ98" s="78">
        <f>Valores!$C$35</f>
        <v>599.19</v>
      </c>
      <c r="AK98" s="79">
        <f>Valores!$C$8</f>
        <v>0</v>
      </c>
      <c r="AL98" s="79">
        <f>Valores!$C$81</f>
        <v>1300</v>
      </c>
      <c r="AM98" s="81">
        <f>Valores!$C$51</f>
        <v>136.56</v>
      </c>
      <c r="AN98" s="83">
        <f t="shared" si="21"/>
        <v>1899.19</v>
      </c>
      <c r="AO98" s="84">
        <f>AI98*-Valores!$C$65</f>
        <v>-3848.64441</v>
      </c>
      <c r="AP98" s="84">
        <f>AI98*-Valores!$C$66</f>
        <v>-148.024785</v>
      </c>
      <c r="AQ98" s="78">
        <f>AI98*-Valores!$C$67</f>
        <v>-1332.223065</v>
      </c>
      <c r="AR98" s="78">
        <f>AI98*-Valores!$C$68</f>
        <v>-799.3338389999999</v>
      </c>
      <c r="AS98" s="78">
        <f>AI98*-Valores!$C$69</f>
        <v>-88.814871</v>
      </c>
      <c r="AT98" s="82">
        <f t="shared" si="17"/>
        <v>26175.254739999997</v>
      </c>
      <c r="AU98" s="82">
        <f t="shared" si="18"/>
        <v>26619.329094999997</v>
      </c>
      <c r="AV98" s="78">
        <f>AI98*Valores!$C$71</f>
        <v>4736.79312</v>
      </c>
      <c r="AW98" s="78">
        <f>AI98*Valores!$C$72</f>
        <v>1332.223065</v>
      </c>
      <c r="AX98" s="78">
        <f>AI98*Valores!$C$73</f>
        <v>296.04957</v>
      </c>
      <c r="AY98" s="78">
        <f>AI98*Valores!$C$75</f>
        <v>1036.173495</v>
      </c>
      <c r="AZ98" s="78">
        <f>AI98*Valores!$C$76</f>
        <v>177.629742</v>
      </c>
      <c r="BA98" s="78">
        <f t="shared" si="22"/>
        <v>1598.667678</v>
      </c>
      <c r="BB98" s="52"/>
      <c r="BC98" s="52">
        <v>25</v>
      </c>
      <c r="BD98" s="28" t="s">
        <v>4</v>
      </c>
    </row>
    <row r="99" spans="1:56" s="28" customFormat="1" ht="11.25" customHeight="1">
      <c r="A99" s="52">
        <v>98</v>
      </c>
      <c r="B99" s="52"/>
      <c r="C99" s="28" t="s">
        <v>336</v>
      </c>
      <c r="E99" s="28">
        <f t="shared" si="14"/>
        <v>29</v>
      </c>
      <c r="F99" s="72" t="s">
        <v>337</v>
      </c>
      <c r="G99" s="73">
        <v>89</v>
      </c>
      <c r="H99" s="74">
        <f>INT((G99*Valores!$C$2*100)+0.5)/100</f>
        <v>590.28</v>
      </c>
      <c r="I99" s="75">
        <v>1768</v>
      </c>
      <c r="J99" s="76">
        <f>INT((I99*Valores!$C$2*100)+0.5)/100</f>
        <v>11726.08</v>
      </c>
      <c r="K99" s="103">
        <v>0</v>
      </c>
      <c r="L99" s="76">
        <f>INT((K99*Valores!$C$2*100)+0.5)/100</f>
        <v>0</v>
      </c>
      <c r="M99" s="101">
        <v>0</v>
      </c>
      <c r="N99" s="76">
        <f>INT((M99*Valores!$C$2*100)+0.5)/100</f>
        <v>0</v>
      </c>
      <c r="O99" s="76">
        <f t="shared" si="15"/>
        <v>2442.297</v>
      </c>
      <c r="P99" s="76">
        <f t="shared" si="16"/>
        <v>0</v>
      </c>
      <c r="Q99" s="78">
        <f>Valores!$C$15</f>
        <v>4266.78</v>
      </c>
      <c r="R99" s="78">
        <f>Valores!$D$4</f>
        <v>2966.67</v>
      </c>
      <c r="S99" s="102">
        <f>Valores!$C$26</f>
        <v>3094.03</v>
      </c>
      <c r="T99" s="107">
        <f>Valores!$C$42</f>
        <v>1226.37</v>
      </c>
      <c r="U99" s="76">
        <f>Valores!$C$23</f>
        <v>2739.25</v>
      </c>
      <c r="V99" s="76">
        <f t="shared" si="13"/>
        <v>2739.25</v>
      </c>
      <c r="W99" s="76">
        <v>0</v>
      </c>
      <c r="X99" s="76">
        <v>0</v>
      </c>
      <c r="Y99" s="80">
        <v>0</v>
      </c>
      <c r="Z99" s="76">
        <f>Y99*Valores!$C$2</f>
        <v>0</v>
      </c>
      <c r="AA99" s="76">
        <v>0</v>
      </c>
      <c r="AB99" s="81">
        <f>Valores!$C$29</f>
        <v>160.21</v>
      </c>
      <c r="AC99" s="76">
        <f t="shared" si="19"/>
        <v>0</v>
      </c>
      <c r="AD99" s="76">
        <f>Valores!$C$30</f>
        <v>160.21</v>
      </c>
      <c r="AE99" s="80">
        <v>0</v>
      </c>
      <c r="AF99" s="76">
        <f>INT(((AE99*Valores!$C$2)*100)+0.5)/100</f>
        <v>0</v>
      </c>
      <c r="AG99" s="76">
        <f>Valores!$C$58</f>
        <v>325.89</v>
      </c>
      <c r="AH99" s="76">
        <f>Valores!$C$60</f>
        <v>93.11</v>
      </c>
      <c r="AI99" s="82">
        <f t="shared" si="20"/>
        <v>29791.177</v>
      </c>
      <c r="AJ99" s="78">
        <f>Valores!$C$35</f>
        <v>599.19</v>
      </c>
      <c r="AK99" s="79">
        <f>Valores!$C$8</f>
        <v>0</v>
      </c>
      <c r="AL99" s="79">
        <f>Valores!$C$81</f>
        <v>1300</v>
      </c>
      <c r="AM99" s="81">
        <f>Valores!$C$51</f>
        <v>136.56</v>
      </c>
      <c r="AN99" s="83">
        <f t="shared" si="21"/>
        <v>1899.19</v>
      </c>
      <c r="AO99" s="84">
        <f>AI99*-Valores!$C$65</f>
        <v>-3872.8530100000003</v>
      </c>
      <c r="AP99" s="84">
        <f>AI99*-Valores!$C$66</f>
        <v>-148.955885</v>
      </c>
      <c r="AQ99" s="78">
        <f>AI99*-Valores!$C$67</f>
        <v>-1340.602965</v>
      </c>
      <c r="AR99" s="78">
        <f>AI99*-Valores!$C$68</f>
        <v>-804.361779</v>
      </c>
      <c r="AS99" s="78">
        <f>AI99*-Valores!$C$69</f>
        <v>-89.373531</v>
      </c>
      <c r="AT99" s="82">
        <f t="shared" si="17"/>
        <v>26327.95514</v>
      </c>
      <c r="AU99" s="82">
        <f t="shared" si="18"/>
        <v>26774.822795</v>
      </c>
      <c r="AV99" s="78">
        <f>AI99*Valores!$C$71</f>
        <v>4766.58832</v>
      </c>
      <c r="AW99" s="78">
        <f>AI99*Valores!$C$72</f>
        <v>1340.602965</v>
      </c>
      <c r="AX99" s="78">
        <f>AI99*Valores!$C$73</f>
        <v>297.91177</v>
      </c>
      <c r="AY99" s="78">
        <f>AI99*Valores!$C$75</f>
        <v>1042.691195</v>
      </c>
      <c r="AZ99" s="78">
        <f>AI99*Valores!$C$76</f>
        <v>178.747062</v>
      </c>
      <c r="BA99" s="78">
        <f t="shared" si="22"/>
        <v>1608.7235580000001</v>
      </c>
      <c r="BB99" s="52"/>
      <c r="BC99" s="86"/>
      <c r="BD99" s="28" t="s">
        <v>4</v>
      </c>
    </row>
    <row r="100" spans="1:56" s="28" customFormat="1" ht="11.25" customHeight="1">
      <c r="A100" s="52">
        <v>99</v>
      </c>
      <c r="B100" s="52"/>
      <c r="C100" s="28" t="s">
        <v>338</v>
      </c>
      <c r="E100" s="28">
        <f t="shared" si="14"/>
        <v>31</v>
      </c>
      <c r="F100" s="72" t="s">
        <v>339</v>
      </c>
      <c r="G100" s="73">
        <v>89</v>
      </c>
      <c r="H100" s="74">
        <f>INT((G100*Valores!$C$2*100)+0.5)/100</f>
        <v>590.28</v>
      </c>
      <c r="I100" s="75">
        <v>2211</v>
      </c>
      <c r="J100" s="76">
        <f>INT((I100*Valores!$C$2*100)+0.5)/100</f>
        <v>14664.24</v>
      </c>
      <c r="K100" s="103">
        <v>0</v>
      </c>
      <c r="L100" s="76">
        <f>INT((K100*Valores!$C$2*100)+0.5)/100</f>
        <v>0</v>
      </c>
      <c r="M100" s="101">
        <v>0</v>
      </c>
      <c r="N100" s="76">
        <f>INT((M100*Valores!$C$2*100)+0.5)/100</f>
        <v>0</v>
      </c>
      <c r="O100" s="76">
        <f t="shared" si="15"/>
        <v>2883.0209999999997</v>
      </c>
      <c r="P100" s="76">
        <f t="shared" si="16"/>
        <v>0</v>
      </c>
      <c r="Q100" s="78">
        <f>Valores!$C$15</f>
        <v>4266.78</v>
      </c>
      <c r="R100" s="78">
        <f>Valores!$D$4</f>
        <v>2966.67</v>
      </c>
      <c r="S100" s="102">
        <f>Valores!$C$26</f>
        <v>3094.03</v>
      </c>
      <c r="T100" s="107">
        <f>Valores!$C$42</f>
        <v>1226.37</v>
      </c>
      <c r="U100" s="76">
        <f>Valores!$C$23</f>
        <v>2739.25</v>
      </c>
      <c r="V100" s="76">
        <f t="shared" si="13"/>
        <v>2739.25</v>
      </c>
      <c r="W100" s="76">
        <v>0</v>
      </c>
      <c r="X100" s="76">
        <v>0</v>
      </c>
      <c r="Y100" s="80">
        <v>0</v>
      </c>
      <c r="Z100" s="76">
        <f>Y100*Valores!$C$2</f>
        <v>0</v>
      </c>
      <c r="AA100" s="76">
        <v>0</v>
      </c>
      <c r="AB100" s="81">
        <f>Valores!$C$29</f>
        <v>160.21</v>
      </c>
      <c r="AC100" s="76">
        <f t="shared" si="19"/>
        <v>0</v>
      </c>
      <c r="AD100" s="76">
        <f>Valores!$C$30</f>
        <v>160.21</v>
      </c>
      <c r="AE100" s="80">
        <v>0</v>
      </c>
      <c r="AF100" s="76">
        <f>INT(((AE100*Valores!$C$2)*100)+0.5)/100</f>
        <v>0</v>
      </c>
      <c r="AG100" s="76">
        <f>Valores!$C$58</f>
        <v>325.89</v>
      </c>
      <c r="AH100" s="76">
        <f>Valores!$C$60</f>
        <v>93.11</v>
      </c>
      <c r="AI100" s="82">
        <f t="shared" si="20"/>
        <v>33170.061</v>
      </c>
      <c r="AJ100" s="78">
        <f>Valores!$C$35</f>
        <v>599.19</v>
      </c>
      <c r="AK100" s="79">
        <f>Valores!$C$8</f>
        <v>0</v>
      </c>
      <c r="AL100" s="79">
        <f>Valores!$C$81</f>
        <v>1300</v>
      </c>
      <c r="AM100" s="81">
        <f>Valores!$C$51</f>
        <v>136.56</v>
      </c>
      <c r="AN100" s="83">
        <f t="shared" si="21"/>
        <v>1899.19</v>
      </c>
      <c r="AO100" s="84">
        <f>AI100*-Valores!$C$65</f>
        <v>-4312.10793</v>
      </c>
      <c r="AP100" s="84">
        <f>AI100*-Valores!$C$66</f>
        <v>-165.85030500000002</v>
      </c>
      <c r="AQ100" s="78">
        <f>AI100*-Valores!$C$67</f>
        <v>-1492.652745</v>
      </c>
      <c r="AR100" s="78">
        <f>AI100*-Valores!$C$68</f>
        <v>-895.5916470000001</v>
      </c>
      <c r="AS100" s="78">
        <f>AI100*-Valores!$C$69</f>
        <v>-99.51018300000001</v>
      </c>
      <c r="AT100" s="82">
        <f t="shared" si="17"/>
        <v>29098.640020000006</v>
      </c>
      <c r="AU100" s="82">
        <f t="shared" si="18"/>
        <v>29596.190935000006</v>
      </c>
      <c r="AV100" s="78">
        <f>AI100*Valores!$C$71</f>
        <v>5307.209760000001</v>
      </c>
      <c r="AW100" s="78">
        <f>AI100*Valores!$C$72</f>
        <v>1492.652745</v>
      </c>
      <c r="AX100" s="78">
        <f>AI100*Valores!$C$73</f>
        <v>331.70061000000004</v>
      </c>
      <c r="AY100" s="78">
        <f>AI100*Valores!$C$75</f>
        <v>1160.9521350000002</v>
      </c>
      <c r="AZ100" s="78">
        <f>AI100*Valores!$C$76</f>
        <v>199.02036600000002</v>
      </c>
      <c r="BA100" s="78">
        <f t="shared" si="22"/>
        <v>1791.1832940000002</v>
      </c>
      <c r="BB100" s="52"/>
      <c r="BC100" s="52"/>
      <c r="BD100" s="28" t="s">
        <v>4</v>
      </c>
    </row>
    <row r="101" spans="1:56" s="28" customFormat="1" ht="11.25" customHeight="1">
      <c r="A101" s="86">
        <v>100</v>
      </c>
      <c r="B101" s="86" t="s">
        <v>163</v>
      </c>
      <c r="C101" s="87" t="s">
        <v>340</v>
      </c>
      <c r="D101" s="87"/>
      <c r="E101" s="87">
        <f t="shared" si="14"/>
        <v>31</v>
      </c>
      <c r="F101" s="88" t="s">
        <v>341</v>
      </c>
      <c r="G101" s="89">
        <v>89</v>
      </c>
      <c r="H101" s="90">
        <f>INT((G101*Valores!$C$2*100)+0.5)/100</f>
        <v>590.28</v>
      </c>
      <c r="I101" s="91">
        <v>1956</v>
      </c>
      <c r="J101" s="92">
        <f>INT((I101*Valores!$C$2*100)+0.5)/100</f>
        <v>12972.97</v>
      </c>
      <c r="K101" s="105">
        <v>0</v>
      </c>
      <c r="L101" s="92">
        <f>INT((K101*Valores!$C$2*100)+0.5)/100</f>
        <v>0</v>
      </c>
      <c r="M101" s="106">
        <v>0</v>
      </c>
      <c r="N101" s="92">
        <f>INT((M101*Valores!$C$2*100)+0.5)/100</f>
        <v>0</v>
      </c>
      <c r="O101" s="92">
        <f t="shared" si="15"/>
        <v>2629.3304999999996</v>
      </c>
      <c r="P101" s="92">
        <f t="shared" si="16"/>
        <v>0</v>
      </c>
      <c r="Q101" s="94">
        <f>Valores!$C$20</f>
        <v>4080.56</v>
      </c>
      <c r="R101" s="94">
        <f>Valores!$D$4</f>
        <v>2966.67</v>
      </c>
      <c r="S101" s="92">
        <v>0</v>
      </c>
      <c r="T101" s="95">
        <f>Valores!$C$42</f>
        <v>1226.37</v>
      </c>
      <c r="U101" s="92">
        <f>Valores!$C$23</f>
        <v>2739.25</v>
      </c>
      <c r="V101" s="92">
        <f t="shared" si="13"/>
        <v>2739.25</v>
      </c>
      <c r="W101" s="92">
        <v>0</v>
      </c>
      <c r="X101" s="92">
        <v>0</v>
      </c>
      <c r="Y101" s="96">
        <v>0</v>
      </c>
      <c r="Z101" s="92">
        <f>Y101*Valores!$C$2</f>
        <v>0</v>
      </c>
      <c r="AA101" s="92">
        <v>0</v>
      </c>
      <c r="AB101" s="97">
        <f>Valores!$C$29</f>
        <v>160.21</v>
      </c>
      <c r="AC101" s="92">
        <f t="shared" si="19"/>
        <v>0</v>
      </c>
      <c r="AD101" s="92">
        <f>Valores!$C$30</f>
        <v>160.21</v>
      </c>
      <c r="AE101" s="96">
        <v>0</v>
      </c>
      <c r="AF101" s="92">
        <f>INT(((AE101*Valores!$C$2)*100)+0.5)/100</f>
        <v>0</v>
      </c>
      <c r="AG101" s="92">
        <f>Valores!$C$58</f>
        <v>325.89</v>
      </c>
      <c r="AH101" s="92">
        <f>Valores!$C$60</f>
        <v>93.11</v>
      </c>
      <c r="AI101" s="98">
        <f t="shared" si="20"/>
        <v>27944.850499999997</v>
      </c>
      <c r="AJ101" s="94">
        <f>Valores!$C$35</f>
        <v>599.19</v>
      </c>
      <c r="AK101" s="95">
        <f>Valores!$C$8</f>
        <v>0</v>
      </c>
      <c r="AL101" s="95">
        <f>Valores!$C$81</f>
        <v>1300</v>
      </c>
      <c r="AM101" s="97">
        <f>Valores!$C$51</f>
        <v>136.56</v>
      </c>
      <c r="AN101" s="99">
        <f t="shared" si="21"/>
        <v>1899.19</v>
      </c>
      <c r="AO101" s="100">
        <f>AI101*-Valores!$C$65</f>
        <v>-3632.8305649999998</v>
      </c>
      <c r="AP101" s="100">
        <f>AI101*-Valores!$C$66</f>
        <v>-139.72425249999998</v>
      </c>
      <c r="AQ101" s="94">
        <f>AI101*-Valores!$C$67</f>
        <v>-1257.5182724999997</v>
      </c>
      <c r="AR101" s="94">
        <f>AI101*-Valores!$C$68</f>
        <v>-754.5109634999999</v>
      </c>
      <c r="AS101" s="94">
        <f>AI101*-Valores!$C$69</f>
        <v>-83.83455149999999</v>
      </c>
      <c r="AT101" s="98">
        <f t="shared" si="17"/>
        <v>24813.967409999994</v>
      </c>
      <c r="AU101" s="98">
        <f t="shared" si="18"/>
        <v>25233.140167499994</v>
      </c>
      <c r="AV101" s="94">
        <f>AI101*Valores!$C$71</f>
        <v>4471.176079999999</v>
      </c>
      <c r="AW101" s="94">
        <f>AI101*Valores!$C$72</f>
        <v>1257.5182724999997</v>
      </c>
      <c r="AX101" s="94">
        <f>AI101*Valores!$C$73</f>
        <v>279.44850499999995</v>
      </c>
      <c r="AY101" s="94">
        <f>AI101*Valores!$C$75</f>
        <v>978.0697675</v>
      </c>
      <c r="AZ101" s="94">
        <f>AI101*Valores!$C$76</f>
        <v>167.66910299999998</v>
      </c>
      <c r="BA101" s="94">
        <f t="shared" si="22"/>
        <v>1509.0219269999998</v>
      </c>
      <c r="BB101" s="86"/>
      <c r="BC101" s="86"/>
      <c r="BD101" s="87" t="s">
        <v>8</v>
      </c>
    </row>
    <row r="102" spans="1:56" s="28" customFormat="1" ht="11.25" customHeight="1">
      <c r="A102" s="52">
        <v>101</v>
      </c>
      <c r="B102" s="52"/>
      <c r="C102" s="28" t="s">
        <v>342</v>
      </c>
      <c r="E102" s="28">
        <f t="shared" si="14"/>
        <v>31</v>
      </c>
      <c r="F102" s="72" t="s">
        <v>343</v>
      </c>
      <c r="G102" s="73">
        <v>89</v>
      </c>
      <c r="H102" s="74">
        <f>INT((G102*Valores!$C$2*100)+0.5)/100</f>
        <v>590.28</v>
      </c>
      <c r="I102" s="75">
        <v>1267</v>
      </c>
      <c r="J102" s="76">
        <f>INT((I102*Valores!$C$2*100)+0.5)/100</f>
        <v>8403.25</v>
      </c>
      <c r="K102" s="103">
        <v>0</v>
      </c>
      <c r="L102" s="76">
        <f>INT((K102*Valores!$C$2*100)+0.5)/100</f>
        <v>0</v>
      </c>
      <c r="M102" s="101">
        <v>0</v>
      </c>
      <c r="N102" s="76">
        <f>INT((M102*Valores!$C$2*100)+0.5)/100</f>
        <v>0</v>
      </c>
      <c r="O102" s="76">
        <f t="shared" si="15"/>
        <v>1943.8725000000002</v>
      </c>
      <c r="P102" s="76">
        <f t="shared" si="16"/>
        <v>0</v>
      </c>
      <c r="Q102" s="78">
        <f>Valores!$C$20</f>
        <v>4080.56</v>
      </c>
      <c r="R102" s="78">
        <f>Valores!$D$4</f>
        <v>2966.67</v>
      </c>
      <c r="S102" s="76">
        <v>0</v>
      </c>
      <c r="T102" s="79">
        <f>Valores!$C$42</f>
        <v>1226.37</v>
      </c>
      <c r="U102" s="76">
        <f>Valores!$C$23</f>
        <v>2739.25</v>
      </c>
      <c r="V102" s="76">
        <f t="shared" si="13"/>
        <v>2739.25</v>
      </c>
      <c r="W102" s="76">
        <v>0</v>
      </c>
      <c r="X102" s="76">
        <v>0</v>
      </c>
      <c r="Y102" s="80">
        <v>0</v>
      </c>
      <c r="Z102" s="76">
        <f>Y102*Valores!$C$2</f>
        <v>0</v>
      </c>
      <c r="AA102" s="76">
        <v>0</v>
      </c>
      <c r="AB102" s="81">
        <f>Valores!$C$29</f>
        <v>160.21</v>
      </c>
      <c r="AC102" s="76">
        <f t="shared" si="19"/>
        <v>0</v>
      </c>
      <c r="AD102" s="76">
        <f>Valores!$C$30</f>
        <v>160.21</v>
      </c>
      <c r="AE102" s="80">
        <v>0</v>
      </c>
      <c r="AF102" s="76">
        <f>INT(((AE102*Valores!$C$2)*100)+0.5)/100</f>
        <v>0</v>
      </c>
      <c r="AG102" s="76">
        <f>Valores!$C$58</f>
        <v>325.89</v>
      </c>
      <c r="AH102" s="76">
        <f>Valores!$C$60</f>
        <v>93.11</v>
      </c>
      <c r="AI102" s="82">
        <f t="shared" si="20"/>
        <v>22689.672499999997</v>
      </c>
      <c r="AJ102" s="78">
        <f>Valores!$C$35</f>
        <v>599.19</v>
      </c>
      <c r="AK102" s="79">
        <f>Valores!$C$8</f>
        <v>0</v>
      </c>
      <c r="AL102" s="79">
        <f>Valores!$C$81</f>
        <v>1300</v>
      </c>
      <c r="AM102" s="81">
        <f>Valores!$C$51</f>
        <v>136.56</v>
      </c>
      <c r="AN102" s="83">
        <f t="shared" si="21"/>
        <v>1899.19</v>
      </c>
      <c r="AO102" s="84">
        <f>AI102*-Valores!$C$65</f>
        <v>-2949.657425</v>
      </c>
      <c r="AP102" s="84">
        <f>AI102*-Valores!$C$66</f>
        <v>-113.44836249999999</v>
      </c>
      <c r="AQ102" s="78">
        <f>AI102*-Valores!$C$67</f>
        <v>-1021.0352624999998</v>
      </c>
      <c r="AR102" s="78">
        <f>AI102*-Valores!$C$68</f>
        <v>-612.6211574999999</v>
      </c>
      <c r="AS102" s="78">
        <f>AI102*-Valores!$C$69</f>
        <v>-68.06901749999999</v>
      </c>
      <c r="AT102" s="82">
        <f t="shared" si="17"/>
        <v>20504.721449999994</v>
      </c>
      <c r="AU102" s="82">
        <f t="shared" si="18"/>
        <v>20845.06653749999</v>
      </c>
      <c r="AV102" s="78">
        <f>AI102*Valores!$C$71</f>
        <v>3630.3475999999996</v>
      </c>
      <c r="AW102" s="78">
        <f>AI102*Valores!$C$72</f>
        <v>1021.0352624999998</v>
      </c>
      <c r="AX102" s="78">
        <f>AI102*Valores!$C$73</f>
        <v>226.89672499999998</v>
      </c>
      <c r="AY102" s="78">
        <f>AI102*Valores!$C$75</f>
        <v>794.1385375</v>
      </c>
      <c r="AZ102" s="78">
        <f>AI102*Valores!$C$76</f>
        <v>136.13803499999997</v>
      </c>
      <c r="BA102" s="78">
        <f t="shared" si="22"/>
        <v>1225.242315</v>
      </c>
      <c r="BB102" s="52"/>
      <c r="BC102" s="52"/>
      <c r="BD102" s="28" t="s">
        <v>8</v>
      </c>
    </row>
    <row r="103" spans="1:56" s="28" customFormat="1" ht="11.25" customHeight="1">
      <c r="A103" s="52">
        <v>102</v>
      </c>
      <c r="B103" s="52"/>
      <c r="C103" s="28" t="s">
        <v>344</v>
      </c>
      <c r="E103" s="28">
        <f t="shared" si="14"/>
        <v>31</v>
      </c>
      <c r="F103" s="72" t="s">
        <v>345</v>
      </c>
      <c r="G103" s="73">
        <v>67</v>
      </c>
      <c r="H103" s="74">
        <f>INT((G103*Valores!$C$2*100)+0.5)/100</f>
        <v>444.37</v>
      </c>
      <c r="I103" s="75">
        <v>2108</v>
      </c>
      <c r="J103" s="76">
        <f>INT((I103*Valores!$C$2*100)+0.5)/100</f>
        <v>13981.1</v>
      </c>
      <c r="K103" s="103">
        <v>0</v>
      </c>
      <c r="L103" s="76">
        <f>INT((K103*Valores!$C$2*100)+0.5)/100</f>
        <v>0</v>
      </c>
      <c r="M103" s="101">
        <v>0</v>
      </c>
      <c r="N103" s="76">
        <f>INT((M103*Valores!$C$2*100)+0.5)/100</f>
        <v>0</v>
      </c>
      <c r="O103" s="76">
        <f t="shared" si="15"/>
        <v>2707.0785</v>
      </c>
      <c r="P103" s="76">
        <f t="shared" si="16"/>
        <v>0</v>
      </c>
      <c r="Q103" s="78">
        <f>Valores!$C$20</f>
        <v>4080.56</v>
      </c>
      <c r="R103" s="78">
        <f>Valores!$D$4</f>
        <v>2966.67</v>
      </c>
      <c r="S103" s="76">
        <v>0</v>
      </c>
      <c r="T103" s="79">
        <f>Valores!$C$40</f>
        <v>919.75</v>
      </c>
      <c r="U103" s="102">
        <f>Valores!$C$24</f>
        <v>2701.97</v>
      </c>
      <c r="V103" s="76">
        <f t="shared" si="13"/>
        <v>2701.97</v>
      </c>
      <c r="W103" s="76">
        <v>0</v>
      </c>
      <c r="X103" s="76">
        <v>0</v>
      </c>
      <c r="Y103" s="80">
        <v>0</v>
      </c>
      <c r="Z103" s="76">
        <f>Y103*Valores!$C$2</f>
        <v>0</v>
      </c>
      <c r="AA103" s="76">
        <v>0</v>
      </c>
      <c r="AB103" s="81">
        <f>Valores!$C$29</f>
        <v>160.21</v>
      </c>
      <c r="AC103" s="76">
        <f t="shared" si="19"/>
        <v>0</v>
      </c>
      <c r="AD103" s="76">
        <f>Valores!$C$30</f>
        <v>160.21</v>
      </c>
      <c r="AE103" s="80">
        <v>0</v>
      </c>
      <c r="AF103" s="76">
        <f>INT(((AE103*Valores!$C$2)*100)+0.5)/100</f>
        <v>0</v>
      </c>
      <c r="AG103" s="76">
        <f>Valores!$C$58</f>
        <v>325.89</v>
      </c>
      <c r="AH103" s="76">
        <f>Valores!$C$60</f>
        <v>93.11</v>
      </c>
      <c r="AI103" s="82">
        <f t="shared" si="20"/>
        <v>28540.9185</v>
      </c>
      <c r="AJ103" s="78">
        <f>Valores!$C$35</f>
        <v>599.19</v>
      </c>
      <c r="AK103" s="79">
        <f>Valores!$C$6</f>
        <v>0</v>
      </c>
      <c r="AL103" s="79">
        <f>Valores!$C$81</f>
        <v>1300</v>
      </c>
      <c r="AM103" s="81">
        <f>Valores!$C$51</f>
        <v>136.56</v>
      </c>
      <c r="AN103" s="83">
        <f t="shared" si="21"/>
        <v>1899.19</v>
      </c>
      <c r="AO103" s="84">
        <f>AI103*-Valores!$C$65</f>
        <v>-3710.319405</v>
      </c>
      <c r="AP103" s="84">
        <f>AI103*-Valores!$C$66</f>
        <v>-142.7045925</v>
      </c>
      <c r="AQ103" s="78">
        <f>AI103*-Valores!$C$67</f>
        <v>-1284.3413325</v>
      </c>
      <c r="AR103" s="78">
        <f>AI103*-Valores!$C$68</f>
        <v>-770.6047995</v>
      </c>
      <c r="AS103" s="78">
        <f>AI103*-Valores!$C$69</f>
        <v>-85.6227555</v>
      </c>
      <c r="AT103" s="82">
        <f t="shared" si="17"/>
        <v>25302.74317</v>
      </c>
      <c r="AU103" s="82">
        <f t="shared" si="18"/>
        <v>25730.856947499997</v>
      </c>
      <c r="AV103" s="78">
        <f>AI103*Valores!$C$71</f>
        <v>4566.54696</v>
      </c>
      <c r="AW103" s="78">
        <f>AI103*Valores!$C$72</f>
        <v>1284.3413325</v>
      </c>
      <c r="AX103" s="78">
        <f>AI103*Valores!$C$73</f>
        <v>285.409185</v>
      </c>
      <c r="AY103" s="78">
        <f>AI103*Valores!$C$75</f>
        <v>998.9321475</v>
      </c>
      <c r="AZ103" s="78">
        <f>AI103*Valores!$C$76</f>
        <v>171.245511</v>
      </c>
      <c r="BA103" s="78">
        <f t="shared" si="22"/>
        <v>1541.2095990000003</v>
      </c>
      <c r="BB103" s="52"/>
      <c r="BC103" s="52">
        <v>30</v>
      </c>
      <c r="BD103" s="28" t="s">
        <v>4</v>
      </c>
    </row>
    <row r="104" spans="1:56" s="28" customFormat="1" ht="11.25" customHeight="1">
      <c r="A104" s="52">
        <v>103</v>
      </c>
      <c r="B104" s="52"/>
      <c r="C104" s="28" t="s">
        <v>346</v>
      </c>
      <c r="E104" s="28">
        <f t="shared" si="14"/>
        <v>30</v>
      </c>
      <c r="F104" s="72" t="s">
        <v>347</v>
      </c>
      <c r="G104" s="73">
        <v>45</v>
      </c>
      <c r="H104" s="74">
        <f>INT((G104*Valores!$C$2*100)+0.5)/100</f>
        <v>298.46</v>
      </c>
      <c r="I104" s="75">
        <v>1502</v>
      </c>
      <c r="J104" s="76">
        <f>INT((I104*Valores!$C$2*100)+0.5)/100</f>
        <v>9961.86</v>
      </c>
      <c r="K104" s="103">
        <v>0</v>
      </c>
      <c r="L104" s="76">
        <f>INT((K104*Valores!$C$2*100)+0.5)/100</f>
        <v>0</v>
      </c>
      <c r="M104" s="101">
        <v>0</v>
      </c>
      <c r="N104" s="76">
        <f>INT((M104*Valores!$C$2*100)+0.5)/100</f>
        <v>0</v>
      </c>
      <c r="O104" s="76">
        <f t="shared" si="15"/>
        <v>2082.3059999999996</v>
      </c>
      <c r="P104" s="76">
        <f t="shared" si="16"/>
        <v>0</v>
      </c>
      <c r="Q104" s="78">
        <f>Valores!$C$20</f>
        <v>4080.56</v>
      </c>
      <c r="R104" s="78">
        <f>Valores!$D$4</f>
        <v>2966.67</v>
      </c>
      <c r="S104" s="76">
        <v>0</v>
      </c>
      <c r="T104" s="79">
        <f>Valores!$C$40</f>
        <v>919.75</v>
      </c>
      <c r="U104" s="102">
        <f>Valores!$C$24</f>
        <v>2701.97</v>
      </c>
      <c r="V104" s="76">
        <f t="shared" si="13"/>
        <v>2701.97</v>
      </c>
      <c r="W104" s="76">
        <v>0</v>
      </c>
      <c r="X104" s="76">
        <v>0</v>
      </c>
      <c r="Y104" s="80">
        <v>0</v>
      </c>
      <c r="Z104" s="76">
        <f>Y104*Valores!$C$2</f>
        <v>0</v>
      </c>
      <c r="AA104" s="76">
        <v>0</v>
      </c>
      <c r="AB104" s="81">
        <f>Valores!$C$29</f>
        <v>160.21</v>
      </c>
      <c r="AC104" s="76">
        <f t="shared" si="19"/>
        <v>0</v>
      </c>
      <c r="AD104" s="76">
        <f>Valores!$C$30</f>
        <v>160.21</v>
      </c>
      <c r="AE104" s="80">
        <v>0</v>
      </c>
      <c r="AF104" s="76">
        <f>INT(((AE104*Valores!$C$2)*100)+0.5)/100</f>
        <v>0</v>
      </c>
      <c r="AG104" s="76">
        <f>Valores!$C$58</f>
        <v>325.89</v>
      </c>
      <c r="AH104" s="76">
        <f>Valores!$C$60</f>
        <v>93.11</v>
      </c>
      <c r="AI104" s="82">
        <f t="shared" si="20"/>
        <v>23750.996</v>
      </c>
      <c r="AJ104" s="78">
        <f>Valores!$C$35</f>
        <v>599.19</v>
      </c>
      <c r="AK104" s="79">
        <f>Valores!$C$6</f>
        <v>0</v>
      </c>
      <c r="AL104" s="79">
        <f>Valores!$C$81</f>
        <v>1300</v>
      </c>
      <c r="AM104" s="81">
        <f>Valores!$C$51</f>
        <v>136.56</v>
      </c>
      <c r="AN104" s="83">
        <f t="shared" si="21"/>
        <v>1899.19</v>
      </c>
      <c r="AO104" s="84">
        <f>AI104*-Valores!$C$65</f>
        <v>-3087.62948</v>
      </c>
      <c r="AP104" s="84">
        <f>AI104*-Valores!$C$66</f>
        <v>-118.75498</v>
      </c>
      <c r="AQ104" s="78">
        <f>AI104*-Valores!$C$67</f>
        <v>-1068.7948199999998</v>
      </c>
      <c r="AR104" s="78">
        <f>AI104*-Valores!$C$68</f>
        <v>-641.276892</v>
      </c>
      <c r="AS104" s="78">
        <f>AI104*-Valores!$C$69</f>
        <v>-71.252988</v>
      </c>
      <c r="AT104" s="82">
        <f t="shared" si="17"/>
        <v>21375.006719999998</v>
      </c>
      <c r="AU104" s="82">
        <f t="shared" si="18"/>
        <v>21731.271659999995</v>
      </c>
      <c r="AV104" s="78">
        <f>AI104*Valores!$C$71</f>
        <v>3800.15936</v>
      </c>
      <c r="AW104" s="78">
        <f>AI104*Valores!$C$72</f>
        <v>1068.7948199999998</v>
      </c>
      <c r="AX104" s="78">
        <f>AI104*Valores!$C$73</f>
        <v>237.50996</v>
      </c>
      <c r="AY104" s="78">
        <f>AI104*Valores!$C$75</f>
        <v>831.2848600000001</v>
      </c>
      <c r="AZ104" s="78">
        <f>AI104*Valores!$C$76</f>
        <v>142.505976</v>
      </c>
      <c r="BA104" s="78">
        <f t="shared" si="22"/>
        <v>1282.553784</v>
      </c>
      <c r="BB104" s="52"/>
      <c r="BC104" s="86"/>
      <c r="BD104" s="28" t="s">
        <v>4</v>
      </c>
    </row>
    <row r="105" spans="1:56" s="28" customFormat="1" ht="11.25" customHeight="1">
      <c r="A105" s="52">
        <v>104</v>
      </c>
      <c r="B105" s="52"/>
      <c r="C105" s="28" t="s">
        <v>348</v>
      </c>
      <c r="E105" s="28">
        <f t="shared" si="14"/>
        <v>32</v>
      </c>
      <c r="F105" s="72" t="s">
        <v>349</v>
      </c>
      <c r="G105" s="73">
        <v>61</v>
      </c>
      <c r="H105" s="74">
        <f>INT((G105*Valores!$C$2*100)+0.5)/100</f>
        <v>404.58</v>
      </c>
      <c r="I105" s="75">
        <v>2114</v>
      </c>
      <c r="J105" s="76">
        <f>INT((I105*Valores!$C$2*100)+0.5)/100</f>
        <v>14020.89</v>
      </c>
      <c r="K105" s="103">
        <v>0</v>
      </c>
      <c r="L105" s="76">
        <f>INT((K105*Valores!$C$2*100)+0.5)/100</f>
        <v>0</v>
      </c>
      <c r="M105" s="101">
        <v>0</v>
      </c>
      <c r="N105" s="76">
        <f>INT((M105*Valores!$C$2*100)+0.5)/100</f>
        <v>0</v>
      </c>
      <c r="O105" s="76">
        <f t="shared" si="15"/>
        <v>2707.0784999999996</v>
      </c>
      <c r="P105" s="76">
        <f t="shared" si="16"/>
        <v>0</v>
      </c>
      <c r="Q105" s="78">
        <f>Valores!$C$20</f>
        <v>4080.56</v>
      </c>
      <c r="R105" s="78">
        <f>Valores!$D$4</f>
        <v>2966.67</v>
      </c>
      <c r="S105" s="76">
        <v>0</v>
      </c>
      <c r="T105" s="79">
        <f>Valores!$C$40</f>
        <v>919.75</v>
      </c>
      <c r="U105" s="102">
        <f>Valores!$C$24</f>
        <v>2701.97</v>
      </c>
      <c r="V105" s="76">
        <f t="shared" si="13"/>
        <v>2701.97</v>
      </c>
      <c r="W105" s="76">
        <v>0</v>
      </c>
      <c r="X105" s="76">
        <v>0</v>
      </c>
      <c r="Y105" s="80">
        <v>0</v>
      </c>
      <c r="Z105" s="76">
        <f>Y105*Valores!$C$2</f>
        <v>0</v>
      </c>
      <c r="AA105" s="76">
        <v>0</v>
      </c>
      <c r="AB105" s="81">
        <f>Valores!$C$29</f>
        <v>160.21</v>
      </c>
      <c r="AC105" s="76">
        <f t="shared" si="19"/>
        <v>0</v>
      </c>
      <c r="AD105" s="76">
        <f>Valores!$C$30</f>
        <v>160.21</v>
      </c>
      <c r="AE105" s="80">
        <v>0</v>
      </c>
      <c r="AF105" s="76">
        <f>INT(((AE105*Valores!$C$2)*100)+0.5)/100</f>
        <v>0</v>
      </c>
      <c r="AG105" s="76">
        <f>Valores!$C$58</f>
        <v>325.89</v>
      </c>
      <c r="AH105" s="76">
        <f>Valores!$C$60</f>
        <v>93.11</v>
      </c>
      <c r="AI105" s="82">
        <f t="shared" si="20"/>
        <v>28540.9185</v>
      </c>
      <c r="AJ105" s="78">
        <f>Valores!$C$35</f>
        <v>599.19</v>
      </c>
      <c r="AK105" s="79">
        <f>Valores!$C$6</f>
        <v>0</v>
      </c>
      <c r="AL105" s="79">
        <f>Valores!$C$81</f>
        <v>1300</v>
      </c>
      <c r="AM105" s="81">
        <f>Valores!$C$51</f>
        <v>136.56</v>
      </c>
      <c r="AN105" s="83">
        <f t="shared" si="21"/>
        <v>1899.19</v>
      </c>
      <c r="AO105" s="84">
        <f>AI105*-Valores!$C$65</f>
        <v>-3710.319405</v>
      </c>
      <c r="AP105" s="84">
        <f>AI105*-Valores!$C$66</f>
        <v>-142.7045925</v>
      </c>
      <c r="AQ105" s="78">
        <f>AI105*-Valores!$C$67</f>
        <v>-1284.3413325</v>
      </c>
      <c r="AR105" s="78">
        <f>AI105*-Valores!$C$68</f>
        <v>-770.6047995</v>
      </c>
      <c r="AS105" s="78">
        <f>AI105*-Valores!$C$69</f>
        <v>-85.6227555</v>
      </c>
      <c r="AT105" s="82">
        <f t="shared" si="17"/>
        <v>25302.74317</v>
      </c>
      <c r="AU105" s="82">
        <f t="shared" si="18"/>
        <v>25730.856947499997</v>
      </c>
      <c r="AV105" s="78">
        <f>AI105*Valores!$C$71</f>
        <v>4566.54696</v>
      </c>
      <c r="AW105" s="78">
        <f>AI105*Valores!$C$72</f>
        <v>1284.3413325</v>
      </c>
      <c r="AX105" s="78">
        <f>AI105*Valores!$C$73</f>
        <v>285.409185</v>
      </c>
      <c r="AY105" s="78">
        <f>AI105*Valores!$C$75</f>
        <v>998.9321475</v>
      </c>
      <c r="AZ105" s="78">
        <f>AI105*Valores!$C$76</f>
        <v>171.245511</v>
      </c>
      <c r="BA105" s="78">
        <f t="shared" si="22"/>
        <v>1541.2095990000003</v>
      </c>
      <c r="BB105" s="52"/>
      <c r="BC105" s="52">
        <v>30</v>
      </c>
      <c r="BD105" s="28" t="s">
        <v>4</v>
      </c>
    </row>
    <row r="106" spans="1:56" s="28" customFormat="1" ht="11.25" customHeight="1">
      <c r="A106" s="86">
        <v>105</v>
      </c>
      <c r="B106" s="86" t="s">
        <v>163</v>
      </c>
      <c r="C106" s="87" t="s">
        <v>350</v>
      </c>
      <c r="D106" s="87"/>
      <c r="E106" s="87">
        <f t="shared" si="14"/>
        <v>32</v>
      </c>
      <c r="F106" s="88" t="s">
        <v>351</v>
      </c>
      <c r="G106" s="89">
        <v>59</v>
      </c>
      <c r="H106" s="90">
        <f>INT((G106*Valores!$C$2*100)+0.5)/100</f>
        <v>391.31</v>
      </c>
      <c r="I106" s="91">
        <v>2013</v>
      </c>
      <c r="J106" s="92">
        <f>INT((I106*Valores!$C$2*100)+0.5)/100</f>
        <v>13351.02</v>
      </c>
      <c r="K106" s="105">
        <v>0</v>
      </c>
      <c r="L106" s="92">
        <f>INT((K106*Valores!$C$2*100)+0.5)/100</f>
        <v>0</v>
      </c>
      <c r="M106" s="106">
        <v>0</v>
      </c>
      <c r="N106" s="92">
        <f>INT((M106*Valores!$C$2*100)+0.5)/100</f>
        <v>0</v>
      </c>
      <c r="O106" s="92">
        <f t="shared" si="15"/>
        <v>2604.6074999999996</v>
      </c>
      <c r="P106" s="92">
        <f t="shared" si="16"/>
        <v>0</v>
      </c>
      <c r="Q106" s="94">
        <f>Valores!$C$20</f>
        <v>4080.56</v>
      </c>
      <c r="R106" s="94">
        <f>Valores!$D$4</f>
        <v>2966.67</v>
      </c>
      <c r="S106" s="92">
        <v>0</v>
      </c>
      <c r="T106" s="95">
        <f>Valores!$C$40</f>
        <v>919.75</v>
      </c>
      <c r="U106" s="108">
        <f>Valores!$C$24</f>
        <v>2701.97</v>
      </c>
      <c r="V106" s="92">
        <f t="shared" si="13"/>
        <v>2701.97</v>
      </c>
      <c r="W106" s="92">
        <v>0</v>
      </c>
      <c r="X106" s="92">
        <v>0</v>
      </c>
      <c r="Y106" s="96">
        <v>0</v>
      </c>
      <c r="Z106" s="92">
        <f>Y106*Valores!$C$2</f>
        <v>0</v>
      </c>
      <c r="AA106" s="92">
        <v>0</v>
      </c>
      <c r="AB106" s="97">
        <f>Valores!$C$29</f>
        <v>160.21</v>
      </c>
      <c r="AC106" s="92">
        <f t="shared" si="19"/>
        <v>0</v>
      </c>
      <c r="AD106" s="92">
        <f>Valores!$C$30</f>
        <v>160.21</v>
      </c>
      <c r="AE106" s="96">
        <v>0</v>
      </c>
      <c r="AF106" s="92">
        <f>INT(((AE106*Valores!$C$2)*100)+0.5)/100</f>
        <v>0</v>
      </c>
      <c r="AG106" s="92">
        <f>Valores!$C$58</f>
        <v>325.89</v>
      </c>
      <c r="AH106" s="92">
        <f>Valores!$C$60</f>
        <v>93.11</v>
      </c>
      <c r="AI106" s="98">
        <f t="shared" si="20"/>
        <v>27755.307500000003</v>
      </c>
      <c r="AJ106" s="94">
        <f>Valores!$C$35</f>
        <v>599.19</v>
      </c>
      <c r="AK106" s="95">
        <f>Valores!$C$6</f>
        <v>0</v>
      </c>
      <c r="AL106" s="95">
        <f>Valores!$C$81</f>
        <v>1300</v>
      </c>
      <c r="AM106" s="97">
        <f>Valores!$C$51</f>
        <v>136.56</v>
      </c>
      <c r="AN106" s="99">
        <f t="shared" si="21"/>
        <v>1899.19</v>
      </c>
      <c r="AO106" s="100">
        <f>AI106*-Valores!$C$65</f>
        <v>-3608.1899750000007</v>
      </c>
      <c r="AP106" s="100">
        <f>AI106*-Valores!$C$66</f>
        <v>-138.77653750000002</v>
      </c>
      <c r="AQ106" s="94">
        <f>AI106*-Valores!$C$67</f>
        <v>-1248.9888375</v>
      </c>
      <c r="AR106" s="94">
        <f>AI106*-Valores!$C$68</f>
        <v>-749.3933025000001</v>
      </c>
      <c r="AS106" s="94">
        <f>AI106*-Valores!$C$69</f>
        <v>-83.26592250000002</v>
      </c>
      <c r="AT106" s="98">
        <f t="shared" si="17"/>
        <v>24658.542149999997</v>
      </c>
      <c r="AU106" s="98">
        <f t="shared" si="18"/>
        <v>25074.8717625</v>
      </c>
      <c r="AV106" s="94">
        <f>AI106*Valores!$C$71</f>
        <v>4440.849200000001</v>
      </c>
      <c r="AW106" s="94">
        <f>AI106*Valores!$C$72</f>
        <v>1248.9888375</v>
      </c>
      <c r="AX106" s="94">
        <f>AI106*Valores!$C$73</f>
        <v>277.55307500000004</v>
      </c>
      <c r="AY106" s="94">
        <f>AI106*Valores!$C$75</f>
        <v>971.4357625000002</v>
      </c>
      <c r="AZ106" s="94">
        <f>AI106*Valores!$C$76</f>
        <v>166.53184500000003</v>
      </c>
      <c r="BA106" s="94">
        <f t="shared" si="22"/>
        <v>1498.7866050000002</v>
      </c>
      <c r="BB106" s="86"/>
      <c r="BC106" s="86">
        <v>30</v>
      </c>
      <c r="BD106" s="87" t="s">
        <v>4</v>
      </c>
    </row>
    <row r="107" spans="1:56" s="28" customFormat="1" ht="11.25" customHeight="1">
      <c r="A107" s="52">
        <v>106</v>
      </c>
      <c r="B107" s="52"/>
      <c r="C107" s="28" t="s">
        <v>352</v>
      </c>
      <c r="E107" s="28">
        <f t="shared" si="14"/>
        <v>32</v>
      </c>
      <c r="F107" s="72" t="s">
        <v>353</v>
      </c>
      <c r="G107" s="73">
        <v>56</v>
      </c>
      <c r="H107" s="74">
        <f>INT((G107*Valores!$C$2*100)+0.5)/100</f>
        <v>371.41</v>
      </c>
      <c r="I107" s="75">
        <v>1720</v>
      </c>
      <c r="J107" s="76">
        <f>INT((I107*Valores!$C$2*100)+0.5)/100</f>
        <v>11407.73</v>
      </c>
      <c r="K107" s="103">
        <v>0</v>
      </c>
      <c r="L107" s="76">
        <f>INT((K107*Valores!$C$2*100)+0.5)/100</f>
        <v>0</v>
      </c>
      <c r="M107" s="101">
        <v>0</v>
      </c>
      <c r="N107" s="76">
        <f>INT((M107*Valores!$C$2*100)+0.5)/100</f>
        <v>0</v>
      </c>
      <c r="O107" s="76">
        <f t="shared" si="15"/>
        <v>2310.129</v>
      </c>
      <c r="P107" s="76">
        <f t="shared" si="16"/>
        <v>0</v>
      </c>
      <c r="Q107" s="78">
        <f>Valores!$C$20</f>
        <v>4080.56</v>
      </c>
      <c r="R107" s="78">
        <f>Valores!$D$4</f>
        <v>2966.67</v>
      </c>
      <c r="S107" s="76">
        <v>0</v>
      </c>
      <c r="T107" s="79">
        <f>Valores!$C$40</f>
        <v>919.75</v>
      </c>
      <c r="U107" s="102">
        <f>Valores!$C$24</f>
        <v>2701.97</v>
      </c>
      <c r="V107" s="76">
        <f t="shared" si="13"/>
        <v>2701.97</v>
      </c>
      <c r="W107" s="76">
        <v>0</v>
      </c>
      <c r="X107" s="76">
        <v>0</v>
      </c>
      <c r="Y107" s="80">
        <v>0</v>
      </c>
      <c r="Z107" s="76">
        <f>Y107*Valores!$C$2</f>
        <v>0</v>
      </c>
      <c r="AA107" s="76">
        <v>0</v>
      </c>
      <c r="AB107" s="81">
        <f>Valores!$C$29</f>
        <v>160.21</v>
      </c>
      <c r="AC107" s="76">
        <f t="shared" si="19"/>
        <v>0</v>
      </c>
      <c r="AD107" s="76">
        <f>Valores!$C$30</f>
        <v>160.21</v>
      </c>
      <c r="AE107" s="80">
        <v>0</v>
      </c>
      <c r="AF107" s="76">
        <f>INT(((AE107*Valores!$C$2)*100)+0.5)/100</f>
        <v>0</v>
      </c>
      <c r="AG107" s="76">
        <f>Valores!$C$58</f>
        <v>325.89</v>
      </c>
      <c r="AH107" s="76">
        <f>Valores!$C$60</f>
        <v>93.11</v>
      </c>
      <c r="AI107" s="82">
        <f t="shared" si="20"/>
        <v>25497.639000000003</v>
      </c>
      <c r="AJ107" s="78">
        <f>Valores!$C$35</f>
        <v>599.19</v>
      </c>
      <c r="AK107" s="79">
        <f>Valores!$C$6</f>
        <v>0</v>
      </c>
      <c r="AL107" s="79">
        <f>Valores!$C$81</f>
        <v>1300</v>
      </c>
      <c r="AM107" s="81">
        <f>Valores!$C$51</f>
        <v>136.56</v>
      </c>
      <c r="AN107" s="83">
        <f t="shared" si="21"/>
        <v>1899.19</v>
      </c>
      <c r="AO107" s="84">
        <f>AI107*-Valores!$C$65</f>
        <v>-3314.6930700000003</v>
      </c>
      <c r="AP107" s="84">
        <f>AI107*-Valores!$C$66</f>
        <v>-127.48819500000002</v>
      </c>
      <c r="AQ107" s="78">
        <f>AI107*-Valores!$C$67</f>
        <v>-1147.393755</v>
      </c>
      <c r="AR107" s="78">
        <f>AI107*-Valores!$C$68</f>
        <v>-688.4362530000001</v>
      </c>
      <c r="AS107" s="78">
        <f>AI107*-Valores!$C$69</f>
        <v>-76.492917</v>
      </c>
      <c r="AT107" s="82">
        <f t="shared" si="17"/>
        <v>22807.253979999998</v>
      </c>
      <c r="AU107" s="82">
        <f t="shared" si="18"/>
        <v>23189.718565</v>
      </c>
      <c r="AV107" s="78">
        <f>AI107*Valores!$C$71</f>
        <v>4079.6222400000006</v>
      </c>
      <c r="AW107" s="78">
        <f>AI107*Valores!$C$72</f>
        <v>1147.393755</v>
      </c>
      <c r="AX107" s="78">
        <f>AI107*Valores!$C$73</f>
        <v>254.97639000000004</v>
      </c>
      <c r="AY107" s="78">
        <f>AI107*Valores!$C$75</f>
        <v>892.4173650000001</v>
      </c>
      <c r="AZ107" s="78">
        <f>AI107*Valores!$C$76</f>
        <v>152.985834</v>
      </c>
      <c r="BA107" s="78">
        <f t="shared" si="22"/>
        <v>1376.8725060000004</v>
      </c>
      <c r="BB107" s="52"/>
      <c r="BC107" s="52">
        <v>30</v>
      </c>
      <c r="BD107" s="28" t="s">
        <v>4</v>
      </c>
    </row>
    <row r="108" spans="1:56" s="28" customFormat="1" ht="11.25" customHeight="1">
      <c r="A108" s="52">
        <v>107</v>
      </c>
      <c r="B108" s="52"/>
      <c r="C108" s="28" t="s">
        <v>354</v>
      </c>
      <c r="E108" s="28">
        <f t="shared" si="14"/>
        <v>30</v>
      </c>
      <c r="F108" s="72" t="s">
        <v>355</v>
      </c>
      <c r="G108" s="73">
        <v>45</v>
      </c>
      <c r="H108" s="74">
        <f>INT((G108*Valores!$C$2*100)+0.5)/100</f>
        <v>298.46</v>
      </c>
      <c r="I108" s="75">
        <v>1502</v>
      </c>
      <c r="J108" s="76">
        <f>INT((I108*Valores!$C$2*100)+0.5)/100</f>
        <v>9961.86</v>
      </c>
      <c r="K108" s="103">
        <v>0</v>
      </c>
      <c r="L108" s="76">
        <f>INT((K108*Valores!$C$2*100)+0.5)/100</f>
        <v>0</v>
      </c>
      <c r="M108" s="101">
        <v>0</v>
      </c>
      <c r="N108" s="76">
        <f>INT((M108*Valores!$C$2*100)+0.5)/100</f>
        <v>0</v>
      </c>
      <c r="O108" s="76">
        <f t="shared" si="15"/>
        <v>2082.3059999999996</v>
      </c>
      <c r="P108" s="76">
        <f t="shared" si="16"/>
        <v>0</v>
      </c>
      <c r="Q108" s="78">
        <f>Valores!$C$20</f>
        <v>4080.56</v>
      </c>
      <c r="R108" s="78">
        <f>Valores!$D$4</f>
        <v>2966.67</v>
      </c>
      <c r="S108" s="76">
        <v>0</v>
      </c>
      <c r="T108" s="79">
        <f>Valores!$C$40</f>
        <v>919.75</v>
      </c>
      <c r="U108" s="102">
        <f>Valores!$C$24</f>
        <v>2701.97</v>
      </c>
      <c r="V108" s="76">
        <f t="shared" si="13"/>
        <v>2701.97</v>
      </c>
      <c r="W108" s="76">
        <v>0</v>
      </c>
      <c r="X108" s="76">
        <v>0</v>
      </c>
      <c r="Y108" s="80">
        <v>0</v>
      </c>
      <c r="Z108" s="76">
        <f>Y108*Valores!$C$2</f>
        <v>0</v>
      </c>
      <c r="AA108" s="76">
        <v>0</v>
      </c>
      <c r="AB108" s="81">
        <f>Valores!$C$29</f>
        <v>160.21</v>
      </c>
      <c r="AC108" s="76">
        <f t="shared" si="19"/>
        <v>0</v>
      </c>
      <c r="AD108" s="76">
        <f>Valores!$C$30</f>
        <v>160.21</v>
      </c>
      <c r="AE108" s="80">
        <v>0</v>
      </c>
      <c r="AF108" s="76">
        <f>INT(((AE108*Valores!$C$2)*100)+0.5)/100</f>
        <v>0</v>
      </c>
      <c r="AG108" s="76">
        <f>Valores!$C$58</f>
        <v>325.89</v>
      </c>
      <c r="AH108" s="76">
        <f>Valores!$C$60</f>
        <v>93.11</v>
      </c>
      <c r="AI108" s="82">
        <f t="shared" si="20"/>
        <v>23750.996</v>
      </c>
      <c r="AJ108" s="78">
        <f>Valores!$C$35</f>
        <v>599.19</v>
      </c>
      <c r="AK108" s="79">
        <f>Valores!$C$6</f>
        <v>0</v>
      </c>
      <c r="AL108" s="79">
        <f>Valores!$C$81</f>
        <v>1300</v>
      </c>
      <c r="AM108" s="81">
        <f>Valores!$C$51</f>
        <v>136.56</v>
      </c>
      <c r="AN108" s="83">
        <f t="shared" si="21"/>
        <v>1899.19</v>
      </c>
      <c r="AO108" s="84">
        <f>AI108*-Valores!$C$65</f>
        <v>-3087.62948</v>
      </c>
      <c r="AP108" s="84">
        <f>AI108*-Valores!$C$66</f>
        <v>-118.75498</v>
      </c>
      <c r="AQ108" s="78">
        <f>AI108*-Valores!$C$67</f>
        <v>-1068.7948199999998</v>
      </c>
      <c r="AR108" s="78">
        <f>AI108*-Valores!$C$68</f>
        <v>-641.276892</v>
      </c>
      <c r="AS108" s="78">
        <f>AI108*-Valores!$C$69</f>
        <v>-71.252988</v>
      </c>
      <c r="AT108" s="82">
        <f t="shared" si="17"/>
        <v>21375.006719999998</v>
      </c>
      <c r="AU108" s="82">
        <f t="shared" si="18"/>
        <v>21731.271659999995</v>
      </c>
      <c r="AV108" s="78">
        <f>AI108*Valores!$C$71</f>
        <v>3800.15936</v>
      </c>
      <c r="AW108" s="78">
        <f>AI108*Valores!$C$72</f>
        <v>1068.7948199999998</v>
      </c>
      <c r="AX108" s="78">
        <f>AI108*Valores!$C$73</f>
        <v>237.50996</v>
      </c>
      <c r="AY108" s="78">
        <f>AI108*Valores!$C$75</f>
        <v>831.2848600000001</v>
      </c>
      <c r="AZ108" s="78">
        <f>AI108*Valores!$C$76</f>
        <v>142.505976</v>
      </c>
      <c r="BA108" s="78">
        <f t="shared" si="22"/>
        <v>1282.553784</v>
      </c>
      <c r="BB108" s="52"/>
      <c r="BC108" s="52">
        <v>30</v>
      </c>
      <c r="BD108" s="28" t="s">
        <v>4</v>
      </c>
    </row>
    <row r="109" spans="1:56" s="28" customFormat="1" ht="11.25" customHeight="1">
      <c r="A109" s="52">
        <v>108</v>
      </c>
      <c r="B109" s="52"/>
      <c r="C109" s="28" t="s">
        <v>356</v>
      </c>
      <c r="E109" s="28">
        <f t="shared" si="14"/>
        <v>30</v>
      </c>
      <c r="F109" s="72" t="s">
        <v>357</v>
      </c>
      <c r="G109" s="73">
        <v>45</v>
      </c>
      <c r="H109" s="74">
        <f>INT((G109*Valores!$C$2*100)+0.5)/100</f>
        <v>298.46</v>
      </c>
      <c r="I109" s="75">
        <v>1139</v>
      </c>
      <c r="J109" s="76">
        <f>INT((I109*Valores!$C$2*100)+0.5)/100</f>
        <v>7554.3</v>
      </c>
      <c r="K109" s="103">
        <v>0</v>
      </c>
      <c r="L109" s="76">
        <f>INT((K109*Valores!$C$2*100)+0.5)/100</f>
        <v>0</v>
      </c>
      <c r="M109" s="101">
        <v>0</v>
      </c>
      <c r="N109" s="76">
        <f>INT((M109*Valores!$C$2*100)+0.5)/100</f>
        <v>0</v>
      </c>
      <c r="O109" s="76">
        <f t="shared" si="15"/>
        <v>1721.1719999999998</v>
      </c>
      <c r="P109" s="76">
        <f t="shared" si="16"/>
        <v>0</v>
      </c>
      <c r="Q109" s="78">
        <f>Valores!$C$20</f>
        <v>4080.56</v>
      </c>
      <c r="R109" s="78">
        <f>Valores!$D$4</f>
        <v>2966.67</v>
      </c>
      <c r="S109" s="76">
        <v>0</v>
      </c>
      <c r="T109" s="79">
        <f>Valores!$C$40</f>
        <v>919.75</v>
      </c>
      <c r="U109" s="102">
        <f>Valores!$C$24</f>
        <v>2701.97</v>
      </c>
      <c r="V109" s="76">
        <f t="shared" si="13"/>
        <v>2701.97</v>
      </c>
      <c r="W109" s="76">
        <v>0</v>
      </c>
      <c r="X109" s="76">
        <v>0</v>
      </c>
      <c r="Y109" s="80">
        <v>0</v>
      </c>
      <c r="Z109" s="76">
        <f>Y109*Valores!$C$2</f>
        <v>0</v>
      </c>
      <c r="AA109" s="76">
        <v>0</v>
      </c>
      <c r="AB109" s="81">
        <f>Valores!$C$29</f>
        <v>160.21</v>
      </c>
      <c r="AC109" s="76">
        <f t="shared" si="19"/>
        <v>0</v>
      </c>
      <c r="AD109" s="76">
        <f>Valores!$C$30</f>
        <v>160.21</v>
      </c>
      <c r="AE109" s="80">
        <v>0</v>
      </c>
      <c r="AF109" s="76">
        <f>INT(((AE109*Valores!$C$2)*100)+0.5)/100</f>
        <v>0</v>
      </c>
      <c r="AG109" s="76">
        <f>Valores!$C$58</f>
        <v>325.89</v>
      </c>
      <c r="AH109" s="76">
        <f>Valores!$C$60</f>
        <v>93.11</v>
      </c>
      <c r="AI109" s="82">
        <f t="shared" si="20"/>
        <v>20982.302</v>
      </c>
      <c r="AJ109" s="78">
        <f>Valores!$C$35</f>
        <v>599.19</v>
      </c>
      <c r="AK109" s="79">
        <f>Valores!$C$6</f>
        <v>0</v>
      </c>
      <c r="AL109" s="79">
        <f>Valores!$C$81</f>
        <v>1300</v>
      </c>
      <c r="AM109" s="81">
        <f>Valores!$C$51</f>
        <v>136.56</v>
      </c>
      <c r="AN109" s="83">
        <f t="shared" si="21"/>
        <v>1899.19</v>
      </c>
      <c r="AO109" s="84">
        <f>AI109*-Valores!$C$65</f>
        <v>-2727.69926</v>
      </c>
      <c r="AP109" s="84">
        <f>AI109*-Valores!$C$66</f>
        <v>-104.91151</v>
      </c>
      <c r="AQ109" s="78">
        <f>AI109*-Valores!$C$67</f>
        <v>-944.20359</v>
      </c>
      <c r="AR109" s="78">
        <f>AI109*-Valores!$C$68</f>
        <v>-566.522154</v>
      </c>
      <c r="AS109" s="78">
        <f>AI109*-Valores!$C$69</f>
        <v>-62.946906</v>
      </c>
      <c r="AT109" s="82">
        <f t="shared" si="17"/>
        <v>19104.677639999994</v>
      </c>
      <c r="AU109" s="82">
        <f t="shared" si="18"/>
        <v>19419.412169999996</v>
      </c>
      <c r="AV109" s="78">
        <f>AI109*Valores!$C$71</f>
        <v>3357.16832</v>
      </c>
      <c r="AW109" s="78">
        <f>AI109*Valores!$C$72</f>
        <v>944.20359</v>
      </c>
      <c r="AX109" s="78">
        <f>AI109*Valores!$C$73</f>
        <v>209.82302</v>
      </c>
      <c r="AY109" s="78">
        <f>AI109*Valores!$C$75</f>
        <v>734.38057</v>
      </c>
      <c r="AZ109" s="78">
        <f>AI109*Valores!$C$76</f>
        <v>125.893812</v>
      </c>
      <c r="BA109" s="78">
        <f t="shared" si="22"/>
        <v>1133.044308</v>
      </c>
      <c r="BB109" s="52"/>
      <c r="BC109" s="86">
        <v>30</v>
      </c>
      <c r="BD109" s="28" t="s">
        <v>4</v>
      </c>
    </row>
    <row r="110" spans="1:56" s="28" customFormat="1" ht="11.25" customHeight="1">
      <c r="A110" s="52">
        <v>109</v>
      </c>
      <c r="B110" s="52"/>
      <c r="C110" s="28" t="s">
        <v>358</v>
      </c>
      <c r="E110" s="28">
        <f t="shared" si="14"/>
        <v>30</v>
      </c>
      <c r="F110" s="72" t="s">
        <v>359</v>
      </c>
      <c r="G110" s="73">
        <v>46</v>
      </c>
      <c r="H110" s="74">
        <f>INT((G110*Valores!$C$2*100)+0.5)/100</f>
        <v>305.09</v>
      </c>
      <c r="I110" s="75">
        <v>1102</v>
      </c>
      <c r="J110" s="76">
        <f>INT((I110*Valores!$C$2*100)+0.5)/100</f>
        <v>7308.9</v>
      </c>
      <c r="K110" s="103">
        <v>0</v>
      </c>
      <c r="L110" s="76">
        <f>INT((K110*Valores!$C$2*100)+0.5)/100</f>
        <v>0</v>
      </c>
      <c r="M110" s="101">
        <v>0</v>
      </c>
      <c r="N110" s="76">
        <f>INT((M110*Valores!$C$2*100)+0.5)/100</f>
        <v>0</v>
      </c>
      <c r="O110" s="76">
        <f t="shared" si="15"/>
        <v>1685.3564999999999</v>
      </c>
      <c r="P110" s="76">
        <f t="shared" si="16"/>
        <v>0</v>
      </c>
      <c r="Q110" s="78">
        <f>Valores!$C$20</f>
        <v>4080.56</v>
      </c>
      <c r="R110" s="78">
        <f>Valores!$D$4</f>
        <v>2966.67</v>
      </c>
      <c r="S110" s="76">
        <v>0</v>
      </c>
      <c r="T110" s="79">
        <f>Valores!$C$40</f>
        <v>919.75</v>
      </c>
      <c r="U110" s="102">
        <f>Valores!$C$24</f>
        <v>2701.97</v>
      </c>
      <c r="V110" s="76">
        <f aca="true" t="shared" si="23" ref="V110:V173">U110*(1+$J$2)</f>
        <v>2701.97</v>
      </c>
      <c r="W110" s="76">
        <v>0</v>
      </c>
      <c r="X110" s="76">
        <v>0</v>
      </c>
      <c r="Y110" s="80">
        <v>0</v>
      </c>
      <c r="Z110" s="76">
        <f>Y110*Valores!$C$2</f>
        <v>0</v>
      </c>
      <c r="AA110" s="76">
        <v>0</v>
      </c>
      <c r="AB110" s="81">
        <f>Valores!$C$29</f>
        <v>160.21</v>
      </c>
      <c r="AC110" s="76">
        <f t="shared" si="19"/>
        <v>0</v>
      </c>
      <c r="AD110" s="76">
        <f>Valores!$C$30</f>
        <v>160.21</v>
      </c>
      <c r="AE110" s="80">
        <v>0</v>
      </c>
      <c r="AF110" s="76">
        <f>INT(((AE110*Valores!$C$2)*100)+0.5)/100</f>
        <v>0</v>
      </c>
      <c r="AG110" s="76">
        <f>Valores!$C$58</f>
        <v>325.89</v>
      </c>
      <c r="AH110" s="76">
        <f>Valores!$C$60</f>
        <v>93.11</v>
      </c>
      <c r="AI110" s="82">
        <f t="shared" si="20"/>
        <v>20707.7165</v>
      </c>
      <c r="AJ110" s="78">
        <f>Valores!$C$35</f>
        <v>599.19</v>
      </c>
      <c r="AK110" s="79">
        <f>Valores!$C$6</f>
        <v>0</v>
      </c>
      <c r="AL110" s="79">
        <f>Valores!$C$81</f>
        <v>1300</v>
      </c>
      <c r="AM110" s="81">
        <f>Valores!$C$51</f>
        <v>136.56</v>
      </c>
      <c r="AN110" s="83">
        <f t="shared" si="21"/>
        <v>1899.19</v>
      </c>
      <c r="AO110" s="84">
        <f>AI110*-Valores!$C$65</f>
        <v>-2692.003145</v>
      </c>
      <c r="AP110" s="84">
        <f>AI110*-Valores!$C$66</f>
        <v>-103.53858249999999</v>
      </c>
      <c r="AQ110" s="78">
        <f>AI110*-Valores!$C$67</f>
        <v>-931.8472424999999</v>
      </c>
      <c r="AR110" s="78">
        <f>AI110*-Valores!$C$68</f>
        <v>-559.1083454999999</v>
      </c>
      <c r="AS110" s="78">
        <f>AI110*-Valores!$C$69</f>
        <v>-62.1231495</v>
      </c>
      <c r="AT110" s="82">
        <f t="shared" si="17"/>
        <v>18879.517529999997</v>
      </c>
      <c r="AU110" s="82">
        <f t="shared" si="18"/>
        <v>19190.133277499997</v>
      </c>
      <c r="AV110" s="78">
        <f>AI110*Valores!$C$71</f>
        <v>3313.2346399999997</v>
      </c>
      <c r="AW110" s="78">
        <f>AI110*Valores!$C$72</f>
        <v>931.8472424999999</v>
      </c>
      <c r="AX110" s="78">
        <f>AI110*Valores!$C$73</f>
        <v>207.07716499999998</v>
      </c>
      <c r="AY110" s="78">
        <f>AI110*Valores!$C$75</f>
        <v>724.7700775000001</v>
      </c>
      <c r="AZ110" s="78">
        <f>AI110*Valores!$C$76</f>
        <v>124.246299</v>
      </c>
      <c r="BA110" s="78">
        <f t="shared" si="22"/>
        <v>1118.216691</v>
      </c>
      <c r="BB110" s="52"/>
      <c r="BC110" s="52">
        <v>30</v>
      </c>
      <c r="BD110" s="28" t="s">
        <v>4</v>
      </c>
    </row>
    <row r="111" spans="1:56" s="28" customFormat="1" ht="11.25" customHeight="1">
      <c r="A111" s="86">
        <v>110</v>
      </c>
      <c r="B111" s="86" t="s">
        <v>163</v>
      </c>
      <c r="C111" s="87" t="s">
        <v>360</v>
      </c>
      <c r="D111" s="87"/>
      <c r="E111" s="87">
        <f t="shared" si="14"/>
        <v>32</v>
      </c>
      <c r="F111" s="88" t="s">
        <v>361</v>
      </c>
      <c r="G111" s="89">
        <v>66</v>
      </c>
      <c r="H111" s="90">
        <f>INT((G111*Valores!$C$2*100)+0.5)/100</f>
        <v>437.74</v>
      </c>
      <c r="I111" s="91">
        <v>1911</v>
      </c>
      <c r="J111" s="92">
        <f>INT((I111*Valores!$C$2*100)+0.5)/100</f>
        <v>12674.52</v>
      </c>
      <c r="K111" s="105">
        <v>0</v>
      </c>
      <c r="L111" s="92">
        <f>INT((K111*Valores!$C$2*100)+0.5)/100</f>
        <v>0</v>
      </c>
      <c r="M111" s="106">
        <v>0</v>
      </c>
      <c r="N111" s="92">
        <f>INT((M111*Valores!$C$2*100)+0.5)/100</f>
        <v>0</v>
      </c>
      <c r="O111" s="92">
        <f t="shared" si="15"/>
        <v>2510.0969999999998</v>
      </c>
      <c r="P111" s="92">
        <f t="shared" si="16"/>
        <v>0</v>
      </c>
      <c r="Q111" s="94">
        <f>Valores!$C$20</f>
        <v>4080.56</v>
      </c>
      <c r="R111" s="94">
        <f>Valores!$D$4</f>
        <v>2966.67</v>
      </c>
      <c r="S111" s="108">
        <f>Valores!$C$26</f>
        <v>3094.03</v>
      </c>
      <c r="T111" s="109">
        <f>Valores!$C$40</f>
        <v>919.75</v>
      </c>
      <c r="U111" s="108">
        <f>Valores!$C$24</f>
        <v>2701.97</v>
      </c>
      <c r="V111" s="92">
        <f t="shared" si="23"/>
        <v>2701.97</v>
      </c>
      <c r="W111" s="92">
        <v>0</v>
      </c>
      <c r="X111" s="92">
        <v>0</v>
      </c>
      <c r="Y111" s="96">
        <v>0</v>
      </c>
      <c r="Z111" s="92">
        <f>Y111*Valores!$C$2</f>
        <v>0</v>
      </c>
      <c r="AA111" s="92">
        <v>0</v>
      </c>
      <c r="AB111" s="97">
        <f>Valores!$C$29</f>
        <v>160.21</v>
      </c>
      <c r="AC111" s="92">
        <f t="shared" si="19"/>
        <v>0</v>
      </c>
      <c r="AD111" s="92">
        <f>Valores!$C$30</f>
        <v>160.21</v>
      </c>
      <c r="AE111" s="96">
        <v>94</v>
      </c>
      <c r="AF111" s="92">
        <f>INT(((AE111*Valores!$C$2)*100)+0.5)/100</f>
        <v>623.45</v>
      </c>
      <c r="AG111" s="92">
        <f>Valores!$C$58</f>
        <v>325.89</v>
      </c>
      <c r="AH111" s="92">
        <f>Valores!$C$60</f>
        <v>93.11</v>
      </c>
      <c r="AI111" s="98">
        <f t="shared" si="20"/>
        <v>30748.207</v>
      </c>
      <c r="AJ111" s="94">
        <f>Valores!$C$35</f>
        <v>599.19</v>
      </c>
      <c r="AK111" s="95">
        <f>Valores!$C$6</f>
        <v>0</v>
      </c>
      <c r="AL111" s="95">
        <f>Valores!$C$81</f>
        <v>1300</v>
      </c>
      <c r="AM111" s="97">
        <f>Valores!$C$51</f>
        <v>136.56</v>
      </c>
      <c r="AN111" s="99">
        <f t="shared" si="21"/>
        <v>1899.19</v>
      </c>
      <c r="AO111" s="100">
        <f>AI111*-Valores!$C$65</f>
        <v>-3997.26691</v>
      </c>
      <c r="AP111" s="100">
        <f>AI111*-Valores!$C$66</f>
        <v>-153.74103499999998</v>
      </c>
      <c r="AQ111" s="94">
        <f>AI111*-Valores!$C$67</f>
        <v>-1383.6693149999999</v>
      </c>
      <c r="AR111" s="94">
        <f>AI111*-Valores!$C$68</f>
        <v>-830.2015889999999</v>
      </c>
      <c r="AS111" s="94">
        <f>AI111*-Valores!$C$69</f>
        <v>-92.244621</v>
      </c>
      <c r="AT111" s="98">
        <f t="shared" si="17"/>
        <v>27112.71974</v>
      </c>
      <c r="AU111" s="98">
        <f t="shared" si="18"/>
        <v>27573.942844999998</v>
      </c>
      <c r="AV111" s="94">
        <f>AI111*Valores!$C$71</f>
        <v>4919.713119999999</v>
      </c>
      <c r="AW111" s="94">
        <f>AI111*Valores!$C$72</f>
        <v>1383.6693149999999</v>
      </c>
      <c r="AX111" s="94">
        <f>AI111*Valores!$C$73</f>
        <v>307.48206999999996</v>
      </c>
      <c r="AY111" s="94">
        <f>AI111*Valores!$C$75</f>
        <v>1076.187245</v>
      </c>
      <c r="AZ111" s="94">
        <f>AI111*Valores!$C$76</f>
        <v>184.489242</v>
      </c>
      <c r="BA111" s="94">
        <f t="shared" si="22"/>
        <v>1660.4031779999998</v>
      </c>
      <c r="BB111" s="86"/>
      <c r="BC111" s="86">
        <v>25</v>
      </c>
      <c r="BD111" s="87" t="s">
        <v>4</v>
      </c>
    </row>
    <row r="112" spans="1:56" s="28" customFormat="1" ht="11.25" customHeight="1">
      <c r="A112" s="52">
        <v>111</v>
      </c>
      <c r="B112" s="52"/>
      <c r="C112" s="28" t="s">
        <v>362</v>
      </c>
      <c r="E112" s="28">
        <f t="shared" si="14"/>
        <v>30</v>
      </c>
      <c r="F112" s="72" t="s">
        <v>363</v>
      </c>
      <c r="G112" s="73">
        <v>61</v>
      </c>
      <c r="H112" s="74">
        <f>INT((G112*Valores!$C$2*100)+0.5)/100</f>
        <v>404.58</v>
      </c>
      <c r="I112" s="75">
        <v>1545</v>
      </c>
      <c r="J112" s="76">
        <f>INT((I112*Valores!$C$2*100)+0.5)/100</f>
        <v>10247.06</v>
      </c>
      <c r="K112" s="103">
        <v>0</v>
      </c>
      <c r="L112" s="76">
        <f>INT((K112*Valores!$C$2*100)+0.5)/100</f>
        <v>0</v>
      </c>
      <c r="M112" s="101">
        <v>0</v>
      </c>
      <c r="N112" s="76">
        <f>INT((M112*Valores!$C$2*100)+0.5)/100</f>
        <v>0</v>
      </c>
      <c r="O112" s="76">
        <f t="shared" si="15"/>
        <v>2141.004</v>
      </c>
      <c r="P112" s="76">
        <f t="shared" si="16"/>
        <v>0</v>
      </c>
      <c r="Q112" s="78">
        <f>Valores!$C$20</f>
        <v>4080.56</v>
      </c>
      <c r="R112" s="78">
        <f>Valores!$D$4</f>
        <v>2966.67</v>
      </c>
      <c r="S112" s="76">
        <f>Valores!$C$26</f>
        <v>3094.03</v>
      </c>
      <c r="T112" s="79">
        <f>Valores!$C$40</f>
        <v>919.75</v>
      </c>
      <c r="U112" s="102">
        <f>Valores!$C$24</f>
        <v>2701.97</v>
      </c>
      <c r="V112" s="76">
        <f t="shared" si="23"/>
        <v>2701.97</v>
      </c>
      <c r="W112" s="76">
        <v>0</v>
      </c>
      <c r="X112" s="76">
        <v>0</v>
      </c>
      <c r="Y112" s="80">
        <v>0</v>
      </c>
      <c r="Z112" s="76">
        <f>Y112*Valores!$C$2</f>
        <v>0</v>
      </c>
      <c r="AA112" s="76">
        <v>0</v>
      </c>
      <c r="AB112" s="81">
        <f>Valores!$C$29</f>
        <v>160.21</v>
      </c>
      <c r="AC112" s="76">
        <f t="shared" si="19"/>
        <v>0</v>
      </c>
      <c r="AD112" s="76">
        <f>Valores!$C$30</f>
        <v>160.21</v>
      </c>
      <c r="AE112" s="80">
        <v>94</v>
      </c>
      <c r="AF112" s="76">
        <f>INT(((AE112*Valores!$C$2)*100)+0.5)/100</f>
        <v>623.45</v>
      </c>
      <c r="AG112" s="76">
        <f>Valores!$C$58</f>
        <v>325.89</v>
      </c>
      <c r="AH112" s="76">
        <f>Valores!$C$60</f>
        <v>93.11</v>
      </c>
      <c r="AI112" s="82">
        <f t="shared" si="20"/>
        <v>27918.494000000002</v>
      </c>
      <c r="AJ112" s="78">
        <f>Valores!$C$35</f>
        <v>599.19</v>
      </c>
      <c r="AK112" s="79">
        <f>Valores!$C$6</f>
        <v>0</v>
      </c>
      <c r="AL112" s="79">
        <f>Valores!$C$81</f>
        <v>1300</v>
      </c>
      <c r="AM112" s="81">
        <f>Valores!$C$51</f>
        <v>136.56</v>
      </c>
      <c r="AN112" s="83">
        <f t="shared" si="21"/>
        <v>1899.19</v>
      </c>
      <c r="AO112" s="84">
        <f>AI112*-Valores!$C$65</f>
        <v>-3629.4042200000004</v>
      </c>
      <c r="AP112" s="84">
        <f>AI112*-Valores!$C$66</f>
        <v>-139.59247000000002</v>
      </c>
      <c r="AQ112" s="78">
        <f>AI112*-Valores!$C$67</f>
        <v>-1256.33223</v>
      </c>
      <c r="AR112" s="78">
        <f>AI112*-Valores!$C$68</f>
        <v>-753.799338</v>
      </c>
      <c r="AS112" s="78">
        <f>AI112*-Valores!$C$69</f>
        <v>-83.75548200000001</v>
      </c>
      <c r="AT112" s="82">
        <f t="shared" si="17"/>
        <v>24792.35508</v>
      </c>
      <c r="AU112" s="82">
        <f t="shared" si="18"/>
        <v>25211.13249</v>
      </c>
      <c r="AV112" s="78">
        <f>AI112*Valores!$C$71</f>
        <v>4466.959040000001</v>
      </c>
      <c r="AW112" s="78">
        <f>AI112*Valores!$C$72</f>
        <v>1256.33223</v>
      </c>
      <c r="AX112" s="78">
        <f>AI112*Valores!$C$73</f>
        <v>279.18494000000004</v>
      </c>
      <c r="AY112" s="78">
        <f>AI112*Valores!$C$75</f>
        <v>977.1472900000002</v>
      </c>
      <c r="AZ112" s="78">
        <f>AI112*Valores!$C$76</f>
        <v>167.51096400000003</v>
      </c>
      <c r="BA112" s="78">
        <f t="shared" si="22"/>
        <v>1507.5986760000003</v>
      </c>
      <c r="BB112" s="52"/>
      <c r="BC112" s="52">
        <v>25</v>
      </c>
      <c r="BD112" s="28" t="s">
        <v>8</v>
      </c>
    </row>
    <row r="113" spans="1:56" s="28" customFormat="1" ht="11.25" customHeight="1">
      <c r="A113" s="52">
        <v>112</v>
      </c>
      <c r="B113" s="52"/>
      <c r="C113" s="28" t="s">
        <v>364</v>
      </c>
      <c r="E113" s="28">
        <f t="shared" si="14"/>
        <v>30</v>
      </c>
      <c r="F113" s="72" t="s">
        <v>365</v>
      </c>
      <c r="G113" s="73">
        <f>75+143</f>
        <v>218</v>
      </c>
      <c r="H113" s="74">
        <f>INT((G113*Valores!$C$2*100)+0.5)/100</f>
        <v>1445.86</v>
      </c>
      <c r="I113" s="75">
        <v>2100</v>
      </c>
      <c r="J113" s="76">
        <f>INT((I113*Valores!$C$2*100)+0.5)/100</f>
        <v>13928.04</v>
      </c>
      <c r="K113" s="103">
        <v>0</v>
      </c>
      <c r="L113" s="76">
        <f>INT((K113*Valores!$C$2*100)+0.5)/100</f>
        <v>0</v>
      </c>
      <c r="M113" s="101">
        <v>0</v>
      </c>
      <c r="N113" s="76">
        <f>INT((M113*Valores!$C$2*100)+0.5)/100</f>
        <v>0</v>
      </c>
      <c r="O113" s="76">
        <f t="shared" si="15"/>
        <v>2849.3430000000003</v>
      </c>
      <c r="P113" s="76">
        <f t="shared" si="16"/>
        <v>0</v>
      </c>
      <c r="Q113" s="78">
        <f>Valores!$C$20</f>
        <v>4080.56</v>
      </c>
      <c r="R113" s="78">
        <f>Valores!$D$4</f>
        <v>2966.67</v>
      </c>
      <c r="S113" s="102">
        <f>Valores!$C$26</f>
        <v>3094.03</v>
      </c>
      <c r="T113" s="107">
        <f>Valores!$C$40</f>
        <v>919.75</v>
      </c>
      <c r="U113" s="102">
        <f>Valores!$C$24</f>
        <v>2701.97</v>
      </c>
      <c r="V113" s="76">
        <f t="shared" si="23"/>
        <v>2701.97</v>
      </c>
      <c r="W113" s="76">
        <v>0</v>
      </c>
      <c r="X113" s="76">
        <v>0</v>
      </c>
      <c r="Y113" s="80">
        <v>0</v>
      </c>
      <c r="Z113" s="76">
        <f>Y113*Valores!$C$2</f>
        <v>0</v>
      </c>
      <c r="AA113" s="76">
        <v>0</v>
      </c>
      <c r="AB113" s="81">
        <f>Valores!$C$29</f>
        <v>160.21</v>
      </c>
      <c r="AC113" s="76">
        <f t="shared" si="19"/>
        <v>0</v>
      </c>
      <c r="AD113" s="76">
        <f>Valores!$C$30</f>
        <v>160.21</v>
      </c>
      <c r="AE113" s="80">
        <v>0</v>
      </c>
      <c r="AF113" s="76">
        <f>INT(((AE113*Valores!$C$2)*100)+0.5)/100</f>
        <v>0</v>
      </c>
      <c r="AG113" s="76">
        <f>Valores!$C$58</f>
        <v>325.89</v>
      </c>
      <c r="AH113" s="76">
        <f>Valores!$C$60</f>
        <v>93.11</v>
      </c>
      <c r="AI113" s="82">
        <f t="shared" si="20"/>
        <v>32725.643000000004</v>
      </c>
      <c r="AJ113" s="78">
        <f>Valores!$C$35</f>
        <v>599.19</v>
      </c>
      <c r="AK113" s="79">
        <f>Valores!$C$6</f>
        <v>0</v>
      </c>
      <c r="AL113" s="79">
        <f>Valores!$C$81</f>
        <v>1300</v>
      </c>
      <c r="AM113" s="81">
        <f>Valores!$C$51</f>
        <v>136.56</v>
      </c>
      <c r="AN113" s="83">
        <f t="shared" si="21"/>
        <v>1899.19</v>
      </c>
      <c r="AO113" s="84">
        <f>AI113*-Valores!$C$65</f>
        <v>-4254.33359</v>
      </c>
      <c r="AP113" s="84">
        <f>AI113*-Valores!$C$66</f>
        <v>-163.628215</v>
      </c>
      <c r="AQ113" s="78">
        <f>AI113*-Valores!$C$67</f>
        <v>-1472.653935</v>
      </c>
      <c r="AR113" s="78">
        <f>AI113*-Valores!$C$68</f>
        <v>-883.5923610000001</v>
      </c>
      <c r="AS113" s="78">
        <f>AI113*-Valores!$C$69</f>
        <v>-98.17692900000002</v>
      </c>
      <c r="AT113" s="82">
        <f t="shared" si="17"/>
        <v>28734.217260000005</v>
      </c>
      <c r="AU113" s="82">
        <f t="shared" si="18"/>
        <v>29225.101905000003</v>
      </c>
      <c r="AV113" s="78">
        <f>AI113*Valores!$C$71</f>
        <v>5236.10288</v>
      </c>
      <c r="AW113" s="78">
        <f>AI113*Valores!$C$72</f>
        <v>1472.653935</v>
      </c>
      <c r="AX113" s="78">
        <f>AI113*Valores!$C$73</f>
        <v>327.25643</v>
      </c>
      <c r="AY113" s="78">
        <f>AI113*Valores!$C$75</f>
        <v>1145.3975050000001</v>
      </c>
      <c r="AZ113" s="78">
        <f>AI113*Valores!$C$76</f>
        <v>196.35385800000003</v>
      </c>
      <c r="BA113" s="78">
        <f t="shared" si="22"/>
        <v>1767.1847220000002</v>
      </c>
      <c r="BB113" s="52"/>
      <c r="BC113" s="52">
        <v>30</v>
      </c>
      <c r="BD113" s="28" t="s">
        <v>4</v>
      </c>
    </row>
    <row r="114" spans="1:56" s="28" customFormat="1" ht="11.25" customHeight="1">
      <c r="A114" s="52">
        <v>113</v>
      </c>
      <c r="B114" s="52"/>
      <c r="C114" s="28" t="s">
        <v>366</v>
      </c>
      <c r="E114" s="28">
        <f t="shared" si="14"/>
        <v>30</v>
      </c>
      <c r="F114" s="72" t="s">
        <v>367</v>
      </c>
      <c r="G114" s="73">
        <f>77+143</f>
        <v>220</v>
      </c>
      <c r="H114" s="74">
        <f>INT((G114*Valores!$C$2*100)+0.5)/100</f>
        <v>1459.13</v>
      </c>
      <c r="I114" s="75">
        <v>1995</v>
      </c>
      <c r="J114" s="76">
        <f>INT((I114*Valores!$C$2*100)+0.5)/100</f>
        <v>13231.64</v>
      </c>
      <c r="K114" s="103">
        <v>0</v>
      </c>
      <c r="L114" s="76">
        <f>INT((K114*Valores!$C$2*100)+0.5)/100</f>
        <v>0</v>
      </c>
      <c r="M114" s="101">
        <v>0</v>
      </c>
      <c r="N114" s="76">
        <f>INT((M114*Valores!$C$2*100)+0.5)/100</f>
        <v>0</v>
      </c>
      <c r="O114" s="76">
        <f t="shared" si="15"/>
        <v>2746.8735</v>
      </c>
      <c r="P114" s="76">
        <f t="shared" si="16"/>
        <v>0</v>
      </c>
      <c r="Q114" s="78">
        <f>Valores!$C$20</f>
        <v>4080.56</v>
      </c>
      <c r="R114" s="78">
        <f>Valores!$D$4</f>
        <v>2966.67</v>
      </c>
      <c r="S114" s="102">
        <f>Valores!$C$26</f>
        <v>3094.03</v>
      </c>
      <c r="T114" s="107">
        <f>Valores!$C$40</f>
        <v>919.75</v>
      </c>
      <c r="U114" s="102">
        <f>Valores!$C$24</f>
        <v>2701.97</v>
      </c>
      <c r="V114" s="76">
        <f t="shared" si="23"/>
        <v>2701.97</v>
      </c>
      <c r="W114" s="76">
        <v>0</v>
      </c>
      <c r="X114" s="76">
        <v>0</v>
      </c>
      <c r="Y114" s="80">
        <v>0</v>
      </c>
      <c r="Z114" s="76">
        <f>Y114*Valores!$C$2</f>
        <v>0</v>
      </c>
      <c r="AA114" s="76">
        <v>0</v>
      </c>
      <c r="AB114" s="81">
        <f>Valores!$C$29</f>
        <v>160.21</v>
      </c>
      <c r="AC114" s="76">
        <f t="shared" si="19"/>
        <v>0</v>
      </c>
      <c r="AD114" s="76">
        <f>Valores!$C$30</f>
        <v>160.21</v>
      </c>
      <c r="AE114" s="80">
        <v>0</v>
      </c>
      <c r="AF114" s="76">
        <f>INT(((AE114*Valores!$C$2)*100)+0.5)/100</f>
        <v>0</v>
      </c>
      <c r="AG114" s="76">
        <f>Valores!$C$58</f>
        <v>325.89</v>
      </c>
      <c r="AH114" s="76">
        <f>Valores!$C$60</f>
        <v>93.11</v>
      </c>
      <c r="AI114" s="82">
        <f t="shared" si="20"/>
        <v>31940.0435</v>
      </c>
      <c r="AJ114" s="78">
        <f>Valores!$C$35</f>
        <v>599.19</v>
      </c>
      <c r="AK114" s="79">
        <f>Valores!$C$6</f>
        <v>0</v>
      </c>
      <c r="AL114" s="79">
        <f>Valores!$C$81</f>
        <v>1300</v>
      </c>
      <c r="AM114" s="81">
        <f>Valores!$C$51</f>
        <v>136.56</v>
      </c>
      <c r="AN114" s="83">
        <f t="shared" si="21"/>
        <v>1899.19</v>
      </c>
      <c r="AO114" s="84">
        <f>AI114*-Valores!$C$65</f>
        <v>-4152.205655</v>
      </c>
      <c r="AP114" s="84">
        <f>AI114*-Valores!$C$66</f>
        <v>-159.7002175</v>
      </c>
      <c r="AQ114" s="78">
        <f>AI114*-Valores!$C$67</f>
        <v>-1437.3019574999998</v>
      </c>
      <c r="AR114" s="78">
        <f>AI114*-Valores!$C$68</f>
        <v>-862.3811744999999</v>
      </c>
      <c r="AS114" s="78">
        <f>AI114*-Valores!$C$69</f>
        <v>-95.8201305</v>
      </c>
      <c r="AT114" s="82">
        <f t="shared" si="17"/>
        <v>28090.025670000003</v>
      </c>
      <c r="AU114" s="82">
        <f t="shared" si="18"/>
        <v>28569.126322500004</v>
      </c>
      <c r="AV114" s="78">
        <f>AI114*Valores!$C$71</f>
        <v>5110.40696</v>
      </c>
      <c r="AW114" s="78">
        <f>AI114*Valores!$C$72</f>
        <v>1437.3019574999998</v>
      </c>
      <c r="AX114" s="78">
        <f>AI114*Valores!$C$73</f>
        <v>319.400435</v>
      </c>
      <c r="AY114" s="78">
        <f>AI114*Valores!$C$75</f>
        <v>1117.9015225</v>
      </c>
      <c r="AZ114" s="78">
        <f>AI114*Valores!$C$76</f>
        <v>191.640261</v>
      </c>
      <c r="BA114" s="78">
        <f t="shared" si="22"/>
        <v>1724.762349</v>
      </c>
      <c r="BB114" s="52"/>
      <c r="BC114" s="86">
        <v>30</v>
      </c>
      <c r="BD114" s="28" t="s">
        <v>4</v>
      </c>
    </row>
    <row r="115" spans="1:56" s="28" customFormat="1" ht="11.25" customHeight="1">
      <c r="A115" s="52">
        <v>114</v>
      </c>
      <c r="B115" s="52"/>
      <c r="C115" s="28" t="s">
        <v>368</v>
      </c>
      <c r="E115" s="28">
        <f t="shared" si="14"/>
        <v>30</v>
      </c>
      <c r="F115" s="72" t="s">
        <v>369</v>
      </c>
      <c r="G115" s="73">
        <f>72+115</f>
        <v>187</v>
      </c>
      <c r="H115" s="74">
        <f>INT((G115*Valores!$C$2*100)+0.5)/100</f>
        <v>1240.26</v>
      </c>
      <c r="I115" s="75">
        <v>1704</v>
      </c>
      <c r="J115" s="76">
        <f>INT((I115*Valores!$C$2*100)+0.5)/100</f>
        <v>11301.61</v>
      </c>
      <c r="K115" s="103">
        <v>0</v>
      </c>
      <c r="L115" s="76">
        <f>INT((K115*Valores!$C$2*100)+0.5)/100</f>
        <v>0</v>
      </c>
      <c r="M115" s="101">
        <v>0</v>
      </c>
      <c r="N115" s="76">
        <f>INT((M115*Valores!$C$2*100)+0.5)/100</f>
        <v>0</v>
      </c>
      <c r="O115" s="76">
        <f t="shared" si="15"/>
        <v>2424.5385</v>
      </c>
      <c r="P115" s="76">
        <f t="shared" si="16"/>
        <v>0</v>
      </c>
      <c r="Q115" s="78">
        <f>Valores!$C$20</f>
        <v>4080.56</v>
      </c>
      <c r="R115" s="78">
        <f>Valores!$D$4</f>
        <v>2966.67</v>
      </c>
      <c r="S115" s="102">
        <f>Valores!$C$26</f>
        <v>3094.03</v>
      </c>
      <c r="T115" s="107">
        <f>Valores!$C$40</f>
        <v>919.75</v>
      </c>
      <c r="U115" s="102">
        <f>Valores!$C$24</f>
        <v>2701.97</v>
      </c>
      <c r="V115" s="76">
        <f t="shared" si="23"/>
        <v>2701.97</v>
      </c>
      <c r="W115" s="76">
        <v>0</v>
      </c>
      <c r="X115" s="76">
        <v>0</v>
      </c>
      <c r="Y115" s="80">
        <v>0</v>
      </c>
      <c r="Z115" s="76">
        <f>Y115*Valores!$C$2</f>
        <v>0</v>
      </c>
      <c r="AA115" s="76">
        <v>0</v>
      </c>
      <c r="AB115" s="81">
        <f>Valores!$C$29</f>
        <v>160.21</v>
      </c>
      <c r="AC115" s="76">
        <f t="shared" si="19"/>
        <v>0</v>
      </c>
      <c r="AD115" s="76">
        <f>Valores!$C$30</f>
        <v>160.21</v>
      </c>
      <c r="AE115" s="80">
        <v>0</v>
      </c>
      <c r="AF115" s="76">
        <f>INT(((AE115*Valores!$C$2)*100)+0.5)/100</f>
        <v>0</v>
      </c>
      <c r="AG115" s="76">
        <f>Valores!$C$58</f>
        <v>325.89</v>
      </c>
      <c r="AH115" s="76">
        <f>Valores!$C$60</f>
        <v>93.11</v>
      </c>
      <c r="AI115" s="82">
        <f t="shared" si="20"/>
        <v>29468.8085</v>
      </c>
      <c r="AJ115" s="78">
        <f>Valores!$C$35</f>
        <v>599.19</v>
      </c>
      <c r="AK115" s="79">
        <f>Valores!$C$6</f>
        <v>0</v>
      </c>
      <c r="AL115" s="79">
        <f>Valores!$C$81</f>
        <v>1300</v>
      </c>
      <c r="AM115" s="81">
        <f>Valores!$C$51</f>
        <v>136.56</v>
      </c>
      <c r="AN115" s="83">
        <f t="shared" si="21"/>
        <v>1899.19</v>
      </c>
      <c r="AO115" s="84">
        <f>AI115*-Valores!$C$65</f>
        <v>-3830.9451050000002</v>
      </c>
      <c r="AP115" s="84">
        <f>AI115*-Valores!$C$66</f>
        <v>-147.3440425</v>
      </c>
      <c r="AQ115" s="78">
        <f>AI115*-Valores!$C$67</f>
        <v>-1326.0963825</v>
      </c>
      <c r="AR115" s="78">
        <f>AI115*-Valores!$C$68</f>
        <v>-795.6578294999999</v>
      </c>
      <c r="AS115" s="78">
        <f>AI115*-Valores!$C$69</f>
        <v>-88.4064255</v>
      </c>
      <c r="AT115" s="82">
        <f t="shared" si="17"/>
        <v>26063.61297</v>
      </c>
      <c r="AU115" s="82">
        <f t="shared" si="18"/>
        <v>26505.645097499997</v>
      </c>
      <c r="AV115" s="78">
        <f>AI115*Valores!$C$71</f>
        <v>4715.00936</v>
      </c>
      <c r="AW115" s="78">
        <f>AI115*Valores!$C$72</f>
        <v>1326.0963825</v>
      </c>
      <c r="AX115" s="78">
        <f>AI115*Valores!$C$73</f>
        <v>294.688085</v>
      </c>
      <c r="AY115" s="78">
        <f>AI115*Valores!$C$75</f>
        <v>1031.4082975000001</v>
      </c>
      <c r="AZ115" s="78">
        <f>AI115*Valores!$C$76</f>
        <v>176.812851</v>
      </c>
      <c r="BA115" s="78">
        <f t="shared" si="22"/>
        <v>1591.315659</v>
      </c>
      <c r="BB115" s="52"/>
      <c r="BC115" s="52">
        <v>30</v>
      </c>
      <c r="BD115" s="28" t="s">
        <v>4</v>
      </c>
    </row>
    <row r="116" spans="1:56" s="28" customFormat="1" ht="11.25" customHeight="1">
      <c r="A116" s="86">
        <v>115</v>
      </c>
      <c r="B116" s="86" t="s">
        <v>163</v>
      </c>
      <c r="C116" s="87" t="s">
        <v>370</v>
      </c>
      <c r="D116" s="87"/>
      <c r="E116" s="87">
        <f t="shared" si="14"/>
        <v>30</v>
      </c>
      <c r="F116" s="88" t="s">
        <v>371</v>
      </c>
      <c r="G116" s="89">
        <f>67+94</f>
        <v>161</v>
      </c>
      <c r="H116" s="90">
        <f>INT((G116*Valores!$C$2*100)+0.5)/100</f>
        <v>1067.82</v>
      </c>
      <c r="I116" s="91">
        <v>1480</v>
      </c>
      <c r="J116" s="92">
        <f>INT((I116*Valores!$C$2*100)+0.5)/100</f>
        <v>9815.95</v>
      </c>
      <c r="K116" s="105">
        <v>0</v>
      </c>
      <c r="L116" s="92">
        <f>INT((K116*Valores!$C$2*100)+0.5)/100</f>
        <v>0</v>
      </c>
      <c r="M116" s="106">
        <v>0</v>
      </c>
      <c r="N116" s="92">
        <f>INT((M116*Valores!$C$2*100)+0.5)/100</f>
        <v>0</v>
      </c>
      <c r="O116" s="92">
        <f t="shared" si="15"/>
        <v>2175.8235</v>
      </c>
      <c r="P116" s="92">
        <f t="shared" si="16"/>
        <v>0</v>
      </c>
      <c r="Q116" s="94">
        <f>Valores!$C$20</f>
        <v>4080.56</v>
      </c>
      <c r="R116" s="94">
        <f>Valores!$D$4</f>
        <v>2966.67</v>
      </c>
      <c r="S116" s="108">
        <f>Valores!$C$26</f>
        <v>3094.03</v>
      </c>
      <c r="T116" s="109">
        <f>Valores!$C$40</f>
        <v>919.75</v>
      </c>
      <c r="U116" s="108">
        <f>Valores!$C$24</f>
        <v>2701.97</v>
      </c>
      <c r="V116" s="92">
        <f t="shared" si="23"/>
        <v>2701.97</v>
      </c>
      <c r="W116" s="92">
        <v>0</v>
      </c>
      <c r="X116" s="92">
        <v>0</v>
      </c>
      <c r="Y116" s="96">
        <v>0</v>
      </c>
      <c r="Z116" s="92">
        <f>Y116*Valores!$C$2</f>
        <v>0</v>
      </c>
      <c r="AA116" s="92">
        <v>0</v>
      </c>
      <c r="AB116" s="97">
        <f>Valores!$C$29</f>
        <v>160.21</v>
      </c>
      <c r="AC116" s="92">
        <f t="shared" si="19"/>
        <v>0</v>
      </c>
      <c r="AD116" s="92">
        <f>Valores!$C$30</f>
        <v>160.21</v>
      </c>
      <c r="AE116" s="96">
        <v>0</v>
      </c>
      <c r="AF116" s="92">
        <f>INT(((AE116*Valores!$C$2)*100)+0.5)/100</f>
        <v>0</v>
      </c>
      <c r="AG116" s="92">
        <f>Valores!$C$58</f>
        <v>325.89</v>
      </c>
      <c r="AH116" s="92">
        <f>Valores!$C$60</f>
        <v>93.11</v>
      </c>
      <c r="AI116" s="98">
        <f t="shared" si="20"/>
        <v>27561.993499999997</v>
      </c>
      <c r="AJ116" s="94">
        <f>Valores!$C$35</f>
        <v>599.19</v>
      </c>
      <c r="AK116" s="95">
        <f>Valores!$C$6</f>
        <v>0</v>
      </c>
      <c r="AL116" s="95">
        <f>Valores!$C$81</f>
        <v>1300</v>
      </c>
      <c r="AM116" s="97">
        <f>Valores!$C$51</f>
        <v>136.56</v>
      </c>
      <c r="AN116" s="99">
        <f t="shared" si="21"/>
        <v>1899.19</v>
      </c>
      <c r="AO116" s="100">
        <f>AI116*-Valores!$C$65</f>
        <v>-3583.059155</v>
      </c>
      <c r="AP116" s="100">
        <f>AI116*-Valores!$C$66</f>
        <v>-137.8099675</v>
      </c>
      <c r="AQ116" s="94">
        <f>AI116*-Valores!$C$67</f>
        <v>-1240.2897074999998</v>
      </c>
      <c r="AR116" s="94">
        <f>AI116*-Valores!$C$68</f>
        <v>-744.1738244999999</v>
      </c>
      <c r="AS116" s="94">
        <f>AI116*-Valores!$C$69</f>
        <v>-82.68598049999999</v>
      </c>
      <c r="AT116" s="98">
        <f t="shared" si="17"/>
        <v>24500.024669999995</v>
      </c>
      <c r="AU116" s="98">
        <f t="shared" si="18"/>
        <v>24913.454572499995</v>
      </c>
      <c r="AV116" s="94">
        <f>AI116*Valores!$C$71</f>
        <v>4409.91896</v>
      </c>
      <c r="AW116" s="94">
        <f>AI116*Valores!$C$72</f>
        <v>1240.2897074999998</v>
      </c>
      <c r="AX116" s="94">
        <f>AI116*Valores!$C$73</f>
        <v>275.619935</v>
      </c>
      <c r="AY116" s="94">
        <f>AI116*Valores!$C$75</f>
        <v>964.6697725</v>
      </c>
      <c r="AZ116" s="94">
        <f>AI116*Valores!$C$76</f>
        <v>165.37196099999997</v>
      </c>
      <c r="BA116" s="94">
        <f t="shared" si="22"/>
        <v>1488.3476489999998</v>
      </c>
      <c r="BB116" s="86"/>
      <c r="BC116" s="86">
        <v>30</v>
      </c>
      <c r="BD116" s="87" t="s">
        <v>4</v>
      </c>
    </row>
    <row r="117" spans="1:56" s="28" customFormat="1" ht="11.25" customHeight="1">
      <c r="A117" s="52">
        <v>116</v>
      </c>
      <c r="B117" s="52"/>
      <c r="C117" s="28" t="s">
        <v>372</v>
      </c>
      <c r="E117" s="28">
        <f t="shared" si="14"/>
        <v>30</v>
      </c>
      <c r="F117" s="72" t="s">
        <v>373</v>
      </c>
      <c r="G117" s="73">
        <f>1184+94</f>
        <v>1278</v>
      </c>
      <c r="H117" s="74">
        <f>INT((G117*Valores!$C$2*100)+0.5)/100</f>
        <v>8476.21</v>
      </c>
      <c r="I117" s="113">
        <v>0</v>
      </c>
      <c r="J117" s="76">
        <f>INT((I117*Valores!$C$2*100)+0.5)/100</f>
        <v>0</v>
      </c>
      <c r="K117" s="103">
        <v>0</v>
      </c>
      <c r="L117" s="76">
        <f>INT((K117*Valores!$C$2*100)+0.5)/100</f>
        <v>0</v>
      </c>
      <c r="M117" s="101">
        <v>0</v>
      </c>
      <c r="N117" s="76">
        <f>INT((M117*Valores!$C$2*100)+0.5)/100</f>
        <v>0</v>
      </c>
      <c r="O117" s="76">
        <f t="shared" si="15"/>
        <v>1814.6894999999997</v>
      </c>
      <c r="P117" s="76">
        <f t="shared" si="16"/>
        <v>0</v>
      </c>
      <c r="Q117" s="78">
        <f>Valores!$C$20</f>
        <v>4080.56</v>
      </c>
      <c r="R117" s="78">
        <f>Valores!$D$4</f>
        <v>2966.67</v>
      </c>
      <c r="S117" s="76">
        <f>Valores!$C$26</f>
        <v>3094.03</v>
      </c>
      <c r="T117" s="79">
        <f>Valores!$C$40</f>
        <v>919.75</v>
      </c>
      <c r="U117" s="102">
        <f>Valores!$C$24</f>
        <v>2701.97</v>
      </c>
      <c r="V117" s="76">
        <f t="shared" si="23"/>
        <v>2701.97</v>
      </c>
      <c r="W117" s="76">
        <v>0</v>
      </c>
      <c r="X117" s="76">
        <v>0</v>
      </c>
      <c r="Y117" s="80">
        <v>0</v>
      </c>
      <c r="Z117" s="76">
        <f>Y117*Valores!$C$2</f>
        <v>0</v>
      </c>
      <c r="AA117" s="76">
        <v>0</v>
      </c>
      <c r="AB117" s="81">
        <f>Valores!$C$29</f>
        <v>160.21</v>
      </c>
      <c r="AC117" s="76">
        <f t="shared" si="19"/>
        <v>0</v>
      </c>
      <c r="AD117" s="76">
        <f>Valores!$C$30</f>
        <v>160.21</v>
      </c>
      <c r="AE117" s="80">
        <v>0</v>
      </c>
      <c r="AF117" s="76">
        <f>INT(((AE117*Valores!$C$2)*100)+0.5)/100</f>
        <v>0</v>
      </c>
      <c r="AG117" s="76">
        <f>Valores!$C$58</f>
        <v>325.89</v>
      </c>
      <c r="AH117" s="76">
        <f>Valores!$C$60</f>
        <v>93.11</v>
      </c>
      <c r="AI117" s="82">
        <f t="shared" si="20"/>
        <v>24793.299499999997</v>
      </c>
      <c r="AJ117" s="78">
        <f>Valores!$C$35</f>
        <v>599.19</v>
      </c>
      <c r="AK117" s="79">
        <f>Valores!$C$6</f>
        <v>0</v>
      </c>
      <c r="AL117" s="79">
        <f>Valores!$C$81</f>
        <v>1300</v>
      </c>
      <c r="AM117" s="81">
        <f>Valores!$C$51</f>
        <v>136.56</v>
      </c>
      <c r="AN117" s="83">
        <f t="shared" si="21"/>
        <v>1899.19</v>
      </c>
      <c r="AO117" s="84">
        <f>AI117*-Valores!$C$65</f>
        <v>-3223.1289349999997</v>
      </c>
      <c r="AP117" s="84">
        <f>AI117*-Valores!$C$66</f>
        <v>-123.96649749999999</v>
      </c>
      <c r="AQ117" s="78">
        <f>AI117*-Valores!$C$67</f>
        <v>-1115.6984774999999</v>
      </c>
      <c r="AR117" s="78">
        <f>AI117*-Valores!$C$68</f>
        <v>-669.4190864999999</v>
      </c>
      <c r="AS117" s="78">
        <f>AI117*-Valores!$C$69</f>
        <v>-74.3798985</v>
      </c>
      <c r="AT117" s="82">
        <f t="shared" si="17"/>
        <v>22229.695589999996</v>
      </c>
      <c r="AU117" s="82">
        <f t="shared" si="18"/>
        <v>22601.595082499996</v>
      </c>
      <c r="AV117" s="78">
        <f>AI117*Valores!$C$71</f>
        <v>3966.9279199999996</v>
      </c>
      <c r="AW117" s="78">
        <f>AI117*Valores!$C$72</f>
        <v>1115.6984774999999</v>
      </c>
      <c r="AX117" s="78">
        <f>AI117*Valores!$C$73</f>
        <v>247.93299499999998</v>
      </c>
      <c r="AY117" s="78">
        <f>AI117*Valores!$C$75</f>
        <v>867.7654825</v>
      </c>
      <c r="AZ117" s="78">
        <f>AI117*Valores!$C$76</f>
        <v>148.759797</v>
      </c>
      <c r="BA117" s="78">
        <f t="shared" si="22"/>
        <v>1338.8381729999999</v>
      </c>
      <c r="BB117" s="52"/>
      <c r="BC117" s="52">
        <v>30</v>
      </c>
      <c r="BD117" s="28" t="s">
        <v>4</v>
      </c>
    </row>
    <row r="118" spans="1:56" s="28" customFormat="1" ht="11.25" customHeight="1">
      <c r="A118" s="52">
        <v>117</v>
      </c>
      <c r="B118" s="52"/>
      <c r="C118" s="28" t="s">
        <v>374</v>
      </c>
      <c r="E118" s="28">
        <f t="shared" si="14"/>
        <v>17</v>
      </c>
      <c r="F118" s="72" t="s">
        <v>375</v>
      </c>
      <c r="G118" s="73">
        <v>77</v>
      </c>
      <c r="H118" s="74">
        <f>INT((G118*Valores!$C$2*100)+0.5)/100</f>
        <v>510.69</v>
      </c>
      <c r="I118" s="113">
        <v>2073</v>
      </c>
      <c r="J118" s="76">
        <f>INT((I118*Valores!$C$2*100)+0.5)/100</f>
        <v>13748.97</v>
      </c>
      <c r="K118" s="103">
        <v>0</v>
      </c>
      <c r="L118" s="76">
        <f>INT((K118*Valores!$C$2*100)+0.5)/100</f>
        <v>0</v>
      </c>
      <c r="M118" s="101">
        <v>0</v>
      </c>
      <c r="N118" s="76">
        <f>INT((M118*Valores!$C$2*100)+0.5)/100</f>
        <v>0</v>
      </c>
      <c r="O118" s="76">
        <f t="shared" si="15"/>
        <v>2733.792</v>
      </c>
      <c r="P118" s="76">
        <f t="shared" si="16"/>
        <v>0</v>
      </c>
      <c r="Q118" s="78">
        <f>Valores!$C$15</f>
        <v>4266.78</v>
      </c>
      <c r="R118" s="78">
        <f>Valores!$D$4</f>
        <v>2966.67</v>
      </c>
      <c r="S118" s="102">
        <f>Valores!$C$26</f>
        <v>3094.03</v>
      </c>
      <c r="T118" s="107">
        <f>Valores!$C$42</f>
        <v>1226.37</v>
      </c>
      <c r="U118" s="76">
        <f>Valores!$C$23</f>
        <v>2739.25</v>
      </c>
      <c r="V118" s="76">
        <f t="shared" si="23"/>
        <v>2739.25</v>
      </c>
      <c r="W118" s="76">
        <v>0</v>
      </c>
      <c r="X118" s="76">
        <v>0</v>
      </c>
      <c r="Y118" s="80">
        <v>0</v>
      </c>
      <c r="Z118" s="76">
        <f>Y118*Valores!$C$2</f>
        <v>0</v>
      </c>
      <c r="AA118" s="76">
        <v>0</v>
      </c>
      <c r="AB118" s="81">
        <f>Valores!$C$29</f>
        <v>160.21</v>
      </c>
      <c r="AC118" s="76">
        <f t="shared" si="19"/>
        <v>0</v>
      </c>
      <c r="AD118" s="76">
        <f>Valores!$C$30</f>
        <v>160.21</v>
      </c>
      <c r="AE118" s="80">
        <v>0</v>
      </c>
      <c r="AF118" s="76">
        <f>INT(((AE118*Valores!$C$2)*100)+0.5)/100</f>
        <v>0</v>
      </c>
      <c r="AG118" s="76">
        <f>Valores!$C$58</f>
        <v>325.89</v>
      </c>
      <c r="AH118" s="76">
        <f>Valores!$C$60</f>
        <v>93.11</v>
      </c>
      <c r="AI118" s="82">
        <f t="shared" si="20"/>
        <v>32025.971999999998</v>
      </c>
      <c r="AJ118" s="78">
        <f>Valores!$C$35</f>
        <v>599.19</v>
      </c>
      <c r="AK118" s="79">
        <f>Valores!$C$8</f>
        <v>0</v>
      </c>
      <c r="AL118" s="79">
        <f>Valores!$C$81</f>
        <v>1300</v>
      </c>
      <c r="AM118" s="81">
        <f>Valores!$C$51</f>
        <v>136.56</v>
      </c>
      <c r="AN118" s="83">
        <f t="shared" si="21"/>
        <v>1899.19</v>
      </c>
      <c r="AO118" s="84">
        <f>AI118*-Valores!$C$65</f>
        <v>-4163.37636</v>
      </c>
      <c r="AP118" s="84">
        <f>AI118*-Valores!$C$66</f>
        <v>-160.12985999999998</v>
      </c>
      <c r="AQ118" s="78">
        <f>AI118*-Valores!$C$67</f>
        <v>-1441.1687399999998</v>
      </c>
      <c r="AR118" s="78">
        <f>AI118*-Valores!$C$68</f>
        <v>-864.701244</v>
      </c>
      <c r="AS118" s="78">
        <f>AI118*-Valores!$C$69</f>
        <v>-96.077916</v>
      </c>
      <c r="AT118" s="82">
        <f t="shared" si="17"/>
        <v>28160.487039999993</v>
      </c>
      <c r="AU118" s="82">
        <f t="shared" si="18"/>
        <v>28640.87661999999</v>
      </c>
      <c r="AV118" s="78">
        <f>AI118*Valores!$C$71</f>
        <v>5124.155519999999</v>
      </c>
      <c r="AW118" s="78">
        <f>AI118*Valores!$C$72</f>
        <v>1441.1687399999998</v>
      </c>
      <c r="AX118" s="78">
        <f>AI118*Valores!$C$73</f>
        <v>320.25971999999996</v>
      </c>
      <c r="AY118" s="78">
        <f>AI118*Valores!$C$75</f>
        <v>1120.90902</v>
      </c>
      <c r="AZ118" s="78">
        <f>AI118*Valores!$C$76</f>
        <v>192.155832</v>
      </c>
      <c r="BA118" s="78">
        <f t="shared" si="22"/>
        <v>1729.402488</v>
      </c>
      <c r="BB118" s="52"/>
      <c r="BC118" s="52">
        <v>30</v>
      </c>
      <c r="BD118" s="28" t="s">
        <v>4</v>
      </c>
    </row>
    <row r="119" spans="1:56" s="28" customFormat="1" ht="11.25" customHeight="1">
      <c r="A119" s="52">
        <v>118</v>
      </c>
      <c r="B119" s="52"/>
      <c r="C119" s="28" t="s">
        <v>376</v>
      </c>
      <c r="E119" s="28">
        <f t="shared" si="14"/>
        <v>29</v>
      </c>
      <c r="F119" s="72" t="s">
        <v>377</v>
      </c>
      <c r="G119" s="73">
        <v>77</v>
      </c>
      <c r="H119" s="74">
        <f>INT((G119*Valores!$C$2*100)+0.5)/100</f>
        <v>510.69</v>
      </c>
      <c r="I119" s="113">
        <v>2043</v>
      </c>
      <c r="J119" s="76">
        <f>INT((I119*Valores!$C$2*100)+0.5)/100</f>
        <v>13549.99</v>
      </c>
      <c r="K119" s="103">
        <v>0</v>
      </c>
      <c r="L119" s="76">
        <f>INT((K119*Valores!$C$2*100)+0.5)/100</f>
        <v>0</v>
      </c>
      <c r="M119" s="101">
        <v>0</v>
      </c>
      <c r="N119" s="76">
        <f>INT((M119*Valores!$C$2*100)+0.5)/100</f>
        <v>0</v>
      </c>
      <c r="O119" s="76">
        <f t="shared" si="15"/>
        <v>2703.9449999999997</v>
      </c>
      <c r="P119" s="76">
        <f t="shared" si="16"/>
        <v>0</v>
      </c>
      <c r="Q119" s="78">
        <f>Valores!$C$16</f>
        <v>4291.62</v>
      </c>
      <c r="R119" s="78">
        <f>Valores!$D$4</f>
        <v>2966.67</v>
      </c>
      <c r="S119" s="102">
        <f>Valores!$C$26</f>
        <v>3094.03</v>
      </c>
      <c r="T119" s="107">
        <f>Valores!$C$42</f>
        <v>1226.37</v>
      </c>
      <c r="U119" s="76">
        <f>Valores!$C$23</f>
        <v>2739.25</v>
      </c>
      <c r="V119" s="76">
        <f t="shared" si="23"/>
        <v>2739.25</v>
      </c>
      <c r="W119" s="76">
        <v>0</v>
      </c>
      <c r="X119" s="76">
        <v>0</v>
      </c>
      <c r="Y119" s="80">
        <v>0</v>
      </c>
      <c r="Z119" s="76">
        <f>Y119*Valores!$C$2</f>
        <v>0</v>
      </c>
      <c r="AA119" s="76">
        <v>0</v>
      </c>
      <c r="AB119" s="81">
        <f>Valores!$C$29</f>
        <v>160.21</v>
      </c>
      <c r="AC119" s="76">
        <f t="shared" si="19"/>
        <v>0</v>
      </c>
      <c r="AD119" s="76">
        <f>Valores!$C$30</f>
        <v>160.21</v>
      </c>
      <c r="AE119" s="80">
        <v>0</v>
      </c>
      <c r="AF119" s="76">
        <f>INT(((AE119*Valores!$C$2)*100)+0.5)/100</f>
        <v>0</v>
      </c>
      <c r="AG119" s="76">
        <f>Valores!$C$58</f>
        <v>325.89</v>
      </c>
      <c r="AH119" s="76">
        <f>Valores!$C$60</f>
        <v>93.11</v>
      </c>
      <c r="AI119" s="82">
        <f t="shared" si="20"/>
        <v>31821.984999999997</v>
      </c>
      <c r="AJ119" s="78">
        <f>Valores!$C$35</f>
        <v>599.19</v>
      </c>
      <c r="AK119" s="79">
        <f>Valores!$C$8</f>
        <v>0</v>
      </c>
      <c r="AL119" s="79">
        <f>Valores!$C$81</f>
        <v>1300</v>
      </c>
      <c r="AM119" s="81">
        <f>Valores!$C$51</f>
        <v>136.56</v>
      </c>
      <c r="AN119" s="83">
        <f t="shared" si="21"/>
        <v>1899.19</v>
      </c>
      <c r="AO119" s="84">
        <f>AI119*-Valores!$C$65</f>
        <v>-4136.85805</v>
      </c>
      <c r="AP119" s="84">
        <f>AI119*-Valores!$C$66</f>
        <v>-159.10992499999998</v>
      </c>
      <c r="AQ119" s="78">
        <f>AI119*-Valores!$C$67</f>
        <v>-1431.9893249999998</v>
      </c>
      <c r="AR119" s="78">
        <f>AI119*-Valores!$C$68</f>
        <v>-859.193595</v>
      </c>
      <c r="AS119" s="78">
        <f>AI119*-Valores!$C$69</f>
        <v>-95.465955</v>
      </c>
      <c r="AT119" s="82">
        <f t="shared" si="17"/>
        <v>27993.2177</v>
      </c>
      <c r="AU119" s="82">
        <f t="shared" si="18"/>
        <v>28470.547475</v>
      </c>
      <c r="AV119" s="78">
        <f>AI119*Valores!$C$71</f>
        <v>5091.517599999999</v>
      </c>
      <c r="AW119" s="78">
        <f>AI119*Valores!$C$72</f>
        <v>1431.9893249999998</v>
      </c>
      <c r="AX119" s="78">
        <f>AI119*Valores!$C$73</f>
        <v>318.21984999999995</v>
      </c>
      <c r="AY119" s="78">
        <f>AI119*Valores!$C$75</f>
        <v>1113.769475</v>
      </c>
      <c r="AZ119" s="78">
        <f>AI119*Valores!$C$76</f>
        <v>190.93191</v>
      </c>
      <c r="BA119" s="78">
        <f t="shared" si="22"/>
        <v>1718.38719</v>
      </c>
      <c r="BB119" s="52"/>
      <c r="BC119" s="86">
        <v>30</v>
      </c>
      <c r="BD119" s="28" t="s">
        <v>4</v>
      </c>
    </row>
    <row r="120" spans="1:56" s="28" customFormat="1" ht="11.25" customHeight="1">
      <c r="A120" s="52">
        <v>119</v>
      </c>
      <c r="B120" s="52"/>
      <c r="C120" s="28" t="s">
        <v>378</v>
      </c>
      <c r="E120" s="28">
        <f t="shared" si="14"/>
        <v>29</v>
      </c>
      <c r="F120" s="72" t="s">
        <v>379</v>
      </c>
      <c r="G120" s="73">
        <v>76</v>
      </c>
      <c r="H120" s="74">
        <f>INT((G120*Valores!$C$2*100)+0.5)/100</f>
        <v>504.06</v>
      </c>
      <c r="I120" s="113">
        <v>1954</v>
      </c>
      <c r="J120" s="76">
        <f>INT((I120*Valores!$C$2*100)+0.5)/100</f>
        <v>12959.71</v>
      </c>
      <c r="K120" s="103">
        <v>0</v>
      </c>
      <c r="L120" s="76">
        <f>INT((K120*Valores!$C$2*100)+0.5)/100</f>
        <v>0</v>
      </c>
      <c r="M120" s="101">
        <v>0</v>
      </c>
      <c r="N120" s="76">
        <f>INT((M120*Valores!$C$2*100)+0.5)/100</f>
        <v>0</v>
      </c>
      <c r="O120" s="76">
        <f t="shared" si="15"/>
        <v>2614.4085</v>
      </c>
      <c r="P120" s="76">
        <f t="shared" si="16"/>
        <v>0</v>
      </c>
      <c r="Q120" s="78">
        <f>Valores!$C$16</f>
        <v>4291.62</v>
      </c>
      <c r="R120" s="78">
        <f>Valores!$D$4</f>
        <v>2966.67</v>
      </c>
      <c r="S120" s="102">
        <f>Valores!$C$26</f>
        <v>3094.03</v>
      </c>
      <c r="T120" s="107">
        <f>Valores!$C$42</f>
        <v>1226.37</v>
      </c>
      <c r="U120" s="76">
        <f>Valores!$C$23</f>
        <v>2739.25</v>
      </c>
      <c r="V120" s="76">
        <f t="shared" si="23"/>
        <v>2739.25</v>
      </c>
      <c r="W120" s="76">
        <v>0</v>
      </c>
      <c r="X120" s="76">
        <v>0</v>
      </c>
      <c r="Y120" s="80">
        <v>0</v>
      </c>
      <c r="Z120" s="76">
        <f>Y120*Valores!$C$2</f>
        <v>0</v>
      </c>
      <c r="AA120" s="76">
        <v>0</v>
      </c>
      <c r="AB120" s="81">
        <f>Valores!$C$29</f>
        <v>160.21</v>
      </c>
      <c r="AC120" s="76">
        <f t="shared" si="19"/>
        <v>0</v>
      </c>
      <c r="AD120" s="76">
        <f>Valores!$C$30</f>
        <v>160.21</v>
      </c>
      <c r="AE120" s="80">
        <v>0</v>
      </c>
      <c r="AF120" s="76">
        <f>INT(((AE120*Valores!$C$2)*100)+0.5)/100</f>
        <v>0</v>
      </c>
      <c r="AG120" s="76">
        <f>Valores!$C$58</f>
        <v>325.89</v>
      </c>
      <c r="AH120" s="76">
        <f>Valores!$C$60</f>
        <v>93.11</v>
      </c>
      <c r="AI120" s="82">
        <f t="shared" si="20"/>
        <v>31135.53849999999</v>
      </c>
      <c r="AJ120" s="78">
        <f>Valores!$C$35</f>
        <v>599.19</v>
      </c>
      <c r="AK120" s="79">
        <f>Valores!$C$8</f>
        <v>0</v>
      </c>
      <c r="AL120" s="79">
        <f>Valores!$C$81</f>
        <v>1300</v>
      </c>
      <c r="AM120" s="81">
        <f>Valores!$C$51</f>
        <v>136.56</v>
      </c>
      <c r="AN120" s="83">
        <f t="shared" si="21"/>
        <v>1899.19</v>
      </c>
      <c r="AO120" s="84">
        <f>AI120*-Valores!$C$65</f>
        <v>-4047.620004999999</v>
      </c>
      <c r="AP120" s="84">
        <f>AI120*-Valores!$C$66</f>
        <v>-155.67769249999995</v>
      </c>
      <c r="AQ120" s="78">
        <f>AI120*-Valores!$C$67</f>
        <v>-1401.0992324999995</v>
      </c>
      <c r="AR120" s="78">
        <f>AI120*-Valores!$C$68</f>
        <v>-840.6595394999997</v>
      </c>
      <c r="AS120" s="78">
        <f>AI120*-Valores!$C$69</f>
        <v>-93.40661549999997</v>
      </c>
      <c r="AT120" s="82">
        <f t="shared" si="17"/>
        <v>27430.331569999988</v>
      </c>
      <c r="AU120" s="82">
        <f t="shared" si="18"/>
        <v>27897.364647499988</v>
      </c>
      <c r="AV120" s="78">
        <f>AI120*Valores!$C$71</f>
        <v>4981.686159999998</v>
      </c>
      <c r="AW120" s="78">
        <f>AI120*Valores!$C$72</f>
        <v>1401.0992324999995</v>
      </c>
      <c r="AX120" s="78">
        <f>AI120*Valores!$C$73</f>
        <v>311.3553849999999</v>
      </c>
      <c r="AY120" s="78">
        <f>AI120*Valores!$C$75</f>
        <v>1089.7438475</v>
      </c>
      <c r="AZ120" s="78">
        <f>AI120*Valores!$C$76</f>
        <v>186.81323099999994</v>
      </c>
      <c r="BA120" s="78">
        <f t="shared" si="22"/>
        <v>1681.3190789999996</v>
      </c>
      <c r="BB120" s="52"/>
      <c r="BC120" s="52">
        <v>30</v>
      </c>
      <c r="BD120" s="28" t="s">
        <v>4</v>
      </c>
    </row>
    <row r="121" spans="1:56" s="28" customFormat="1" ht="11.25" customHeight="1">
      <c r="A121" s="86">
        <v>120</v>
      </c>
      <c r="B121" s="86" t="s">
        <v>163</v>
      </c>
      <c r="C121" s="87" t="s">
        <v>380</v>
      </c>
      <c r="D121" s="87"/>
      <c r="E121" s="87">
        <f t="shared" si="14"/>
        <v>29</v>
      </c>
      <c r="F121" s="88" t="s">
        <v>381</v>
      </c>
      <c r="G121" s="89">
        <v>274</v>
      </c>
      <c r="H121" s="90">
        <f>INT((G121*Valores!$C$2*100)+0.5)/100</f>
        <v>1817.28</v>
      </c>
      <c r="I121" s="104">
        <v>1163</v>
      </c>
      <c r="J121" s="92">
        <f>INT((I121*Valores!$C$2*100)+0.5)/100</f>
        <v>7713.48</v>
      </c>
      <c r="K121" s="105">
        <v>0</v>
      </c>
      <c r="L121" s="92">
        <f>INT((K121*Valores!$C$2*100)+0.5)/100</f>
        <v>0</v>
      </c>
      <c r="M121" s="106">
        <v>0</v>
      </c>
      <c r="N121" s="92">
        <f>INT((M121*Valores!$C$2*100)+0.5)/100</f>
        <v>0</v>
      </c>
      <c r="O121" s="92">
        <f t="shared" si="15"/>
        <v>2024.457</v>
      </c>
      <c r="P121" s="92">
        <f t="shared" si="16"/>
        <v>0</v>
      </c>
      <c r="Q121" s="94">
        <f>Valores!$C$16</f>
        <v>4291.62</v>
      </c>
      <c r="R121" s="94">
        <f>Valores!$D$4</f>
        <v>2966.67</v>
      </c>
      <c r="S121" s="108">
        <f>Valores!$C$26</f>
        <v>3094.03</v>
      </c>
      <c r="T121" s="109">
        <f>Valores!$C$42</f>
        <v>1226.37</v>
      </c>
      <c r="U121" s="92">
        <f>Valores!$C$23</f>
        <v>2739.25</v>
      </c>
      <c r="V121" s="92">
        <f t="shared" si="23"/>
        <v>2739.25</v>
      </c>
      <c r="W121" s="92">
        <v>0</v>
      </c>
      <c r="X121" s="92">
        <v>0</v>
      </c>
      <c r="Y121" s="96">
        <v>0</v>
      </c>
      <c r="Z121" s="92">
        <f>Y121*Valores!$C$2</f>
        <v>0</v>
      </c>
      <c r="AA121" s="92">
        <v>0</v>
      </c>
      <c r="AB121" s="97">
        <f>Valores!$C$29</f>
        <v>160.21</v>
      </c>
      <c r="AC121" s="92">
        <f t="shared" si="19"/>
        <v>0</v>
      </c>
      <c r="AD121" s="92">
        <f>Valores!$C$30</f>
        <v>160.21</v>
      </c>
      <c r="AE121" s="96">
        <v>0</v>
      </c>
      <c r="AF121" s="92">
        <f>INT(((AE121*Valores!$C$2)*100)+0.5)/100</f>
        <v>0</v>
      </c>
      <c r="AG121" s="92">
        <f>Valores!$C$58</f>
        <v>325.89</v>
      </c>
      <c r="AH121" s="92">
        <f>Valores!$C$60</f>
        <v>93.11</v>
      </c>
      <c r="AI121" s="98">
        <f t="shared" si="20"/>
        <v>26612.576999999994</v>
      </c>
      <c r="AJ121" s="94">
        <f>Valores!$C$35</f>
        <v>599.19</v>
      </c>
      <c r="AK121" s="95">
        <f>Valores!$C$8</f>
        <v>0</v>
      </c>
      <c r="AL121" s="95">
        <f>Valores!$C$81</f>
        <v>1300</v>
      </c>
      <c r="AM121" s="97">
        <f>Valores!$C$51</f>
        <v>136.56</v>
      </c>
      <c r="AN121" s="99">
        <f t="shared" si="21"/>
        <v>1899.19</v>
      </c>
      <c r="AO121" s="100">
        <f>AI121*-Valores!$C$65</f>
        <v>-3459.6350099999995</v>
      </c>
      <c r="AP121" s="100">
        <f>AI121*-Valores!$C$66</f>
        <v>-133.06288499999997</v>
      </c>
      <c r="AQ121" s="94">
        <f>AI121*-Valores!$C$67</f>
        <v>-1197.5659649999998</v>
      </c>
      <c r="AR121" s="94">
        <f>AI121*-Valores!$C$68</f>
        <v>-718.5395789999998</v>
      </c>
      <c r="AS121" s="94">
        <f>AI121*-Valores!$C$69</f>
        <v>-79.83773099999998</v>
      </c>
      <c r="AT121" s="98">
        <f t="shared" si="17"/>
        <v>23721.503139999993</v>
      </c>
      <c r="AU121" s="98">
        <f t="shared" si="18"/>
        <v>24120.691794999995</v>
      </c>
      <c r="AV121" s="94">
        <f>AI121*Valores!$C$71</f>
        <v>4258.012319999999</v>
      </c>
      <c r="AW121" s="94">
        <f>AI121*Valores!$C$72</f>
        <v>1197.5659649999998</v>
      </c>
      <c r="AX121" s="94">
        <f>AI121*Valores!$C$73</f>
        <v>266.12576999999993</v>
      </c>
      <c r="AY121" s="94">
        <f>AI121*Valores!$C$75</f>
        <v>931.4401949999999</v>
      </c>
      <c r="AZ121" s="94">
        <f>AI121*Valores!$C$76</f>
        <v>159.67546199999995</v>
      </c>
      <c r="BA121" s="94">
        <f t="shared" si="22"/>
        <v>1437.0791579999998</v>
      </c>
      <c r="BB121" s="86"/>
      <c r="BC121" s="86">
        <v>30</v>
      </c>
      <c r="BD121" s="87" t="s">
        <v>4</v>
      </c>
    </row>
    <row r="122" spans="1:56" s="28" customFormat="1" ht="11.25" customHeight="1">
      <c r="A122" s="52">
        <v>121</v>
      </c>
      <c r="B122" s="52"/>
      <c r="C122" s="28" t="s">
        <v>382</v>
      </c>
      <c r="E122" s="28">
        <f t="shared" si="14"/>
        <v>27</v>
      </c>
      <c r="F122" s="72" t="s">
        <v>383</v>
      </c>
      <c r="G122" s="73">
        <v>2800</v>
      </c>
      <c r="H122" s="74">
        <f>INT((G122*Valores!$C$2*100)+0.5)/100</f>
        <v>18570.72</v>
      </c>
      <c r="I122" s="113">
        <v>0</v>
      </c>
      <c r="J122" s="76">
        <f>INT((I122*Valores!$C$2*100)+0.5)/100</f>
        <v>0</v>
      </c>
      <c r="K122" s="103">
        <v>0</v>
      </c>
      <c r="L122" s="76">
        <f>INT((K122*Valores!$C$2*100)+0.5)/100</f>
        <v>0</v>
      </c>
      <c r="M122" s="101">
        <v>0</v>
      </c>
      <c r="N122" s="76">
        <f>INT((M122*Valores!$C$2*100)+0.5)/100</f>
        <v>0</v>
      </c>
      <c r="O122" s="76">
        <f t="shared" si="15"/>
        <v>3466.8345000000004</v>
      </c>
      <c r="P122" s="76">
        <f t="shared" si="16"/>
        <v>0</v>
      </c>
      <c r="Q122" s="78">
        <f>Valores!$C$20</f>
        <v>4080.56</v>
      </c>
      <c r="R122" s="78">
        <f>Valores!$D$4</f>
        <v>2966.67</v>
      </c>
      <c r="S122" s="76">
        <f>Valores!$C$26</f>
        <v>3094.03</v>
      </c>
      <c r="T122" s="79">
        <f>Valores!$C$43</f>
        <v>1839.54</v>
      </c>
      <c r="U122" s="102">
        <f>Valores!$C$24</f>
        <v>2701.97</v>
      </c>
      <c r="V122" s="76">
        <f t="shared" si="23"/>
        <v>2701.97</v>
      </c>
      <c r="W122" s="76">
        <v>0</v>
      </c>
      <c r="X122" s="76">
        <v>0</v>
      </c>
      <c r="Y122" s="80">
        <v>0</v>
      </c>
      <c r="Z122" s="76">
        <f>Y122*Valores!$C$2</f>
        <v>0</v>
      </c>
      <c r="AA122" s="76">
        <v>0</v>
      </c>
      <c r="AB122" s="81">
        <f>Valores!$C$29</f>
        <v>160.21</v>
      </c>
      <c r="AC122" s="76">
        <f t="shared" si="19"/>
        <v>0</v>
      </c>
      <c r="AD122" s="76">
        <f>Valores!$C$30</f>
        <v>160.21</v>
      </c>
      <c r="AE122" s="80">
        <v>0</v>
      </c>
      <c r="AF122" s="76">
        <f>INT(((AE122*Valores!$C$2)*100)+0.5)/100</f>
        <v>0</v>
      </c>
      <c r="AG122" s="76">
        <f>Valores!$C$58</f>
        <v>325.89</v>
      </c>
      <c r="AH122" s="76">
        <f>Valores!$C$60</f>
        <v>93.11</v>
      </c>
      <c r="AI122" s="82">
        <f t="shared" si="20"/>
        <v>37459.7445</v>
      </c>
      <c r="AJ122" s="78">
        <f>Valores!$C$35</f>
        <v>599.19</v>
      </c>
      <c r="AK122" s="79">
        <f>Valores!$C$9</f>
        <v>0</v>
      </c>
      <c r="AL122" s="79">
        <f>Valores!$C$81</f>
        <v>1300</v>
      </c>
      <c r="AM122" s="81">
        <f>Valores!$C$50</f>
        <v>265.48</v>
      </c>
      <c r="AN122" s="83">
        <f t="shared" si="21"/>
        <v>1899.19</v>
      </c>
      <c r="AO122" s="84">
        <f>AI122*-Valores!$C$65</f>
        <v>-4869.766785000001</v>
      </c>
      <c r="AP122" s="84">
        <f>AI122*-Valores!$C$66</f>
        <v>-187.2987225</v>
      </c>
      <c r="AQ122" s="78">
        <f>AI122*-Valores!$C$67</f>
        <v>-1685.6885025</v>
      </c>
      <c r="AR122" s="78">
        <f>AI122*-Valores!$C$68</f>
        <v>-1011.4131015</v>
      </c>
      <c r="AS122" s="78">
        <f>AI122*-Valores!$C$69</f>
        <v>-112.3792335</v>
      </c>
      <c r="AT122" s="82">
        <f t="shared" si="17"/>
        <v>32616.18049</v>
      </c>
      <c r="AU122" s="82">
        <f t="shared" si="18"/>
        <v>33178.076657499994</v>
      </c>
      <c r="AV122" s="78">
        <f>AI122*Valores!$C$71</f>
        <v>5993.55912</v>
      </c>
      <c r="AW122" s="78">
        <f>AI122*Valores!$C$72</f>
        <v>1685.6885025</v>
      </c>
      <c r="AX122" s="78">
        <f>AI122*Valores!$C$73</f>
        <v>374.597445</v>
      </c>
      <c r="AY122" s="78">
        <f>AI122*Valores!$C$75</f>
        <v>1311.0910575000003</v>
      </c>
      <c r="AZ122" s="78">
        <f>AI122*Valores!$C$76</f>
        <v>224.758467</v>
      </c>
      <c r="BA122" s="78">
        <f t="shared" si="22"/>
        <v>2022.826203</v>
      </c>
      <c r="BB122" s="52"/>
      <c r="BC122" s="52"/>
      <c r="BD122" s="28" t="s">
        <v>4</v>
      </c>
    </row>
    <row r="123" spans="1:56" s="28" customFormat="1" ht="11.25" customHeight="1">
      <c r="A123" s="52">
        <v>122</v>
      </c>
      <c r="B123" s="52"/>
      <c r="C123" s="28" t="s">
        <v>384</v>
      </c>
      <c r="E123" s="28">
        <f t="shared" si="14"/>
        <v>27</v>
      </c>
      <c r="F123" s="72" t="s">
        <v>385</v>
      </c>
      <c r="G123" s="73">
        <v>2850</v>
      </c>
      <c r="H123" s="74">
        <f>INT((G123*Valores!$C$2*100)+0.5)/100</f>
        <v>18902.34</v>
      </c>
      <c r="I123" s="113">
        <v>0</v>
      </c>
      <c r="J123" s="76">
        <f>INT((I123*Valores!$C$2*100)+0.5)/100</f>
        <v>0</v>
      </c>
      <c r="K123" s="103">
        <v>0</v>
      </c>
      <c r="L123" s="76">
        <f>INT((K123*Valores!$C$2*100)+0.5)/100</f>
        <v>0</v>
      </c>
      <c r="M123" s="101">
        <v>0</v>
      </c>
      <c r="N123" s="76">
        <f>INT((M123*Valores!$C$2*100)+0.5)/100</f>
        <v>0</v>
      </c>
      <c r="O123" s="76">
        <f t="shared" si="15"/>
        <v>3516.5775000000003</v>
      </c>
      <c r="P123" s="76">
        <f t="shared" si="16"/>
        <v>0</v>
      </c>
      <c r="Q123" s="78">
        <f>Valores!$C$16</f>
        <v>4291.62</v>
      </c>
      <c r="R123" s="78">
        <f>Valores!$D$4</f>
        <v>2966.67</v>
      </c>
      <c r="S123" s="102">
        <f>Valores!$C$26</f>
        <v>3094.03</v>
      </c>
      <c r="T123" s="107">
        <f>Valores!$C$43</f>
        <v>1839.54</v>
      </c>
      <c r="U123" s="102">
        <f>Valores!$C$24</f>
        <v>2701.97</v>
      </c>
      <c r="V123" s="76">
        <f t="shared" si="23"/>
        <v>2701.97</v>
      </c>
      <c r="W123" s="76">
        <v>0</v>
      </c>
      <c r="X123" s="76">
        <v>0</v>
      </c>
      <c r="Y123" s="80">
        <v>0</v>
      </c>
      <c r="Z123" s="76">
        <f>Y123*Valores!$C$2</f>
        <v>0</v>
      </c>
      <c r="AA123" s="76">
        <v>0</v>
      </c>
      <c r="AB123" s="81">
        <f>Valores!$C$29</f>
        <v>160.21</v>
      </c>
      <c r="AC123" s="76">
        <f t="shared" si="19"/>
        <v>0</v>
      </c>
      <c r="AD123" s="76">
        <f>Valores!$C$30</f>
        <v>160.21</v>
      </c>
      <c r="AE123" s="80">
        <v>0</v>
      </c>
      <c r="AF123" s="76">
        <f>INT(((AE123*Valores!$C$2)*100)+0.5)/100</f>
        <v>0</v>
      </c>
      <c r="AG123" s="76">
        <f>Valores!$C$58</f>
        <v>325.89</v>
      </c>
      <c r="AH123" s="76">
        <f>Valores!$C$60</f>
        <v>93.11</v>
      </c>
      <c r="AI123" s="82">
        <f t="shared" si="20"/>
        <v>38052.167499999996</v>
      </c>
      <c r="AJ123" s="78">
        <f>Valores!$C$35</f>
        <v>599.19</v>
      </c>
      <c r="AK123" s="79">
        <f>Valores!$C$9</f>
        <v>0</v>
      </c>
      <c r="AL123" s="79">
        <f>Valores!$C$83</f>
        <v>2600</v>
      </c>
      <c r="AM123" s="81">
        <f>Valores!$C$50</f>
        <v>265.48</v>
      </c>
      <c r="AN123" s="83">
        <f t="shared" si="21"/>
        <v>3199.19</v>
      </c>
      <c r="AO123" s="84">
        <f>AI123*-Valores!$C$65</f>
        <v>-4946.7817749999995</v>
      </c>
      <c r="AP123" s="84">
        <f>AI123*-Valores!$C$66</f>
        <v>-190.26083749999998</v>
      </c>
      <c r="AQ123" s="78">
        <f>AI123*-Valores!$C$67</f>
        <v>-1712.3475374999998</v>
      </c>
      <c r="AR123" s="78">
        <f>AI123*-Valores!$C$68</f>
        <v>-1027.4085225</v>
      </c>
      <c r="AS123" s="78">
        <f>AI123*-Valores!$C$69</f>
        <v>-114.15650249999999</v>
      </c>
      <c r="AT123" s="82">
        <f t="shared" si="17"/>
        <v>34401.967350000006</v>
      </c>
      <c r="AU123" s="82">
        <f t="shared" si="18"/>
        <v>34972.7498625</v>
      </c>
      <c r="AV123" s="78">
        <f>AI123*Valores!$C$71</f>
        <v>6088.346799999999</v>
      </c>
      <c r="AW123" s="78">
        <f>AI123*Valores!$C$72</f>
        <v>1712.3475374999998</v>
      </c>
      <c r="AX123" s="78">
        <f>AI123*Valores!$C$73</f>
        <v>380.52167499999996</v>
      </c>
      <c r="AY123" s="78">
        <f>AI123*Valores!$C$75</f>
        <v>1331.8258625</v>
      </c>
      <c r="AZ123" s="78">
        <f>AI123*Valores!$C$76</f>
        <v>228.31300499999998</v>
      </c>
      <c r="BA123" s="78">
        <f t="shared" si="22"/>
        <v>2054.817045</v>
      </c>
      <c r="BB123" s="52"/>
      <c r="BC123" s="52"/>
      <c r="BD123" s="28" t="s">
        <v>4</v>
      </c>
    </row>
    <row r="124" spans="1:56" s="28" customFormat="1" ht="11.25" customHeight="1">
      <c r="A124" s="52">
        <v>123</v>
      </c>
      <c r="B124" s="52"/>
      <c r="C124" s="28" t="s">
        <v>386</v>
      </c>
      <c r="E124" s="28">
        <f t="shared" si="14"/>
        <v>21</v>
      </c>
      <c r="F124" s="72" t="s">
        <v>387</v>
      </c>
      <c r="G124" s="73">
        <v>1735</v>
      </c>
      <c r="H124" s="74">
        <f>INT((G124*Valores!$C$2*100)+0.5)/100</f>
        <v>11507.21</v>
      </c>
      <c r="I124" s="113">
        <v>0</v>
      </c>
      <c r="J124" s="76">
        <f>INT((I124*Valores!$C$2*100)+0.5)/100</f>
        <v>0</v>
      </c>
      <c r="K124" s="103">
        <v>0</v>
      </c>
      <c r="L124" s="76">
        <f>INT((K124*Valores!$C$2*100)+0.5)/100</f>
        <v>0</v>
      </c>
      <c r="M124" s="101">
        <v>0</v>
      </c>
      <c r="N124" s="76">
        <f>INT((M124*Valores!$C$2*100)+0.5)/100</f>
        <v>0</v>
      </c>
      <c r="O124" s="76">
        <f t="shared" si="15"/>
        <v>2292.336</v>
      </c>
      <c r="P124" s="76">
        <f t="shared" si="16"/>
        <v>0</v>
      </c>
      <c r="Q124" s="78">
        <f>Valores!$C$20</f>
        <v>4080.56</v>
      </c>
      <c r="R124" s="78">
        <f>Valores!$D$4</f>
        <v>2966.67</v>
      </c>
      <c r="S124" s="76">
        <v>0</v>
      </c>
      <c r="T124" s="79">
        <f>Valores!$C$41</f>
        <v>1073.06</v>
      </c>
      <c r="U124" s="102">
        <f>Valores!$C$24</f>
        <v>2701.97</v>
      </c>
      <c r="V124" s="76">
        <f t="shared" si="23"/>
        <v>2701.97</v>
      </c>
      <c r="W124" s="76">
        <v>0</v>
      </c>
      <c r="X124" s="76">
        <v>0</v>
      </c>
      <c r="Y124" s="80">
        <v>0</v>
      </c>
      <c r="Z124" s="76">
        <f>Y124*Valores!$C$2</f>
        <v>0</v>
      </c>
      <c r="AA124" s="76">
        <v>0</v>
      </c>
      <c r="AB124" s="81">
        <f>Valores!$C$29</f>
        <v>160.21</v>
      </c>
      <c r="AC124" s="76">
        <f t="shared" si="19"/>
        <v>0</v>
      </c>
      <c r="AD124" s="76">
        <f>Valores!$C$30</f>
        <v>160.21</v>
      </c>
      <c r="AE124" s="80">
        <v>0</v>
      </c>
      <c r="AF124" s="76">
        <f>INT(((AE124*Valores!$C$2)*100)+0.5)/100</f>
        <v>0</v>
      </c>
      <c r="AG124" s="76">
        <f>Valores!$C$58</f>
        <v>325.89</v>
      </c>
      <c r="AH124" s="76">
        <f>Valores!$C$60</f>
        <v>93.11</v>
      </c>
      <c r="AI124" s="82">
        <f t="shared" si="20"/>
        <v>25361.226</v>
      </c>
      <c r="AJ124" s="78">
        <f>Valores!$C$35</f>
        <v>599.19</v>
      </c>
      <c r="AK124" s="79">
        <f>Valores!$C$7</f>
        <v>0</v>
      </c>
      <c r="AL124" s="79">
        <f>Valores!$C$81</f>
        <v>1300</v>
      </c>
      <c r="AM124" s="81">
        <f>Valores!$C$51</f>
        <v>136.56</v>
      </c>
      <c r="AN124" s="83">
        <f t="shared" si="21"/>
        <v>1899.19</v>
      </c>
      <c r="AO124" s="84">
        <f>AI124*-Valores!$C$65</f>
        <v>-3296.95938</v>
      </c>
      <c r="AP124" s="84">
        <f>AI124*-Valores!$C$66</f>
        <v>-126.80613</v>
      </c>
      <c r="AQ124" s="78">
        <f>AI124*-Valores!$C$67</f>
        <v>-1141.25517</v>
      </c>
      <c r="AR124" s="78">
        <f>AI124*-Valores!$C$68</f>
        <v>-684.753102</v>
      </c>
      <c r="AS124" s="78">
        <f>AI124*-Valores!$C$69</f>
        <v>-76.08367799999999</v>
      </c>
      <c r="AT124" s="82">
        <f t="shared" si="17"/>
        <v>22695.395319999996</v>
      </c>
      <c r="AU124" s="82">
        <f t="shared" si="18"/>
        <v>23075.81371</v>
      </c>
      <c r="AV124" s="78">
        <f>AI124*Valores!$C$71</f>
        <v>4057.79616</v>
      </c>
      <c r="AW124" s="78">
        <f>AI124*Valores!$C$72</f>
        <v>1141.25517</v>
      </c>
      <c r="AX124" s="78">
        <f>AI124*Valores!$C$73</f>
        <v>253.61226</v>
      </c>
      <c r="AY124" s="78">
        <f>AI124*Valores!$C$75</f>
        <v>887.64291</v>
      </c>
      <c r="AZ124" s="78">
        <f>AI124*Valores!$C$76</f>
        <v>152.16735599999998</v>
      </c>
      <c r="BA124" s="78">
        <f t="shared" si="22"/>
        <v>1369.5062040000003</v>
      </c>
      <c r="BB124" s="52"/>
      <c r="BC124" s="86"/>
      <c r="BD124" s="28" t="s">
        <v>4</v>
      </c>
    </row>
    <row r="125" spans="1:56" s="28" customFormat="1" ht="11.25" customHeight="1">
      <c r="A125" s="52">
        <v>124</v>
      </c>
      <c r="B125" s="52"/>
      <c r="C125" s="28" t="s">
        <v>388</v>
      </c>
      <c r="E125" s="28">
        <f t="shared" si="14"/>
        <v>35</v>
      </c>
      <c r="F125" s="72" t="s">
        <v>389</v>
      </c>
      <c r="G125" s="73">
        <v>72</v>
      </c>
      <c r="H125" s="74">
        <f>INT((G125*Valores!$C$2*100)+0.5)/100</f>
        <v>477.53</v>
      </c>
      <c r="I125" s="113">
        <v>1590</v>
      </c>
      <c r="J125" s="76">
        <f>INT((I125*Valores!$C$2*100)+0.5)/100</f>
        <v>10545.52</v>
      </c>
      <c r="K125" s="103">
        <v>0</v>
      </c>
      <c r="L125" s="76">
        <f>INT((K125*Valores!$C$2*100)+0.5)/100</f>
        <v>0</v>
      </c>
      <c r="M125" s="101">
        <v>0</v>
      </c>
      <c r="N125" s="76">
        <f>INT((M125*Valores!$C$2*100)+0.5)/100</f>
        <v>0</v>
      </c>
      <c r="O125" s="76">
        <f t="shared" si="15"/>
        <v>2219.712</v>
      </c>
      <c r="P125" s="76">
        <f t="shared" si="16"/>
        <v>0</v>
      </c>
      <c r="Q125" s="78">
        <f>Valores!$C$20</f>
        <v>4080.56</v>
      </c>
      <c r="R125" s="78">
        <f>Valores!$D$4</f>
        <v>2966.67</v>
      </c>
      <c r="S125" s="79">
        <f>Valores!$C$26</f>
        <v>3094.03</v>
      </c>
      <c r="T125" s="79">
        <f>Valores!$C$41</f>
        <v>1073.06</v>
      </c>
      <c r="U125" s="102">
        <f>Valores!$C$24</f>
        <v>2701.97</v>
      </c>
      <c r="V125" s="76">
        <f t="shared" si="23"/>
        <v>2701.97</v>
      </c>
      <c r="W125" s="76">
        <v>0</v>
      </c>
      <c r="X125" s="76">
        <v>0</v>
      </c>
      <c r="Y125" s="80">
        <v>0</v>
      </c>
      <c r="Z125" s="76">
        <f>Y125*Valores!$C$2</f>
        <v>0</v>
      </c>
      <c r="AA125" s="76">
        <v>0</v>
      </c>
      <c r="AB125" s="81">
        <f>Valores!$C$29</f>
        <v>160.21</v>
      </c>
      <c r="AC125" s="76">
        <f t="shared" si="19"/>
        <v>0</v>
      </c>
      <c r="AD125" s="76">
        <f>Valores!$C$30</f>
        <v>160.21</v>
      </c>
      <c r="AE125" s="80">
        <v>0</v>
      </c>
      <c r="AF125" s="76">
        <f>INT(((AE125*Valores!$C$2)*100)+0.5)/100</f>
        <v>0</v>
      </c>
      <c r="AG125" s="76">
        <f>Valores!$C$58</f>
        <v>325.89</v>
      </c>
      <c r="AH125" s="76">
        <f>Valores!$C$60</f>
        <v>93.11</v>
      </c>
      <c r="AI125" s="82">
        <f t="shared" si="20"/>
        <v>27898.471999999998</v>
      </c>
      <c r="AJ125" s="78">
        <f>Valores!$C$35</f>
        <v>599.19</v>
      </c>
      <c r="AK125" s="79">
        <f>Valores!$C$7</f>
        <v>0</v>
      </c>
      <c r="AL125" s="79">
        <f>Valores!$C$81</f>
        <v>1300</v>
      </c>
      <c r="AM125" s="81">
        <f>Valores!$C$51</f>
        <v>136.56</v>
      </c>
      <c r="AN125" s="83">
        <f t="shared" si="21"/>
        <v>1899.19</v>
      </c>
      <c r="AO125" s="84">
        <f>AI125*-Valores!$C$65</f>
        <v>-3626.80136</v>
      </c>
      <c r="AP125" s="84">
        <f>AI125*-Valores!$C$66</f>
        <v>-139.49236</v>
      </c>
      <c r="AQ125" s="78">
        <f>AI125*-Valores!$C$67</f>
        <v>-1255.43124</v>
      </c>
      <c r="AR125" s="78">
        <f>AI125*-Valores!$C$68</f>
        <v>-753.258744</v>
      </c>
      <c r="AS125" s="78">
        <f>AI125*-Valores!$C$69</f>
        <v>-83.695416</v>
      </c>
      <c r="AT125" s="82">
        <f t="shared" si="17"/>
        <v>24775.937039999993</v>
      </c>
      <c r="AU125" s="82">
        <f t="shared" si="18"/>
        <v>25194.414119999998</v>
      </c>
      <c r="AV125" s="78">
        <f>AI125*Valores!$C$71</f>
        <v>4463.75552</v>
      </c>
      <c r="AW125" s="78">
        <f>AI125*Valores!$C$72</f>
        <v>1255.43124</v>
      </c>
      <c r="AX125" s="78">
        <f>AI125*Valores!$C$73</f>
        <v>278.98472</v>
      </c>
      <c r="AY125" s="78">
        <f>AI125*Valores!$C$75</f>
        <v>976.44652</v>
      </c>
      <c r="AZ125" s="78">
        <f>AI125*Valores!$C$76</f>
        <v>167.390832</v>
      </c>
      <c r="BA125" s="78">
        <f t="shared" si="22"/>
        <v>1506.517488</v>
      </c>
      <c r="BB125" s="52"/>
      <c r="BC125" s="52">
        <v>25</v>
      </c>
      <c r="BD125" s="28" t="s">
        <v>4</v>
      </c>
    </row>
    <row r="126" spans="1:56" s="28" customFormat="1" ht="11.25" customHeight="1">
      <c r="A126" s="86">
        <v>125</v>
      </c>
      <c r="B126" s="86" t="s">
        <v>163</v>
      </c>
      <c r="C126" s="87" t="s">
        <v>390</v>
      </c>
      <c r="D126" s="87"/>
      <c r="E126" s="87">
        <f t="shared" si="14"/>
        <v>32</v>
      </c>
      <c r="F126" s="88" t="s">
        <v>391</v>
      </c>
      <c r="G126" s="89">
        <v>72</v>
      </c>
      <c r="H126" s="90">
        <f>INT((G126*Valores!$C$2*100)+0.5)/100</f>
        <v>477.53</v>
      </c>
      <c r="I126" s="104">
        <v>1590</v>
      </c>
      <c r="J126" s="92">
        <f>INT((I126*Valores!$C$2*100)+0.5)/100</f>
        <v>10545.52</v>
      </c>
      <c r="K126" s="105">
        <v>0</v>
      </c>
      <c r="L126" s="92">
        <f>INT((K126*Valores!$C$2*100)+0.5)/100</f>
        <v>0</v>
      </c>
      <c r="M126" s="106">
        <v>0</v>
      </c>
      <c r="N126" s="92">
        <f>INT((M126*Valores!$C$2*100)+0.5)/100</f>
        <v>0</v>
      </c>
      <c r="O126" s="92">
        <f t="shared" si="15"/>
        <v>2219.712</v>
      </c>
      <c r="P126" s="92">
        <f t="shared" si="16"/>
        <v>0</v>
      </c>
      <c r="Q126" s="94">
        <f>Valores!$C$20</f>
        <v>4080.56</v>
      </c>
      <c r="R126" s="94">
        <f>Valores!$D$4</f>
        <v>2966.67</v>
      </c>
      <c r="S126" s="109">
        <f>Valores!$C$26</f>
        <v>3094.03</v>
      </c>
      <c r="T126" s="109">
        <f>Valores!$C$41</f>
        <v>1073.06</v>
      </c>
      <c r="U126" s="108">
        <f>Valores!$C$24</f>
        <v>2701.97</v>
      </c>
      <c r="V126" s="92">
        <f t="shared" si="23"/>
        <v>2701.97</v>
      </c>
      <c r="W126" s="92">
        <v>0</v>
      </c>
      <c r="X126" s="92">
        <v>0</v>
      </c>
      <c r="Y126" s="96">
        <v>0</v>
      </c>
      <c r="Z126" s="92">
        <f>Y126*Valores!$C$2</f>
        <v>0</v>
      </c>
      <c r="AA126" s="92">
        <v>0</v>
      </c>
      <c r="AB126" s="97">
        <f>Valores!$C$29</f>
        <v>160.21</v>
      </c>
      <c r="AC126" s="92">
        <f t="shared" si="19"/>
        <v>0</v>
      </c>
      <c r="AD126" s="92">
        <f>Valores!$C$30</f>
        <v>160.21</v>
      </c>
      <c r="AE126" s="96">
        <v>94</v>
      </c>
      <c r="AF126" s="92">
        <f>INT(((AE126*Valores!$C$2)*100)+0.5)/100</f>
        <v>623.45</v>
      </c>
      <c r="AG126" s="92">
        <f>Valores!$C$58</f>
        <v>325.89</v>
      </c>
      <c r="AH126" s="92">
        <f>Valores!$C$60</f>
        <v>93.11</v>
      </c>
      <c r="AI126" s="98">
        <f t="shared" si="20"/>
        <v>28521.922</v>
      </c>
      <c r="AJ126" s="94">
        <f>Valores!$C$35</f>
        <v>599.19</v>
      </c>
      <c r="AK126" s="95">
        <f>Valores!$C$7</f>
        <v>0</v>
      </c>
      <c r="AL126" s="95">
        <f>Valores!$C$81</f>
        <v>1300</v>
      </c>
      <c r="AM126" s="97">
        <f>Valores!$C$51</f>
        <v>136.56</v>
      </c>
      <c r="AN126" s="99">
        <f t="shared" si="21"/>
        <v>1899.19</v>
      </c>
      <c r="AO126" s="100">
        <f>AI126*-Valores!$C$65</f>
        <v>-3707.84986</v>
      </c>
      <c r="AP126" s="100">
        <f>AI126*-Valores!$C$66</f>
        <v>-142.60961</v>
      </c>
      <c r="AQ126" s="94">
        <f>AI126*-Valores!$C$67</f>
        <v>-1283.48649</v>
      </c>
      <c r="AR126" s="94">
        <f>AI126*-Valores!$C$68</f>
        <v>-770.0918939999999</v>
      </c>
      <c r="AS126" s="94">
        <f>AI126*-Valores!$C$69</f>
        <v>-85.565766</v>
      </c>
      <c r="AT126" s="98">
        <f t="shared" si="17"/>
        <v>25287.16604</v>
      </c>
      <c r="AU126" s="98">
        <f t="shared" si="18"/>
        <v>25714.99487</v>
      </c>
      <c r="AV126" s="94">
        <f>AI126*Valores!$C$71</f>
        <v>4563.50752</v>
      </c>
      <c r="AW126" s="94">
        <f>AI126*Valores!$C$72</f>
        <v>1283.48649</v>
      </c>
      <c r="AX126" s="94">
        <f>AI126*Valores!$C$73</f>
        <v>285.21922</v>
      </c>
      <c r="AY126" s="94">
        <f>AI126*Valores!$C$75</f>
        <v>998.26727</v>
      </c>
      <c r="AZ126" s="94">
        <f>AI126*Valores!$C$76</f>
        <v>171.131532</v>
      </c>
      <c r="BA126" s="94">
        <f t="shared" si="22"/>
        <v>1540.183788</v>
      </c>
      <c r="BB126" s="86"/>
      <c r="BC126" s="86">
        <v>20</v>
      </c>
      <c r="BD126" s="87" t="s">
        <v>4</v>
      </c>
    </row>
    <row r="127" spans="1:56" s="28" customFormat="1" ht="11.25" customHeight="1">
      <c r="A127" s="52">
        <v>126</v>
      </c>
      <c r="B127" s="52"/>
      <c r="C127" s="28" t="s">
        <v>392</v>
      </c>
      <c r="E127" s="28">
        <f t="shared" si="14"/>
        <v>36</v>
      </c>
      <c r="F127" s="72" t="s">
        <v>393</v>
      </c>
      <c r="G127" s="73">
        <v>77</v>
      </c>
      <c r="H127" s="74">
        <f>INT((G127*Valores!$C$2*100)+0.5)/100</f>
        <v>510.69</v>
      </c>
      <c r="I127" s="113">
        <v>2043</v>
      </c>
      <c r="J127" s="76">
        <f>INT((I127*Valores!$C$2*100)+0.5)/100</f>
        <v>13549.99</v>
      </c>
      <c r="K127" s="103">
        <v>0</v>
      </c>
      <c r="L127" s="76">
        <f>INT((K127*Valores!$C$2*100)+0.5)/100</f>
        <v>0</v>
      </c>
      <c r="M127" s="101">
        <v>0</v>
      </c>
      <c r="N127" s="76">
        <f>INT((M127*Valores!$C$2*100)+0.5)/100</f>
        <v>0</v>
      </c>
      <c r="O127" s="76">
        <f t="shared" si="15"/>
        <v>2703.9449999999997</v>
      </c>
      <c r="P127" s="76">
        <f t="shared" si="16"/>
        <v>0</v>
      </c>
      <c r="Q127" s="110">
        <f>Valores!$C$16</f>
        <v>4291.62</v>
      </c>
      <c r="R127" s="78">
        <f>Valores!$D$4</f>
        <v>2966.67</v>
      </c>
      <c r="S127" s="79">
        <f>Valores!$C$26</f>
        <v>3094.03</v>
      </c>
      <c r="T127" s="79">
        <f>Valores!$C$42</f>
        <v>1226.37</v>
      </c>
      <c r="U127" s="76">
        <f>Valores!$C$23</f>
        <v>2739.25</v>
      </c>
      <c r="V127" s="76">
        <f t="shared" si="23"/>
        <v>2739.25</v>
      </c>
      <c r="W127" s="76">
        <v>0</v>
      </c>
      <c r="X127" s="76">
        <v>0</v>
      </c>
      <c r="Y127" s="80">
        <v>0</v>
      </c>
      <c r="Z127" s="76">
        <f>Y127*Valores!$C$2</f>
        <v>0</v>
      </c>
      <c r="AA127" s="76">
        <v>0</v>
      </c>
      <c r="AB127" s="81">
        <f>Valores!$C$29</f>
        <v>160.21</v>
      </c>
      <c r="AC127" s="76">
        <f t="shared" si="19"/>
        <v>0</v>
      </c>
      <c r="AD127" s="76">
        <f>Valores!$C$30</f>
        <v>160.21</v>
      </c>
      <c r="AE127" s="80">
        <v>0</v>
      </c>
      <c r="AF127" s="76">
        <f>INT(((AE127*Valores!$C$2)*100)+0.5)/100</f>
        <v>0</v>
      </c>
      <c r="AG127" s="76">
        <f>Valores!$C$58</f>
        <v>325.89</v>
      </c>
      <c r="AH127" s="76">
        <f>Valores!$C$60</f>
        <v>93.11</v>
      </c>
      <c r="AI127" s="82">
        <f t="shared" si="20"/>
        <v>31821.984999999997</v>
      </c>
      <c r="AJ127" s="78">
        <f>Valores!$C$35</f>
        <v>599.19</v>
      </c>
      <c r="AK127" s="79">
        <f>Valores!$C$8</f>
        <v>0</v>
      </c>
      <c r="AL127" s="79">
        <f>Valores!$C$81</f>
        <v>1300</v>
      </c>
      <c r="AM127" s="81">
        <f>Valores!$C$51</f>
        <v>136.56</v>
      </c>
      <c r="AN127" s="83">
        <f t="shared" si="21"/>
        <v>1899.19</v>
      </c>
      <c r="AO127" s="84">
        <f>AI127*-Valores!$C$65</f>
        <v>-4136.85805</v>
      </c>
      <c r="AP127" s="84">
        <f>AI127*-Valores!$C$66</f>
        <v>-159.10992499999998</v>
      </c>
      <c r="AQ127" s="78">
        <f>AI127*-Valores!$C$67</f>
        <v>-1431.9893249999998</v>
      </c>
      <c r="AR127" s="78">
        <f>AI127*-Valores!$C$68</f>
        <v>-859.193595</v>
      </c>
      <c r="AS127" s="78">
        <f>AI127*-Valores!$C$69</f>
        <v>-95.465955</v>
      </c>
      <c r="AT127" s="82">
        <f t="shared" si="17"/>
        <v>27993.2177</v>
      </c>
      <c r="AU127" s="82">
        <f t="shared" si="18"/>
        <v>28470.547475</v>
      </c>
      <c r="AV127" s="78">
        <f>AI127*Valores!$C$71</f>
        <v>5091.517599999999</v>
      </c>
      <c r="AW127" s="78">
        <f>AI127*Valores!$C$72</f>
        <v>1431.9893249999998</v>
      </c>
      <c r="AX127" s="78">
        <f>AI127*Valores!$C$73</f>
        <v>318.21984999999995</v>
      </c>
      <c r="AY127" s="78">
        <f>AI127*Valores!$C$75</f>
        <v>1113.769475</v>
      </c>
      <c r="AZ127" s="78">
        <f>AI127*Valores!$C$76</f>
        <v>190.93191</v>
      </c>
      <c r="BA127" s="78">
        <f t="shared" si="22"/>
        <v>1718.38719</v>
      </c>
      <c r="BB127" s="52"/>
      <c r="BC127" s="52"/>
      <c r="BD127" s="28" t="s">
        <v>4</v>
      </c>
    </row>
    <row r="128" spans="1:56" s="28" customFormat="1" ht="11.25" customHeight="1">
      <c r="A128" s="52">
        <v>127</v>
      </c>
      <c r="B128" s="52"/>
      <c r="C128" s="28" t="s">
        <v>394</v>
      </c>
      <c r="E128" s="28">
        <f t="shared" si="14"/>
        <v>35</v>
      </c>
      <c r="F128" s="72" t="s">
        <v>395</v>
      </c>
      <c r="G128" s="73">
        <v>61</v>
      </c>
      <c r="H128" s="74">
        <f>INT((G128*Valores!$C$2*100)+0.5)/100</f>
        <v>404.58</v>
      </c>
      <c r="I128" s="113">
        <v>1217</v>
      </c>
      <c r="J128" s="76">
        <f>INT((I128*Valores!$C$2*100)+0.5)/100</f>
        <v>8071.63</v>
      </c>
      <c r="K128" s="103">
        <v>0</v>
      </c>
      <c r="L128" s="76">
        <f>INT((K128*Valores!$C$2*100)+0.5)/100</f>
        <v>0</v>
      </c>
      <c r="M128" s="101">
        <v>0</v>
      </c>
      <c r="N128" s="76">
        <f>INT((M128*Valores!$C$2*100)+0.5)/100</f>
        <v>0</v>
      </c>
      <c r="O128" s="76">
        <f t="shared" si="15"/>
        <v>1843.278</v>
      </c>
      <c r="P128" s="76">
        <f t="shared" si="16"/>
        <v>0</v>
      </c>
      <c r="Q128" s="78">
        <f>Valores!$C$20</f>
        <v>4080.56</v>
      </c>
      <c r="R128" s="78">
        <f>Valores!$D$4</f>
        <v>2966.67</v>
      </c>
      <c r="S128" s="79">
        <f>Valores!$C$26</f>
        <v>3094.03</v>
      </c>
      <c r="T128" s="79">
        <f>Valores!$C$41</f>
        <v>1073.06</v>
      </c>
      <c r="U128" s="102">
        <f>Valores!$C$23</f>
        <v>2739.25</v>
      </c>
      <c r="V128" s="76">
        <f t="shared" si="23"/>
        <v>2739.25</v>
      </c>
      <c r="W128" s="76">
        <v>0</v>
      </c>
      <c r="X128" s="76">
        <v>0</v>
      </c>
      <c r="Y128" s="80">
        <v>0</v>
      </c>
      <c r="Z128" s="76">
        <f>Y128*Valores!$C$2</f>
        <v>0</v>
      </c>
      <c r="AA128" s="76">
        <v>0</v>
      </c>
      <c r="AB128" s="81">
        <f>Valores!$C$29</f>
        <v>160.21</v>
      </c>
      <c r="AC128" s="76">
        <f t="shared" si="19"/>
        <v>0</v>
      </c>
      <c r="AD128" s="76">
        <f>Valores!$C$30</f>
        <v>160.21</v>
      </c>
      <c r="AE128" s="80">
        <v>0</v>
      </c>
      <c r="AF128" s="76">
        <f>INT(((AE128*Valores!$C$2)*100)+0.5)/100</f>
        <v>0</v>
      </c>
      <c r="AG128" s="76">
        <f>Valores!$C$58</f>
        <v>325.89</v>
      </c>
      <c r="AH128" s="76">
        <f>Valores!$C$60</f>
        <v>93.11</v>
      </c>
      <c r="AI128" s="82">
        <f t="shared" si="20"/>
        <v>25012.478</v>
      </c>
      <c r="AJ128" s="78">
        <f>Valores!$C$35</f>
        <v>599.19</v>
      </c>
      <c r="AK128" s="79">
        <f>Valores!$C$7</f>
        <v>0</v>
      </c>
      <c r="AL128" s="79">
        <f>Valores!$C$81</f>
        <v>1300</v>
      </c>
      <c r="AM128" s="81">
        <f>Valores!$C$51</f>
        <v>136.56</v>
      </c>
      <c r="AN128" s="83">
        <f t="shared" si="21"/>
        <v>1899.19</v>
      </c>
      <c r="AO128" s="84">
        <f>AI128*-Valores!$C$65</f>
        <v>-3251.62214</v>
      </c>
      <c r="AP128" s="84">
        <f>AI128*-Valores!$C$66</f>
        <v>-125.06239</v>
      </c>
      <c r="AQ128" s="78">
        <f>AI128*-Valores!$C$67</f>
        <v>-1125.56151</v>
      </c>
      <c r="AR128" s="78">
        <f>AI128*-Valores!$C$68</f>
        <v>-675.336906</v>
      </c>
      <c r="AS128" s="78">
        <f>AI128*-Valores!$C$69</f>
        <v>-75.037434</v>
      </c>
      <c r="AT128" s="82">
        <f t="shared" si="17"/>
        <v>22409.42196</v>
      </c>
      <c r="AU128" s="82">
        <f t="shared" si="18"/>
        <v>22784.609129999997</v>
      </c>
      <c r="AV128" s="78">
        <f>AI128*Valores!$C$71</f>
        <v>4001.99648</v>
      </c>
      <c r="AW128" s="78">
        <f>AI128*Valores!$C$72</f>
        <v>1125.56151</v>
      </c>
      <c r="AX128" s="78">
        <f>AI128*Valores!$C$73</f>
        <v>250.12478</v>
      </c>
      <c r="AY128" s="78">
        <f>AI128*Valores!$C$75</f>
        <v>875.43673</v>
      </c>
      <c r="AZ128" s="78">
        <f>AI128*Valores!$C$76</f>
        <v>150.074868</v>
      </c>
      <c r="BA128" s="78">
        <f t="shared" si="22"/>
        <v>1350.673812</v>
      </c>
      <c r="BB128" s="52"/>
      <c r="BC128" s="52">
        <v>25</v>
      </c>
      <c r="BD128" s="28" t="s">
        <v>4</v>
      </c>
    </row>
    <row r="129" spans="1:56" s="28" customFormat="1" ht="11.25" customHeight="1">
      <c r="A129" s="52">
        <v>128</v>
      </c>
      <c r="B129" s="52"/>
      <c r="C129" s="28" t="s">
        <v>396</v>
      </c>
      <c r="E129" s="28">
        <f t="shared" si="14"/>
        <v>32</v>
      </c>
      <c r="F129" s="72" t="s">
        <v>397</v>
      </c>
      <c r="G129" s="73">
        <v>72</v>
      </c>
      <c r="H129" s="74">
        <f>INT((G129*Valores!$C$2*100)+0.5)/100</f>
        <v>477.53</v>
      </c>
      <c r="I129" s="113">
        <v>1206</v>
      </c>
      <c r="J129" s="76">
        <f>INT((I129*Valores!$C$2*100)+0.5)/100</f>
        <v>7998.67</v>
      </c>
      <c r="K129" s="103">
        <v>0</v>
      </c>
      <c r="L129" s="76">
        <f>INT((K129*Valores!$C$2*100)+0.5)/100</f>
        <v>0</v>
      </c>
      <c r="M129" s="101">
        <v>0</v>
      </c>
      <c r="N129" s="76">
        <f>INT((M129*Valores!$C$2*100)+0.5)/100</f>
        <v>0</v>
      </c>
      <c r="O129" s="76">
        <f t="shared" si="15"/>
        <v>1843.2765</v>
      </c>
      <c r="P129" s="76">
        <f t="shared" si="16"/>
        <v>0</v>
      </c>
      <c r="Q129" s="78">
        <f>Valores!$C$20</f>
        <v>4080.56</v>
      </c>
      <c r="R129" s="78">
        <f>Valores!$D$4</f>
        <v>2966.67</v>
      </c>
      <c r="S129" s="107">
        <f>Valores!$C$26</f>
        <v>3094.03</v>
      </c>
      <c r="T129" s="107">
        <f>Valores!$C$41</f>
        <v>1073.06</v>
      </c>
      <c r="U129" s="76">
        <f>Valores!$C$23</f>
        <v>2739.25</v>
      </c>
      <c r="V129" s="76">
        <f t="shared" si="23"/>
        <v>2739.25</v>
      </c>
      <c r="W129" s="76">
        <v>0</v>
      </c>
      <c r="X129" s="76">
        <v>0</v>
      </c>
      <c r="Y129" s="80">
        <v>0</v>
      </c>
      <c r="Z129" s="76">
        <f>Y129*Valores!$C$2</f>
        <v>0</v>
      </c>
      <c r="AA129" s="76">
        <v>0</v>
      </c>
      <c r="AB129" s="81">
        <f>Valores!$C$29</f>
        <v>160.21</v>
      </c>
      <c r="AC129" s="76">
        <f t="shared" si="19"/>
        <v>0</v>
      </c>
      <c r="AD129" s="76">
        <f>Valores!$C$30</f>
        <v>160.21</v>
      </c>
      <c r="AE129" s="80">
        <v>94</v>
      </c>
      <c r="AF129" s="76">
        <f>INT(((AE129*Valores!$C$2)*100)+0.5)/100</f>
        <v>623.45</v>
      </c>
      <c r="AG129" s="76">
        <f>Valores!$C$58</f>
        <v>325.89</v>
      </c>
      <c r="AH129" s="76">
        <f>Valores!$C$60</f>
        <v>93.11</v>
      </c>
      <c r="AI129" s="82">
        <f t="shared" si="20"/>
        <v>25635.9165</v>
      </c>
      <c r="AJ129" s="78">
        <f>Valores!$C$35</f>
        <v>599.19</v>
      </c>
      <c r="AK129" s="79">
        <f>Valores!$C$7</f>
        <v>0</v>
      </c>
      <c r="AL129" s="79">
        <f>Valores!$C$81</f>
        <v>1300</v>
      </c>
      <c r="AM129" s="81">
        <f>Valores!$C$51</f>
        <v>136.56</v>
      </c>
      <c r="AN129" s="83">
        <f t="shared" si="21"/>
        <v>1899.19</v>
      </c>
      <c r="AO129" s="84">
        <f>AI129*-Valores!$C$65</f>
        <v>-3332.669145</v>
      </c>
      <c r="AP129" s="84">
        <f>AI129*-Valores!$C$66</f>
        <v>-128.1795825</v>
      </c>
      <c r="AQ129" s="78">
        <f>AI129*-Valores!$C$67</f>
        <v>-1153.6162425</v>
      </c>
      <c r="AR129" s="78">
        <f>AI129*-Valores!$C$68</f>
        <v>-692.1697455</v>
      </c>
      <c r="AS129" s="78">
        <f>AI129*-Valores!$C$69</f>
        <v>-76.9077495</v>
      </c>
      <c r="AT129" s="82">
        <f t="shared" si="17"/>
        <v>22920.641529999997</v>
      </c>
      <c r="AU129" s="82">
        <f t="shared" si="18"/>
        <v>23305.1802775</v>
      </c>
      <c r="AV129" s="78">
        <f>AI129*Valores!$C$71</f>
        <v>4101.74664</v>
      </c>
      <c r="AW129" s="78">
        <f>AI129*Valores!$C$72</f>
        <v>1153.6162425</v>
      </c>
      <c r="AX129" s="78">
        <f>AI129*Valores!$C$73</f>
        <v>256.359165</v>
      </c>
      <c r="AY129" s="78">
        <f>AI129*Valores!$C$75</f>
        <v>897.2570775</v>
      </c>
      <c r="AZ129" s="78">
        <f>AI129*Valores!$C$76</f>
        <v>153.815499</v>
      </c>
      <c r="BA129" s="78">
        <f t="shared" si="22"/>
        <v>1384.339491</v>
      </c>
      <c r="BB129" s="52"/>
      <c r="BC129" s="86">
        <v>20</v>
      </c>
      <c r="BD129" s="28" t="s">
        <v>4</v>
      </c>
    </row>
    <row r="130" spans="1:56" s="28" customFormat="1" ht="11.25" customHeight="1">
      <c r="A130" s="52">
        <v>129</v>
      </c>
      <c r="B130" s="52"/>
      <c r="C130" s="28" t="s">
        <v>398</v>
      </c>
      <c r="E130" s="28">
        <f t="shared" si="14"/>
        <v>33</v>
      </c>
      <c r="F130" s="72" t="s">
        <v>399</v>
      </c>
      <c r="G130" s="73">
        <v>61</v>
      </c>
      <c r="H130" s="74">
        <f>INT((G130*Valores!$C$2*100)+0.5)/100</f>
        <v>404.58</v>
      </c>
      <c r="I130" s="113">
        <v>1217</v>
      </c>
      <c r="J130" s="76">
        <f>INT((I130*Valores!$C$2*100)+0.5)/100</f>
        <v>8071.63</v>
      </c>
      <c r="K130" s="103">
        <v>0</v>
      </c>
      <c r="L130" s="76">
        <f>INT((K130*Valores!$C$2*100)+0.5)/100</f>
        <v>0</v>
      </c>
      <c r="M130" s="101">
        <v>0</v>
      </c>
      <c r="N130" s="76">
        <f>INT((M130*Valores!$C$2*100)+0.5)/100</f>
        <v>0</v>
      </c>
      <c r="O130" s="76">
        <f t="shared" si="15"/>
        <v>1837.686</v>
      </c>
      <c r="P130" s="76">
        <f t="shared" si="16"/>
        <v>0</v>
      </c>
      <c r="Q130" s="78">
        <f>Valores!$C$20</f>
        <v>4080.56</v>
      </c>
      <c r="R130" s="78">
        <f>Valores!$D$4</f>
        <v>2966.67</v>
      </c>
      <c r="S130" s="76">
        <v>0</v>
      </c>
      <c r="T130" s="79">
        <f>Valores!$C$41</f>
        <v>1073.06</v>
      </c>
      <c r="U130" s="102">
        <f>Valores!$C$24</f>
        <v>2701.97</v>
      </c>
      <c r="V130" s="76">
        <f t="shared" si="23"/>
        <v>2701.97</v>
      </c>
      <c r="W130" s="76">
        <v>0</v>
      </c>
      <c r="X130" s="76">
        <v>0</v>
      </c>
      <c r="Y130" s="80">
        <v>0</v>
      </c>
      <c r="Z130" s="76">
        <f>Y130*Valores!$C$2</f>
        <v>0</v>
      </c>
      <c r="AA130" s="76">
        <v>0</v>
      </c>
      <c r="AB130" s="81">
        <f>Valores!$C$29</f>
        <v>160.21</v>
      </c>
      <c r="AC130" s="76">
        <f t="shared" si="19"/>
        <v>0</v>
      </c>
      <c r="AD130" s="76">
        <f>Valores!$C$30</f>
        <v>160.21</v>
      </c>
      <c r="AE130" s="80">
        <v>0</v>
      </c>
      <c r="AF130" s="76">
        <f>INT(((AE130*Valores!$C$2)*100)+0.5)/100</f>
        <v>0</v>
      </c>
      <c r="AG130" s="76">
        <f>Valores!$C$58</f>
        <v>325.89</v>
      </c>
      <c r="AH130" s="76">
        <f>Valores!$C$60</f>
        <v>93.11</v>
      </c>
      <c r="AI130" s="82">
        <f t="shared" si="20"/>
        <v>21875.576</v>
      </c>
      <c r="AJ130" s="78">
        <f>Valores!$C$35</f>
        <v>599.19</v>
      </c>
      <c r="AK130" s="79">
        <f>Valores!$C$7</f>
        <v>0</v>
      </c>
      <c r="AL130" s="79">
        <f>Valores!$C$81</f>
        <v>1300</v>
      </c>
      <c r="AM130" s="81">
        <f>Valores!$C$51</f>
        <v>136.56</v>
      </c>
      <c r="AN130" s="83">
        <f t="shared" si="21"/>
        <v>1899.19</v>
      </c>
      <c r="AO130" s="84">
        <f>AI130*-Valores!$C$65</f>
        <v>-2843.82488</v>
      </c>
      <c r="AP130" s="84">
        <f>AI130*-Valores!$C$66</f>
        <v>-109.37788</v>
      </c>
      <c r="AQ130" s="78">
        <f>AI130*-Valores!$C$67</f>
        <v>-984.40092</v>
      </c>
      <c r="AR130" s="78">
        <f>AI130*-Valores!$C$68</f>
        <v>-590.6405520000001</v>
      </c>
      <c r="AS130" s="78">
        <f>AI130*-Valores!$C$69</f>
        <v>-65.626728</v>
      </c>
      <c r="AT130" s="82">
        <f t="shared" si="17"/>
        <v>19837.16232</v>
      </c>
      <c r="AU130" s="82">
        <f t="shared" si="18"/>
        <v>20165.29596</v>
      </c>
      <c r="AV130" s="78">
        <f>AI130*Valores!$C$71</f>
        <v>3500.09216</v>
      </c>
      <c r="AW130" s="78">
        <f>AI130*Valores!$C$72</f>
        <v>984.40092</v>
      </c>
      <c r="AX130" s="78">
        <f>AI130*Valores!$C$73</f>
        <v>218.75576</v>
      </c>
      <c r="AY130" s="78">
        <f>AI130*Valores!$C$75</f>
        <v>765.6451600000001</v>
      </c>
      <c r="AZ130" s="78">
        <f>AI130*Valores!$C$76</f>
        <v>131.253456</v>
      </c>
      <c r="BA130" s="78">
        <f t="shared" si="22"/>
        <v>1181.2811040000001</v>
      </c>
      <c r="BB130" s="52"/>
      <c r="BC130" s="52"/>
      <c r="BD130" s="28" t="s">
        <v>8</v>
      </c>
    </row>
    <row r="131" spans="1:56" s="28" customFormat="1" ht="11.25" customHeight="1">
      <c r="A131" s="86">
        <v>130</v>
      </c>
      <c r="B131" s="86" t="s">
        <v>163</v>
      </c>
      <c r="C131" s="87" t="s">
        <v>400</v>
      </c>
      <c r="D131" s="87"/>
      <c r="E131" s="87">
        <f t="shared" si="14"/>
        <v>24</v>
      </c>
      <c r="F131" s="88" t="s">
        <v>401</v>
      </c>
      <c r="G131" s="89">
        <v>1278</v>
      </c>
      <c r="H131" s="90">
        <f>INT((G131*Valores!$C$2*100)+0.5)/100</f>
        <v>8476.21</v>
      </c>
      <c r="I131" s="104">
        <v>0</v>
      </c>
      <c r="J131" s="92">
        <f>INT((I131*Valores!$C$2*100)+0.5)/100</f>
        <v>0</v>
      </c>
      <c r="K131" s="105">
        <v>0</v>
      </c>
      <c r="L131" s="92">
        <f>INT((K131*Valores!$C$2*100)+0.5)/100</f>
        <v>0</v>
      </c>
      <c r="M131" s="106">
        <v>0</v>
      </c>
      <c r="N131" s="92">
        <f>INT((M131*Valores!$C$2*100)+0.5)/100</f>
        <v>0</v>
      </c>
      <c r="O131" s="92">
        <f t="shared" si="15"/>
        <v>1860.6825</v>
      </c>
      <c r="P131" s="92">
        <f t="shared" si="16"/>
        <v>0</v>
      </c>
      <c r="Q131" s="94">
        <f>Valores!$C$20</f>
        <v>4080.56</v>
      </c>
      <c r="R131" s="94">
        <f>Valores!$D$4</f>
        <v>2966.67</v>
      </c>
      <c r="S131" s="108">
        <f>Valores!$C$26</f>
        <v>3094.03</v>
      </c>
      <c r="T131" s="109">
        <f>Valores!$C$42</f>
        <v>1226.37</v>
      </c>
      <c r="U131" s="108">
        <f>Valores!$C$24</f>
        <v>2701.97</v>
      </c>
      <c r="V131" s="92">
        <f t="shared" si="23"/>
        <v>2701.97</v>
      </c>
      <c r="W131" s="92">
        <v>0</v>
      </c>
      <c r="X131" s="92">
        <v>0</v>
      </c>
      <c r="Y131" s="96">
        <v>0</v>
      </c>
      <c r="Z131" s="92">
        <f>Y131*Valores!$C$2</f>
        <v>0</v>
      </c>
      <c r="AA131" s="92">
        <v>0</v>
      </c>
      <c r="AB131" s="97">
        <f>Valores!$C$29</f>
        <v>160.21</v>
      </c>
      <c r="AC131" s="92">
        <f t="shared" si="19"/>
        <v>0</v>
      </c>
      <c r="AD131" s="92">
        <f>Valores!$C$30</f>
        <v>160.21</v>
      </c>
      <c r="AE131" s="96">
        <v>0</v>
      </c>
      <c r="AF131" s="92">
        <f>INT(((AE131*Valores!$C$2)*100)+0.5)/100</f>
        <v>0</v>
      </c>
      <c r="AG131" s="92">
        <f>Valores!$C$58</f>
        <v>325.89</v>
      </c>
      <c r="AH131" s="92">
        <f>Valores!$C$60</f>
        <v>93.11</v>
      </c>
      <c r="AI131" s="98">
        <f t="shared" si="20"/>
        <v>25145.912499999995</v>
      </c>
      <c r="AJ131" s="94">
        <f>Valores!$C$35</f>
        <v>599.19</v>
      </c>
      <c r="AK131" s="95">
        <f>Valores!$C$8</f>
        <v>0</v>
      </c>
      <c r="AL131" s="95">
        <f>Valores!$C$81</f>
        <v>1300</v>
      </c>
      <c r="AM131" s="97">
        <f>Valores!$C$51</f>
        <v>136.56</v>
      </c>
      <c r="AN131" s="99">
        <f t="shared" si="21"/>
        <v>1899.19</v>
      </c>
      <c r="AO131" s="100">
        <f>AI131*-Valores!$C$65</f>
        <v>-3268.9686249999995</v>
      </c>
      <c r="AP131" s="100">
        <f>AI131*-Valores!$C$66</f>
        <v>-125.72956249999997</v>
      </c>
      <c r="AQ131" s="94">
        <f>AI131*-Valores!$C$67</f>
        <v>-1131.5660624999998</v>
      </c>
      <c r="AR131" s="94">
        <f>AI131*-Valores!$C$68</f>
        <v>-678.9396374999999</v>
      </c>
      <c r="AS131" s="94">
        <f>AI131*-Valores!$C$69</f>
        <v>-75.43773749999998</v>
      </c>
      <c r="AT131" s="98">
        <f t="shared" si="17"/>
        <v>22518.838249999993</v>
      </c>
      <c r="AU131" s="98">
        <f t="shared" si="18"/>
        <v>22896.026937499995</v>
      </c>
      <c r="AV131" s="94">
        <f>AI131*Valores!$C$71</f>
        <v>4023.345999999999</v>
      </c>
      <c r="AW131" s="94">
        <f>AI131*Valores!$C$72</f>
        <v>1131.5660624999998</v>
      </c>
      <c r="AX131" s="94">
        <f>AI131*Valores!$C$73</f>
        <v>251.45912499999994</v>
      </c>
      <c r="AY131" s="94">
        <f>AI131*Valores!$C$75</f>
        <v>880.1069375</v>
      </c>
      <c r="AZ131" s="94">
        <f>AI131*Valores!$C$76</f>
        <v>150.87547499999997</v>
      </c>
      <c r="BA131" s="94">
        <f t="shared" si="22"/>
        <v>1357.879275</v>
      </c>
      <c r="BB131" s="86"/>
      <c r="BC131" s="86">
        <v>22</v>
      </c>
      <c r="BD131" s="87" t="s">
        <v>4</v>
      </c>
    </row>
    <row r="132" spans="1:56" s="28" customFormat="1" ht="11.25" customHeight="1">
      <c r="A132" s="52">
        <v>131</v>
      </c>
      <c r="B132" s="52"/>
      <c r="C132" s="28" t="s">
        <v>402</v>
      </c>
      <c r="E132" s="28">
        <f t="shared" si="14"/>
        <v>30</v>
      </c>
      <c r="F132" s="72" t="s">
        <v>403</v>
      </c>
      <c r="G132" s="73">
        <v>1278</v>
      </c>
      <c r="H132" s="74">
        <f>INT((G132*Valores!$C$2*100)+0.5)/100</f>
        <v>8476.21</v>
      </c>
      <c r="I132" s="113">
        <v>0</v>
      </c>
      <c r="J132" s="76">
        <f>INT((I132*Valores!$C$2*100)+0.5)/100</f>
        <v>0</v>
      </c>
      <c r="K132" s="103">
        <v>0</v>
      </c>
      <c r="L132" s="76">
        <f>INT((K132*Valores!$C$2*100)+0.5)/100</f>
        <v>0</v>
      </c>
      <c r="M132" s="101">
        <v>0</v>
      </c>
      <c r="N132" s="76">
        <f>INT((M132*Valores!$C$2*100)+0.5)/100</f>
        <v>0</v>
      </c>
      <c r="O132" s="76">
        <f t="shared" si="15"/>
        <v>1866.2744999999995</v>
      </c>
      <c r="P132" s="76">
        <f t="shared" si="16"/>
        <v>0</v>
      </c>
      <c r="Q132" s="78">
        <f>Valores!$C$20</f>
        <v>4080.56</v>
      </c>
      <c r="R132" s="78">
        <f>Valores!$D$4</f>
        <v>2966.67</v>
      </c>
      <c r="S132" s="76">
        <f>Valores!$C$26</f>
        <v>3094.03</v>
      </c>
      <c r="T132" s="79">
        <f>Valores!$C$42</f>
        <v>1226.37</v>
      </c>
      <c r="U132" s="76">
        <f>Valores!$C$23</f>
        <v>2739.25</v>
      </c>
      <c r="V132" s="76">
        <f t="shared" si="23"/>
        <v>2739.25</v>
      </c>
      <c r="W132" s="76">
        <v>0</v>
      </c>
      <c r="X132" s="76">
        <v>0</v>
      </c>
      <c r="Y132" s="80">
        <v>0</v>
      </c>
      <c r="Z132" s="76">
        <f>Y132*Valores!$C$2</f>
        <v>0</v>
      </c>
      <c r="AA132" s="76">
        <v>0</v>
      </c>
      <c r="AB132" s="81">
        <f>Valores!$C$29</f>
        <v>160.21</v>
      </c>
      <c r="AC132" s="76">
        <f t="shared" si="19"/>
        <v>0</v>
      </c>
      <c r="AD132" s="76">
        <f>Valores!$C$30</f>
        <v>160.21</v>
      </c>
      <c r="AE132" s="80">
        <v>94</v>
      </c>
      <c r="AF132" s="76">
        <f>INT(((AE132*Valores!$C$2)*100)+0.5)/100</f>
        <v>623.45</v>
      </c>
      <c r="AG132" s="76">
        <f>Valores!$C$58</f>
        <v>325.89</v>
      </c>
      <c r="AH132" s="76">
        <f>Valores!$C$60</f>
        <v>93.11</v>
      </c>
      <c r="AI132" s="82">
        <f t="shared" si="20"/>
        <v>25812.234499999995</v>
      </c>
      <c r="AJ132" s="78">
        <f>Valores!$C$35</f>
        <v>599.19</v>
      </c>
      <c r="AK132" s="79">
        <f>Valores!$C$8</f>
        <v>0</v>
      </c>
      <c r="AL132" s="79">
        <f>Valores!$C$81</f>
        <v>1300</v>
      </c>
      <c r="AM132" s="81">
        <f>Valores!$C$51</f>
        <v>136.56</v>
      </c>
      <c r="AN132" s="83">
        <f t="shared" si="21"/>
        <v>1899.19</v>
      </c>
      <c r="AO132" s="84">
        <f>AI132*-Valores!$C$65</f>
        <v>-3355.5904849999993</v>
      </c>
      <c r="AP132" s="84">
        <f>AI132*-Valores!$C$66</f>
        <v>-129.06117249999997</v>
      </c>
      <c r="AQ132" s="78">
        <f>AI132*-Valores!$C$67</f>
        <v>-1161.5505524999996</v>
      </c>
      <c r="AR132" s="78">
        <f>AI132*-Valores!$C$68</f>
        <v>-696.9303314999999</v>
      </c>
      <c r="AS132" s="78">
        <f>AI132*-Valores!$C$69</f>
        <v>-77.4367035</v>
      </c>
      <c r="AT132" s="82">
        <f t="shared" si="17"/>
        <v>23065.22228999999</v>
      </c>
      <c r="AU132" s="82">
        <f t="shared" si="18"/>
        <v>23452.405807499992</v>
      </c>
      <c r="AV132" s="78">
        <f>AI132*Valores!$C$71</f>
        <v>4129.957519999999</v>
      </c>
      <c r="AW132" s="78">
        <f>AI132*Valores!$C$72</f>
        <v>1161.5505524999996</v>
      </c>
      <c r="AX132" s="78">
        <f>AI132*Valores!$C$73</f>
        <v>258.12234499999994</v>
      </c>
      <c r="AY132" s="78">
        <f>AI132*Valores!$C$75</f>
        <v>903.4282074999999</v>
      </c>
      <c r="AZ132" s="78">
        <f>AI132*Valores!$C$76</f>
        <v>154.873407</v>
      </c>
      <c r="BA132" s="78">
        <f t="shared" si="22"/>
        <v>1393.8606629999997</v>
      </c>
      <c r="BB132" s="52"/>
      <c r="BC132" s="52">
        <v>20</v>
      </c>
      <c r="BD132" s="28" t="s">
        <v>4</v>
      </c>
    </row>
    <row r="133" spans="1:56" s="28" customFormat="1" ht="11.25" customHeight="1">
      <c r="A133" s="52">
        <v>132</v>
      </c>
      <c r="B133" s="52"/>
      <c r="C133" s="28" t="s">
        <v>404</v>
      </c>
      <c r="E133" s="28">
        <f t="shared" si="14"/>
        <v>19</v>
      </c>
      <c r="F133" s="72" t="s">
        <v>405</v>
      </c>
      <c r="G133" s="73">
        <v>936</v>
      </c>
      <c r="H133" s="74">
        <f>INT((G133*Valores!$C$2*100)+0.5)/100</f>
        <v>6207.93</v>
      </c>
      <c r="I133" s="113">
        <v>0</v>
      </c>
      <c r="J133" s="76">
        <f>INT((I133*Valores!$C$2*100)+0.5)/100</f>
        <v>0</v>
      </c>
      <c r="K133" s="103">
        <v>0</v>
      </c>
      <c r="L133" s="76">
        <f>INT((K133*Valores!$C$2*100)+0.5)/100</f>
        <v>0</v>
      </c>
      <c r="M133" s="101">
        <v>0</v>
      </c>
      <c r="N133" s="76">
        <f>INT((M133*Valores!$C$2*100)+0.5)/100</f>
        <v>0</v>
      </c>
      <c r="O133" s="76">
        <f t="shared" si="15"/>
        <v>1497.4439999999997</v>
      </c>
      <c r="P133" s="76">
        <f t="shared" si="16"/>
        <v>0</v>
      </c>
      <c r="Q133" s="102">
        <f>Valores!$C$20</f>
        <v>4080.56</v>
      </c>
      <c r="R133" s="102">
        <f>Valores!$D$4</f>
        <v>2966.67</v>
      </c>
      <c r="S133" s="102">
        <f>Valores!$C$27</f>
        <v>2851.94</v>
      </c>
      <c r="T133" s="107">
        <f>Valores!$C$41</f>
        <v>1073.06</v>
      </c>
      <c r="U133" s="102">
        <f>Valores!$C$24</f>
        <v>2701.97</v>
      </c>
      <c r="V133" s="76">
        <f t="shared" si="23"/>
        <v>2701.97</v>
      </c>
      <c r="W133" s="76">
        <v>0</v>
      </c>
      <c r="X133" s="76">
        <v>0</v>
      </c>
      <c r="Y133" s="80">
        <v>0</v>
      </c>
      <c r="Z133" s="76">
        <f>Y133*Valores!$C$2</f>
        <v>0</v>
      </c>
      <c r="AA133" s="76">
        <v>0</v>
      </c>
      <c r="AB133" s="81">
        <f>Valores!$C$29</f>
        <v>160.21</v>
      </c>
      <c r="AC133" s="76">
        <f t="shared" si="19"/>
        <v>0</v>
      </c>
      <c r="AD133" s="76">
        <f>Valores!$C$30</f>
        <v>160.21</v>
      </c>
      <c r="AE133" s="114">
        <v>94</v>
      </c>
      <c r="AF133" s="79">
        <f>INT(((AE133*Valores!$C$2)*100)+0.5)/100</f>
        <v>623.45</v>
      </c>
      <c r="AG133" s="79">
        <f>Valores!$C$58</f>
        <v>325.89</v>
      </c>
      <c r="AH133" s="79">
        <f>Valores!$C$60</f>
        <v>93.11</v>
      </c>
      <c r="AI133" s="115">
        <f t="shared" si="20"/>
        <v>22742.444</v>
      </c>
      <c r="AJ133" s="102">
        <f>Valores!$C$35</f>
        <v>599.19</v>
      </c>
      <c r="AK133" s="79">
        <f>Valores!$C$7</f>
        <v>0</v>
      </c>
      <c r="AL133" s="79">
        <f>Valores!$C$81</f>
        <v>1300</v>
      </c>
      <c r="AM133" s="81">
        <f>Valores!$C$51</f>
        <v>136.56</v>
      </c>
      <c r="AN133" s="83">
        <f t="shared" si="21"/>
        <v>1899.19</v>
      </c>
      <c r="AO133" s="62">
        <f>AI133*-Valores!$C$65</f>
        <v>-2956.51772</v>
      </c>
      <c r="AP133" s="62">
        <f>AI133*-Valores!$C$66</f>
        <v>-113.71222</v>
      </c>
      <c r="AQ133" s="78">
        <f>AI133*-Valores!$C$67</f>
        <v>-1023.4099799999999</v>
      </c>
      <c r="AR133" s="78">
        <f>AI133*-Valores!$C$68</f>
        <v>-614.045988</v>
      </c>
      <c r="AS133" s="78">
        <f>AI133*-Valores!$C$69</f>
        <v>-68.227332</v>
      </c>
      <c r="AT133" s="82">
        <f t="shared" si="17"/>
        <v>20547.994079999997</v>
      </c>
      <c r="AU133" s="82">
        <f t="shared" si="18"/>
        <v>20889.130739999997</v>
      </c>
      <c r="AV133" s="78">
        <f>AI133*Valores!$C$71</f>
        <v>3638.79104</v>
      </c>
      <c r="AW133" s="78">
        <f>AI133*Valores!$C$72</f>
        <v>1023.4099799999999</v>
      </c>
      <c r="AX133" s="78">
        <f>AI133*Valores!$C$73</f>
        <v>227.42444</v>
      </c>
      <c r="AY133" s="78">
        <f>AI133*Valores!$C$75</f>
        <v>795.98554</v>
      </c>
      <c r="AZ133" s="78">
        <f>AI133*Valores!$C$76</f>
        <v>136.454664</v>
      </c>
      <c r="BA133" s="78">
        <f t="shared" si="22"/>
        <v>1228.091976</v>
      </c>
      <c r="BB133" s="52">
        <v>8</v>
      </c>
      <c r="BC133" s="52"/>
      <c r="BD133" s="28" t="s">
        <v>4</v>
      </c>
    </row>
    <row r="134" spans="1:56" s="28" customFormat="1" ht="11.25" customHeight="1">
      <c r="A134" s="52">
        <v>133</v>
      </c>
      <c r="B134" s="52"/>
      <c r="C134" s="28" t="s">
        <v>406</v>
      </c>
      <c r="E134" s="28">
        <f t="shared" si="14"/>
        <v>19</v>
      </c>
      <c r="F134" s="72" t="s">
        <v>407</v>
      </c>
      <c r="G134" s="73">
        <v>1278</v>
      </c>
      <c r="H134" s="74">
        <f>INT((G134*Valores!$C$2*100)+0.5)/100</f>
        <v>8476.21</v>
      </c>
      <c r="I134" s="113">
        <v>0</v>
      </c>
      <c r="J134" s="76">
        <f>INT((I134*Valores!$C$2*100)+0.5)/100</f>
        <v>0</v>
      </c>
      <c r="K134" s="103">
        <v>0</v>
      </c>
      <c r="L134" s="76">
        <f>INT((K134*Valores!$C$2*100)+0.5)/100</f>
        <v>0</v>
      </c>
      <c r="M134" s="101">
        <v>0</v>
      </c>
      <c r="N134" s="76">
        <f>INT((M134*Valores!$C$2*100)+0.5)/100</f>
        <v>0</v>
      </c>
      <c r="O134" s="76">
        <f t="shared" si="15"/>
        <v>1837.6859999999997</v>
      </c>
      <c r="P134" s="76">
        <f t="shared" si="16"/>
        <v>0</v>
      </c>
      <c r="Q134" s="102">
        <f>Valores!$C$15</f>
        <v>4266.78</v>
      </c>
      <c r="R134" s="102">
        <f>Valores!$D$4</f>
        <v>2966.67</v>
      </c>
      <c r="S134" s="79">
        <v>0</v>
      </c>
      <c r="T134" s="79">
        <f>Valores!$C$41</f>
        <v>1073.06</v>
      </c>
      <c r="U134" s="102">
        <f>Valores!$C$24</f>
        <v>2701.97</v>
      </c>
      <c r="V134" s="76">
        <f t="shared" si="23"/>
        <v>2701.97</v>
      </c>
      <c r="W134" s="76">
        <v>0</v>
      </c>
      <c r="X134" s="76">
        <v>0</v>
      </c>
      <c r="Y134" s="80">
        <v>0</v>
      </c>
      <c r="Z134" s="76">
        <f>Y134*Valores!$C$2</f>
        <v>0</v>
      </c>
      <c r="AA134" s="76">
        <v>0</v>
      </c>
      <c r="AB134" s="81">
        <f>Valores!$C$29</f>
        <v>160.21</v>
      </c>
      <c r="AC134" s="76">
        <f t="shared" si="19"/>
        <v>0</v>
      </c>
      <c r="AD134" s="76">
        <f>Valores!$C$30</f>
        <v>160.21</v>
      </c>
      <c r="AE134" s="114">
        <v>94</v>
      </c>
      <c r="AF134" s="79">
        <f>INT(((AE134*Valores!$C$2)*100)+0.5)/100</f>
        <v>623.45</v>
      </c>
      <c r="AG134" s="79">
        <f>Valores!$C$58</f>
        <v>325.89</v>
      </c>
      <c r="AH134" s="79">
        <f>Valores!$C$60</f>
        <v>93.11</v>
      </c>
      <c r="AI134" s="115">
        <f t="shared" si="20"/>
        <v>22685.246</v>
      </c>
      <c r="AJ134" s="102">
        <f>Valores!$C$35</f>
        <v>599.19</v>
      </c>
      <c r="AK134" s="79">
        <f>Valores!$C$7</f>
        <v>0</v>
      </c>
      <c r="AL134" s="79">
        <f>Valores!$C$81</f>
        <v>1300</v>
      </c>
      <c r="AM134" s="81">
        <f>Valores!$C$51</f>
        <v>136.56</v>
      </c>
      <c r="AN134" s="83">
        <f t="shared" si="21"/>
        <v>1899.19</v>
      </c>
      <c r="AO134" s="62">
        <f>AI134*-Valores!$C$65</f>
        <v>-2949.08198</v>
      </c>
      <c r="AP134" s="62">
        <f>AI134*-Valores!$C$66</f>
        <v>-113.42623</v>
      </c>
      <c r="AQ134" s="78">
        <f>AI134*-Valores!$C$67</f>
        <v>-1020.83607</v>
      </c>
      <c r="AR134" s="78">
        <f>AI134*-Valores!$C$68</f>
        <v>-612.501642</v>
      </c>
      <c r="AS134" s="78">
        <f>AI134*-Valores!$C$69</f>
        <v>-68.055738</v>
      </c>
      <c r="AT134" s="82">
        <f t="shared" si="17"/>
        <v>20501.091719999997</v>
      </c>
      <c r="AU134" s="82">
        <f t="shared" si="18"/>
        <v>20841.37041</v>
      </c>
      <c r="AV134" s="78">
        <f>AI134*Valores!$C$71</f>
        <v>3629.63936</v>
      </c>
      <c r="AW134" s="78">
        <f>AI134*Valores!$C$72</f>
        <v>1020.83607</v>
      </c>
      <c r="AX134" s="78">
        <f>AI134*Valores!$C$73</f>
        <v>226.85246</v>
      </c>
      <c r="AY134" s="78">
        <f>AI134*Valores!$C$75</f>
        <v>793.98361</v>
      </c>
      <c r="AZ134" s="78">
        <f>AI134*Valores!$C$76</f>
        <v>136.111476</v>
      </c>
      <c r="BA134" s="78">
        <f t="shared" si="22"/>
        <v>1225.003284</v>
      </c>
      <c r="BB134" s="52"/>
      <c r="BC134" s="86">
        <v>22</v>
      </c>
      <c r="BD134" s="28" t="s">
        <v>4</v>
      </c>
    </row>
    <row r="135" spans="1:56" s="28" customFormat="1" ht="11.25" customHeight="1">
      <c r="A135" s="52">
        <v>134</v>
      </c>
      <c r="B135" s="52"/>
      <c r="C135" s="28" t="s">
        <v>408</v>
      </c>
      <c r="E135" s="28">
        <f aca="true" t="shared" si="24" ref="E135:E198">LEN(F135)</f>
        <v>26</v>
      </c>
      <c r="F135" s="72" t="s">
        <v>409</v>
      </c>
      <c r="G135" s="73">
        <v>1278</v>
      </c>
      <c r="H135" s="74">
        <f>INT((G135*Valores!$C$2*100)+0.5)/100</f>
        <v>8476.21</v>
      </c>
      <c r="I135" s="113">
        <v>0</v>
      </c>
      <c r="J135" s="76">
        <f>INT((I135*Valores!$C$2*100)+0.5)/100</f>
        <v>0</v>
      </c>
      <c r="K135" s="103">
        <v>0</v>
      </c>
      <c r="L135" s="76">
        <f>INT((K135*Valores!$C$2*100)+0.5)/100</f>
        <v>0</v>
      </c>
      <c r="M135" s="101">
        <v>0</v>
      </c>
      <c r="N135" s="76">
        <f>INT((M135*Valores!$C$2*100)+0.5)/100</f>
        <v>0</v>
      </c>
      <c r="O135" s="76">
        <f aca="true" t="shared" si="25" ref="O135:O198">IF($J$2=0,IF(C135&lt;&gt;"13-930",(SUM(H135,J135,L135,N135,Z135,U135,T135)*$O$2),0),0)</f>
        <v>1866.2744999999995</v>
      </c>
      <c r="P135" s="76">
        <f aca="true" t="shared" si="26" ref="P135:P198">SUM(H135,J135,L135,N135,Z135,T135)*$J$2</f>
        <v>0</v>
      </c>
      <c r="Q135" s="102">
        <f>Valores!$C$15</f>
        <v>4266.78</v>
      </c>
      <c r="R135" s="102">
        <f>Valores!$D$4</f>
        <v>2966.67</v>
      </c>
      <c r="S135" s="102">
        <f>Valores!$C$26</f>
        <v>3094.03</v>
      </c>
      <c r="T135" s="107">
        <f>Valores!$C$42</f>
        <v>1226.37</v>
      </c>
      <c r="U135" s="76">
        <f>Valores!$C$23</f>
        <v>2739.25</v>
      </c>
      <c r="V135" s="76">
        <f t="shared" si="23"/>
        <v>2739.25</v>
      </c>
      <c r="W135" s="76">
        <v>0</v>
      </c>
      <c r="X135" s="76">
        <v>0</v>
      </c>
      <c r="Y135" s="80">
        <v>0</v>
      </c>
      <c r="Z135" s="76">
        <f>Y135*Valores!$C$2</f>
        <v>0</v>
      </c>
      <c r="AA135" s="76">
        <v>0</v>
      </c>
      <c r="AB135" s="81">
        <f>Valores!$C$29</f>
        <v>160.21</v>
      </c>
      <c r="AC135" s="76">
        <f t="shared" si="19"/>
        <v>0</v>
      </c>
      <c r="AD135" s="76">
        <f>Valores!$C$30</f>
        <v>160.21</v>
      </c>
      <c r="AE135" s="80">
        <v>0</v>
      </c>
      <c r="AF135" s="76">
        <f>INT(((AE135*Valores!$C$2)*100)+0.5)/100</f>
        <v>0</v>
      </c>
      <c r="AG135" s="76">
        <f>Valores!$C$58</f>
        <v>325.89</v>
      </c>
      <c r="AH135" s="76">
        <f>Valores!$C$60</f>
        <v>93.11</v>
      </c>
      <c r="AI135" s="115">
        <f t="shared" si="20"/>
        <v>25375.004499999992</v>
      </c>
      <c r="AJ135" s="102">
        <f>Valores!$C$35</f>
        <v>599.19</v>
      </c>
      <c r="AK135" s="79">
        <f>Valores!$C$8</f>
        <v>0</v>
      </c>
      <c r="AL135" s="79">
        <f>Valores!$C$81</f>
        <v>1300</v>
      </c>
      <c r="AM135" s="81">
        <f>Valores!$C$51</f>
        <v>136.56</v>
      </c>
      <c r="AN135" s="83">
        <f t="shared" si="21"/>
        <v>1899.19</v>
      </c>
      <c r="AO135" s="62">
        <f>AI135*-Valores!$C$65</f>
        <v>-3298.750584999999</v>
      </c>
      <c r="AP135" s="62">
        <f>AI135*-Valores!$C$66</f>
        <v>-126.87502249999996</v>
      </c>
      <c r="AQ135" s="78">
        <f>AI135*-Valores!$C$67</f>
        <v>-1141.8752024999997</v>
      </c>
      <c r="AR135" s="78">
        <f>AI135*-Valores!$C$68</f>
        <v>-685.1251214999998</v>
      </c>
      <c r="AS135" s="78">
        <f>AI135*-Valores!$C$69</f>
        <v>-76.12501349999998</v>
      </c>
      <c r="AT135" s="82">
        <f aca="true" t="shared" si="27" ref="AT135:AT198">AI135+AN135+AP135+AQ135+AO135</f>
        <v>22706.693689999993</v>
      </c>
      <c r="AU135" s="82">
        <f aca="true" t="shared" si="28" ref="AU135:AU198">AI135+AN135+AP135+AR135+AO135+AS135</f>
        <v>23087.31875749999</v>
      </c>
      <c r="AV135" s="78">
        <f>AI135*Valores!$C$71</f>
        <v>4060.0007199999986</v>
      </c>
      <c r="AW135" s="78">
        <f>AI135*Valores!$C$72</f>
        <v>1141.8752024999997</v>
      </c>
      <c r="AX135" s="78">
        <f>AI135*Valores!$C$73</f>
        <v>253.75004499999991</v>
      </c>
      <c r="AY135" s="78">
        <f>AI135*Valores!$C$75</f>
        <v>888.1251574999998</v>
      </c>
      <c r="AZ135" s="78">
        <f>AI135*Valores!$C$76</f>
        <v>152.25002699999996</v>
      </c>
      <c r="BA135" s="78">
        <f t="shared" si="22"/>
        <v>1370.2502429999995</v>
      </c>
      <c r="BB135" s="52"/>
      <c r="BC135" s="52"/>
      <c r="BD135" s="28" t="s">
        <v>4</v>
      </c>
    </row>
    <row r="136" spans="1:56" s="28" customFormat="1" ht="11.25" customHeight="1">
      <c r="A136" s="86">
        <v>135</v>
      </c>
      <c r="B136" s="86" t="s">
        <v>163</v>
      </c>
      <c r="C136" s="87" t="s">
        <v>410</v>
      </c>
      <c r="D136" s="87"/>
      <c r="E136" s="87">
        <f t="shared" si="24"/>
        <v>19</v>
      </c>
      <c r="F136" s="88" t="s">
        <v>411</v>
      </c>
      <c r="G136" s="89">
        <v>1278</v>
      </c>
      <c r="H136" s="90">
        <f>INT((G136*Valores!$C$2*100)+0.5)/100</f>
        <v>8476.21</v>
      </c>
      <c r="I136" s="104">
        <v>0</v>
      </c>
      <c r="J136" s="92">
        <f>INT((I136*Valores!$C$2*100)+0.5)/100</f>
        <v>0</v>
      </c>
      <c r="K136" s="105">
        <v>0</v>
      </c>
      <c r="L136" s="92">
        <f>INT((K136*Valores!$C$2*100)+0.5)/100</f>
        <v>0</v>
      </c>
      <c r="M136" s="106">
        <v>0</v>
      </c>
      <c r="N136" s="92">
        <f>INT((M136*Valores!$C$2*100)+0.5)/100</f>
        <v>0</v>
      </c>
      <c r="O136" s="92">
        <f t="shared" si="25"/>
        <v>1866.2744999999995</v>
      </c>
      <c r="P136" s="92">
        <f t="shared" si="26"/>
        <v>0</v>
      </c>
      <c r="Q136" s="108">
        <f>Valores!$C$15</f>
        <v>4266.78</v>
      </c>
      <c r="R136" s="108">
        <f>Valores!$D$4</f>
        <v>2966.67</v>
      </c>
      <c r="S136" s="108">
        <f>Valores!$C$26</f>
        <v>3094.03</v>
      </c>
      <c r="T136" s="109">
        <f>Valores!$C$42</f>
        <v>1226.37</v>
      </c>
      <c r="U136" s="92">
        <f>Valores!$C$23</f>
        <v>2739.25</v>
      </c>
      <c r="V136" s="92">
        <f t="shared" si="23"/>
        <v>2739.25</v>
      </c>
      <c r="W136" s="92">
        <v>0</v>
      </c>
      <c r="X136" s="92">
        <v>0</v>
      </c>
      <c r="Y136" s="96">
        <v>0</v>
      </c>
      <c r="Z136" s="92">
        <f>Y136*Valores!$C$2</f>
        <v>0</v>
      </c>
      <c r="AA136" s="92">
        <v>0</v>
      </c>
      <c r="AB136" s="97">
        <f>Valores!$C$29</f>
        <v>160.21</v>
      </c>
      <c r="AC136" s="92">
        <f aca="true" t="shared" si="29" ref="AC136:AC199">SUM(H136,J136,L136,Z136,T136)*$H$3/100</f>
        <v>0</v>
      </c>
      <c r="AD136" s="92">
        <f>Valores!$C$30</f>
        <v>160.21</v>
      </c>
      <c r="AE136" s="96">
        <v>0</v>
      </c>
      <c r="AF136" s="92">
        <f>INT(((AE136*Valores!$C$2)*100)+0.5)/100</f>
        <v>0</v>
      </c>
      <c r="AG136" s="92">
        <f>Valores!$C$58</f>
        <v>325.89</v>
      </c>
      <c r="AH136" s="92">
        <f>Valores!$C$60</f>
        <v>93.11</v>
      </c>
      <c r="AI136" s="116">
        <f aca="true" t="shared" si="30" ref="AI136:AI199">SUM(H136,J136,L136,N136,O136,P136,Q136,R136,S136,V136,W136,X136,Z136,AA136,AB136,AC136,AD136,AF136,T136,AG136,AH136)</f>
        <v>25375.004499999992</v>
      </c>
      <c r="AJ136" s="108">
        <f>Valores!$C$35</f>
        <v>599.19</v>
      </c>
      <c r="AK136" s="95">
        <f>Valores!$C$8</f>
        <v>0</v>
      </c>
      <c r="AL136" s="95">
        <f>Valores!$C$81</f>
        <v>1300</v>
      </c>
      <c r="AM136" s="97">
        <f>Valores!$C$51</f>
        <v>136.56</v>
      </c>
      <c r="AN136" s="99">
        <f aca="true" t="shared" si="31" ref="AN136:AN199">IF($H$4="SI",SUM(AJ136:AL136,AM136),SUM(AJ136:AL136))</f>
        <v>1899.19</v>
      </c>
      <c r="AO136" s="117">
        <f>AI136*-Valores!$C$65</f>
        <v>-3298.750584999999</v>
      </c>
      <c r="AP136" s="117">
        <f>AI136*-Valores!$C$66</f>
        <v>-126.87502249999996</v>
      </c>
      <c r="AQ136" s="94">
        <f>AI136*-Valores!$C$67</f>
        <v>-1141.8752024999997</v>
      </c>
      <c r="AR136" s="94">
        <f>AI136*-Valores!$C$68</f>
        <v>-685.1251214999998</v>
      </c>
      <c r="AS136" s="94">
        <f>AI136*-Valores!$C$69</f>
        <v>-76.12501349999998</v>
      </c>
      <c r="AT136" s="98">
        <f t="shared" si="27"/>
        <v>22706.693689999993</v>
      </c>
      <c r="AU136" s="98">
        <f t="shared" si="28"/>
        <v>23087.31875749999</v>
      </c>
      <c r="AV136" s="94">
        <f>AI136*Valores!$C$71</f>
        <v>4060.0007199999986</v>
      </c>
      <c r="AW136" s="94">
        <f>AI136*Valores!$C$72</f>
        <v>1141.8752024999997</v>
      </c>
      <c r="AX136" s="94">
        <f>AI136*Valores!$C$73</f>
        <v>253.75004499999991</v>
      </c>
      <c r="AY136" s="94">
        <f>AI136*Valores!$C$75</f>
        <v>888.1251574999998</v>
      </c>
      <c r="AZ136" s="94">
        <f>AI136*Valores!$C$76</f>
        <v>152.25002699999996</v>
      </c>
      <c r="BA136" s="94">
        <f t="shared" si="22"/>
        <v>1370.2502429999995</v>
      </c>
      <c r="BB136" s="86"/>
      <c r="BC136" s="86"/>
      <c r="BD136" s="87" t="s">
        <v>4</v>
      </c>
    </row>
    <row r="137" spans="1:56" s="28" customFormat="1" ht="11.25" customHeight="1">
      <c r="A137" s="52">
        <v>136</v>
      </c>
      <c r="B137" s="52"/>
      <c r="C137" s="28" t="s">
        <v>412</v>
      </c>
      <c r="E137" s="28">
        <f t="shared" si="24"/>
        <v>29</v>
      </c>
      <c r="F137" s="72" t="s">
        <v>413</v>
      </c>
      <c r="G137" s="73">
        <v>1278</v>
      </c>
      <c r="H137" s="74">
        <f>INT((G137*Valores!$C$2*100)+0.5)/100</f>
        <v>8476.21</v>
      </c>
      <c r="I137" s="113">
        <v>0</v>
      </c>
      <c r="J137" s="76">
        <f>INT((I137*Valores!$C$2*100)+0.5)/100</f>
        <v>0</v>
      </c>
      <c r="K137" s="103">
        <v>0</v>
      </c>
      <c r="L137" s="76">
        <f>INT((K137*Valores!$C$2*100)+0.5)/100</f>
        <v>0</v>
      </c>
      <c r="M137" s="101">
        <v>0</v>
      </c>
      <c r="N137" s="76">
        <f>INT((M137*Valores!$C$2*100)+0.5)/100</f>
        <v>0</v>
      </c>
      <c r="O137" s="76">
        <f t="shared" si="25"/>
        <v>1866.2744999999995</v>
      </c>
      <c r="P137" s="76">
        <f t="shared" si="26"/>
        <v>0</v>
      </c>
      <c r="Q137" s="102">
        <f>Valores!$C$20</f>
        <v>4080.56</v>
      </c>
      <c r="R137" s="102">
        <f>Valores!$D$4</f>
        <v>2966.67</v>
      </c>
      <c r="S137" s="76">
        <v>0</v>
      </c>
      <c r="T137" s="79">
        <f>Valores!$C$42</f>
        <v>1226.37</v>
      </c>
      <c r="U137" s="76">
        <f>Valores!$C$23</f>
        <v>2739.25</v>
      </c>
      <c r="V137" s="76">
        <f t="shared" si="23"/>
        <v>2739.25</v>
      </c>
      <c r="W137" s="76">
        <v>0</v>
      </c>
      <c r="X137" s="76">
        <v>0</v>
      </c>
      <c r="Y137" s="80">
        <v>0</v>
      </c>
      <c r="Z137" s="76">
        <f>Y137*Valores!$C$2</f>
        <v>0</v>
      </c>
      <c r="AA137" s="76">
        <v>0</v>
      </c>
      <c r="AB137" s="81">
        <f>Valores!$C$29</f>
        <v>160.21</v>
      </c>
      <c r="AC137" s="76">
        <f t="shared" si="29"/>
        <v>0</v>
      </c>
      <c r="AD137" s="76">
        <f>Valores!$C$30</f>
        <v>160.21</v>
      </c>
      <c r="AE137" s="80">
        <v>0</v>
      </c>
      <c r="AF137" s="76">
        <f>INT(((AE137*Valores!$C$2)*100)+0.5)/100</f>
        <v>0</v>
      </c>
      <c r="AG137" s="76">
        <f>Valores!$C$58</f>
        <v>325.89</v>
      </c>
      <c r="AH137" s="76">
        <f>Valores!$C$60</f>
        <v>93.11</v>
      </c>
      <c r="AI137" s="115">
        <f t="shared" si="30"/>
        <v>22094.754499999995</v>
      </c>
      <c r="AJ137" s="102">
        <f>Valores!$C$35</f>
        <v>599.19</v>
      </c>
      <c r="AK137" s="79">
        <f>Valores!$C$8</f>
        <v>0</v>
      </c>
      <c r="AL137" s="79">
        <f>Valores!$C$81</f>
        <v>1300</v>
      </c>
      <c r="AM137" s="81">
        <f>Valores!$C$51</f>
        <v>136.56</v>
      </c>
      <c r="AN137" s="83">
        <f t="shared" si="31"/>
        <v>1899.19</v>
      </c>
      <c r="AO137" s="62">
        <f>AI137*-Valores!$C$65</f>
        <v>-2872.3180849999994</v>
      </c>
      <c r="AP137" s="62">
        <f>AI137*-Valores!$C$66</f>
        <v>-110.47377249999998</v>
      </c>
      <c r="AQ137" s="78">
        <f>AI137*-Valores!$C$67</f>
        <v>-994.2639524999997</v>
      </c>
      <c r="AR137" s="78">
        <f>AI137*-Valores!$C$68</f>
        <v>-596.5583714999999</v>
      </c>
      <c r="AS137" s="78">
        <f>AI137*-Valores!$C$69</f>
        <v>-66.2842635</v>
      </c>
      <c r="AT137" s="82">
        <f t="shared" si="27"/>
        <v>20016.888689999992</v>
      </c>
      <c r="AU137" s="82">
        <f t="shared" si="28"/>
        <v>20348.310007499993</v>
      </c>
      <c r="AV137" s="78">
        <f>AI137*Valores!$C$71</f>
        <v>3535.1607199999994</v>
      </c>
      <c r="AW137" s="78">
        <f>AI137*Valores!$C$72</f>
        <v>994.2639524999997</v>
      </c>
      <c r="AX137" s="78">
        <f>AI137*Valores!$C$73</f>
        <v>220.94754499999996</v>
      </c>
      <c r="AY137" s="78">
        <f>AI137*Valores!$C$75</f>
        <v>773.3164075</v>
      </c>
      <c r="AZ137" s="78">
        <f>AI137*Valores!$C$76</f>
        <v>132.568527</v>
      </c>
      <c r="BA137" s="78">
        <f aca="true" t="shared" si="32" ref="BA137:BA200">AI137*5.4/100</f>
        <v>1193.1167429999998</v>
      </c>
      <c r="BB137" s="52">
        <v>12</v>
      </c>
      <c r="BC137" s="52">
        <v>15</v>
      </c>
      <c r="BD137" s="28" t="s">
        <v>8</v>
      </c>
    </row>
    <row r="138" spans="1:56" s="28" customFormat="1" ht="11.25" customHeight="1">
      <c r="A138" s="52">
        <v>137</v>
      </c>
      <c r="B138" s="52"/>
      <c r="C138" s="28" t="s">
        <v>414</v>
      </c>
      <c r="E138" s="28">
        <f t="shared" si="24"/>
        <v>26</v>
      </c>
      <c r="F138" s="72" t="s">
        <v>415</v>
      </c>
      <c r="G138" s="73">
        <v>616</v>
      </c>
      <c r="H138" s="74">
        <f>INT((G138*Valores!$C$2*100)+0.5)/100</f>
        <v>4085.56</v>
      </c>
      <c r="I138" s="113">
        <v>0</v>
      </c>
      <c r="J138" s="76">
        <f>INT((I138*Valores!$C$2*100)+0.5)/100</f>
        <v>0</v>
      </c>
      <c r="K138" s="103">
        <v>0</v>
      </c>
      <c r="L138" s="76">
        <f>INT((K138*Valores!$C$2*100)+0.5)/100</f>
        <v>0</v>
      </c>
      <c r="M138" s="101">
        <v>0</v>
      </c>
      <c r="N138" s="76">
        <f>INT((M138*Valores!$C$2*100)+0.5)/100</f>
        <v>0</v>
      </c>
      <c r="O138" s="76">
        <f t="shared" si="25"/>
        <v>1207.677</v>
      </c>
      <c r="P138" s="76">
        <f t="shared" si="26"/>
        <v>0</v>
      </c>
      <c r="Q138" s="102">
        <f>Valores!$C$15</f>
        <v>4266.78</v>
      </c>
      <c r="R138" s="102">
        <f>Valores!$D$4</f>
        <v>2966.67</v>
      </c>
      <c r="S138" s="102">
        <f>Valores!$C$26</f>
        <v>3094.03</v>
      </c>
      <c r="T138" s="107">
        <f>Valores!$C$42</f>
        <v>1226.37</v>
      </c>
      <c r="U138" s="76">
        <f>Valores!$C$23</f>
        <v>2739.25</v>
      </c>
      <c r="V138" s="76">
        <f t="shared" si="23"/>
        <v>2739.25</v>
      </c>
      <c r="W138" s="76">
        <v>0</v>
      </c>
      <c r="X138" s="76">
        <v>0</v>
      </c>
      <c r="Y138" s="80">
        <v>0</v>
      </c>
      <c r="Z138" s="76">
        <f>Y138*Valores!$C$2</f>
        <v>0</v>
      </c>
      <c r="AA138" s="76">
        <v>0</v>
      </c>
      <c r="AB138" s="81">
        <f>Valores!$C$29</f>
        <v>160.21</v>
      </c>
      <c r="AC138" s="76">
        <f t="shared" si="29"/>
        <v>0</v>
      </c>
      <c r="AD138" s="76">
        <f>Valores!$C$30</f>
        <v>160.21</v>
      </c>
      <c r="AE138" s="80">
        <v>0</v>
      </c>
      <c r="AF138" s="76">
        <f>INT(((AE138*Valores!$C$2)*100)+0.5)/100</f>
        <v>0</v>
      </c>
      <c r="AG138" s="76">
        <f>Valores!$C$58</f>
        <v>325.89</v>
      </c>
      <c r="AH138" s="76">
        <f>Valores!$C$60</f>
        <v>93.11</v>
      </c>
      <c r="AI138" s="115">
        <f t="shared" si="30"/>
        <v>20325.756999999998</v>
      </c>
      <c r="AJ138" s="102">
        <f>Valores!$C$35</f>
        <v>599.19</v>
      </c>
      <c r="AK138" s="79">
        <f>Valores!$C$8</f>
        <v>0</v>
      </c>
      <c r="AL138" s="79">
        <f>Valores!$C$81</f>
        <v>1300</v>
      </c>
      <c r="AM138" s="81">
        <f>Valores!$C$51</f>
        <v>136.56</v>
      </c>
      <c r="AN138" s="83">
        <f t="shared" si="31"/>
        <v>1899.19</v>
      </c>
      <c r="AO138" s="62">
        <f>AI138*-Valores!$C$65</f>
        <v>-2642.3484099999996</v>
      </c>
      <c r="AP138" s="62">
        <f>AI138*-Valores!$C$66</f>
        <v>-101.628785</v>
      </c>
      <c r="AQ138" s="78">
        <f>AI138*-Valores!$C$67</f>
        <v>-914.6590649999998</v>
      </c>
      <c r="AR138" s="78">
        <f>AI138*-Valores!$C$68</f>
        <v>-548.795439</v>
      </c>
      <c r="AS138" s="78">
        <f>AI138*-Valores!$C$69</f>
        <v>-60.977270999999995</v>
      </c>
      <c r="AT138" s="82">
        <f t="shared" si="27"/>
        <v>18566.310739999997</v>
      </c>
      <c r="AU138" s="82">
        <f t="shared" si="28"/>
        <v>18871.197094999996</v>
      </c>
      <c r="AV138" s="78">
        <f>AI138*Valores!$C$71</f>
        <v>3252.12112</v>
      </c>
      <c r="AW138" s="78">
        <f>AI138*Valores!$C$72</f>
        <v>914.6590649999998</v>
      </c>
      <c r="AX138" s="78">
        <f>AI138*Valores!$C$73</f>
        <v>203.25757</v>
      </c>
      <c r="AY138" s="78">
        <f>AI138*Valores!$C$75</f>
        <v>711.401495</v>
      </c>
      <c r="AZ138" s="78">
        <f>AI138*Valores!$C$76</f>
        <v>121.95454199999999</v>
      </c>
      <c r="BA138" s="78">
        <f t="shared" si="32"/>
        <v>1097.590878</v>
      </c>
      <c r="BB138" s="52">
        <v>6</v>
      </c>
      <c r="BC138" s="52"/>
      <c r="BD138" s="28" t="s">
        <v>4</v>
      </c>
    </row>
    <row r="139" spans="1:56" s="28" customFormat="1" ht="11.25" customHeight="1">
      <c r="A139" s="52">
        <v>138</v>
      </c>
      <c r="B139" s="52"/>
      <c r="C139" s="28" t="s">
        <v>416</v>
      </c>
      <c r="E139" s="28">
        <f t="shared" si="24"/>
        <v>31</v>
      </c>
      <c r="F139" s="72" t="s">
        <v>417</v>
      </c>
      <c r="G139" s="73">
        <v>1278</v>
      </c>
      <c r="H139" s="74">
        <f>INT((G139*Valores!$C$2*100)+0.5)/100</f>
        <v>8476.21</v>
      </c>
      <c r="I139" s="113">
        <v>0</v>
      </c>
      <c r="J139" s="76">
        <f>INT((I139*Valores!$C$2*100)+0.5)/100</f>
        <v>0</v>
      </c>
      <c r="K139" s="103">
        <v>0</v>
      </c>
      <c r="L139" s="76">
        <f>INT((K139*Valores!$C$2*100)+0.5)/100</f>
        <v>0</v>
      </c>
      <c r="M139" s="101">
        <v>0</v>
      </c>
      <c r="N139" s="76">
        <f>INT((M139*Valores!$C$2*100)+0.5)/100</f>
        <v>0</v>
      </c>
      <c r="O139" s="76">
        <f t="shared" si="25"/>
        <v>1860.6825</v>
      </c>
      <c r="P139" s="76">
        <f t="shared" si="26"/>
        <v>0</v>
      </c>
      <c r="Q139" s="102">
        <f>Valores!$C$20</f>
        <v>4080.56</v>
      </c>
      <c r="R139" s="102">
        <f>Valores!$D$4</f>
        <v>2966.67</v>
      </c>
      <c r="S139" s="76">
        <v>0</v>
      </c>
      <c r="T139" s="79">
        <f>Valores!$C$42</f>
        <v>1226.37</v>
      </c>
      <c r="U139" s="102">
        <f>Valores!$C$24</f>
        <v>2701.97</v>
      </c>
      <c r="V139" s="76">
        <f t="shared" si="23"/>
        <v>2701.97</v>
      </c>
      <c r="W139" s="76">
        <v>0</v>
      </c>
      <c r="X139" s="76">
        <v>0</v>
      </c>
      <c r="Y139" s="80">
        <v>0</v>
      </c>
      <c r="Z139" s="76">
        <f>Y139*Valores!$C$2</f>
        <v>0</v>
      </c>
      <c r="AA139" s="76">
        <v>0</v>
      </c>
      <c r="AB139" s="81">
        <f>Valores!$C$29</f>
        <v>160.21</v>
      </c>
      <c r="AC139" s="76">
        <f t="shared" si="29"/>
        <v>0</v>
      </c>
      <c r="AD139" s="76">
        <f>Valores!$C$30</f>
        <v>160.21</v>
      </c>
      <c r="AE139" s="80">
        <v>0</v>
      </c>
      <c r="AF139" s="76">
        <f>INT(((AE139*Valores!$C$2)*100)+0.5)/100</f>
        <v>0</v>
      </c>
      <c r="AG139" s="76">
        <f>Valores!$C$58</f>
        <v>325.89</v>
      </c>
      <c r="AH139" s="76">
        <f>Valores!$C$60</f>
        <v>93.11</v>
      </c>
      <c r="AI139" s="115">
        <f t="shared" si="30"/>
        <v>22051.882499999996</v>
      </c>
      <c r="AJ139" s="102">
        <f>Valores!$C$35</f>
        <v>599.19</v>
      </c>
      <c r="AK139" s="79">
        <f>Valores!$C$8</f>
        <v>0</v>
      </c>
      <c r="AL139" s="79">
        <f>Valores!$C$81</f>
        <v>1300</v>
      </c>
      <c r="AM139" s="81">
        <f>Valores!$C$53</f>
        <v>124.41</v>
      </c>
      <c r="AN139" s="83">
        <f t="shared" si="31"/>
        <v>1899.19</v>
      </c>
      <c r="AO139" s="62">
        <f>AI139*-Valores!$C$65</f>
        <v>-2866.7447249999996</v>
      </c>
      <c r="AP139" s="62">
        <f>AI139*-Valores!$C$66</f>
        <v>-110.25941249999998</v>
      </c>
      <c r="AQ139" s="78">
        <f>AI139*-Valores!$C$67</f>
        <v>-992.3347124999998</v>
      </c>
      <c r="AR139" s="78">
        <f>AI139*-Valores!$C$68</f>
        <v>-595.4008274999999</v>
      </c>
      <c r="AS139" s="78">
        <f>AI139*-Valores!$C$69</f>
        <v>-66.15564749999999</v>
      </c>
      <c r="AT139" s="82">
        <f t="shared" si="27"/>
        <v>19981.733649999995</v>
      </c>
      <c r="AU139" s="82">
        <f t="shared" si="28"/>
        <v>20312.511887499993</v>
      </c>
      <c r="AV139" s="78">
        <f>AI139*Valores!$C$71</f>
        <v>3528.3011999999994</v>
      </c>
      <c r="AW139" s="78">
        <f>AI139*Valores!$C$72</f>
        <v>992.3347124999998</v>
      </c>
      <c r="AX139" s="78">
        <f>AI139*Valores!$C$73</f>
        <v>220.51882499999996</v>
      </c>
      <c r="AY139" s="78">
        <f>AI139*Valores!$C$75</f>
        <v>771.8158874999999</v>
      </c>
      <c r="AZ139" s="78">
        <f>AI139*Valores!$C$76</f>
        <v>132.31129499999997</v>
      </c>
      <c r="BA139" s="78">
        <f t="shared" si="32"/>
        <v>1190.801655</v>
      </c>
      <c r="BB139" s="52">
        <v>12</v>
      </c>
      <c r="BC139" s="86">
        <v>15</v>
      </c>
      <c r="BD139" s="28" t="s">
        <v>4</v>
      </c>
    </row>
    <row r="140" spans="1:56" s="28" customFormat="1" ht="11.25" customHeight="1">
      <c r="A140" s="52">
        <v>139</v>
      </c>
      <c r="B140" s="52"/>
      <c r="C140" s="28" t="s">
        <v>418</v>
      </c>
      <c r="E140" s="28">
        <f t="shared" si="24"/>
        <v>33</v>
      </c>
      <c r="F140" s="72" t="s">
        <v>419</v>
      </c>
      <c r="G140" s="73">
        <v>1983</v>
      </c>
      <c r="H140" s="74">
        <f>INT((G140*Valores!$C$2*100)+0.5)/100</f>
        <v>13152.05</v>
      </c>
      <c r="I140" s="113">
        <v>0</v>
      </c>
      <c r="J140" s="76">
        <f>INT((I140*Valores!$C$2*100)+0.5)/100</f>
        <v>0</v>
      </c>
      <c r="K140" s="103">
        <v>0</v>
      </c>
      <c r="L140" s="76">
        <f>INT((K140*Valores!$C$2*100)+0.5)/100</f>
        <v>0</v>
      </c>
      <c r="M140" s="101">
        <v>0</v>
      </c>
      <c r="N140" s="76">
        <f>INT((M140*Valores!$C$2*100)+0.5)/100</f>
        <v>0</v>
      </c>
      <c r="O140" s="76">
        <f t="shared" si="25"/>
        <v>2567.6504999999997</v>
      </c>
      <c r="P140" s="76">
        <f t="shared" si="26"/>
        <v>0</v>
      </c>
      <c r="Q140" s="102">
        <f>Valores!$C$15</f>
        <v>4266.78</v>
      </c>
      <c r="R140" s="102">
        <f>Valores!$D$4</f>
        <v>2966.67</v>
      </c>
      <c r="S140" s="102">
        <f>Valores!$C$26</f>
        <v>3094.03</v>
      </c>
      <c r="T140" s="107">
        <f>Valores!$C$42</f>
        <v>1226.37</v>
      </c>
      <c r="U140" s="76">
        <f>Valores!$C$23</f>
        <v>2739.25</v>
      </c>
      <c r="V140" s="76">
        <f t="shared" si="23"/>
        <v>2739.25</v>
      </c>
      <c r="W140" s="76">
        <v>0</v>
      </c>
      <c r="X140" s="76">
        <v>0</v>
      </c>
      <c r="Y140" s="80">
        <v>0</v>
      </c>
      <c r="Z140" s="76">
        <f>Y140*Valores!$C$2</f>
        <v>0</v>
      </c>
      <c r="AA140" s="76">
        <v>0</v>
      </c>
      <c r="AB140" s="81">
        <f>Valores!$C$29</f>
        <v>160.21</v>
      </c>
      <c r="AC140" s="76">
        <f t="shared" si="29"/>
        <v>0</v>
      </c>
      <c r="AD140" s="76">
        <f>Valores!$C$30</f>
        <v>160.21</v>
      </c>
      <c r="AE140" s="80">
        <v>94</v>
      </c>
      <c r="AF140" s="76">
        <f>INT(((AE140*Valores!$C$2)*100)+0.5)/100</f>
        <v>623.45</v>
      </c>
      <c r="AG140" s="76">
        <f>Valores!$C$58</f>
        <v>325.89</v>
      </c>
      <c r="AH140" s="76">
        <f>Valores!$C$60</f>
        <v>93.11</v>
      </c>
      <c r="AI140" s="115">
        <f t="shared" si="30"/>
        <v>31375.670499999993</v>
      </c>
      <c r="AJ140" s="102">
        <f>Valores!$C$35</f>
        <v>599.19</v>
      </c>
      <c r="AK140" s="79">
        <f>Valores!$C$8</f>
        <v>0</v>
      </c>
      <c r="AL140" s="79">
        <f>Valores!$C$81</f>
        <v>1300</v>
      </c>
      <c r="AM140" s="81">
        <f>Valores!$C$51</f>
        <v>136.56</v>
      </c>
      <c r="AN140" s="83">
        <f t="shared" si="31"/>
        <v>1899.19</v>
      </c>
      <c r="AO140" s="62">
        <f>AI140*-Valores!$C$65</f>
        <v>-4078.837164999999</v>
      </c>
      <c r="AP140" s="62">
        <f>AI140*-Valores!$C$66</f>
        <v>-156.87835249999998</v>
      </c>
      <c r="AQ140" s="78">
        <f>AI140*-Valores!$C$67</f>
        <v>-1411.9051724999997</v>
      </c>
      <c r="AR140" s="78">
        <f>AI140*-Valores!$C$68</f>
        <v>-847.1431034999998</v>
      </c>
      <c r="AS140" s="78">
        <f>AI140*-Valores!$C$69</f>
        <v>-94.12701149999998</v>
      </c>
      <c r="AT140" s="82">
        <f t="shared" si="27"/>
        <v>27627.239809999992</v>
      </c>
      <c r="AU140" s="82">
        <f t="shared" si="28"/>
        <v>28097.874867499995</v>
      </c>
      <c r="AV140" s="78">
        <f>AI140*Valores!$C$71</f>
        <v>5020.107279999999</v>
      </c>
      <c r="AW140" s="78">
        <f>AI140*Valores!$C$72</f>
        <v>1411.9051724999997</v>
      </c>
      <c r="AX140" s="78">
        <f>AI140*Valores!$C$73</f>
        <v>313.75670499999995</v>
      </c>
      <c r="AY140" s="78">
        <f>AI140*Valores!$C$75</f>
        <v>1098.1484675</v>
      </c>
      <c r="AZ140" s="78">
        <f>AI140*Valores!$C$76</f>
        <v>188.25402299999996</v>
      </c>
      <c r="BA140" s="78">
        <f t="shared" si="32"/>
        <v>1694.2862069999996</v>
      </c>
      <c r="BB140" s="52"/>
      <c r="BC140" s="52"/>
      <c r="BD140" s="28" t="s">
        <v>8</v>
      </c>
    </row>
    <row r="141" spans="1:56" s="28" customFormat="1" ht="11.25" customHeight="1">
      <c r="A141" s="86">
        <v>140</v>
      </c>
      <c r="B141" s="86" t="s">
        <v>163</v>
      </c>
      <c r="C141" s="87" t="s">
        <v>420</v>
      </c>
      <c r="D141" s="87"/>
      <c r="E141" s="87">
        <f t="shared" si="24"/>
        <v>29</v>
      </c>
      <c r="F141" s="88" t="s">
        <v>421</v>
      </c>
      <c r="G141" s="89">
        <v>1378</v>
      </c>
      <c r="H141" s="90">
        <f>INT((G141*Valores!$C$2*100)+0.5)/100</f>
        <v>9139.45</v>
      </c>
      <c r="I141" s="104">
        <v>0</v>
      </c>
      <c r="J141" s="92">
        <f>INT((I141*Valores!$C$2*100)+0.5)/100</f>
        <v>0</v>
      </c>
      <c r="K141" s="105">
        <v>0</v>
      </c>
      <c r="L141" s="92">
        <f>INT((K141*Valores!$C$2*100)+0.5)/100</f>
        <v>0</v>
      </c>
      <c r="M141" s="106">
        <v>0</v>
      </c>
      <c r="N141" s="92">
        <f>INT((M141*Valores!$C$2*100)+0.5)/100</f>
        <v>0</v>
      </c>
      <c r="O141" s="92">
        <f t="shared" si="25"/>
        <v>1960.1685</v>
      </c>
      <c r="P141" s="92">
        <f t="shared" si="26"/>
        <v>0</v>
      </c>
      <c r="Q141" s="108">
        <f>Valores!$C$20</f>
        <v>4080.56</v>
      </c>
      <c r="R141" s="108">
        <f>Valores!$D$4</f>
        <v>2966.67</v>
      </c>
      <c r="S141" s="108">
        <f>Valores!$C$26</f>
        <v>3094.03</v>
      </c>
      <c r="T141" s="109">
        <f>Valores!$C$42</f>
        <v>1226.37</v>
      </c>
      <c r="U141" s="108">
        <f>Valores!$C$24</f>
        <v>2701.97</v>
      </c>
      <c r="V141" s="92">
        <f t="shared" si="23"/>
        <v>2701.97</v>
      </c>
      <c r="W141" s="92">
        <v>0</v>
      </c>
      <c r="X141" s="92">
        <v>0</v>
      </c>
      <c r="Y141" s="96">
        <v>0</v>
      </c>
      <c r="Z141" s="92">
        <f>Y141*Valores!$C$2</f>
        <v>0</v>
      </c>
      <c r="AA141" s="92">
        <v>0</v>
      </c>
      <c r="AB141" s="97">
        <f>Valores!$C$29</f>
        <v>160.21</v>
      </c>
      <c r="AC141" s="92">
        <f t="shared" si="29"/>
        <v>0</v>
      </c>
      <c r="AD141" s="92">
        <f>Valores!$C$30</f>
        <v>160.21</v>
      </c>
      <c r="AE141" s="96">
        <v>0</v>
      </c>
      <c r="AF141" s="92">
        <f>INT(((AE141*Valores!$C$2)*100)+0.5)/100</f>
        <v>0</v>
      </c>
      <c r="AG141" s="92">
        <f>Valores!$C$58</f>
        <v>325.89</v>
      </c>
      <c r="AH141" s="92">
        <f>Valores!$C$60</f>
        <v>93.11</v>
      </c>
      <c r="AI141" s="116">
        <f t="shared" si="30"/>
        <v>25908.638499999997</v>
      </c>
      <c r="AJ141" s="108">
        <f>Valores!$C$35</f>
        <v>599.19</v>
      </c>
      <c r="AK141" s="95">
        <f>Valores!$C$8</f>
        <v>0</v>
      </c>
      <c r="AL141" s="95">
        <f>Valores!$C$81</f>
        <v>1300</v>
      </c>
      <c r="AM141" s="97">
        <f>Valores!$C$51</f>
        <v>136.56</v>
      </c>
      <c r="AN141" s="99">
        <f t="shared" si="31"/>
        <v>1899.19</v>
      </c>
      <c r="AO141" s="117">
        <f>AI141*-Valores!$C$65</f>
        <v>-3368.123005</v>
      </c>
      <c r="AP141" s="117">
        <f>AI141*-Valores!$C$66</f>
        <v>-129.54319249999998</v>
      </c>
      <c r="AQ141" s="94">
        <f>AI141*-Valores!$C$67</f>
        <v>-1165.8887324999998</v>
      </c>
      <c r="AR141" s="94">
        <f>AI141*-Valores!$C$68</f>
        <v>-699.5332394999999</v>
      </c>
      <c r="AS141" s="94">
        <f>AI141*-Valores!$C$69</f>
        <v>-77.7259155</v>
      </c>
      <c r="AT141" s="98">
        <f t="shared" si="27"/>
        <v>23144.273569999994</v>
      </c>
      <c r="AU141" s="98">
        <f t="shared" si="28"/>
        <v>23532.903147499994</v>
      </c>
      <c r="AV141" s="94">
        <f>AI141*Valores!$C$71</f>
        <v>4145.382159999999</v>
      </c>
      <c r="AW141" s="94">
        <f>AI141*Valores!$C$72</f>
        <v>1165.8887324999998</v>
      </c>
      <c r="AX141" s="94">
        <f>AI141*Valores!$C$73</f>
        <v>259.08638499999995</v>
      </c>
      <c r="AY141" s="94">
        <f>AI141*Valores!$C$75</f>
        <v>906.8023475</v>
      </c>
      <c r="AZ141" s="94">
        <f>AI141*Valores!$C$76</f>
        <v>155.451831</v>
      </c>
      <c r="BA141" s="94">
        <f t="shared" si="32"/>
        <v>1399.0664789999998</v>
      </c>
      <c r="BB141" s="86"/>
      <c r="BC141" s="86">
        <v>22</v>
      </c>
      <c r="BD141" s="87" t="s">
        <v>4</v>
      </c>
    </row>
    <row r="142" spans="1:56" s="28" customFormat="1" ht="11.25" customHeight="1">
      <c r="A142" s="52">
        <v>141</v>
      </c>
      <c r="B142" s="52"/>
      <c r="C142" s="28" t="s">
        <v>422</v>
      </c>
      <c r="E142" s="28">
        <f t="shared" si="24"/>
        <v>30</v>
      </c>
      <c r="F142" s="72" t="s">
        <v>423</v>
      </c>
      <c r="G142" s="73">
        <v>1278</v>
      </c>
      <c r="H142" s="74">
        <f>INT((G142*Valores!$C$2*100)+0.5)/100</f>
        <v>8476.21</v>
      </c>
      <c r="I142" s="113">
        <v>0</v>
      </c>
      <c r="J142" s="76">
        <f>INT((I142*Valores!$C$2*100)+0.5)/100</f>
        <v>0</v>
      </c>
      <c r="K142" s="103">
        <v>0</v>
      </c>
      <c r="L142" s="76">
        <f>INT((K142*Valores!$C$2*100)+0.5)/100</f>
        <v>0</v>
      </c>
      <c r="M142" s="101">
        <v>0</v>
      </c>
      <c r="N142" s="76">
        <f>INT((M142*Valores!$C$2*100)+0.5)/100</f>
        <v>0</v>
      </c>
      <c r="O142" s="76">
        <f t="shared" si="25"/>
        <v>1866.2744999999995</v>
      </c>
      <c r="P142" s="76">
        <f t="shared" si="26"/>
        <v>0</v>
      </c>
      <c r="Q142" s="102">
        <f>Valores!$C$20</f>
        <v>4080.56</v>
      </c>
      <c r="R142" s="102">
        <f>Valores!$D$4</f>
        <v>2966.67</v>
      </c>
      <c r="S142" s="76">
        <f>Valores!$C$26</f>
        <v>3094.03</v>
      </c>
      <c r="T142" s="79">
        <f>Valores!$C$42</f>
        <v>1226.37</v>
      </c>
      <c r="U142" s="76">
        <f>Valores!$C$23</f>
        <v>2739.25</v>
      </c>
      <c r="V142" s="76">
        <f t="shared" si="23"/>
        <v>2739.25</v>
      </c>
      <c r="W142" s="76">
        <v>0</v>
      </c>
      <c r="X142" s="76">
        <v>0</v>
      </c>
      <c r="Y142" s="80">
        <v>0</v>
      </c>
      <c r="Z142" s="76">
        <f>Y142*Valores!$C$2</f>
        <v>0</v>
      </c>
      <c r="AA142" s="76">
        <v>0</v>
      </c>
      <c r="AB142" s="81">
        <f>Valores!$C$29</f>
        <v>160.21</v>
      </c>
      <c r="AC142" s="76">
        <f t="shared" si="29"/>
        <v>0</v>
      </c>
      <c r="AD142" s="76">
        <f>Valores!$C$30</f>
        <v>160.21</v>
      </c>
      <c r="AE142" s="80">
        <v>0</v>
      </c>
      <c r="AF142" s="76">
        <f>INT(((AE142*Valores!$C$2)*100)+0.5)/100</f>
        <v>0</v>
      </c>
      <c r="AG142" s="76">
        <f>Valores!$C$58</f>
        <v>325.89</v>
      </c>
      <c r="AH142" s="76">
        <f>Valores!$C$60</f>
        <v>93.11</v>
      </c>
      <c r="AI142" s="115">
        <f t="shared" si="30"/>
        <v>25188.784499999994</v>
      </c>
      <c r="AJ142" s="102">
        <f>Valores!$C$35</f>
        <v>599.19</v>
      </c>
      <c r="AK142" s="79">
        <f>Valores!$C$8</f>
        <v>0</v>
      </c>
      <c r="AL142" s="79">
        <f>Valores!$C$81</f>
        <v>1300</v>
      </c>
      <c r="AM142" s="81">
        <f>Valores!$C$51</f>
        <v>136.56</v>
      </c>
      <c r="AN142" s="83">
        <f t="shared" si="31"/>
        <v>1899.19</v>
      </c>
      <c r="AO142" s="62">
        <f>AI142*-Valores!$C$65</f>
        <v>-3274.5419849999994</v>
      </c>
      <c r="AP142" s="62">
        <f>AI142*-Valores!$C$66</f>
        <v>-125.94392249999997</v>
      </c>
      <c r="AQ142" s="78">
        <f>AI142*-Valores!$C$67</f>
        <v>-1133.4953024999998</v>
      </c>
      <c r="AR142" s="78">
        <f>AI142*-Valores!$C$68</f>
        <v>-680.0971814999998</v>
      </c>
      <c r="AS142" s="78">
        <f>AI142*-Valores!$C$69</f>
        <v>-75.56635349999999</v>
      </c>
      <c r="AT142" s="82">
        <f t="shared" si="27"/>
        <v>22553.993289999995</v>
      </c>
      <c r="AU142" s="82">
        <f t="shared" si="28"/>
        <v>22931.825057499995</v>
      </c>
      <c r="AV142" s="78">
        <f>AI142*Valores!$C$71</f>
        <v>4030.205519999999</v>
      </c>
      <c r="AW142" s="78">
        <f>AI142*Valores!$C$72</f>
        <v>1133.4953024999998</v>
      </c>
      <c r="AX142" s="78">
        <f>AI142*Valores!$C$73</f>
        <v>251.88784499999994</v>
      </c>
      <c r="AY142" s="78">
        <f>AI142*Valores!$C$75</f>
        <v>881.6074574999999</v>
      </c>
      <c r="AZ142" s="78">
        <f>AI142*Valores!$C$76</f>
        <v>151.13270699999998</v>
      </c>
      <c r="BA142" s="78">
        <f t="shared" si="32"/>
        <v>1360.1943629999996</v>
      </c>
      <c r="BB142" s="52"/>
      <c r="BC142" s="52">
        <v>22</v>
      </c>
      <c r="BD142" s="28" t="s">
        <v>4</v>
      </c>
    </row>
    <row r="143" spans="1:56" s="28" customFormat="1" ht="11.25" customHeight="1">
      <c r="A143" s="52">
        <v>142</v>
      </c>
      <c r="B143" s="52"/>
      <c r="C143" s="28" t="s">
        <v>424</v>
      </c>
      <c r="E143" s="28">
        <f t="shared" si="24"/>
        <v>31</v>
      </c>
      <c r="F143" s="72" t="s">
        <v>425</v>
      </c>
      <c r="G143" s="73">
        <v>1278</v>
      </c>
      <c r="H143" s="74">
        <f>INT((G143*Valores!$C$2*100)+0.5)/100</f>
        <v>8476.21</v>
      </c>
      <c r="I143" s="113">
        <v>0</v>
      </c>
      <c r="J143" s="76">
        <f>INT((I143*Valores!$C$2*100)+0.5)/100</f>
        <v>0</v>
      </c>
      <c r="K143" s="103">
        <v>0</v>
      </c>
      <c r="L143" s="76">
        <f>INT((K143*Valores!$C$2*100)+0.5)/100</f>
        <v>0</v>
      </c>
      <c r="M143" s="101">
        <v>0</v>
      </c>
      <c r="N143" s="76">
        <f>INT((M143*Valores!$C$2*100)+0.5)/100</f>
        <v>0</v>
      </c>
      <c r="O143" s="76">
        <f t="shared" si="25"/>
        <v>1768.7047499999996</v>
      </c>
      <c r="P143" s="76">
        <f t="shared" si="26"/>
        <v>0</v>
      </c>
      <c r="Q143" s="102">
        <f>Valores!$C$20</f>
        <v>4080.56</v>
      </c>
      <c r="R143" s="102">
        <f>Valores!$D$4</f>
        <v>2966.67</v>
      </c>
      <c r="S143" s="102">
        <f>Valores!$C$26</f>
        <v>3094.03</v>
      </c>
      <c r="T143" s="79">
        <f>Valores!$C$42/2</f>
        <v>613.185</v>
      </c>
      <c r="U143" s="102">
        <f>Valores!$C$24</f>
        <v>2701.97</v>
      </c>
      <c r="V143" s="76">
        <f t="shared" si="23"/>
        <v>2701.97</v>
      </c>
      <c r="W143" s="76">
        <v>0</v>
      </c>
      <c r="X143" s="76">
        <v>0</v>
      </c>
      <c r="Y143" s="80">
        <v>0</v>
      </c>
      <c r="Z143" s="76">
        <f>Y143*Valores!$C$2</f>
        <v>0</v>
      </c>
      <c r="AA143" s="76">
        <v>0</v>
      </c>
      <c r="AB143" s="81">
        <f>Valores!$C$29</f>
        <v>160.21</v>
      </c>
      <c r="AC143" s="76">
        <f t="shared" si="29"/>
        <v>0</v>
      </c>
      <c r="AD143" s="76">
        <f>Valores!$C$30</f>
        <v>160.21</v>
      </c>
      <c r="AE143" s="80">
        <v>0</v>
      </c>
      <c r="AF143" s="76">
        <f>INT(((AE143*Valores!$C$2)*100)+0.5)/100</f>
        <v>0</v>
      </c>
      <c r="AG143" s="76">
        <f>Valores!$C$58/2</f>
        <v>162.945</v>
      </c>
      <c r="AH143" s="76">
        <f>Valores!$C$60/2</f>
        <v>46.555</v>
      </c>
      <c r="AI143" s="115">
        <f t="shared" si="30"/>
        <v>24231.24975</v>
      </c>
      <c r="AJ143" s="102">
        <f>Valores!$C$35</f>
        <v>599.19</v>
      </c>
      <c r="AK143" s="79">
        <f>Valores!$C$8/2</f>
        <v>0</v>
      </c>
      <c r="AL143" s="79">
        <f>Valores!$C$81</f>
        <v>1300</v>
      </c>
      <c r="AM143" s="81">
        <f>Valores!$C$51</f>
        <v>136.56</v>
      </c>
      <c r="AN143" s="83">
        <f t="shared" si="31"/>
        <v>1899.19</v>
      </c>
      <c r="AO143" s="62">
        <f>AI143*-Valores!$C$65</f>
        <v>-3150.0624675</v>
      </c>
      <c r="AP143" s="62">
        <f>AI143*-Valores!$C$66</f>
        <v>-121.15624875</v>
      </c>
      <c r="AQ143" s="78">
        <f>AI143*-Valores!$C$67</f>
        <v>-1090.4062387499998</v>
      </c>
      <c r="AR143" s="78">
        <f>AI143*-Valores!$C$68</f>
        <v>-654.24374325</v>
      </c>
      <c r="AS143" s="78">
        <f>AI143*-Valores!$C$69</f>
        <v>-72.69374925</v>
      </c>
      <c r="AT143" s="82">
        <f t="shared" si="27"/>
        <v>21768.814795</v>
      </c>
      <c r="AU143" s="82">
        <f t="shared" si="28"/>
        <v>22132.283541249995</v>
      </c>
      <c r="AV143" s="78">
        <f>AI143*Valores!$C$71</f>
        <v>3876.99996</v>
      </c>
      <c r="AW143" s="78">
        <f>AI143*Valores!$C$72</f>
        <v>1090.4062387499998</v>
      </c>
      <c r="AX143" s="78">
        <f>AI143*Valores!$C$73</f>
        <v>242.3124975</v>
      </c>
      <c r="AY143" s="78">
        <f>AI143*Valores!$C$75</f>
        <v>848.09374125</v>
      </c>
      <c r="AZ143" s="78">
        <f>AI143*Valores!$C$76</f>
        <v>145.3874985</v>
      </c>
      <c r="BA143" s="78">
        <f t="shared" si="32"/>
        <v>1308.4874865000002</v>
      </c>
      <c r="BB143" s="52"/>
      <c r="BC143" s="52"/>
      <c r="BD143" s="28" t="s">
        <v>8</v>
      </c>
    </row>
    <row r="144" spans="1:56" s="28" customFormat="1" ht="11.25" customHeight="1">
      <c r="A144" s="52">
        <v>143</v>
      </c>
      <c r="B144" s="52"/>
      <c r="C144" s="28" t="s">
        <v>426</v>
      </c>
      <c r="E144" s="28">
        <f t="shared" si="24"/>
        <v>19</v>
      </c>
      <c r="F144" s="72" t="s">
        <v>427</v>
      </c>
      <c r="G144" s="73">
        <v>1278</v>
      </c>
      <c r="H144" s="74">
        <f>INT((G144*Valores!$C$2*100)+0.5)/100</f>
        <v>8476.21</v>
      </c>
      <c r="I144" s="113">
        <v>0</v>
      </c>
      <c r="J144" s="76">
        <f>INT((I144*Valores!$C$2*100)+0.5)/100</f>
        <v>0</v>
      </c>
      <c r="K144" s="103">
        <v>0</v>
      </c>
      <c r="L144" s="76">
        <f>INT((K144*Valores!$C$2*100)+0.5)/100</f>
        <v>0</v>
      </c>
      <c r="M144" s="101">
        <v>0</v>
      </c>
      <c r="N144" s="76">
        <f>INT((M144*Valores!$C$2*100)+0.5)/100</f>
        <v>0</v>
      </c>
      <c r="O144" s="76">
        <f t="shared" si="25"/>
        <v>1866.2744999999995</v>
      </c>
      <c r="P144" s="76">
        <f t="shared" si="26"/>
        <v>0</v>
      </c>
      <c r="Q144" s="102">
        <f>Valores!$C$20</f>
        <v>4080.56</v>
      </c>
      <c r="R144" s="102">
        <f>Valores!$D$4</f>
        <v>2966.67</v>
      </c>
      <c r="S144" s="102">
        <f>Valores!$C$26</f>
        <v>3094.03</v>
      </c>
      <c r="T144" s="107">
        <f>Valores!$C$42</f>
        <v>1226.37</v>
      </c>
      <c r="U144" s="76">
        <f>Valores!$C$23</f>
        <v>2739.25</v>
      </c>
      <c r="V144" s="76">
        <f t="shared" si="23"/>
        <v>2739.25</v>
      </c>
      <c r="W144" s="76">
        <v>0</v>
      </c>
      <c r="X144" s="76">
        <v>0</v>
      </c>
      <c r="Y144" s="80">
        <v>0</v>
      </c>
      <c r="Z144" s="76">
        <f>Y144*Valores!$C$2</f>
        <v>0</v>
      </c>
      <c r="AA144" s="76">
        <v>0</v>
      </c>
      <c r="AB144" s="81">
        <f>Valores!$C$29</f>
        <v>160.21</v>
      </c>
      <c r="AC144" s="76">
        <f t="shared" si="29"/>
        <v>0</v>
      </c>
      <c r="AD144" s="76">
        <f>Valores!$C$30</f>
        <v>160.21</v>
      </c>
      <c r="AE144" s="80">
        <v>0</v>
      </c>
      <c r="AF144" s="76">
        <f>INT(((AE144*Valores!$C$2)*100)+0.5)/100</f>
        <v>0</v>
      </c>
      <c r="AG144" s="76">
        <f>Valores!$C$58</f>
        <v>325.89</v>
      </c>
      <c r="AH144" s="76">
        <f>Valores!$C$60</f>
        <v>93.11</v>
      </c>
      <c r="AI144" s="115">
        <f t="shared" si="30"/>
        <v>25188.784499999994</v>
      </c>
      <c r="AJ144" s="102">
        <f>Valores!$C$35</f>
        <v>599.19</v>
      </c>
      <c r="AK144" s="79">
        <f>Valores!$C$8</f>
        <v>0</v>
      </c>
      <c r="AL144" s="79">
        <f>Valores!$C$81</f>
        <v>1300</v>
      </c>
      <c r="AM144" s="81">
        <f>Valores!$C$51</f>
        <v>136.56</v>
      </c>
      <c r="AN144" s="83">
        <f t="shared" si="31"/>
        <v>1899.19</v>
      </c>
      <c r="AO144" s="62">
        <f>AI144*-Valores!$C$65</f>
        <v>-3274.5419849999994</v>
      </c>
      <c r="AP144" s="62">
        <f>AI144*-Valores!$C$66</f>
        <v>-125.94392249999997</v>
      </c>
      <c r="AQ144" s="78">
        <f>AI144*-Valores!$C$67</f>
        <v>-1133.4953024999998</v>
      </c>
      <c r="AR144" s="78">
        <f>AI144*-Valores!$C$68</f>
        <v>-680.0971814999998</v>
      </c>
      <c r="AS144" s="78">
        <f>AI144*-Valores!$C$69</f>
        <v>-75.56635349999999</v>
      </c>
      <c r="AT144" s="82">
        <f t="shared" si="27"/>
        <v>22553.993289999995</v>
      </c>
      <c r="AU144" s="82">
        <f t="shared" si="28"/>
        <v>22931.825057499995</v>
      </c>
      <c r="AV144" s="78">
        <f>AI144*Valores!$C$71</f>
        <v>4030.205519999999</v>
      </c>
      <c r="AW144" s="78">
        <f>AI144*Valores!$C$72</f>
        <v>1133.4953024999998</v>
      </c>
      <c r="AX144" s="78">
        <f>AI144*Valores!$C$73</f>
        <v>251.88784499999994</v>
      </c>
      <c r="AY144" s="78">
        <f>AI144*Valores!$C$75</f>
        <v>881.6074574999999</v>
      </c>
      <c r="AZ144" s="78">
        <f>AI144*Valores!$C$76</f>
        <v>151.13270699999998</v>
      </c>
      <c r="BA144" s="78">
        <f t="shared" si="32"/>
        <v>1360.1943629999996</v>
      </c>
      <c r="BB144" s="52"/>
      <c r="BC144" s="86"/>
      <c r="BD144" s="28" t="s">
        <v>4</v>
      </c>
    </row>
    <row r="145" spans="1:56" s="28" customFormat="1" ht="11.25" customHeight="1">
      <c r="A145" s="52">
        <v>144</v>
      </c>
      <c r="B145" s="52"/>
      <c r="C145" s="28" t="s">
        <v>428</v>
      </c>
      <c r="E145" s="28">
        <f t="shared" si="24"/>
        <v>29</v>
      </c>
      <c r="F145" s="72" t="s">
        <v>429</v>
      </c>
      <c r="G145" s="73">
        <v>1278</v>
      </c>
      <c r="H145" s="74">
        <f>INT((G145*Valores!$C$2*100)+0.5)/100</f>
        <v>8476.21</v>
      </c>
      <c r="I145" s="113">
        <v>0</v>
      </c>
      <c r="J145" s="76">
        <f>INT((I145*Valores!$C$2*100)+0.5)/100</f>
        <v>0</v>
      </c>
      <c r="K145" s="103">
        <v>0</v>
      </c>
      <c r="L145" s="76">
        <f>INT((K145*Valores!$C$2*100)+0.5)/100</f>
        <v>0</v>
      </c>
      <c r="M145" s="101">
        <v>0</v>
      </c>
      <c r="N145" s="76">
        <f>INT((M145*Valores!$C$2*100)+0.5)/100</f>
        <v>0</v>
      </c>
      <c r="O145" s="76">
        <f t="shared" si="25"/>
        <v>1866.2744999999995</v>
      </c>
      <c r="P145" s="76">
        <f t="shared" si="26"/>
        <v>0</v>
      </c>
      <c r="Q145" s="102">
        <f>Valores!$C$20</f>
        <v>4080.56</v>
      </c>
      <c r="R145" s="102">
        <f>Valores!$D$4</f>
        <v>2966.67</v>
      </c>
      <c r="S145" s="102">
        <f>Valores!$C$26</f>
        <v>3094.03</v>
      </c>
      <c r="T145" s="107">
        <f>Valores!$C$42</f>
        <v>1226.37</v>
      </c>
      <c r="U145" s="76">
        <f>Valores!$C$23</f>
        <v>2739.25</v>
      </c>
      <c r="V145" s="76">
        <f t="shared" si="23"/>
        <v>2739.25</v>
      </c>
      <c r="W145" s="76">
        <v>0</v>
      </c>
      <c r="X145" s="76">
        <v>0</v>
      </c>
      <c r="Y145" s="80">
        <v>0</v>
      </c>
      <c r="Z145" s="76">
        <f>Y145*Valores!$C$2</f>
        <v>0</v>
      </c>
      <c r="AA145" s="76">
        <v>0</v>
      </c>
      <c r="AB145" s="81">
        <f>Valores!$C$29</f>
        <v>160.21</v>
      </c>
      <c r="AC145" s="76">
        <f t="shared" si="29"/>
        <v>0</v>
      </c>
      <c r="AD145" s="76">
        <f>Valores!$C$30</f>
        <v>160.21</v>
      </c>
      <c r="AE145" s="80">
        <v>0</v>
      </c>
      <c r="AF145" s="76">
        <f>INT(((AE145*Valores!$C$2)*100)+0.5)/100</f>
        <v>0</v>
      </c>
      <c r="AG145" s="76">
        <f>Valores!$C$58</f>
        <v>325.89</v>
      </c>
      <c r="AH145" s="76">
        <f>Valores!$C$60</f>
        <v>93.11</v>
      </c>
      <c r="AI145" s="115">
        <f t="shared" si="30"/>
        <v>25188.784499999994</v>
      </c>
      <c r="AJ145" s="102">
        <f>Valores!$C$35</f>
        <v>599.19</v>
      </c>
      <c r="AK145" s="79">
        <f>Valores!$C$8</f>
        <v>0</v>
      </c>
      <c r="AL145" s="79">
        <f>Valores!$C$81</f>
        <v>1300</v>
      </c>
      <c r="AM145" s="81">
        <f>Valores!$C$51</f>
        <v>136.56</v>
      </c>
      <c r="AN145" s="83">
        <f t="shared" si="31"/>
        <v>1899.19</v>
      </c>
      <c r="AO145" s="62">
        <f>AI145*-Valores!$C$65</f>
        <v>-3274.5419849999994</v>
      </c>
      <c r="AP145" s="62">
        <f>AI145*-Valores!$C$66</f>
        <v>-125.94392249999997</v>
      </c>
      <c r="AQ145" s="78">
        <f>AI145*-Valores!$C$67</f>
        <v>-1133.4953024999998</v>
      </c>
      <c r="AR145" s="78">
        <f>AI145*-Valores!$C$68</f>
        <v>-680.0971814999998</v>
      </c>
      <c r="AS145" s="78">
        <f>AI145*-Valores!$C$69</f>
        <v>-75.56635349999999</v>
      </c>
      <c r="AT145" s="82">
        <f t="shared" si="27"/>
        <v>22553.993289999995</v>
      </c>
      <c r="AU145" s="82">
        <f t="shared" si="28"/>
        <v>22931.825057499995</v>
      </c>
      <c r="AV145" s="78">
        <f>AI145*Valores!$C$71</f>
        <v>4030.205519999999</v>
      </c>
      <c r="AW145" s="78">
        <f>AI145*Valores!$C$72</f>
        <v>1133.4953024999998</v>
      </c>
      <c r="AX145" s="78">
        <f>AI145*Valores!$C$73</f>
        <v>251.88784499999994</v>
      </c>
      <c r="AY145" s="78">
        <f>AI145*Valores!$C$75</f>
        <v>881.6074574999999</v>
      </c>
      <c r="AZ145" s="78">
        <f>AI145*Valores!$C$76</f>
        <v>151.13270699999998</v>
      </c>
      <c r="BA145" s="78">
        <f t="shared" si="32"/>
        <v>1360.1943629999996</v>
      </c>
      <c r="BB145" s="52"/>
      <c r="BC145" s="52">
        <v>20</v>
      </c>
      <c r="BD145" s="28" t="s">
        <v>4</v>
      </c>
    </row>
    <row r="146" spans="1:56" s="28" customFormat="1" ht="11.25" customHeight="1">
      <c r="A146" s="86">
        <v>145</v>
      </c>
      <c r="B146" s="86" t="s">
        <v>163</v>
      </c>
      <c r="C146" s="87" t="s">
        <v>430</v>
      </c>
      <c r="D146" s="87"/>
      <c r="E146" s="87">
        <f t="shared" si="24"/>
        <v>31</v>
      </c>
      <c r="F146" s="88" t="s">
        <v>431</v>
      </c>
      <c r="G146" s="89">
        <v>1278</v>
      </c>
      <c r="H146" s="90">
        <f>INT((G146*Valores!$C$2*100)+0.5)/100</f>
        <v>8476.21</v>
      </c>
      <c r="I146" s="104">
        <v>0</v>
      </c>
      <c r="J146" s="92">
        <f>INT((I146*Valores!$C$2*100)+0.5)/100</f>
        <v>0</v>
      </c>
      <c r="K146" s="105">
        <v>0</v>
      </c>
      <c r="L146" s="92">
        <f>INT((K146*Valores!$C$2*100)+0.5)/100</f>
        <v>0</v>
      </c>
      <c r="M146" s="106">
        <v>0</v>
      </c>
      <c r="N146" s="92">
        <f>INT((M146*Valores!$C$2*100)+0.5)/100</f>
        <v>0</v>
      </c>
      <c r="O146" s="92">
        <f t="shared" si="25"/>
        <v>1866.2744999999995</v>
      </c>
      <c r="P146" s="92">
        <f t="shared" si="26"/>
        <v>0</v>
      </c>
      <c r="Q146" s="108">
        <f>Valores!$C$20</f>
        <v>4080.56</v>
      </c>
      <c r="R146" s="108">
        <f>Valores!$D$4</f>
        <v>2966.67</v>
      </c>
      <c r="S146" s="108">
        <f>Valores!$C$26</f>
        <v>3094.03</v>
      </c>
      <c r="T146" s="109">
        <f>Valores!$C$42</f>
        <v>1226.37</v>
      </c>
      <c r="U146" s="92">
        <f>Valores!$C$23</f>
        <v>2739.25</v>
      </c>
      <c r="V146" s="92">
        <f t="shared" si="23"/>
        <v>2739.25</v>
      </c>
      <c r="W146" s="92">
        <v>0</v>
      </c>
      <c r="X146" s="92">
        <v>0</v>
      </c>
      <c r="Y146" s="96">
        <v>0</v>
      </c>
      <c r="Z146" s="92">
        <f>Y146*Valores!$C$2</f>
        <v>0</v>
      </c>
      <c r="AA146" s="92">
        <v>0</v>
      </c>
      <c r="AB146" s="97">
        <f>Valores!$C$29</f>
        <v>160.21</v>
      </c>
      <c r="AC146" s="92">
        <f t="shared" si="29"/>
        <v>0</v>
      </c>
      <c r="AD146" s="92">
        <f>Valores!$C$30</f>
        <v>160.21</v>
      </c>
      <c r="AE146" s="96">
        <v>94</v>
      </c>
      <c r="AF146" s="92">
        <f>INT(((AE146*Valores!$C$2)*100)+0.5)/100</f>
        <v>623.45</v>
      </c>
      <c r="AG146" s="92">
        <f>Valores!$C$58</f>
        <v>325.89</v>
      </c>
      <c r="AH146" s="92">
        <f>Valores!$C$60</f>
        <v>93.11</v>
      </c>
      <c r="AI146" s="116">
        <f t="shared" si="30"/>
        <v>25812.234499999995</v>
      </c>
      <c r="AJ146" s="108">
        <f>Valores!$C$35</f>
        <v>599.19</v>
      </c>
      <c r="AK146" s="95">
        <f>Valores!$C$8</f>
        <v>0</v>
      </c>
      <c r="AL146" s="95">
        <f>Valores!$C$81</f>
        <v>1300</v>
      </c>
      <c r="AM146" s="97">
        <f>Valores!$C$51</f>
        <v>136.56</v>
      </c>
      <c r="AN146" s="99">
        <f t="shared" si="31"/>
        <v>1899.19</v>
      </c>
      <c r="AO146" s="117">
        <f>AI146*-Valores!$C$65</f>
        <v>-3355.5904849999993</v>
      </c>
      <c r="AP146" s="117">
        <f>AI146*-Valores!$C$66</f>
        <v>-129.06117249999997</v>
      </c>
      <c r="AQ146" s="94">
        <f>AI146*-Valores!$C$67</f>
        <v>-1161.5505524999996</v>
      </c>
      <c r="AR146" s="94">
        <f>AI146*-Valores!$C$68</f>
        <v>-696.9303314999999</v>
      </c>
      <c r="AS146" s="94">
        <f>AI146*-Valores!$C$69</f>
        <v>-77.4367035</v>
      </c>
      <c r="AT146" s="98">
        <f t="shared" si="27"/>
        <v>23065.22228999999</v>
      </c>
      <c r="AU146" s="98">
        <f t="shared" si="28"/>
        <v>23452.405807499992</v>
      </c>
      <c r="AV146" s="94">
        <f>AI146*Valores!$C$71</f>
        <v>4129.957519999999</v>
      </c>
      <c r="AW146" s="94">
        <f>AI146*Valores!$C$72</f>
        <v>1161.5505524999996</v>
      </c>
      <c r="AX146" s="94">
        <f>AI146*Valores!$C$73</f>
        <v>258.12234499999994</v>
      </c>
      <c r="AY146" s="94">
        <f>AI146*Valores!$C$75</f>
        <v>903.4282074999999</v>
      </c>
      <c r="AZ146" s="94">
        <f>AI146*Valores!$C$76</f>
        <v>154.873407</v>
      </c>
      <c r="BA146" s="94">
        <f t="shared" si="32"/>
        <v>1393.8606629999997</v>
      </c>
      <c r="BB146" s="86"/>
      <c r="BC146" s="86">
        <v>20</v>
      </c>
      <c r="BD146" s="87" t="s">
        <v>4</v>
      </c>
    </row>
    <row r="147" spans="1:56" s="28" customFormat="1" ht="11.25" customHeight="1">
      <c r="A147" s="52">
        <v>146</v>
      </c>
      <c r="B147" s="52"/>
      <c r="C147" s="28" t="s">
        <v>432</v>
      </c>
      <c r="E147" s="28">
        <f t="shared" si="24"/>
        <v>26</v>
      </c>
      <c r="F147" s="72" t="s">
        <v>433</v>
      </c>
      <c r="G147" s="73">
        <v>1278</v>
      </c>
      <c r="H147" s="74">
        <f>INT((G147*Valores!$C$2*100)+0.5)/100</f>
        <v>8476.21</v>
      </c>
      <c r="I147" s="113">
        <v>0</v>
      </c>
      <c r="J147" s="76">
        <f>INT((I147*Valores!$C$2*100)+0.5)/100</f>
        <v>0</v>
      </c>
      <c r="K147" s="103">
        <v>0</v>
      </c>
      <c r="L147" s="76">
        <f>INT((K147*Valores!$C$2*100)+0.5)/100</f>
        <v>0</v>
      </c>
      <c r="M147" s="101">
        <v>0</v>
      </c>
      <c r="N147" s="76">
        <f>INT((M147*Valores!$C$2*100)+0.5)/100</f>
        <v>0</v>
      </c>
      <c r="O147" s="76">
        <f t="shared" si="25"/>
        <v>1866.2744999999995</v>
      </c>
      <c r="P147" s="76">
        <f t="shared" si="26"/>
        <v>0</v>
      </c>
      <c r="Q147" s="102">
        <f>Valores!$C$20</f>
        <v>4080.56</v>
      </c>
      <c r="R147" s="102">
        <f>Valores!$D$4</f>
        <v>2966.67</v>
      </c>
      <c r="S147" s="79">
        <f>Valores!$C$26</f>
        <v>3094.03</v>
      </c>
      <c r="T147" s="79">
        <f>Valores!$C$42</f>
        <v>1226.37</v>
      </c>
      <c r="U147" s="102">
        <f>Valores!$C$23</f>
        <v>2739.25</v>
      </c>
      <c r="V147" s="76">
        <f t="shared" si="23"/>
        <v>2739.25</v>
      </c>
      <c r="W147" s="76">
        <v>0</v>
      </c>
      <c r="X147" s="76">
        <v>0</v>
      </c>
      <c r="Y147" s="80">
        <v>0</v>
      </c>
      <c r="Z147" s="76">
        <f>Y147*Valores!$C$2</f>
        <v>0</v>
      </c>
      <c r="AA147" s="76">
        <v>0</v>
      </c>
      <c r="AB147" s="81">
        <f>Valores!$C$29</f>
        <v>160.21</v>
      </c>
      <c r="AC147" s="76">
        <f t="shared" si="29"/>
        <v>0</v>
      </c>
      <c r="AD147" s="76">
        <f>Valores!$C$30</f>
        <v>160.21</v>
      </c>
      <c r="AE147" s="80">
        <v>0</v>
      </c>
      <c r="AF147" s="76">
        <f>INT(((AE147*Valores!$C$2)*100)+0.5)/100</f>
        <v>0</v>
      </c>
      <c r="AG147" s="76">
        <f>Valores!$C$58</f>
        <v>325.89</v>
      </c>
      <c r="AH147" s="76">
        <f>Valores!$C$60</f>
        <v>93.11</v>
      </c>
      <c r="AI147" s="115">
        <f t="shared" si="30"/>
        <v>25188.784499999994</v>
      </c>
      <c r="AJ147" s="102">
        <f>Valores!$C$35</f>
        <v>599.19</v>
      </c>
      <c r="AK147" s="79">
        <f>Valores!$C$8</f>
        <v>0</v>
      </c>
      <c r="AL147" s="79">
        <f>Valores!$C$81</f>
        <v>1300</v>
      </c>
      <c r="AM147" s="81">
        <f>Valores!$C$51</f>
        <v>136.56</v>
      </c>
      <c r="AN147" s="83">
        <f t="shared" si="31"/>
        <v>1899.19</v>
      </c>
      <c r="AO147" s="62">
        <f>AI147*-Valores!$C$65</f>
        <v>-3274.5419849999994</v>
      </c>
      <c r="AP147" s="62">
        <f>AI147*-Valores!$C$66</f>
        <v>-125.94392249999997</v>
      </c>
      <c r="AQ147" s="78">
        <f>AI147*-Valores!$C$67</f>
        <v>-1133.4953024999998</v>
      </c>
      <c r="AR147" s="78">
        <f>AI147*-Valores!$C$68</f>
        <v>-680.0971814999998</v>
      </c>
      <c r="AS147" s="78">
        <f>AI147*-Valores!$C$69</f>
        <v>-75.56635349999999</v>
      </c>
      <c r="AT147" s="82">
        <f t="shared" si="27"/>
        <v>22553.993289999995</v>
      </c>
      <c r="AU147" s="82">
        <f t="shared" si="28"/>
        <v>22931.825057499995</v>
      </c>
      <c r="AV147" s="78">
        <f>AI147*Valores!$C$71</f>
        <v>4030.205519999999</v>
      </c>
      <c r="AW147" s="78">
        <f>AI147*Valores!$C$72</f>
        <v>1133.4953024999998</v>
      </c>
      <c r="AX147" s="78">
        <f>AI147*Valores!$C$73</f>
        <v>251.88784499999994</v>
      </c>
      <c r="AY147" s="78">
        <f>AI147*Valores!$C$75</f>
        <v>881.6074574999999</v>
      </c>
      <c r="AZ147" s="78">
        <f>AI147*Valores!$C$76</f>
        <v>151.13270699999998</v>
      </c>
      <c r="BA147" s="78">
        <f t="shared" si="32"/>
        <v>1360.1943629999996</v>
      </c>
      <c r="BB147" s="52"/>
      <c r="BC147" s="52">
        <v>22</v>
      </c>
      <c r="BD147" s="28" t="s">
        <v>4</v>
      </c>
    </row>
    <row r="148" spans="1:56" s="28" customFormat="1" ht="11.25" customHeight="1">
      <c r="A148" s="52">
        <v>147</v>
      </c>
      <c r="B148" s="52"/>
      <c r="C148" s="28" t="s">
        <v>434</v>
      </c>
      <c r="E148" s="28">
        <f t="shared" si="24"/>
        <v>26</v>
      </c>
      <c r="F148" s="72" t="s">
        <v>435</v>
      </c>
      <c r="G148" s="73">
        <v>1278</v>
      </c>
      <c r="H148" s="74">
        <f>INT((G148*Valores!$C$2*100)+0.5)/100</f>
        <v>8476.21</v>
      </c>
      <c r="I148" s="113">
        <v>0</v>
      </c>
      <c r="J148" s="76">
        <f>INT((I148*Valores!$C$2*100)+0.5)/100</f>
        <v>0</v>
      </c>
      <c r="K148" s="103">
        <v>0</v>
      </c>
      <c r="L148" s="76">
        <f>INT((K148*Valores!$C$2*100)+0.5)/100</f>
        <v>0</v>
      </c>
      <c r="M148" s="101">
        <v>0</v>
      </c>
      <c r="N148" s="76">
        <f>INT((M148*Valores!$C$2*100)+0.5)/100</f>
        <v>0</v>
      </c>
      <c r="O148" s="76">
        <f t="shared" si="25"/>
        <v>1860.6825</v>
      </c>
      <c r="P148" s="76">
        <f t="shared" si="26"/>
        <v>0</v>
      </c>
      <c r="Q148" s="102">
        <f>Valores!$C$20</f>
        <v>4080.56</v>
      </c>
      <c r="R148" s="102">
        <f>Valores!$D$4</f>
        <v>2966.67</v>
      </c>
      <c r="S148" s="79">
        <v>0</v>
      </c>
      <c r="T148" s="79">
        <f>Valores!$C$42</f>
        <v>1226.37</v>
      </c>
      <c r="U148" s="102">
        <f>Valores!$C$24</f>
        <v>2701.97</v>
      </c>
      <c r="V148" s="76">
        <f t="shared" si="23"/>
        <v>2701.97</v>
      </c>
      <c r="W148" s="76">
        <v>0</v>
      </c>
      <c r="X148" s="76">
        <v>0</v>
      </c>
      <c r="Y148" s="80">
        <v>0</v>
      </c>
      <c r="Z148" s="76">
        <f>Y148*Valores!$C$2</f>
        <v>0</v>
      </c>
      <c r="AA148" s="76">
        <v>0</v>
      </c>
      <c r="AB148" s="81">
        <f>Valores!$C$29</f>
        <v>160.21</v>
      </c>
      <c r="AC148" s="76">
        <f t="shared" si="29"/>
        <v>0</v>
      </c>
      <c r="AD148" s="76">
        <f>Valores!$C$30</f>
        <v>160.21</v>
      </c>
      <c r="AE148" s="80">
        <v>0</v>
      </c>
      <c r="AF148" s="76">
        <f>INT(((AE148*Valores!$C$2)*100)+0.5)/100</f>
        <v>0</v>
      </c>
      <c r="AG148" s="76">
        <f>Valores!$C$58</f>
        <v>325.89</v>
      </c>
      <c r="AH148" s="76">
        <f>Valores!$C$60</f>
        <v>93.11</v>
      </c>
      <c r="AI148" s="115">
        <f t="shared" si="30"/>
        <v>22051.882499999996</v>
      </c>
      <c r="AJ148" s="102">
        <f>Valores!$C$35</f>
        <v>599.19</v>
      </c>
      <c r="AK148" s="79">
        <f>Valores!$C$8</f>
        <v>0</v>
      </c>
      <c r="AL148" s="79">
        <f>Valores!$C$81</f>
        <v>1300</v>
      </c>
      <c r="AM148" s="81">
        <f>Valores!$C$51</f>
        <v>136.56</v>
      </c>
      <c r="AN148" s="83">
        <f t="shared" si="31"/>
        <v>1899.19</v>
      </c>
      <c r="AO148" s="62">
        <f>AI148*-Valores!$C$65</f>
        <v>-2866.7447249999996</v>
      </c>
      <c r="AP148" s="62">
        <f>AI148*-Valores!$C$66</f>
        <v>-110.25941249999998</v>
      </c>
      <c r="AQ148" s="78">
        <f>AI148*-Valores!$C$67</f>
        <v>-992.3347124999998</v>
      </c>
      <c r="AR148" s="78">
        <f>AI148*-Valores!$C$68</f>
        <v>-595.4008274999999</v>
      </c>
      <c r="AS148" s="78">
        <f>AI148*-Valores!$C$69</f>
        <v>-66.15564749999999</v>
      </c>
      <c r="AT148" s="82">
        <f t="shared" si="27"/>
        <v>19981.733649999995</v>
      </c>
      <c r="AU148" s="82">
        <f t="shared" si="28"/>
        <v>20312.511887499993</v>
      </c>
      <c r="AV148" s="78">
        <f>AI148*Valores!$C$71</f>
        <v>3528.3011999999994</v>
      </c>
      <c r="AW148" s="78">
        <f>AI148*Valores!$C$72</f>
        <v>992.3347124999998</v>
      </c>
      <c r="AX148" s="78">
        <f>AI148*Valores!$C$73</f>
        <v>220.51882499999996</v>
      </c>
      <c r="AY148" s="78">
        <f>AI148*Valores!$C$75</f>
        <v>771.8158874999999</v>
      </c>
      <c r="AZ148" s="78">
        <f>AI148*Valores!$C$76</f>
        <v>132.31129499999997</v>
      </c>
      <c r="BA148" s="78">
        <f t="shared" si="32"/>
        <v>1190.801655</v>
      </c>
      <c r="BB148" s="52"/>
      <c r="BC148" s="52"/>
      <c r="BD148" s="28" t="s">
        <v>8</v>
      </c>
    </row>
    <row r="149" spans="1:56" s="28" customFormat="1" ht="11.25" customHeight="1">
      <c r="A149" s="52">
        <v>148</v>
      </c>
      <c r="B149" s="52"/>
      <c r="C149" s="28" t="s">
        <v>436</v>
      </c>
      <c r="E149" s="28">
        <f t="shared" si="24"/>
        <v>37</v>
      </c>
      <c r="F149" s="72" t="s">
        <v>437</v>
      </c>
      <c r="G149" s="73">
        <v>1278</v>
      </c>
      <c r="H149" s="74">
        <f>INT((G149*Valores!$C$2*100)+0.5)/100</f>
        <v>8476.21</v>
      </c>
      <c r="I149" s="113">
        <v>0</v>
      </c>
      <c r="J149" s="76">
        <f>INT((I149*Valores!$C$2*100)+0.5)/100</f>
        <v>0</v>
      </c>
      <c r="K149" s="103">
        <v>0</v>
      </c>
      <c r="L149" s="76">
        <f>INT((K149*Valores!$C$2*100)+0.5)/100</f>
        <v>0</v>
      </c>
      <c r="M149" s="101">
        <v>0</v>
      </c>
      <c r="N149" s="76">
        <f>INT((M149*Valores!$C$2*100)+0.5)/100</f>
        <v>0</v>
      </c>
      <c r="O149" s="76">
        <f t="shared" si="25"/>
        <v>1860.6825</v>
      </c>
      <c r="P149" s="76">
        <f t="shared" si="26"/>
        <v>0</v>
      </c>
      <c r="Q149" s="102">
        <f>Valores!$C$20</f>
        <v>4080.56</v>
      </c>
      <c r="R149" s="102">
        <f>Valores!$D$4</f>
        <v>2966.67</v>
      </c>
      <c r="S149" s="79">
        <v>0</v>
      </c>
      <c r="T149" s="79">
        <f>Valores!$C$42</f>
        <v>1226.37</v>
      </c>
      <c r="U149" s="102">
        <f>Valores!$C$24</f>
        <v>2701.97</v>
      </c>
      <c r="V149" s="76">
        <f t="shared" si="23"/>
        <v>2701.97</v>
      </c>
      <c r="W149" s="76">
        <v>0</v>
      </c>
      <c r="X149" s="76">
        <v>0</v>
      </c>
      <c r="Y149" s="80">
        <v>0</v>
      </c>
      <c r="Z149" s="76">
        <f>Y149*Valores!$C$2</f>
        <v>0</v>
      </c>
      <c r="AA149" s="76">
        <v>0</v>
      </c>
      <c r="AB149" s="81">
        <f>Valores!$C$29</f>
        <v>160.21</v>
      </c>
      <c r="AC149" s="76">
        <f t="shared" si="29"/>
        <v>0</v>
      </c>
      <c r="AD149" s="76">
        <f>Valores!$C$30</f>
        <v>160.21</v>
      </c>
      <c r="AE149" s="80">
        <v>0</v>
      </c>
      <c r="AF149" s="76">
        <f>INT(((AE149*Valores!$C$2)*100)+0.5)/100</f>
        <v>0</v>
      </c>
      <c r="AG149" s="76">
        <f>Valores!$C$58</f>
        <v>325.89</v>
      </c>
      <c r="AH149" s="76">
        <f>Valores!$C$60</f>
        <v>93.11</v>
      </c>
      <c r="AI149" s="115">
        <f t="shared" si="30"/>
        <v>22051.882499999996</v>
      </c>
      <c r="AJ149" s="102">
        <f>Valores!$C$35</f>
        <v>599.19</v>
      </c>
      <c r="AK149" s="79">
        <f>Valores!$C$8</f>
        <v>0</v>
      </c>
      <c r="AL149" s="79">
        <f>Valores!$C$81</f>
        <v>1300</v>
      </c>
      <c r="AM149" s="81">
        <f>Valores!$C$51</f>
        <v>136.56</v>
      </c>
      <c r="AN149" s="83">
        <f t="shared" si="31"/>
        <v>1899.19</v>
      </c>
      <c r="AO149" s="62">
        <f>AI149*-Valores!$C$65</f>
        <v>-2866.7447249999996</v>
      </c>
      <c r="AP149" s="62">
        <f>AI149*-Valores!$C$66</f>
        <v>-110.25941249999998</v>
      </c>
      <c r="AQ149" s="78">
        <f>AI149*-Valores!$C$67</f>
        <v>-992.3347124999998</v>
      </c>
      <c r="AR149" s="78">
        <f>AI149*-Valores!$C$68</f>
        <v>-595.4008274999999</v>
      </c>
      <c r="AS149" s="78">
        <f>AI149*-Valores!$C$69</f>
        <v>-66.15564749999999</v>
      </c>
      <c r="AT149" s="82">
        <f t="shared" si="27"/>
        <v>19981.733649999995</v>
      </c>
      <c r="AU149" s="82">
        <f t="shared" si="28"/>
        <v>20312.511887499993</v>
      </c>
      <c r="AV149" s="78">
        <f>AI149*Valores!$C$71</f>
        <v>3528.3011999999994</v>
      </c>
      <c r="AW149" s="78">
        <f>AI149*Valores!$C$72</f>
        <v>992.3347124999998</v>
      </c>
      <c r="AX149" s="78">
        <f>AI149*Valores!$C$73</f>
        <v>220.51882499999996</v>
      </c>
      <c r="AY149" s="78">
        <f>AI149*Valores!$C$75</f>
        <v>771.8158874999999</v>
      </c>
      <c r="AZ149" s="78">
        <f>AI149*Valores!$C$76</f>
        <v>132.31129499999997</v>
      </c>
      <c r="BA149" s="78">
        <f t="shared" si="32"/>
        <v>1190.801655</v>
      </c>
      <c r="BB149" s="52"/>
      <c r="BC149" s="86"/>
      <c r="BD149" s="28" t="s">
        <v>8</v>
      </c>
    </row>
    <row r="150" spans="1:56" s="28" customFormat="1" ht="11.25" customHeight="1">
      <c r="A150" s="52">
        <v>149</v>
      </c>
      <c r="B150" s="52"/>
      <c r="C150" s="28" t="s">
        <v>438</v>
      </c>
      <c r="E150" s="28">
        <f t="shared" si="24"/>
        <v>27</v>
      </c>
      <c r="F150" s="72" t="s">
        <v>439</v>
      </c>
      <c r="G150" s="73">
        <v>1060</v>
      </c>
      <c r="H150" s="74">
        <f>INT((G150*Valores!$C$2*100)+0.5)/100</f>
        <v>7030.34</v>
      </c>
      <c r="I150" s="113">
        <v>0</v>
      </c>
      <c r="J150" s="76">
        <f>INT((I150*Valores!$C$2*100)+0.5)/100</f>
        <v>0</v>
      </c>
      <c r="K150" s="103">
        <v>0</v>
      </c>
      <c r="L150" s="76">
        <f>INT((K150*Valores!$C$2*100)+0.5)/100</f>
        <v>0</v>
      </c>
      <c r="M150" s="101">
        <v>0</v>
      </c>
      <c r="N150" s="76">
        <f>INT((M150*Valores!$C$2*100)+0.5)/100</f>
        <v>0</v>
      </c>
      <c r="O150" s="76">
        <f t="shared" si="25"/>
        <v>1649.3939999999998</v>
      </c>
      <c r="P150" s="76">
        <f t="shared" si="26"/>
        <v>0</v>
      </c>
      <c r="Q150" s="102">
        <f>Valores!$C$20</f>
        <v>4080.56</v>
      </c>
      <c r="R150" s="102">
        <f>Valores!$D$4</f>
        <v>2966.67</v>
      </c>
      <c r="S150" s="107">
        <f>Valores!$C$26</f>
        <v>3094.03</v>
      </c>
      <c r="T150" s="107">
        <f>Valores!$C$42</f>
        <v>1226.37</v>
      </c>
      <c r="U150" s="76">
        <f>Valores!$C$23</f>
        <v>2739.25</v>
      </c>
      <c r="V150" s="76">
        <f t="shared" si="23"/>
        <v>2739.25</v>
      </c>
      <c r="W150" s="76">
        <v>0</v>
      </c>
      <c r="X150" s="76">
        <v>0</v>
      </c>
      <c r="Y150" s="80">
        <v>0</v>
      </c>
      <c r="Z150" s="76">
        <f>Y150*Valores!$C$2</f>
        <v>0</v>
      </c>
      <c r="AA150" s="76">
        <v>0</v>
      </c>
      <c r="AB150" s="81">
        <f>Valores!$C$29</f>
        <v>160.21</v>
      </c>
      <c r="AC150" s="76">
        <f t="shared" si="29"/>
        <v>0</v>
      </c>
      <c r="AD150" s="76">
        <f>Valores!$C$30</f>
        <v>160.21</v>
      </c>
      <c r="AE150" s="80">
        <v>0</v>
      </c>
      <c r="AF150" s="76">
        <f>INT(((AE150*Valores!$C$2)*100)+0.5)/100</f>
        <v>0</v>
      </c>
      <c r="AG150" s="76">
        <f>Valores!$C$58</f>
        <v>325.89</v>
      </c>
      <c r="AH150" s="76">
        <f>Valores!$C$60</f>
        <v>93.11</v>
      </c>
      <c r="AI150" s="115">
        <f t="shared" si="30"/>
        <v>23526.033999999996</v>
      </c>
      <c r="AJ150" s="102">
        <f>Valores!$C$35</f>
        <v>599.19</v>
      </c>
      <c r="AK150" s="79">
        <f>Valores!$C$8</f>
        <v>0</v>
      </c>
      <c r="AL150" s="79">
        <f>Valores!$C$81</f>
        <v>1300</v>
      </c>
      <c r="AM150" s="81">
        <f>Valores!$C$51</f>
        <v>136.56</v>
      </c>
      <c r="AN150" s="83">
        <f t="shared" si="31"/>
        <v>1899.19</v>
      </c>
      <c r="AO150" s="62">
        <f>AI150*-Valores!$C$65</f>
        <v>-3058.3844199999994</v>
      </c>
      <c r="AP150" s="62">
        <f>AI150*-Valores!$C$66</f>
        <v>-117.63016999999998</v>
      </c>
      <c r="AQ150" s="78">
        <f>AI150*-Valores!$C$67</f>
        <v>-1058.6715299999998</v>
      </c>
      <c r="AR150" s="78">
        <f>AI150*-Valores!$C$68</f>
        <v>-635.2029179999998</v>
      </c>
      <c r="AS150" s="78">
        <f>AI150*-Valores!$C$69</f>
        <v>-70.57810199999999</v>
      </c>
      <c r="AT150" s="82">
        <f t="shared" si="27"/>
        <v>21190.537879999996</v>
      </c>
      <c r="AU150" s="82">
        <f t="shared" si="28"/>
        <v>21543.428389999997</v>
      </c>
      <c r="AV150" s="78">
        <f>AI150*Valores!$C$71</f>
        <v>3764.1654399999993</v>
      </c>
      <c r="AW150" s="78">
        <f>AI150*Valores!$C$72</f>
        <v>1058.6715299999998</v>
      </c>
      <c r="AX150" s="78">
        <f>AI150*Valores!$C$73</f>
        <v>235.26033999999996</v>
      </c>
      <c r="AY150" s="78">
        <f>AI150*Valores!$C$75</f>
        <v>823.4111899999999</v>
      </c>
      <c r="AZ150" s="78">
        <f>AI150*Valores!$C$76</f>
        <v>141.15620399999997</v>
      </c>
      <c r="BA150" s="78">
        <f t="shared" si="32"/>
        <v>1270.405836</v>
      </c>
      <c r="BB150" s="52"/>
      <c r="BC150" s="52"/>
      <c r="BD150" s="28" t="s">
        <v>4</v>
      </c>
    </row>
    <row r="151" spans="1:56" s="28" customFormat="1" ht="11.25" customHeight="1">
      <c r="A151" s="86">
        <v>150</v>
      </c>
      <c r="B151" s="86" t="s">
        <v>163</v>
      </c>
      <c r="C151" s="87" t="s">
        <v>440</v>
      </c>
      <c r="D151" s="87"/>
      <c r="E151" s="87">
        <f t="shared" si="24"/>
        <v>23</v>
      </c>
      <c r="F151" s="88" t="s">
        <v>441</v>
      </c>
      <c r="G151" s="89">
        <v>1278</v>
      </c>
      <c r="H151" s="90">
        <f>INT((G151*Valores!$C$2*100)+0.5)/100</f>
        <v>8476.21</v>
      </c>
      <c r="I151" s="104">
        <v>0</v>
      </c>
      <c r="J151" s="92">
        <f>INT((I151*Valores!$C$2*100)+0.5)/100</f>
        <v>0</v>
      </c>
      <c r="K151" s="105">
        <v>0</v>
      </c>
      <c r="L151" s="92">
        <f>INT((K151*Valores!$C$2*100)+0.5)/100</f>
        <v>0</v>
      </c>
      <c r="M151" s="106">
        <v>0</v>
      </c>
      <c r="N151" s="92">
        <f>INT((M151*Valores!$C$2*100)+0.5)/100</f>
        <v>0</v>
      </c>
      <c r="O151" s="92">
        <f t="shared" si="25"/>
        <v>1860.6825</v>
      </c>
      <c r="P151" s="92">
        <f t="shared" si="26"/>
        <v>0</v>
      </c>
      <c r="Q151" s="108">
        <f>Valores!$C$20</f>
        <v>4080.56</v>
      </c>
      <c r="R151" s="108">
        <f>Valores!$D$4</f>
        <v>2966.67</v>
      </c>
      <c r="S151" s="109">
        <f>Valores!$C$26</f>
        <v>3094.03</v>
      </c>
      <c r="T151" s="109">
        <f>Valores!$C$42</f>
        <v>1226.37</v>
      </c>
      <c r="U151" s="108">
        <f>Valores!$C$24</f>
        <v>2701.97</v>
      </c>
      <c r="V151" s="92">
        <f t="shared" si="23"/>
        <v>2701.97</v>
      </c>
      <c r="W151" s="92">
        <v>0</v>
      </c>
      <c r="X151" s="92">
        <v>0</v>
      </c>
      <c r="Y151" s="96">
        <v>0</v>
      </c>
      <c r="Z151" s="92">
        <f>Y151*Valores!$C$2</f>
        <v>0</v>
      </c>
      <c r="AA151" s="92">
        <v>0</v>
      </c>
      <c r="AB151" s="97">
        <f>Valores!$C$29</f>
        <v>160.21</v>
      </c>
      <c r="AC151" s="92">
        <f t="shared" si="29"/>
        <v>0</v>
      </c>
      <c r="AD151" s="92">
        <f>Valores!$C$30</f>
        <v>160.21</v>
      </c>
      <c r="AE151" s="96">
        <v>0</v>
      </c>
      <c r="AF151" s="92">
        <f>INT(((AE151*Valores!$C$2)*100)+0.5)/100</f>
        <v>0</v>
      </c>
      <c r="AG151" s="92">
        <f>Valores!$C$58</f>
        <v>325.89</v>
      </c>
      <c r="AH151" s="92">
        <f>Valores!$C$60</f>
        <v>93.11</v>
      </c>
      <c r="AI151" s="116">
        <f t="shared" si="30"/>
        <v>25145.912499999995</v>
      </c>
      <c r="AJ151" s="108">
        <f>Valores!$C$35</f>
        <v>599.19</v>
      </c>
      <c r="AK151" s="95">
        <f>Valores!$C$8</f>
        <v>0</v>
      </c>
      <c r="AL151" s="95">
        <f>Valores!$C$81</f>
        <v>1300</v>
      </c>
      <c r="AM151" s="97">
        <f>Valores!$C$51</f>
        <v>136.56</v>
      </c>
      <c r="AN151" s="99">
        <f t="shared" si="31"/>
        <v>1899.19</v>
      </c>
      <c r="AO151" s="117">
        <f>AI151*-Valores!$C$65</f>
        <v>-3268.9686249999995</v>
      </c>
      <c r="AP151" s="117">
        <f>AI151*-Valores!$C$66</f>
        <v>-125.72956249999997</v>
      </c>
      <c r="AQ151" s="94">
        <f>AI151*-Valores!$C$67</f>
        <v>-1131.5660624999998</v>
      </c>
      <c r="AR151" s="94">
        <f>AI151*-Valores!$C$68</f>
        <v>-678.9396374999999</v>
      </c>
      <c r="AS151" s="94">
        <f>AI151*-Valores!$C$69</f>
        <v>-75.43773749999998</v>
      </c>
      <c r="AT151" s="98">
        <f t="shared" si="27"/>
        <v>22518.838249999993</v>
      </c>
      <c r="AU151" s="98">
        <f t="shared" si="28"/>
        <v>22896.026937499995</v>
      </c>
      <c r="AV151" s="94">
        <f>AI151*Valores!$C$71</f>
        <v>4023.345999999999</v>
      </c>
      <c r="AW151" s="94">
        <f>AI151*Valores!$C$72</f>
        <v>1131.5660624999998</v>
      </c>
      <c r="AX151" s="94">
        <f>AI151*Valores!$C$73</f>
        <v>251.45912499999994</v>
      </c>
      <c r="AY151" s="94">
        <f>AI151*Valores!$C$75</f>
        <v>880.1069375</v>
      </c>
      <c r="AZ151" s="94">
        <f>AI151*Valores!$C$76</f>
        <v>150.87547499999997</v>
      </c>
      <c r="BA151" s="94">
        <f t="shared" si="32"/>
        <v>1357.879275</v>
      </c>
      <c r="BB151" s="86"/>
      <c r="BC151" s="86">
        <v>22</v>
      </c>
      <c r="BD151" s="87" t="s">
        <v>4</v>
      </c>
    </row>
    <row r="152" spans="1:56" s="28" customFormat="1" ht="11.25" customHeight="1">
      <c r="A152" s="52">
        <v>151</v>
      </c>
      <c r="B152" s="52"/>
      <c r="C152" s="28" t="s">
        <v>442</v>
      </c>
      <c r="E152" s="28">
        <f t="shared" si="24"/>
        <v>18</v>
      </c>
      <c r="F152" s="72" t="s">
        <v>443</v>
      </c>
      <c r="G152" s="73">
        <v>1278</v>
      </c>
      <c r="H152" s="74">
        <f>INT((G152*Valores!$C$2*100)+0.5)/100</f>
        <v>8476.21</v>
      </c>
      <c r="I152" s="113">
        <v>0</v>
      </c>
      <c r="J152" s="76">
        <f>INT((I152*Valores!$C$2*100)+0.5)/100</f>
        <v>0</v>
      </c>
      <c r="K152" s="103">
        <v>0</v>
      </c>
      <c r="L152" s="76">
        <f>INT((K152*Valores!$C$2*100)+0.5)/100</f>
        <v>0</v>
      </c>
      <c r="M152" s="101">
        <v>0</v>
      </c>
      <c r="N152" s="76">
        <f>INT((M152*Valores!$C$2*100)+0.5)/100</f>
        <v>0</v>
      </c>
      <c r="O152" s="76">
        <f t="shared" si="25"/>
        <v>1866.2744999999995</v>
      </c>
      <c r="P152" s="76">
        <f t="shared" si="26"/>
        <v>0</v>
      </c>
      <c r="Q152" s="102">
        <f>Valores!$C$20</f>
        <v>4080.56</v>
      </c>
      <c r="R152" s="102">
        <f>Valores!$D$4</f>
        <v>2966.67</v>
      </c>
      <c r="S152" s="79">
        <f>Valores!$C$26</f>
        <v>3094.03</v>
      </c>
      <c r="T152" s="79">
        <f>Valores!$C$42</f>
        <v>1226.37</v>
      </c>
      <c r="U152" s="76">
        <f>Valores!$C$23</f>
        <v>2739.25</v>
      </c>
      <c r="V152" s="76">
        <f t="shared" si="23"/>
        <v>2739.25</v>
      </c>
      <c r="W152" s="76">
        <v>0</v>
      </c>
      <c r="X152" s="76">
        <v>0</v>
      </c>
      <c r="Y152" s="80">
        <v>0</v>
      </c>
      <c r="Z152" s="76">
        <f>Y152*Valores!$C$2</f>
        <v>0</v>
      </c>
      <c r="AA152" s="76">
        <v>0</v>
      </c>
      <c r="AB152" s="81">
        <f>Valores!$C$29</f>
        <v>160.21</v>
      </c>
      <c r="AC152" s="76">
        <f t="shared" si="29"/>
        <v>0</v>
      </c>
      <c r="AD152" s="76">
        <f>Valores!$C$30</f>
        <v>160.21</v>
      </c>
      <c r="AE152" s="80">
        <v>0</v>
      </c>
      <c r="AF152" s="76">
        <f>INT(((AE152*Valores!$C$2)*100)+0.5)/100</f>
        <v>0</v>
      </c>
      <c r="AG152" s="76">
        <f>Valores!$C$58</f>
        <v>325.89</v>
      </c>
      <c r="AH152" s="76">
        <f>Valores!$C$60</f>
        <v>93.11</v>
      </c>
      <c r="AI152" s="115">
        <f t="shared" si="30"/>
        <v>25188.784499999994</v>
      </c>
      <c r="AJ152" s="102">
        <f>Valores!$C$35</f>
        <v>599.19</v>
      </c>
      <c r="AK152" s="79">
        <f>Valores!$C$8</f>
        <v>0</v>
      </c>
      <c r="AL152" s="79">
        <f>Valores!$C$81</f>
        <v>1300</v>
      </c>
      <c r="AM152" s="81">
        <f>Valores!$C$51</f>
        <v>136.56</v>
      </c>
      <c r="AN152" s="83">
        <f t="shared" si="31"/>
        <v>1899.19</v>
      </c>
      <c r="AO152" s="62">
        <f>AI152*-Valores!$C$65</f>
        <v>-3274.5419849999994</v>
      </c>
      <c r="AP152" s="62">
        <f>AI152*-Valores!$C$66</f>
        <v>-125.94392249999997</v>
      </c>
      <c r="AQ152" s="78">
        <f>AI152*-Valores!$C$67</f>
        <v>-1133.4953024999998</v>
      </c>
      <c r="AR152" s="78">
        <f>AI152*-Valores!$C$68</f>
        <v>-680.0971814999998</v>
      </c>
      <c r="AS152" s="78">
        <f>AI152*-Valores!$C$69</f>
        <v>-75.56635349999999</v>
      </c>
      <c r="AT152" s="82">
        <f t="shared" si="27"/>
        <v>22553.993289999995</v>
      </c>
      <c r="AU152" s="82">
        <f t="shared" si="28"/>
        <v>22931.825057499995</v>
      </c>
      <c r="AV152" s="78">
        <f>AI152*Valores!$C$71</f>
        <v>4030.205519999999</v>
      </c>
      <c r="AW152" s="78">
        <f>AI152*Valores!$C$72</f>
        <v>1133.4953024999998</v>
      </c>
      <c r="AX152" s="78">
        <f>AI152*Valores!$C$73</f>
        <v>251.88784499999994</v>
      </c>
      <c r="AY152" s="78">
        <f>AI152*Valores!$C$75</f>
        <v>881.6074574999999</v>
      </c>
      <c r="AZ152" s="78">
        <f>AI152*Valores!$C$76</f>
        <v>151.13270699999998</v>
      </c>
      <c r="BA152" s="78">
        <f t="shared" si="32"/>
        <v>1360.1943629999996</v>
      </c>
      <c r="BB152" s="52"/>
      <c r="BC152" s="52">
        <v>25</v>
      </c>
      <c r="BD152" s="28" t="s">
        <v>4</v>
      </c>
    </row>
    <row r="153" spans="1:56" s="28" customFormat="1" ht="11.25" customHeight="1">
      <c r="A153" s="52">
        <v>152</v>
      </c>
      <c r="B153" s="52"/>
      <c r="C153" s="28" t="s">
        <v>444</v>
      </c>
      <c r="E153" s="28">
        <f t="shared" si="24"/>
        <v>13</v>
      </c>
      <c r="F153" s="72" t="s">
        <v>445</v>
      </c>
      <c r="G153" s="73">
        <v>1065</v>
      </c>
      <c r="H153" s="74">
        <f>INT((G153*Valores!$C$2*100)+0.5)/100</f>
        <v>7063.51</v>
      </c>
      <c r="I153" s="113">
        <v>0</v>
      </c>
      <c r="J153" s="76">
        <f>INT((I153*Valores!$C$2*100)+0.5)/100</f>
        <v>0</v>
      </c>
      <c r="K153" s="103">
        <v>0</v>
      </c>
      <c r="L153" s="76">
        <f>INT((K153*Valores!$C$2*100)+0.5)/100</f>
        <v>0</v>
      </c>
      <c r="M153" s="101">
        <v>0</v>
      </c>
      <c r="N153" s="76">
        <f>INT((M153*Valores!$C$2*100)+0.5)/100</f>
        <v>0</v>
      </c>
      <c r="O153" s="76">
        <f t="shared" si="25"/>
        <v>1631.3729999999998</v>
      </c>
      <c r="P153" s="76">
        <f t="shared" si="26"/>
        <v>0</v>
      </c>
      <c r="Q153" s="102">
        <f>Valores!$C$20</f>
        <v>4080.56</v>
      </c>
      <c r="R153" s="102">
        <f>Valores!$D$4</f>
        <v>2966.67</v>
      </c>
      <c r="S153" s="79">
        <f>Valores!$C$27</f>
        <v>2851.94</v>
      </c>
      <c r="T153" s="79">
        <f>Valores!$C$41</f>
        <v>1073.06</v>
      </c>
      <c r="U153" s="102">
        <f>Valores!$C$23</f>
        <v>2739.25</v>
      </c>
      <c r="V153" s="76">
        <f t="shared" si="23"/>
        <v>2739.25</v>
      </c>
      <c r="W153" s="76">
        <v>0</v>
      </c>
      <c r="X153" s="76">
        <v>0</v>
      </c>
      <c r="Y153" s="80">
        <v>0</v>
      </c>
      <c r="Z153" s="76">
        <f>Y153*Valores!$C$2</f>
        <v>0</v>
      </c>
      <c r="AA153" s="76">
        <v>0</v>
      </c>
      <c r="AB153" s="81">
        <f>Valores!$C$29</f>
        <v>160.21</v>
      </c>
      <c r="AC153" s="76">
        <f t="shared" si="29"/>
        <v>0</v>
      </c>
      <c r="AD153" s="76">
        <f>Valores!$C$30</f>
        <v>160.21</v>
      </c>
      <c r="AE153" s="80">
        <v>0</v>
      </c>
      <c r="AF153" s="76">
        <f>INT(((AE153*Valores!$C$2)*100)+0.5)/100</f>
        <v>0</v>
      </c>
      <c r="AG153" s="76">
        <f>Valores!$C$58</f>
        <v>325.89</v>
      </c>
      <c r="AH153" s="76">
        <f>Valores!$C$60</f>
        <v>93.11</v>
      </c>
      <c r="AI153" s="115">
        <f t="shared" si="30"/>
        <v>23145.783</v>
      </c>
      <c r="AJ153" s="102">
        <f>Valores!$C$35</f>
        <v>599.19</v>
      </c>
      <c r="AK153" s="79">
        <f>Valores!$C$7</f>
        <v>0</v>
      </c>
      <c r="AL153" s="79">
        <f>Valores!$C$81</f>
        <v>1300</v>
      </c>
      <c r="AM153" s="81">
        <f>Valores!$C$51</f>
        <v>136.56</v>
      </c>
      <c r="AN153" s="83">
        <f t="shared" si="31"/>
        <v>1899.19</v>
      </c>
      <c r="AO153" s="62">
        <f>AI153*-Valores!$C$65</f>
        <v>-3008.95179</v>
      </c>
      <c r="AP153" s="62">
        <f>AI153*-Valores!$C$66</f>
        <v>-115.728915</v>
      </c>
      <c r="AQ153" s="78">
        <f>AI153*-Valores!$C$67</f>
        <v>-1041.560235</v>
      </c>
      <c r="AR153" s="78">
        <f>AI153*-Valores!$C$68</f>
        <v>-624.936141</v>
      </c>
      <c r="AS153" s="78">
        <f>AI153*-Valores!$C$69</f>
        <v>-69.437349</v>
      </c>
      <c r="AT153" s="82">
        <f t="shared" si="27"/>
        <v>20878.73206</v>
      </c>
      <c r="AU153" s="82">
        <f t="shared" si="28"/>
        <v>21225.918805</v>
      </c>
      <c r="AV153" s="78">
        <f>AI153*Valores!$C$71</f>
        <v>3703.32528</v>
      </c>
      <c r="AW153" s="78">
        <f>AI153*Valores!$C$72</f>
        <v>1041.560235</v>
      </c>
      <c r="AX153" s="78">
        <f>AI153*Valores!$C$73</f>
        <v>231.45783</v>
      </c>
      <c r="AY153" s="78">
        <f>AI153*Valores!$C$75</f>
        <v>810.1024050000001</v>
      </c>
      <c r="AZ153" s="78">
        <f>AI153*Valores!$C$76</f>
        <v>138.874698</v>
      </c>
      <c r="BA153" s="78">
        <f t="shared" si="32"/>
        <v>1249.872282</v>
      </c>
      <c r="BB153" s="52"/>
      <c r="BC153" s="52">
        <v>25</v>
      </c>
      <c r="BD153" s="28" t="s">
        <v>4</v>
      </c>
    </row>
    <row r="154" spans="1:56" s="28" customFormat="1" ht="11.25" customHeight="1">
      <c r="A154" s="52">
        <v>153</v>
      </c>
      <c r="B154" s="52"/>
      <c r="C154" s="28" t="s">
        <v>446</v>
      </c>
      <c r="E154" s="28">
        <f t="shared" si="24"/>
        <v>16</v>
      </c>
      <c r="F154" s="72" t="s">
        <v>447</v>
      </c>
      <c r="G154" s="73">
        <v>947</v>
      </c>
      <c r="H154" s="74">
        <f>INT((G154*Valores!$C$2*100)+0.5)/100</f>
        <v>6280.88</v>
      </c>
      <c r="I154" s="113">
        <v>0</v>
      </c>
      <c r="J154" s="76">
        <f>INT((I154*Valores!$C$2*100)+0.5)/100</f>
        <v>0</v>
      </c>
      <c r="K154" s="103">
        <v>0</v>
      </c>
      <c r="L154" s="76">
        <f>INT((K154*Valores!$C$2*100)+0.5)/100</f>
        <v>0</v>
      </c>
      <c r="M154" s="101">
        <v>0</v>
      </c>
      <c r="N154" s="76">
        <f>INT((M154*Valores!$C$2*100)+0.5)/100</f>
        <v>0</v>
      </c>
      <c r="O154" s="76">
        <f t="shared" si="25"/>
        <v>1513.9785</v>
      </c>
      <c r="P154" s="76">
        <f t="shared" si="26"/>
        <v>0</v>
      </c>
      <c r="Q154" s="102">
        <f>Valores!$C$20</f>
        <v>4080.56</v>
      </c>
      <c r="R154" s="102">
        <f>Valores!$D$4</f>
        <v>2966.67</v>
      </c>
      <c r="S154" s="79">
        <f>Valores!$C$27</f>
        <v>2851.94</v>
      </c>
      <c r="T154" s="79">
        <f>Valores!$C$41</f>
        <v>1073.06</v>
      </c>
      <c r="U154" s="102">
        <f>Valores!$C$23</f>
        <v>2739.25</v>
      </c>
      <c r="V154" s="76">
        <f t="shared" si="23"/>
        <v>2739.25</v>
      </c>
      <c r="W154" s="76">
        <v>0</v>
      </c>
      <c r="X154" s="76">
        <v>0</v>
      </c>
      <c r="Y154" s="80">
        <v>0</v>
      </c>
      <c r="Z154" s="76">
        <f>Y154*Valores!$C$2</f>
        <v>0</v>
      </c>
      <c r="AA154" s="76">
        <v>0</v>
      </c>
      <c r="AB154" s="81">
        <f>Valores!$C$29</f>
        <v>160.21</v>
      </c>
      <c r="AC154" s="76">
        <f t="shared" si="29"/>
        <v>0</v>
      </c>
      <c r="AD154" s="76">
        <f>Valores!$C$30</f>
        <v>160.21</v>
      </c>
      <c r="AE154" s="80">
        <v>0</v>
      </c>
      <c r="AF154" s="76">
        <f>INT(((AE154*Valores!$C$2)*100)+0.5)/100</f>
        <v>0</v>
      </c>
      <c r="AG154" s="76">
        <f>Valores!$C$58</f>
        <v>325.89</v>
      </c>
      <c r="AH154" s="76">
        <f>Valores!$C$60</f>
        <v>93.11</v>
      </c>
      <c r="AI154" s="115">
        <f t="shared" si="30"/>
        <v>22245.7585</v>
      </c>
      <c r="AJ154" s="102">
        <f>Valores!$C$35</f>
        <v>599.19</v>
      </c>
      <c r="AK154" s="79">
        <f>Valores!$C$7</f>
        <v>0</v>
      </c>
      <c r="AL154" s="79">
        <f>Valores!$C$81</f>
        <v>1300</v>
      </c>
      <c r="AM154" s="81">
        <f>Valores!$C$51</f>
        <v>136.56</v>
      </c>
      <c r="AN154" s="83">
        <f t="shared" si="31"/>
        <v>1899.19</v>
      </c>
      <c r="AO154" s="62">
        <f>AI154*-Valores!$C$65</f>
        <v>-2891.948605</v>
      </c>
      <c r="AP154" s="62">
        <f>AI154*-Valores!$C$66</f>
        <v>-111.2287925</v>
      </c>
      <c r="AQ154" s="78">
        <f>AI154*-Valores!$C$67</f>
        <v>-1001.0591324999999</v>
      </c>
      <c r="AR154" s="78">
        <f>AI154*-Valores!$C$68</f>
        <v>-600.6354795</v>
      </c>
      <c r="AS154" s="78">
        <f>AI154*-Valores!$C$69</f>
        <v>-66.7372755</v>
      </c>
      <c r="AT154" s="82">
        <f t="shared" si="27"/>
        <v>20140.71197</v>
      </c>
      <c r="AU154" s="82">
        <f t="shared" si="28"/>
        <v>20474.3983475</v>
      </c>
      <c r="AV154" s="78">
        <f>AI154*Valores!$C$71</f>
        <v>3559.32136</v>
      </c>
      <c r="AW154" s="78">
        <f>AI154*Valores!$C$72</f>
        <v>1001.0591324999999</v>
      </c>
      <c r="AX154" s="78">
        <f>AI154*Valores!$C$73</f>
        <v>222.457585</v>
      </c>
      <c r="AY154" s="78">
        <f>AI154*Valores!$C$75</f>
        <v>778.6015475</v>
      </c>
      <c r="AZ154" s="78">
        <f>AI154*Valores!$C$76</f>
        <v>133.474551</v>
      </c>
      <c r="BA154" s="78">
        <f t="shared" si="32"/>
        <v>1201.270959</v>
      </c>
      <c r="BB154" s="52"/>
      <c r="BC154" s="86">
        <v>22</v>
      </c>
      <c r="BD154" s="28" t="s">
        <v>4</v>
      </c>
    </row>
    <row r="155" spans="1:56" s="28" customFormat="1" ht="11.25" customHeight="1">
      <c r="A155" s="52">
        <v>154</v>
      </c>
      <c r="B155" s="52"/>
      <c r="C155" s="28" t="s">
        <v>448</v>
      </c>
      <c r="E155" s="28">
        <f t="shared" si="24"/>
        <v>31</v>
      </c>
      <c r="F155" s="72" t="s">
        <v>449</v>
      </c>
      <c r="G155" s="73">
        <v>1800</v>
      </c>
      <c r="H155" s="74">
        <f>INT((G155*Valores!$C$2*100)+0.5)/100</f>
        <v>11938.32</v>
      </c>
      <c r="I155" s="113">
        <v>0</v>
      </c>
      <c r="J155" s="76">
        <f>INT((I155*Valores!$C$2*100)+0.5)/100</f>
        <v>0</v>
      </c>
      <c r="K155" s="103">
        <v>0</v>
      </c>
      <c r="L155" s="76">
        <f>INT((K155*Valores!$C$2*100)+0.5)/100</f>
        <v>0</v>
      </c>
      <c r="M155" s="101">
        <v>0</v>
      </c>
      <c r="N155" s="76">
        <f>INT((M155*Valores!$C$2*100)+0.5)/100</f>
        <v>0</v>
      </c>
      <c r="O155" s="76">
        <f t="shared" si="25"/>
        <v>2477.5665</v>
      </c>
      <c r="P155" s="76">
        <f t="shared" si="26"/>
        <v>0</v>
      </c>
      <c r="Q155" s="102">
        <f>Valores!$C$15</f>
        <v>4266.78</v>
      </c>
      <c r="R155" s="102">
        <f>Valores!$D$4</f>
        <v>2966.67</v>
      </c>
      <c r="S155" s="102">
        <f>Valores!$C$26</f>
        <v>3094.03</v>
      </c>
      <c r="T155" s="107">
        <f>Valores!$C$43</f>
        <v>1839.54</v>
      </c>
      <c r="U155" s="76">
        <f>Valores!$C$23</f>
        <v>2739.25</v>
      </c>
      <c r="V155" s="76">
        <f t="shared" si="23"/>
        <v>2739.25</v>
      </c>
      <c r="W155" s="76">
        <v>0</v>
      </c>
      <c r="X155" s="76">
        <v>0</v>
      </c>
      <c r="Y155" s="80">
        <v>0</v>
      </c>
      <c r="Z155" s="76">
        <f>Y155*Valores!$C$2</f>
        <v>0</v>
      </c>
      <c r="AA155" s="76">
        <v>0</v>
      </c>
      <c r="AB155" s="81">
        <f>Valores!$C$29</f>
        <v>160.21</v>
      </c>
      <c r="AC155" s="76">
        <f t="shared" si="29"/>
        <v>0</v>
      </c>
      <c r="AD155" s="76">
        <f>Valores!$C$30</f>
        <v>160.21</v>
      </c>
      <c r="AE155" s="80">
        <v>0</v>
      </c>
      <c r="AF155" s="76">
        <f>INT(((AE155*Valores!$C$2)*100)+0.5)/100</f>
        <v>0</v>
      </c>
      <c r="AG155" s="76">
        <f>Valores!$C$58</f>
        <v>325.89</v>
      </c>
      <c r="AH155" s="76">
        <f>Valores!$C$60</f>
        <v>93.11</v>
      </c>
      <c r="AI155" s="115">
        <f t="shared" si="30"/>
        <v>30061.576499999996</v>
      </c>
      <c r="AJ155" s="102">
        <f>Valores!$C$35</f>
        <v>599.19</v>
      </c>
      <c r="AK155" s="79">
        <f>Valores!$C$9</f>
        <v>0</v>
      </c>
      <c r="AL155" s="79">
        <f>Valores!$C$81</f>
        <v>1300</v>
      </c>
      <c r="AM155" s="81">
        <f>Valores!$C$51</f>
        <v>136.56</v>
      </c>
      <c r="AN155" s="83">
        <f t="shared" si="31"/>
        <v>1899.19</v>
      </c>
      <c r="AO155" s="62">
        <f>AI155*-Valores!$C$65</f>
        <v>-3908.0049449999997</v>
      </c>
      <c r="AP155" s="62">
        <f>AI155*-Valores!$C$66</f>
        <v>-150.30788249999998</v>
      </c>
      <c r="AQ155" s="78">
        <f>AI155*-Valores!$C$67</f>
        <v>-1352.7709424999998</v>
      </c>
      <c r="AR155" s="78">
        <f>AI155*-Valores!$C$68</f>
        <v>-811.6625654999999</v>
      </c>
      <c r="AS155" s="78">
        <f>AI155*-Valores!$C$69</f>
        <v>-90.18472949999999</v>
      </c>
      <c r="AT155" s="82">
        <f t="shared" si="27"/>
        <v>26549.682729999993</v>
      </c>
      <c r="AU155" s="82">
        <f t="shared" si="28"/>
        <v>27000.606377499993</v>
      </c>
      <c r="AV155" s="78">
        <f>AI155*Valores!$C$71</f>
        <v>4809.852239999999</v>
      </c>
      <c r="AW155" s="78">
        <f>AI155*Valores!$C$72</f>
        <v>1352.7709424999998</v>
      </c>
      <c r="AX155" s="78">
        <f>AI155*Valores!$C$73</f>
        <v>300.61576499999995</v>
      </c>
      <c r="AY155" s="78">
        <f>AI155*Valores!$C$75</f>
        <v>1052.1551775</v>
      </c>
      <c r="AZ155" s="78">
        <f>AI155*Valores!$C$76</f>
        <v>180.36945899999998</v>
      </c>
      <c r="BA155" s="78">
        <f t="shared" si="32"/>
        <v>1623.3251309999998</v>
      </c>
      <c r="BB155" s="52"/>
      <c r="BC155" s="52"/>
      <c r="BD155" s="28" t="s">
        <v>4</v>
      </c>
    </row>
    <row r="156" spans="1:56" s="28" customFormat="1" ht="11.25" customHeight="1">
      <c r="A156" s="86">
        <v>155</v>
      </c>
      <c r="B156" s="86" t="s">
        <v>163</v>
      </c>
      <c r="C156" s="87" t="s">
        <v>450</v>
      </c>
      <c r="D156" s="87"/>
      <c r="E156" s="87">
        <f t="shared" si="24"/>
        <v>19</v>
      </c>
      <c r="F156" s="88" t="s">
        <v>451</v>
      </c>
      <c r="G156" s="89">
        <v>1278</v>
      </c>
      <c r="H156" s="90">
        <f>INT((G156*Valores!$C$2*100)+0.5)/100</f>
        <v>8476.21</v>
      </c>
      <c r="I156" s="104">
        <v>0</v>
      </c>
      <c r="J156" s="92">
        <f>INT((I156*Valores!$C$2*100)+0.5)/100</f>
        <v>0</v>
      </c>
      <c r="K156" s="105">
        <v>0</v>
      </c>
      <c r="L156" s="92">
        <f>INT((K156*Valores!$C$2*100)+0.5)/100</f>
        <v>0</v>
      </c>
      <c r="M156" s="106">
        <v>0</v>
      </c>
      <c r="N156" s="92">
        <f>INT((M156*Valores!$C$2*100)+0.5)/100</f>
        <v>0</v>
      </c>
      <c r="O156" s="92">
        <f t="shared" si="25"/>
        <v>1866.2744999999995</v>
      </c>
      <c r="P156" s="92">
        <f t="shared" si="26"/>
        <v>0</v>
      </c>
      <c r="Q156" s="108">
        <f>Valores!$C$15</f>
        <v>4266.78</v>
      </c>
      <c r="R156" s="108">
        <f>Valores!$D$4</f>
        <v>2966.67</v>
      </c>
      <c r="S156" s="108">
        <f>Valores!$C$26</f>
        <v>3094.03</v>
      </c>
      <c r="T156" s="109">
        <f>Valores!$C$42</f>
        <v>1226.37</v>
      </c>
      <c r="U156" s="92">
        <f>Valores!$C$23</f>
        <v>2739.25</v>
      </c>
      <c r="V156" s="92">
        <f t="shared" si="23"/>
        <v>2739.25</v>
      </c>
      <c r="W156" s="92">
        <v>0</v>
      </c>
      <c r="X156" s="92">
        <v>0</v>
      </c>
      <c r="Y156" s="96">
        <v>0</v>
      </c>
      <c r="Z156" s="92">
        <f>Y156*Valores!$C$2</f>
        <v>0</v>
      </c>
      <c r="AA156" s="92">
        <v>0</v>
      </c>
      <c r="AB156" s="97">
        <f>Valores!$C$29</f>
        <v>160.21</v>
      </c>
      <c r="AC156" s="92">
        <f t="shared" si="29"/>
        <v>0</v>
      </c>
      <c r="AD156" s="92">
        <f>Valores!$C$30</f>
        <v>160.21</v>
      </c>
      <c r="AE156" s="96">
        <v>0</v>
      </c>
      <c r="AF156" s="92">
        <f>INT(((AE156*Valores!$C$2)*100)+0.5)/100</f>
        <v>0</v>
      </c>
      <c r="AG156" s="92">
        <f>Valores!$C$58</f>
        <v>325.89</v>
      </c>
      <c r="AH156" s="92">
        <f>Valores!$C$60</f>
        <v>93.11</v>
      </c>
      <c r="AI156" s="116">
        <f t="shared" si="30"/>
        <v>25375.004499999992</v>
      </c>
      <c r="AJ156" s="108">
        <f>Valores!$C$35</f>
        <v>599.19</v>
      </c>
      <c r="AK156" s="95">
        <f>Valores!$C$8</f>
        <v>0</v>
      </c>
      <c r="AL156" s="95">
        <f>Valores!$C$81</f>
        <v>1300</v>
      </c>
      <c r="AM156" s="97">
        <f>Valores!$C$51</f>
        <v>136.56</v>
      </c>
      <c r="AN156" s="99">
        <f t="shared" si="31"/>
        <v>1899.19</v>
      </c>
      <c r="AO156" s="117">
        <f>AI156*-Valores!$C$65</f>
        <v>-3298.750584999999</v>
      </c>
      <c r="AP156" s="117">
        <f>AI156*-Valores!$C$66</f>
        <v>-126.87502249999996</v>
      </c>
      <c r="AQ156" s="94">
        <f>AI156*-Valores!$C$67</f>
        <v>-1141.8752024999997</v>
      </c>
      <c r="AR156" s="94">
        <f>AI156*-Valores!$C$68</f>
        <v>-685.1251214999998</v>
      </c>
      <c r="AS156" s="94">
        <f>AI156*-Valores!$C$69</f>
        <v>-76.12501349999998</v>
      </c>
      <c r="AT156" s="98">
        <f t="shared" si="27"/>
        <v>22706.693689999993</v>
      </c>
      <c r="AU156" s="98">
        <f t="shared" si="28"/>
        <v>23087.31875749999</v>
      </c>
      <c r="AV156" s="94">
        <f>AI156*Valores!$C$71</f>
        <v>4060.0007199999986</v>
      </c>
      <c r="AW156" s="94">
        <f>AI156*Valores!$C$72</f>
        <v>1141.8752024999997</v>
      </c>
      <c r="AX156" s="94">
        <f>AI156*Valores!$C$73</f>
        <v>253.75004499999991</v>
      </c>
      <c r="AY156" s="94">
        <f>AI156*Valores!$C$75</f>
        <v>888.1251574999998</v>
      </c>
      <c r="AZ156" s="94">
        <f>AI156*Valores!$C$76</f>
        <v>152.25002699999996</v>
      </c>
      <c r="BA156" s="94">
        <f t="shared" si="32"/>
        <v>1370.2502429999995</v>
      </c>
      <c r="BB156" s="86"/>
      <c r="BC156" s="86">
        <v>27</v>
      </c>
      <c r="BD156" s="87" t="s">
        <v>4</v>
      </c>
    </row>
    <row r="157" spans="1:56" s="28" customFormat="1" ht="11.25" customHeight="1">
      <c r="A157" s="52">
        <v>156</v>
      </c>
      <c r="B157" s="52"/>
      <c r="C157" s="28" t="s">
        <v>452</v>
      </c>
      <c r="E157" s="28">
        <f t="shared" si="24"/>
        <v>28</v>
      </c>
      <c r="F157" s="72" t="s">
        <v>453</v>
      </c>
      <c r="G157" s="73">
        <v>1214</v>
      </c>
      <c r="H157" s="74">
        <f>INT((G157*Valores!$C$2*100)+0.5)/100</f>
        <v>8051.73</v>
      </c>
      <c r="I157" s="113">
        <v>0</v>
      </c>
      <c r="J157" s="76">
        <f>INT((I157*Valores!$C$2*100)+0.5)/100</f>
        <v>0</v>
      </c>
      <c r="K157" s="103">
        <v>0</v>
      </c>
      <c r="L157" s="76">
        <f>INT((K157*Valores!$C$2*100)+0.5)/100</f>
        <v>0</v>
      </c>
      <c r="M157" s="101">
        <v>0</v>
      </c>
      <c r="N157" s="76">
        <f>INT((M157*Valores!$C$2*100)+0.5)/100</f>
        <v>0</v>
      </c>
      <c r="O157" s="76">
        <f t="shared" si="25"/>
        <v>1802.6024999999997</v>
      </c>
      <c r="P157" s="76">
        <f t="shared" si="26"/>
        <v>0</v>
      </c>
      <c r="Q157" s="102">
        <f>Valores!$C$20</f>
        <v>4080.56</v>
      </c>
      <c r="R157" s="102">
        <f>Valores!$D$4</f>
        <v>2966.67</v>
      </c>
      <c r="S157" s="76">
        <f>Valores!$C$26</f>
        <v>3094.03</v>
      </c>
      <c r="T157" s="79">
        <f>Valores!$C$42</f>
        <v>1226.37</v>
      </c>
      <c r="U157" s="76">
        <f>Valores!$C$23</f>
        <v>2739.25</v>
      </c>
      <c r="V157" s="76">
        <f t="shared" si="23"/>
        <v>2739.25</v>
      </c>
      <c r="W157" s="76">
        <v>0</v>
      </c>
      <c r="X157" s="76">
        <v>0</v>
      </c>
      <c r="Y157" s="80">
        <v>0</v>
      </c>
      <c r="Z157" s="76">
        <f>Y157*Valores!$C$2</f>
        <v>0</v>
      </c>
      <c r="AA157" s="76">
        <v>0</v>
      </c>
      <c r="AB157" s="81">
        <f>Valores!$C$29</f>
        <v>160.21</v>
      </c>
      <c r="AC157" s="76">
        <f t="shared" si="29"/>
        <v>0</v>
      </c>
      <c r="AD157" s="76">
        <f>Valores!$C$30</f>
        <v>160.21</v>
      </c>
      <c r="AE157" s="80">
        <v>0</v>
      </c>
      <c r="AF157" s="76">
        <f>INT(((AE157*Valores!$C$2)*100)+0.5)/100</f>
        <v>0</v>
      </c>
      <c r="AG157" s="76">
        <f>Valores!$C$58</f>
        <v>325.89</v>
      </c>
      <c r="AH157" s="76">
        <f>Valores!$C$60</f>
        <v>93.11</v>
      </c>
      <c r="AI157" s="115">
        <f t="shared" si="30"/>
        <v>24700.632499999996</v>
      </c>
      <c r="AJ157" s="102">
        <f>Valores!$C$35</f>
        <v>599.19</v>
      </c>
      <c r="AK157" s="79">
        <f>Valores!$C$8</f>
        <v>0</v>
      </c>
      <c r="AL157" s="79">
        <f>Valores!$C$81</f>
        <v>1300</v>
      </c>
      <c r="AM157" s="81">
        <f>Valores!$C$51</f>
        <v>136.56</v>
      </c>
      <c r="AN157" s="83">
        <f t="shared" si="31"/>
        <v>1899.19</v>
      </c>
      <c r="AO157" s="62">
        <f>AI157*-Valores!$C$65</f>
        <v>-3211.0822249999997</v>
      </c>
      <c r="AP157" s="62">
        <f>AI157*-Valores!$C$66</f>
        <v>-123.50316249999999</v>
      </c>
      <c r="AQ157" s="78">
        <f>AI157*-Valores!$C$67</f>
        <v>-1111.5284624999997</v>
      </c>
      <c r="AR157" s="78">
        <f>AI157*-Valores!$C$68</f>
        <v>-666.9170774999999</v>
      </c>
      <c r="AS157" s="78">
        <f>AI157*-Valores!$C$69</f>
        <v>-74.10189749999999</v>
      </c>
      <c r="AT157" s="82">
        <f t="shared" si="27"/>
        <v>22153.708649999997</v>
      </c>
      <c r="AU157" s="82">
        <f t="shared" si="28"/>
        <v>22524.218137499996</v>
      </c>
      <c r="AV157" s="78">
        <f>AI157*Valores!$C$71</f>
        <v>3952.1011999999996</v>
      </c>
      <c r="AW157" s="78">
        <f>AI157*Valores!$C$72</f>
        <v>1111.5284624999997</v>
      </c>
      <c r="AX157" s="78">
        <f>AI157*Valores!$C$73</f>
        <v>247.00632499999998</v>
      </c>
      <c r="AY157" s="78">
        <f>AI157*Valores!$C$75</f>
        <v>864.5221375</v>
      </c>
      <c r="AZ157" s="78">
        <f>AI157*Valores!$C$76</f>
        <v>148.20379499999999</v>
      </c>
      <c r="BA157" s="78">
        <f t="shared" si="32"/>
        <v>1333.8341549999998</v>
      </c>
      <c r="BB157" s="52"/>
      <c r="BC157" s="52"/>
      <c r="BD157" s="28" t="s">
        <v>4</v>
      </c>
    </row>
    <row r="158" spans="1:56" s="28" customFormat="1" ht="11.25" customHeight="1">
      <c r="A158" s="52">
        <v>157</v>
      </c>
      <c r="B158" s="52"/>
      <c r="C158" s="28" t="s">
        <v>454</v>
      </c>
      <c r="E158" s="28">
        <f t="shared" si="24"/>
        <v>25</v>
      </c>
      <c r="F158" s="72" t="s">
        <v>455</v>
      </c>
      <c r="G158" s="73">
        <f>1106+78</f>
        <v>1184</v>
      </c>
      <c r="H158" s="74">
        <f>INT((G158*Valores!$C$2*100)+0.5)/100</f>
        <v>7852.76</v>
      </c>
      <c r="I158" s="113">
        <v>0</v>
      </c>
      <c r="J158" s="76">
        <f>INT((I158*Valores!$C$2*100)+0.5)/100</f>
        <v>0</v>
      </c>
      <c r="K158" s="103">
        <v>0</v>
      </c>
      <c r="L158" s="76">
        <f>INT((K158*Valores!$C$2*100)+0.5)/100</f>
        <v>0</v>
      </c>
      <c r="M158" s="101">
        <v>0</v>
      </c>
      <c r="N158" s="76">
        <f>INT((M158*Valores!$C$2*100)+0.5)/100</f>
        <v>0</v>
      </c>
      <c r="O158" s="76">
        <f t="shared" si="25"/>
        <v>1767.1649999999997</v>
      </c>
      <c r="P158" s="76">
        <f t="shared" si="26"/>
        <v>0</v>
      </c>
      <c r="Q158" s="102">
        <f>Valores!$C$20</f>
        <v>4080.56</v>
      </c>
      <c r="R158" s="102">
        <f>Valores!$D$4</f>
        <v>2966.67</v>
      </c>
      <c r="S158" s="76">
        <v>0</v>
      </c>
      <c r="T158" s="79">
        <f>Valores!$C$42</f>
        <v>1226.37</v>
      </c>
      <c r="U158" s="102">
        <f>Valores!$C$24</f>
        <v>2701.97</v>
      </c>
      <c r="V158" s="76">
        <f t="shared" si="23"/>
        <v>2701.97</v>
      </c>
      <c r="W158" s="76">
        <v>0</v>
      </c>
      <c r="X158" s="76">
        <v>0</v>
      </c>
      <c r="Y158" s="80">
        <v>0</v>
      </c>
      <c r="Z158" s="76">
        <f>Y158*Valores!$C$2</f>
        <v>0</v>
      </c>
      <c r="AA158" s="76">
        <v>0</v>
      </c>
      <c r="AB158" s="81">
        <f>Valores!$C$29</f>
        <v>160.21</v>
      </c>
      <c r="AC158" s="76">
        <f t="shared" si="29"/>
        <v>0</v>
      </c>
      <c r="AD158" s="76">
        <f>Valores!$C$30</f>
        <v>160.21</v>
      </c>
      <c r="AE158" s="80">
        <v>0</v>
      </c>
      <c r="AF158" s="76">
        <f>INT(((AE158*Valores!$C$2)*100)+0.5)/100</f>
        <v>0</v>
      </c>
      <c r="AG158" s="76">
        <f>Valores!$C$58</f>
        <v>325.89</v>
      </c>
      <c r="AH158" s="76">
        <f>Valores!$C$60</f>
        <v>93.11</v>
      </c>
      <c r="AI158" s="115">
        <f t="shared" si="30"/>
        <v>21334.914999999997</v>
      </c>
      <c r="AJ158" s="102">
        <f>Valores!$C$35</f>
        <v>599.19</v>
      </c>
      <c r="AK158" s="79">
        <f>Valores!$C$8</f>
        <v>0</v>
      </c>
      <c r="AL158" s="79">
        <f>Valores!$C$81</f>
        <v>1300</v>
      </c>
      <c r="AM158" s="81">
        <f>Valores!$C$51</f>
        <v>136.56</v>
      </c>
      <c r="AN158" s="83">
        <f t="shared" si="31"/>
        <v>1899.19</v>
      </c>
      <c r="AO158" s="62">
        <f>AI158*-Valores!$C$65</f>
        <v>-2773.5389499999997</v>
      </c>
      <c r="AP158" s="62">
        <f>AI158*-Valores!$C$66</f>
        <v>-106.67457499999999</v>
      </c>
      <c r="AQ158" s="78">
        <f>AI158*-Valores!$C$67</f>
        <v>-960.0711749999998</v>
      </c>
      <c r="AR158" s="78">
        <f>AI158*-Valores!$C$68</f>
        <v>-576.042705</v>
      </c>
      <c r="AS158" s="78">
        <f>AI158*-Valores!$C$69</f>
        <v>-64.004745</v>
      </c>
      <c r="AT158" s="82">
        <f t="shared" si="27"/>
        <v>19393.820299999996</v>
      </c>
      <c r="AU158" s="82">
        <f t="shared" si="28"/>
        <v>19713.844025</v>
      </c>
      <c r="AV158" s="78">
        <f>AI158*Valores!$C$71</f>
        <v>3413.5863999999997</v>
      </c>
      <c r="AW158" s="78">
        <f>AI158*Valores!$C$72</f>
        <v>960.0711749999998</v>
      </c>
      <c r="AX158" s="78">
        <f>AI158*Valores!$C$73</f>
        <v>213.34914999999998</v>
      </c>
      <c r="AY158" s="78">
        <f>AI158*Valores!$C$75</f>
        <v>746.722025</v>
      </c>
      <c r="AZ158" s="78">
        <f>AI158*Valores!$C$76</f>
        <v>128.00949</v>
      </c>
      <c r="BA158" s="78">
        <f t="shared" si="32"/>
        <v>1152.08541</v>
      </c>
      <c r="BB158" s="52"/>
      <c r="BC158" s="52"/>
      <c r="BD158" s="28" t="s">
        <v>8</v>
      </c>
    </row>
    <row r="159" spans="1:56" s="28" customFormat="1" ht="11.25" customHeight="1">
      <c r="A159" s="52">
        <v>158</v>
      </c>
      <c r="B159" s="52"/>
      <c r="C159" s="28" t="s">
        <v>456</v>
      </c>
      <c r="E159" s="28">
        <f t="shared" si="24"/>
        <v>24</v>
      </c>
      <c r="F159" s="72" t="s">
        <v>457</v>
      </c>
      <c r="G159" s="73">
        <v>971</v>
      </c>
      <c r="H159" s="74">
        <f>INT((G159*Valores!$C$2*100)+0.5)/100</f>
        <v>6440.06</v>
      </c>
      <c r="I159" s="113">
        <v>0</v>
      </c>
      <c r="J159" s="76">
        <f>INT((I159*Valores!$C$2*100)+0.5)/100</f>
        <v>0</v>
      </c>
      <c r="K159" s="103">
        <v>0</v>
      </c>
      <c r="L159" s="76">
        <f>INT((K159*Valores!$C$2*100)+0.5)/100</f>
        <v>0</v>
      </c>
      <c r="M159" s="101">
        <v>0</v>
      </c>
      <c r="N159" s="76">
        <f>INT((M159*Valores!$C$2*100)+0.5)/100</f>
        <v>0</v>
      </c>
      <c r="O159" s="76">
        <f t="shared" si="25"/>
        <v>1537.8555000000001</v>
      </c>
      <c r="P159" s="76">
        <f t="shared" si="26"/>
        <v>0</v>
      </c>
      <c r="Q159" s="102">
        <f>Valores!$C$20</f>
        <v>4080.56</v>
      </c>
      <c r="R159" s="102">
        <f>Valores!$D$4</f>
        <v>2966.67</v>
      </c>
      <c r="S159" s="102">
        <f>Valores!$C$27</f>
        <v>2851.94</v>
      </c>
      <c r="T159" s="107">
        <f>Valores!$C$41</f>
        <v>1073.06</v>
      </c>
      <c r="U159" s="76">
        <f>Valores!$C$23</f>
        <v>2739.25</v>
      </c>
      <c r="V159" s="76">
        <f t="shared" si="23"/>
        <v>2739.25</v>
      </c>
      <c r="W159" s="76">
        <v>0</v>
      </c>
      <c r="X159" s="76">
        <v>0</v>
      </c>
      <c r="Y159" s="80">
        <v>0</v>
      </c>
      <c r="Z159" s="76">
        <f>Y159*Valores!$C$2</f>
        <v>0</v>
      </c>
      <c r="AA159" s="76">
        <v>0</v>
      </c>
      <c r="AB159" s="81">
        <f>Valores!$C$29</f>
        <v>160.21</v>
      </c>
      <c r="AC159" s="76">
        <f t="shared" si="29"/>
        <v>0</v>
      </c>
      <c r="AD159" s="76">
        <f>Valores!$C$29</f>
        <v>160.21</v>
      </c>
      <c r="AE159" s="80">
        <v>0</v>
      </c>
      <c r="AF159" s="76">
        <f>INT(((AE159*Valores!$C$2)*100)+0.5)/100</f>
        <v>0</v>
      </c>
      <c r="AG159" s="76">
        <f>Valores!$C$58</f>
        <v>325.89</v>
      </c>
      <c r="AH159" s="76">
        <f>Valores!$C$60</f>
        <v>93.11</v>
      </c>
      <c r="AI159" s="115">
        <f t="shared" si="30"/>
        <v>22428.8155</v>
      </c>
      <c r="AJ159" s="102">
        <f>Valores!$C$35</f>
        <v>599.19</v>
      </c>
      <c r="AK159" s="79">
        <f>Valores!$C$7</f>
        <v>0</v>
      </c>
      <c r="AL159" s="79">
        <f>Valores!$C$81</f>
        <v>1300</v>
      </c>
      <c r="AM159" s="81">
        <f>Valores!$C$53</f>
        <v>124.41</v>
      </c>
      <c r="AN159" s="83">
        <f t="shared" si="31"/>
        <v>1899.19</v>
      </c>
      <c r="AO159" s="62">
        <f>AI159*-Valores!$C$65</f>
        <v>-2915.746015</v>
      </c>
      <c r="AP159" s="62">
        <f>AI159*-Valores!$C$66</f>
        <v>-112.14407750000001</v>
      </c>
      <c r="AQ159" s="78">
        <f>AI159*-Valores!$C$67</f>
        <v>-1009.2966974999999</v>
      </c>
      <c r="AR159" s="78">
        <f>AI159*-Valores!$C$68</f>
        <v>-605.5780185</v>
      </c>
      <c r="AS159" s="78">
        <f>AI159*-Valores!$C$69</f>
        <v>-67.2864465</v>
      </c>
      <c r="AT159" s="82">
        <f t="shared" si="27"/>
        <v>20290.818709999996</v>
      </c>
      <c r="AU159" s="82">
        <f t="shared" si="28"/>
        <v>20627.2509425</v>
      </c>
      <c r="AV159" s="78">
        <f>AI159*Valores!$C$71</f>
        <v>3588.6104800000003</v>
      </c>
      <c r="AW159" s="78">
        <f>AI159*Valores!$C$72</f>
        <v>1009.2966974999999</v>
      </c>
      <c r="AX159" s="78">
        <f>AI159*Valores!$C$73</f>
        <v>224.28815500000002</v>
      </c>
      <c r="AY159" s="78">
        <f>AI159*Valores!$C$75</f>
        <v>785.0085425000001</v>
      </c>
      <c r="AZ159" s="78">
        <f>AI159*Valores!$C$76</f>
        <v>134.572893</v>
      </c>
      <c r="BA159" s="78">
        <f t="shared" si="32"/>
        <v>1211.156037</v>
      </c>
      <c r="BB159" s="52">
        <v>12</v>
      </c>
      <c r="BC159" s="86">
        <v>12</v>
      </c>
      <c r="BD159" s="28" t="s">
        <v>4</v>
      </c>
    </row>
    <row r="160" spans="1:56" s="28" customFormat="1" ht="11.25" customHeight="1">
      <c r="A160" s="52">
        <v>159</v>
      </c>
      <c r="B160" s="52"/>
      <c r="C160" s="28" t="s">
        <v>456</v>
      </c>
      <c r="E160" s="28">
        <f t="shared" si="24"/>
        <v>35</v>
      </c>
      <c r="F160" s="72" t="s">
        <v>458</v>
      </c>
      <c r="G160" s="73">
        <v>971</v>
      </c>
      <c r="H160" s="74">
        <f>INT((G160*Valores!$C$2*100)+0.5)/100</f>
        <v>6440.06</v>
      </c>
      <c r="I160" s="113">
        <v>0</v>
      </c>
      <c r="J160" s="76">
        <f>INT((I160*Valores!$C$2*100)+0.5)/100</f>
        <v>0</v>
      </c>
      <c r="K160" s="103">
        <v>0</v>
      </c>
      <c r="L160" s="76">
        <f>INT((K160*Valores!$C$2*100)+0.5)/100</f>
        <v>0</v>
      </c>
      <c r="M160" s="101">
        <v>0</v>
      </c>
      <c r="N160" s="76">
        <f>INT((M160*Valores!$C$2*100)+0.5)/100</f>
        <v>0</v>
      </c>
      <c r="O160" s="76">
        <f t="shared" si="25"/>
        <v>2050.7715000000003</v>
      </c>
      <c r="P160" s="76">
        <f t="shared" si="26"/>
        <v>0</v>
      </c>
      <c r="Q160" s="102">
        <f>Valores!$C$20</f>
        <v>4080.56</v>
      </c>
      <c r="R160" s="102">
        <f>Valores!$D$4</f>
        <v>2966.67</v>
      </c>
      <c r="S160" s="102">
        <f>Valores!$C$27</f>
        <v>2851.94</v>
      </c>
      <c r="T160" s="107">
        <f>Valores!$C$43</f>
        <v>1839.54</v>
      </c>
      <c r="U160" s="76">
        <f>Valores!$C$23</f>
        <v>2739.25</v>
      </c>
      <c r="V160" s="76">
        <f t="shared" si="23"/>
        <v>2739.25</v>
      </c>
      <c r="W160" s="76">
        <v>0</v>
      </c>
      <c r="X160" s="76">
        <v>0</v>
      </c>
      <c r="Y160" s="75">
        <v>400</v>
      </c>
      <c r="Z160" s="76">
        <f>Y160*Valores!$C$2</f>
        <v>2652.96</v>
      </c>
      <c r="AA160" s="102">
        <f>SUM(L160,J160,H160,T160)*Valores!$C$3</f>
        <v>1241.94</v>
      </c>
      <c r="AB160" s="81">
        <f>Valores!$C$29</f>
        <v>160.21</v>
      </c>
      <c r="AC160" s="76">
        <f t="shared" si="29"/>
        <v>0</v>
      </c>
      <c r="AD160" s="76">
        <f>Valores!$C$29</f>
        <v>160.21</v>
      </c>
      <c r="AE160" s="80">
        <v>94</v>
      </c>
      <c r="AF160" s="76">
        <f>INT(((AE160*Valores!$C$2)*100)+0.5)/100</f>
        <v>623.45</v>
      </c>
      <c r="AG160" s="76">
        <f>Valores!$C$58</f>
        <v>325.89</v>
      </c>
      <c r="AH160" s="76">
        <f>Valores!$C$60</f>
        <v>93.11</v>
      </c>
      <c r="AI160" s="115">
        <f t="shared" si="30"/>
        <v>28226.561499999996</v>
      </c>
      <c r="AJ160" s="102">
        <f>Valores!$C$35</f>
        <v>599.19</v>
      </c>
      <c r="AK160" s="79">
        <f>Valores!$C$9</f>
        <v>0</v>
      </c>
      <c r="AL160" s="79">
        <f>Valores!$C$81</f>
        <v>1300</v>
      </c>
      <c r="AM160" s="81">
        <f>Valores!$C$53</f>
        <v>124.41</v>
      </c>
      <c r="AN160" s="83">
        <f t="shared" si="31"/>
        <v>1899.19</v>
      </c>
      <c r="AO160" s="62">
        <f>AI160*-Valores!$C$65</f>
        <v>-3669.4529949999996</v>
      </c>
      <c r="AP160" s="62">
        <f>AI160*-Valores!$C$66</f>
        <v>-141.13280749999998</v>
      </c>
      <c r="AQ160" s="78">
        <f>AI160*-Valores!$C$67</f>
        <v>-1270.1952674999998</v>
      </c>
      <c r="AR160" s="78">
        <f>AI160*-Valores!$C$68</f>
        <v>-762.1171604999998</v>
      </c>
      <c r="AS160" s="78">
        <f>AI160*-Valores!$C$69</f>
        <v>-84.6796845</v>
      </c>
      <c r="AT160" s="82">
        <f t="shared" si="27"/>
        <v>25044.970429999998</v>
      </c>
      <c r="AU160" s="82">
        <f t="shared" si="28"/>
        <v>25468.3688525</v>
      </c>
      <c r="AV160" s="78">
        <f>AI160*Valores!$C$71</f>
        <v>4516.2498399999995</v>
      </c>
      <c r="AW160" s="78">
        <f>AI160*Valores!$C$72</f>
        <v>1270.1952674999998</v>
      </c>
      <c r="AX160" s="78">
        <f>AI160*Valores!$C$73</f>
        <v>282.26561499999997</v>
      </c>
      <c r="AY160" s="78">
        <f>AI160*Valores!$C$75</f>
        <v>987.9296525</v>
      </c>
      <c r="AZ160" s="78">
        <f>AI160*Valores!$C$76</f>
        <v>169.359369</v>
      </c>
      <c r="BA160" s="78">
        <f t="shared" si="32"/>
        <v>1524.2343209999997</v>
      </c>
      <c r="BB160" s="52">
        <v>12</v>
      </c>
      <c r="BC160" s="52">
        <v>18</v>
      </c>
      <c r="BD160" s="28" t="s">
        <v>4</v>
      </c>
    </row>
    <row r="161" spans="1:56" s="28" customFormat="1" ht="11.25" customHeight="1">
      <c r="A161" s="86">
        <v>160</v>
      </c>
      <c r="B161" s="86" t="s">
        <v>163</v>
      </c>
      <c r="C161" s="87" t="s">
        <v>456</v>
      </c>
      <c r="D161" s="87"/>
      <c r="E161" s="87">
        <f t="shared" si="24"/>
        <v>44</v>
      </c>
      <c r="F161" s="88" t="s">
        <v>459</v>
      </c>
      <c r="G161" s="89">
        <v>971</v>
      </c>
      <c r="H161" s="90">
        <f>INT((G161*Valores!$C$2*100)+0.5)/100</f>
        <v>6440.06</v>
      </c>
      <c r="I161" s="104">
        <v>0</v>
      </c>
      <c r="J161" s="92">
        <f>INT((I161*Valores!$C$2*100)+0.5)/100</f>
        <v>0</v>
      </c>
      <c r="K161" s="105">
        <v>0</v>
      </c>
      <c r="L161" s="92">
        <f>INT((K161*Valores!$C$2*100)+0.5)/100</f>
        <v>0</v>
      </c>
      <c r="M161" s="106">
        <v>0</v>
      </c>
      <c r="N161" s="92">
        <f>INT((M161*Valores!$C$2*100)+0.5)/100</f>
        <v>0</v>
      </c>
      <c r="O161" s="92">
        <f t="shared" si="25"/>
        <v>1807.71714</v>
      </c>
      <c r="P161" s="92">
        <f t="shared" si="26"/>
        <v>0</v>
      </c>
      <c r="Q161" s="108">
        <f>Valores!$C$20</f>
        <v>4080.56</v>
      </c>
      <c r="R161" s="108">
        <f>Valores!$D$4</f>
        <v>2966.67</v>
      </c>
      <c r="S161" s="108">
        <f>Valores!$C$27</f>
        <v>2851.94</v>
      </c>
      <c r="T161" s="109">
        <v>225.81</v>
      </c>
      <c r="U161" s="92">
        <f>Valores!$C$23</f>
        <v>2739.25</v>
      </c>
      <c r="V161" s="92">
        <f t="shared" si="23"/>
        <v>2739.25</v>
      </c>
      <c r="W161" s="92">
        <v>0</v>
      </c>
      <c r="X161" s="92">
        <v>0</v>
      </c>
      <c r="Y161" s="91">
        <v>399</v>
      </c>
      <c r="Z161" s="92">
        <f>Y161*Valores!$C$2</f>
        <v>2646.3276</v>
      </c>
      <c r="AA161" s="108">
        <f>SUM(L161,J161,H161,T161)*Valores!$C$3</f>
        <v>999.8805000000001</v>
      </c>
      <c r="AB161" s="97">
        <f>Valores!$C$29</f>
        <v>160.21</v>
      </c>
      <c r="AC161" s="92">
        <f t="shared" si="29"/>
        <v>0</v>
      </c>
      <c r="AD161" s="92">
        <f>Valores!$C$29</f>
        <v>160.21</v>
      </c>
      <c r="AE161" s="96">
        <v>94</v>
      </c>
      <c r="AF161" s="92">
        <f>INT(((AE161*Valores!$C$2)*100)+0.5)/100</f>
        <v>623.45</v>
      </c>
      <c r="AG161" s="92">
        <f>Valores!$C$58</f>
        <v>325.89</v>
      </c>
      <c r="AH161" s="92">
        <f>Valores!$C$60</f>
        <v>93.11</v>
      </c>
      <c r="AI161" s="116">
        <f t="shared" si="30"/>
        <v>26121.08524</v>
      </c>
      <c r="AJ161" s="108">
        <v>0</v>
      </c>
      <c r="AK161" s="95">
        <v>0</v>
      </c>
      <c r="AL161" s="95">
        <v>0</v>
      </c>
      <c r="AM161" s="97">
        <v>0</v>
      </c>
      <c r="AN161" s="99">
        <f t="shared" si="31"/>
        <v>0</v>
      </c>
      <c r="AO161" s="117">
        <f>AI161*-Valores!$C$65</f>
        <v>-3395.7410812000003</v>
      </c>
      <c r="AP161" s="117">
        <f>AI161*-Valores!$C$66</f>
        <v>-130.6054262</v>
      </c>
      <c r="AQ161" s="94">
        <f>AI161*-Valores!$C$67</f>
        <v>-1175.4488357999999</v>
      </c>
      <c r="AR161" s="94">
        <f>AI161*-Valores!$C$68</f>
        <v>-705.26930148</v>
      </c>
      <c r="AS161" s="94">
        <f>AI161*-Valores!$C$69</f>
        <v>-78.36325572</v>
      </c>
      <c r="AT161" s="98">
        <f t="shared" si="27"/>
        <v>21419.2898968</v>
      </c>
      <c r="AU161" s="98">
        <f t="shared" si="28"/>
        <v>21811.1061754</v>
      </c>
      <c r="AV161" s="94">
        <f>AI161*Valores!$C$71</f>
        <v>4179.3736384</v>
      </c>
      <c r="AW161" s="94">
        <f>AI161*Valores!$C$72</f>
        <v>1175.4488357999999</v>
      </c>
      <c r="AX161" s="94">
        <f>AI161*Valores!$C$73</f>
        <v>261.2108524</v>
      </c>
      <c r="AY161" s="94">
        <f>AI161*Valores!$C$75</f>
        <v>914.2379834000001</v>
      </c>
      <c r="AZ161" s="94">
        <f>AI161*Valores!$C$76</f>
        <v>156.72651144</v>
      </c>
      <c r="BA161" s="94">
        <f t="shared" si="32"/>
        <v>1410.53860296</v>
      </c>
      <c r="BB161" s="86">
        <v>12</v>
      </c>
      <c r="BC161" s="86">
        <v>18</v>
      </c>
      <c r="BD161" s="87" t="s">
        <v>8</v>
      </c>
    </row>
    <row r="162" spans="1:56" s="28" customFormat="1" ht="11.25" customHeight="1">
      <c r="A162" s="52">
        <v>161</v>
      </c>
      <c r="B162" s="52"/>
      <c r="C162" s="28" t="s">
        <v>460</v>
      </c>
      <c r="E162" s="28">
        <f t="shared" si="24"/>
        <v>21</v>
      </c>
      <c r="F162" s="72" t="s">
        <v>461</v>
      </c>
      <c r="G162" s="73">
        <v>810</v>
      </c>
      <c r="H162" s="74">
        <f>INT((G162*Valores!$C$2*100)+0.5)/100</f>
        <v>5372.24</v>
      </c>
      <c r="I162" s="113">
        <v>0</v>
      </c>
      <c r="J162" s="76">
        <f>INT((I162*Valores!$C$2*100)+0.5)/100</f>
        <v>0</v>
      </c>
      <c r="K162" s="103">
        <v>0</v>
      </c>
      <c r="L162" s="76">
        <f>INT((K162*Valores!$C$2*100)+0.5)/100</f>
        <v>0</v>
      </c>
      <c r="M162" s="101">
        <v>0</v>
      </c>
      <c r="N162" s="76">
        <f>INT((M162*Valores!$C$2*100)+0.5)/100</f>
        <v>0</v>
      </c>
      <c r="O162" s="76">
        <f t="shared" si="25"/>
        <v>1372.0904999999998</v>
      </c>
      <c r="P162" s="76">
        <f t="shared" si="26"/>
        <v>0</v>
      </c>
      <c r="Q162" s="102">
        <f>Valores!$C$20</f>
        <v>4080.56</v>
      </c>
      <c r="R162" s="102">
        <f>Valores!$D$4</f>
        <v>2966.67</v>
      </c>
      <c r="S162" s="102">
        <f>Valores!$C$27</f>
        <v>2851.94</v>
      </c>
      <c r="T162" s="107">
        <f>Valores!$C$41</f>
        <v>1073.06</v>
      </c>
      <c r="U162" s="102">
        <f>Valores!$C$24</f>
        <v>2701.97</v>
      </c>
      <c r="V162" s="76">
        <f t="shared" si="23"/>
        <v>2701.97</v>
      </c>
      <c r="W162" s="76">
        <v>0</v>
      </c>
      <c r="X162" s="76">
        <v>0</v>
      </c>
      <c r="Y162" s="80">
        <v>0</v>
      </c>
      <c r="Z162" s="76">
        <f>Y162*Valores!$C$2</f>
        <v>0</v>
      </c>
      <c r="AA162" s="76">
        <v>0</v>
      </c>
      <c r="AB162" s="81">
        <f>Valores!$C$29</f>
        <v>160.21</v>
      </c>
      <c r="AC162" s="76">
        <f t="shared" si="29"/>
        <v>0</v>
      </c>
      <c r="AD162" s="76">
        <f>Valores!$C$30</f>
        <v>160.21</v>
      </c>
      <c r="AE162" s="80">
        <v>0</v>
      </c>
      <c r="AF162" s="76">
        <f>INT(((AE162*Valores!$C$2)*100)+0.5)/100</f>
        <v>0</v>
      </c>
      <c r="AG162" s="76">
        <f>Valores!$C$58</f>
        <v>325.89</v>
      </c>
      <c r="AH162" s="76">
        <f>Valores!$C$60</f>
        <v>93.11</v>
      </c>
      <c r="AI162" s="115">
        <f t="shared" si="30"/>
        <v>21157.9505</v>
      </c>
      <c r="AJ162" s="102">
        <f>Valores!$C$35</f>
        <v>599.19</v>
      </c>
      <c r="AK162" s="79">
        <f>Valores!$C$7</f>
        <v>0</v>
      </c>
      <c r="AL162" s="79">
        <f>Valores!$C$81</f>
        <v>1300</v>
      </c>
      <c r="AM162" s="81">
        <f>Valores!$C$51</f>
        <v>136.56</v>
      </c>
      <c r="AN162" s="83">
        <f t="shared" si="31"/>
        <v>1899.19</v>
      </c>
      <c r="AO162" s="62">
        <f>AI162*-Valores!$C$65</f>
        <v>-2750.533565</v>
      </c>
      <c r="AP162" s="62">
        <f>AI162*-Valores!$C$66</f>
        <v>-105.78975249999999</v>
      </c>
      <c r="AQ162" s="78">
        <f>AI162*-Valores!$C$67</f>
        <v>-952.1077724999999</v>
      </c>
      <c r="AR162" s="78">
        <f>AI162*-Valores!$C$68</f>
        <v>-571.2646635</v>
      </c>
      <c r="AS162" s="78">
        <f>AI162*-Valores!$C$69</f>
        <v>-63.473851499999995</v>
      </c>
      <c r="AT162" s="82">
        <f t="shared" si="27"/>
        <v>19248.709409999996</v>
      </c>
      <c r="AU162" s="82">
        <f t="shared" si="28"/>
        <v>19566.078667499998</v>
      </c>
      <c r="AV162" s="78">
        <f>AI162*Valores!$C$71</f>
        <v>3385.2720799999997</v>
      </c>
      <c r="AW162" s="78">
        <f>AI162*Valores!$C$72</f>
        <v>952.1077724999999</v>
      </c>
      <c r="AX162" s="78">
        <f>AI162*Valores!$C$73</f>
        <v>211.57950499999998</v>
      </c>
      <c r="AY162" s="78">
        <f>AI162*Valores!$C$75</f>
        <v>740.5282675000001</v>
      </c>
      <c r="AZ162" s="78">
        <f>AI162*Valores!$C$76</f>
        <v>126.94770299999999</v>
      </c>
      <c r="BA162" s="78">
        <f t="shared" si="32"/>
        <v>1142.529327</v>
      </c>
      <c r="BB162" s="52"/>
      <c r="BC162" s="52"/>
      <c r="BD162" s="28" t="s">
        <v>4</v>
      </c>
    </row>
    <row r="163" spans="1:56" s="28" customFormat="1" ht="11.25" customHeight="1">
      <c r="A163" s="52">
        <v>162</v>
      </c>
      <c r="B163" s="52"/>
      <c r="C163" s="28" t="s">
        <v>462</v>
      </c>
      <c r="E163" s="28">
        <f t="shared" si="24"/>
        <v>9</v>
      </c>
      <c r="F163" s="72" t="s">
        <v>463</v>
      </c>
      <c r="G163" s="73">
        <v>1065</v>
      </c>
      <c r="H163" s="74">
        <f>INT((G163*Valores!$C$2*100)+0.5)/100</f>
        <v>7063.51</v>
      </c>
      <c r="I163" s="113">
        <v>0</v>
      </c>
      <c r="J163" s="76">
        <f>INT((I163*Valores!$C$2*100)+0.5)/100</f>
        <v>0</v>
      </c>
      <c r="K163" s="103">
        <v>0</v>
      </c>
      <c r="L163" s="76">
        <f>INT((K163*Valores!$C$2*100)+0.5)/100</f>
        <v>0</v>
      </c>
      <c r="M163" s="101">
        <v>0</v>
      </c>
      <c r="N163" s="76">
        <f>INT((M163*Valores!$C$2*100)+0.5)/100</f>
        <v>0</v>
      </c>
      <c r="O163" s="76">
        <f t="shared" si="25"/>
        <v>1631.3729999999998</v>
      </c>
      <c r="P163" s="76">
        <f t="shared" si="26"/>
        <v>0</v>
      </c>
      <c r="Q163" s="102">
        <f>Valores!$C$20</f>
        <v>4080.56</v>
      </c>
      <c r="R163" s="102">
        <f>Valores!$D$4</f>
        <v>2966.67</v>
      </c>
      <c r="S163" s="79">
        <f>Valores!$C$27</f>
        <v>2851.94</v>
      </c>
      <c r="T163" s="79">
        <f>Valores!$C$41</f>
        <v>1073.06</v>
      </c>
      <c r="U163" s="102">
        <f>Valores!$C$23</f>
        <v>2739.25</v>
      </c>
      <c r="V163" s="76">
        <f t="shared" si="23"/>
        <v>2739.25</v>
      </c>
      <c r="W163" s="76">
        <v>0</v>
      </c>
      <c r="X163" s="76">
        <v>0</v>
      </c>
      <c r="Y163" s="80">
        <v>0</v>
      </c>
      <c r="Z163" s="76">
        <f>Y163*Valores!$C$2</f>
        <v>0</v>
      </c>
      <c r="AA163" s="76">
        <v>0</v>
      </c>
      <c r="AB163" s="81">
        <f>Valores!$C$29</f>
        <v>160.21</v>
      </c>
      <c r="AC163" s="76">
        <f t="shared" si="29"/>
        <v>0</v>
      </c>
      <c r="AD163" s="76">
        <f>Valores!$C$30</f>
        <v>160.21</v>
      </c>
      <c r="AE163" s="80">
        <v>0</v>
      </c>
      <c r="AF163" s="76">
        <f>INT(((AE163*Valores!$C$2)*100)+0.5)/100</f>
        <v>0</v>
      </c>
      <c r="AG163" s="76">
        <f>Valores!$C$58</f>
        <v>325.89</v>
      </c>
      <c r="AH163" s="76">
        <f>Valores!$C$60</f>
        <v>93.11</v>
      </c>
      <c r="AI163" s="115">
        <f t="shared" si="30"/>
        <v>23145.783</v>
      </c>
      <c r="AJ163" s="102">
        <f>Valores!$C$35</f>
        <v>599.19</v>
      </c>
      <c r="AK163" s="79">
        <f>Valores!$C$7</f>
        <v>0</v>
      </c>
      <c r="AL163" s="79">
        <f>Valores!$C$81</f>
        <v>1300</v>
      </c>
      <c r="AM163" s="81">
        <f>Valores!$C$51</f>
        <v>136.56</v>
      </c>
      <c r="AN163" s="83">
        <f t="shared" si="31"/>
        <v>1899.19</v>
      </c>
      <c r="AO163" s="62">
        <f>AI163*-Valores!$C$65</f>
        <v>-3008.95179</v>
      </c>
      <c r="AP163" s="62">
        <f>AI163*-Valores!$C$66</f>
        <v>-115.728915</v>
      </c>
      <c r="AQ163" s="78">
        <f>AI163*-Valores!$C$67</f>
        <v>-1041.560235</v>
      </c>
      <c r="AR163" s="78">
        <f>AI163*-Valores!$C$68</f>
        <v>-624.936141</v>
      </c>
      <c r="AS163" s="78">
        <f>AI163*-Valores!$C$69</f>
        <v>-69.437349</v>
      </c>
      <c r="AT163" s="82">
        <f t="shared" si="27"/>
        <v>20878.73206</v>
      </c>
      <c r="AU163" s="82">
        <f t="shared" si="28"/>
        <v>21225.918805</v>
      </c>
      <c r="AV163" s="78">
        <f>AI163*Valores!$C$71</f>
        <v>3703.32528</v>
      </c>
      <c r="AW163" s="78">
        <f>AI163*Valores!$C$72</f>
        <v>1041.560235</v>
      </c>
      <c r="AX163" s="78">
        <f>AI163*Valores!$C$73</f>
        <v>231.45783</v>
      </c>
      <c r="AY163" s="78">
        <f>AI163*Valores!$C$75</f>
        <v>810.1024050000001</v>
      </c>
      <c r="AZ163" s="78">
        <f>AI163*Valores!$C$76</f>
        <v>138.874698</v>
      </c>
      <c r="BA163" s="78">
        <f t="shared" si="32"/>
        <v>1249.872282</v>
      </c>
      <c r="BB163" s="52"/>
      <c r="BC163" s="52">
        <v>27</v>
      </c>
      <c r="BD163" s="28" t="s">
        <v>4</v>
      </c>
    </row>
    <row r="164" spans="1:56" s="28" customFormat="1" ht="11.25" customHeight="1">
      <c r="A164" s="52">
        <v>163</v>
      </c>
      <c r="B164" s="52"/>
      <c r="C164" s="28" t="s">
        <v>462</v>
      </c>
      <c r="E164" s="28">
        <f t="shared" si="24"/>
        <v>33</v>
      </c>
      <c r="F164" s="72" t="s">
        <v>464</v>
      </c>
      <c r="G164" s="73">
        <v>1065</v>
      </c>
      <c r="H164" s="74">
        <f>INT((G164*Valores!$C$2*100)+0.5)/100</f>
        <v>7063.51</v>
      </c>
      <c r="I164" s="113">
        <v>0</v>
      </c>
      <c r="J164" s="76">
        <f>INT((I164*Valores!$C$2*100)+0.5)/100</f>
        <v>0</v>
      </c>
      <c r="K164" s="103">
        <v>0</v>
      </c>
      <c r="L164" s="76">
        <f>INT((K164*Valores!$C$2*100)+0.5)/100</f>
        <v>0</v>
      </c>
      <c r="M164" s="101">
        <v>0</v>
      </c>
      <c r="N164" s="76">
        <f>INT((M164*Valores!$C$2*100)+0.5)/100</f>
        <v>0</v>
      </c>
      <c r="O164" s="76">
        <f t="shared" si="25"/>
        <v>1631.3729999999998</v>
      </c>
      <c r="P164" s="76">
        <f t="shared" si="26"/>
        <v>0</v>
      </c>
      <c r="Q164" s="102">
        <f>Valores!$C$20</f>
        <v>4080.56</v>
      </c>
      <c r="R164" s="102">
        <f>Valores!$D$4</f>
        <v>2966.67</v>
      </c>
      <c r="S164" s="79">
        <f>Valores!$C$27</f>
        <v>2851.94</v>
      </c>
      <c r="T164" s="118">
        <f>Valores!$C$41</f>
        <v>1073.06</v>
      </c>
      <c r="U164" s="76">
        <f>Valores!$C$23</f>
        <v>2739.25</v>
      </c>
      <c r="V164" s="76">
        <f t="shared" si="23"/>
        <v>2739.25</v>
      </c>
      <c r="W164" s="76">
        <v>0</v>
      </c>
      <c r="X164" s="76">
        <v>0</v>
      </c>
      <c r="Y164" s="80">
        <v>0</v>
      </c>
      <c r="Z164" s="76">
        <f>Y164*Valores!$C$2</f>
        <v>0</v>
      </c>
      <c r="AA164" s="76">
        <v>0</v>
      </c>
      <c r="AB164" s="81">
        <f>Valores!$C$29</f>
        <v>160.21</v>
      </c>
      <c r="AC164" s="76">
        <f t="shared" si="29"/>
        <v>0</v>
      </c>
      <c r="AD164" s="76">
        <f>Valores!$C$30</f>
        <v>160.21</v>
      </c>
      <c r="AE164" s="80">
        <v>94</v>
      </c>
      <c r="AF164" s="76">
        <f>INT(((AE164*Valores!$C$2)*100)+0.5)/100</f>
        <v>623.45</v>
      </c>
      <c r="AG164" s="76">
        <f>Valores!$C$58</f>
        <v>325.89</v>
      </c>
      <c r="AH164" s="76">
        <f>Valores!$C$60</f>
        <v>93.11</v>
      </c>
      <c r="AI164" s="115">
        <f t="shared" si="30"/>
        <v>23769.233</v>
      </c>
      <c r="AJ164" s="102">
        <f>Valores!$C$35</f>
        <v>599.19</v>
      </c>
      <c r="AK164" s="79">
        <f>Valores!$C$7</f>
        <v>0</v>
      </c>
      <c r="AL164" s="79">
        <f>Valores!$C$81</f>
        <v>1300</v>
      </c>
      <c r="AM164" s="81">
        <f>Valores!$C$51</f>
        <v>136.56</v>
      </c>
      <c r="AN164" s="83">
        <f t="shared" si="31"/>
        <v>1899.19</v>
      </c>
      <c r="AO164" s="62">
        <f>AI164*-Valores!$C$65</f>
        <v>-3090.00029</v>
      </c>
      <c r="AP164" s="62">
        <f>AI164*-Valores!$C$66</f>
        <v>-118.846165</v>
      </c>
      <c r="AQ164" s="78">
        <f>AI164*-Valores!$C$67</f>
        <v>-1069.615485</v>
      </c>
      <c r="AR164" s="78">
        <f>AI164*-Valores!$C$68</f>
        <v>-641.769291</v>
      </c>
      <c r="AS164" s="78">
        <f>AI164*-Valores!$C$69</f>
        <v>-71.307699</v>
      </c>
      <c r="AT164" s="82">
        <f t="shared" si="27"/>
        <v>21389.96106</v>
      </c>
      <c r="AU164" s="82">
        <f t="shared" si="28"/>
        <v>21746.499555</v>
      </c>
      <c r="AV164" s="78">
        <f>AI164*Valores!$C$71</f>
        <v>3803.07728</v>
      </c>
      <c r="AW164" s="78">
        <f>AI164*Valores!$C$72</f>
        <v>1069.615485</v>
      </c>
      <c r="AX164" s="78">
        <f>AI164*Valores!$C$73</f>
        <v>237.69233</v>
      </c>
      <c r="AY164" s="78">
        <f>AI164*Valores!$C$75</f>
        <v>831.9231550000001</v>
      </c>
      <c r="AZ164" s="78">
        <f>AI164*Valores!$C$76</f>
        <v>142.615398</v>
      </c>
      <c r="BA164" s="78">
        <f t="shared" si="32"/>
        <v>1283.5385820000001</v>
      </c>
      <c r="BB164" s="52"/>
      <c r="BC164" s="86">
        <v>27</v>
      </c>
      <c r="BD164" s="28" t="s">
        <v>4</v>
      </c>
    </row>
    <row r="165" spans="1:56" s="28" customFormat="1" ht="11.25" customHeight="1">
      <c r="A165" s="52">
        <v>164</v>
      </c>
      <c r="B165" s="52"/>
      <c r="C165" s="28" t="s">
        <v>465</v>
      </c>
      <c r="E165" s="28">
        <f t="shared" si="24"/>
        <v>30</v>
      </c>
      <c r="F165" s="72" t="s">
        <v>466</v>
      </c>
      <c r="G165" s="73">
        <v>98</v>
      </c>
      <c r="H165" s="74">
        <f>INT((G165*Valores!$C$2*100)+0.5)/100</f>
        <v>649.98</v>
      </c>
      <c r="I165" s="113">
        <v>2686</v>
      </c>
      <c r="J165" s="76">
        <f>INT((I165*Valores!$C$2*100)+0.5)/100</f>
        <v>17814.63</v>
      </c>
      <c r="K165" s="103">
        <v>0</v>
      </c>
      <c r="L165" s="76">
        <f>INT((K165*Valores!$C$2*100)+0.5)/100</f>
        <v>0</v>
      </c>
      <c r="M165" s="101">
        <v>0</v>
      </c>
      <c r="N165" s="76">
        <f>INT((M165*Valores!$C$2*100)+0.5)/100</f>
        <v>0</v>
      </c>
      <c r="O165" s="76">
        <f t="shared" si="25"/>
        <v>4152.912</v>
      </c>
      <c r="P165" s="76">
        <f t="shared" si="26"/>
        <v>0</v>
      </c>
      <c r="Q165" s="107">
        <f>Valores!$C$15</f>
        <v>4266.78</v>
      </c>
      <c r="R165" s="102">
        <f>Valores!$D$4</f>
        <v>2966.67</v>
      </c>
      <c r="S165" s="102">
        <f>Valores!$C$26</f>
        <v>3094.03</v>
      </c>
      <c r="T165" s="107">
        <f>Valores!$C$43</f>
        <v>1839.54</v>
      </c>
      <c r="U165" s="76">
        <f>Valores!$C$23</f>
        <v>2739.25</v>
      </c>
      <c r="V165" s="76">
        <f t="shared" si="23"/>
        <v>2739.25</v>
      </c>
      <c r="W165" s="76">
        <v>0</v>
      </c>
      <c r="X165" s="76">
        <v>0</v>
      </c>
      <c r="Y165" s="75">
        <v>700</v>
      </c>
      <c r="Z165" s="76">
        <f>Y165*Valores!$C$2</f>
        <v>4642.679999999999</v>
      </c>
      <c r="AA165" s="102">
        <f>SUM(L165,J165,H165,T165)*Valores!$C$3</f>
        <v>3045.6225</v>
      </c>
      <c r="AB165" s="81">
        <f>Valores!$C$29</f>
        <v>160.21</v>
      </c>
      <c r="AC165" s="76">
        <f t="shared" si="29"/>
        <v>0</v>
      </c>
      <c r="AD165" s="76">
        <f>Valores!$C$30</f>
        <v>160.21</v>
      </c>
      <c r="AE165" s="80">
        <v>94</v>
      </c>
      <c r="AF165" s="76">
        <f>INT(((AE165*Valores!$C$2)*100)+0.5)/100</f>
        <v>623.45</v>
      </c>
      <c r="AG165" s="76">
        <f>Valores!$C$58</f>
        <v>325.89</v>
      </c>
      <c r="AH165" s="76">
        <f>Valores!$C$60</f>
        <v>93.11</v>
      </c>
      <c r="AI165" s="115">
        <f t="shared" si="30"/>
        <v>46574.964499999995</v>
      </c>
      <c r="AJ165" s="102">
        <f>Valores!$C$35</f>
        <v>599.19</v>
      </c>
      <c r="AK165" s="79">
        <f>Valores!$C$9</f>
        <v>0</v>
      </c>
      <c r="AL165" s="79">
        <f>Valores!$C$83</f>
        <v>2600</v>
      </c>
      <c r="AM165" s="81">
        <v>224.5</v>
      </c>
      <c r="AN165" s="83">
        <f t="shared" si="31"/>
        <v>3199.19</v>
      </c>
      <c r="AO165" s="62">
        <f>AI165*-Valores!$C$65</f>
        <v>-6054.745384999999</v>
      </c>
      <c r="AP165" s="62">
        <f>AI165*-Valores!$C$66</f>
        <v>-232.87482249999996</v>
      </c>
      <c r="AQ165" s="78">
        <f>AI165*-Valores!$C$67</f>
        <v>-2095.8734025</v>
      </c>
      <c r="AR165" s="78">
        <f>AI165*-Valores!$C$68</f>
        <v>-1257.5240414999998</v>
      </c>
      <c r="AS165" s="78">
        <f>AI165*-Valores!$C$69</f>
        <v>-139.72489349999998</v>
      </c>
      <c r="AT165" s="82">
        <f t="shared" si="27"/>
        <v>41390.66088999999</v>
      </c>
      <c r="AU165" s="82">
        <f t="shared" si="28"/>
        <v>42089.28535749999</v>
      </c>
      <c r="AV165" s="78">
        <f>AI165*Valores!$C$71</f>
        <v>7451.994319999999</v>
      </c>
      <c r="AW165" s="78">
        <f>AI165*Valores!$C$72</f>
        <v>2095.8734025</v>
      </c>
      <c r="AX165" s="78">
        <f>AI165*Valores!$C$73</f>
        <v>465.74964499999993</v>
      </c>
      <c r="AY165" s="78">
        <f>AI165*Valores!$C$75</f>
        <v>1630.1237575</v>
      </c>
      <c r="AZ165" s="78">
        <f>AI165*Valores!$C$76</f>
        <v>279.44978699999996</v>
      </c>
      <c r="BA165" s="78">
        <f t="shared" si="32"/>
        <v>2515.0480829999997</v>
      </c>
      <c r="BB165" s="52"/>
      <c r="BC165" s="52">
        <v>45</v>
      </c>
      <c r="BD165" s="28" t="s">
        <v>4</v>
      </c>
    </row>
    <row r="166" spans="1:56" s="28" customFormat="1" ht="11.25" customHeight="1">
      <c r="A166" s="86">
        <v>165</v>
      </c>
      <c r="B166" s="86" t="s">
        <v>163</v>
      </c>
      <c r="C166" s="87" t="s">
        <v>467</v>
      </c>
      <c r="D166" s="87"/>
      <c r="E166" s="87">
        <f t="shared" si="24"/>
        <v>30</v>
      </c>
      <c r="F166" s="88" t="s">
        <v>468</v>
      </c>
      <c r="G166" s="89">
        <v>93</v>
      </c>
      <c r="H166" s="90">
        <f>INT((G166*Valores!$C$2*100)+0.5)/100</f>
        <v>616.81</v>
      </c>
      <c r="I166" s="91">
        <v>2547</v>
      </c>
      <c r="J166" s="92">
        <f>INT((I166*Valores!$C$2*100)+0.5)/100</f>
        <v>16892.72</v>
      </c>
      <c r="K166" s="105">
        <v>0</v>
      </c>
      <c r="L166" s="92">
        <f>INT((K166*Valores!$C$2*100)+0.5)/100</f>
        <v>0</v>
      </c>
      <c r="M166" s="106">
        <v>0</v>
      </c>
      <c r="N166" s="92">
        <f>INT((M166*Valores!$C$2*100)+0.5)/100</f>
        <v>0</v>
      </c>
      <c r="O166" s="92">
        <f t="shared" si="25"/>
        <v>4009.6500000000005</v>
      </c>
      <c r="P166" s="92">
        <f t="shared" si="26"/>
        <v>0</v>
      </c>
      <c r="Q166" s="109">
        <f>Valores!$C$20</f>
        <v>4080.56</v>
      </c>
      <c r="R166" s="108">
        <f>Valores!$D$4</f>
        <v>2966.67</v>
      </c>
      <c r="S166" s="108">
        <f>Valores!$C$26</f>
        <v>3094.03</v>
      </c>
      <c r="T166" s="109">
        <f>Valores!$C$43</f>
        <v>1839.54</v>
      </c>
      <c r="U166" s="92">
        <f>Valores!$C$23</f>
        <v>2739.25</v>
      </c>
      <c r="V166" s="92">
        <f t="shared" si="23"/>
        <v>2739.25</v>
      </c>
      <c r="W166" s="92">
        <v>0</v>
      </c>
      <c r="X166" s="92">
        <v>0</v>
      </c>
      <c r="Y166" s="91">
        <v>700</v>
      </c>
      <c r="Z166" s="92">
        <f>Y166*Valores!$C$2</f>
        <v>4642.679999999999</v>
      </c>
      <c r="AA166" s="108">
        <f>SUM(L166,J166,H166,T166)*Valores!$C$3</f>
        <v>2902.3605000000002</v>
      </c>
      <c r="AB166" s="97">
        <f>Valores!$C$29</f>
        <v>160.21</v>
      </c>
      <c r="AC166" s="92">
        <f t="shared" si="29"/>
        <v>0</v>
      </c>
      <c r="AD166" s="92">
        <f>Valores!$C$30</f>
        <v>160.21</v>
      </c>
      <c r="AE166" s="96">
        <v>94</v>
      </c>
      <c r="AF166" s="92">
        <f>INT(((AE166*Valores!$C$2)*100)+0.5)/100</f>
        <v>623.45</v>
      </c>
      <c r="AG166" s="92">
        <f>Valores!$C$58</f>
        <v>325.89</v>
      </c>
      <c r="AH166" s="92">
        <f>Valores!$C$60</f>
        <v>93.11</v>
      </c>
      <c r="AI166" s="116">
        <f t="shared" si="30"/>
        <v>45147.1405</v>
      </c>
      <c r="AJ166" s="108">
        <f>Valores!$C$35</f>
        <v>599.19</v>
      </c>
      <c r="AK166" s="95">
        <f>Valores!$C$9</f>
        <v>0</v>
      </c>
      <c r="AL166" s="95">
        <f>Valores!$C$83</f>
        <v>2600</v>
      </c>
      <c r="AM166" s="97">
        <v>224.5</v>
      </c>
      <c r="AN166" s="99">
        <f t="shared" si="31"/>
        <v>3199.19</v>
      </c>
      <c r="AO166" s="117">
        <f>AI166*-Valores!$C$65</f>
        <v>-5869.128265</v>
      </c>
      <c r="AP166" s="117">
        <f>AI166*-Valores!$C$66</f>
        <v>-225.7357025</v>
      </c>
      <c r="AQ166" s="94">
        <f>AI166*-Valores!$C$67</f>
        <v>-2031.6213225</v>
      </c>
      <c r="AR166" s="94">
        <f>AI166*-Valores!$C$68</f>
        <v>-1218.9727935</v>
      </c>
      <c r="AS166" s="94">
        <f>AI166*-Valores!$C$69</f>
        <v>-135.44142150000002</v>
      </c>
      <c r="AT166" s="98">
        <f t="shared" si="27"/>
        <v>40219.84521</v>
      </c>
      <c r="AU166" s="98">
        <f t="shared" si="28"/>
        <v>40897.052317500005</v>
      </c>
      <c r="AV166" s="94">
        <f>AI166*Valores!$C$71</f>
        <v>7223.54248</v>
      </c>
      <c r="AW166" s="94">
        <f>AI166*Valores!$C$72</f>
        <v>2031.6213225</v>
      </c>
      <c r="AX166" s="94">
        <f>AI166*Valores!$C$73</f>
        <v>451.471405</v>
      </c>
      <c r="AY166" s="94">
        <f>AI166*Valores!$C$75</f>
        <v>1580.1499175000001</v>
      </c>
      <c r="AZ166" s="94">
        <f>AI166*Valores!$C$76</f>
        <v>270.88284300000004</v>
      </c>
      <c r="BA166" s="94">
        <f t="shared" si="32"/>
        <v>2437.945587</v>
      </c>
      <c r="BB166" s="86"/>
      <c r="BC166" s="86">
        <v>45</v>
      </c>
      <c r="BD166" s="87" t="s">
        <v>4</v>
      </c>
    </row>
    <row r="167" spans="1:56" s="28" customFormat="1" ht="11.25" customHeight="1">
      <c r="A167" s="52">
        <v>166</v>
      </c>
      <c r="B167" s="52"/>
      <c r="C167" s="28" t="s">
        <v>469</v>
      </c>
      <c r="E167" s="28">
        <f t="shared" si="24"/>
        <v>30</v>
      </c>
      <c r="F167" s="72" t="s">
        <v>470</v>
      </c>
      <c r="G167" s="73">
        <v>89</v>
      </c>
      <c r="H167" s="74">
        <f>INT((G167*Valores!$C$2*100)+0.5)/100</f>
        <v>590.28</v>
      </c>
      <c r="I167" s="113">
        <v>2251</v>
      </c>
      <c r="J167" s="76">
        <f>INT((I167*Valores!$C$2*100)+0.5)/100</f>
        <v>14929.53</v>
      </c>
      <c r="K167" s="103">
        <v>0</v>
      </c>
      <c r="L167" s="76">
        <f>INT((K167*Valores!$C$2*100)+0.5)/100</f>
        <v>0</v>
      </c>
      <c r="M167" s="101">
        <v>0</v>
      </c>
      <c r="N167" s="76">
        <f>INT((M167*Valores!$C$2*100)+0.5)/100</f>
        <v>0</v>
      </c>
      <c r="O167" s="76">
        <f t="shared" si="25"/>
        <v>3711.192</v>
      </c>
      <c r="P167" s="76">
        <f t="shared" si="26"/>
        <v>0</v>
      </c>
      <c r="Q167" s="107">
        <f>Valores!$C$20</f>
        <v>4080.56</v>
      </c>
      <c r="R167" s="102">
        <f>Valores!$D$4</f>
        <v>2966.67</v>
      </c>
      <c r="S167" s="102">
        <f>Valores!$C$26</f>
        <v>3094.03</v>
      </c>
      <c r="T167" s="107">
        <f>Valores!$C$43</f>
        <v>1839.54</v>
      </c>
      <c r="U167" s="76">
        <f>Valores!$C$23</f>
        <v>2739.25</v>
      </c>
      <c r="V167" s="76">
        <f t="shared" si="23"/>
        <v>2739.25</v>
      </c>
      <c r="W167" s="76">
        <v>0</v>
      </c>
      <c r="X167" s="76">
        <v>0</v>
      </c>
      <c r="Y167" s="75">
        <v>700</v>
      </c>
      <c r="Z167" s="76">
        <f>Y167*Valores!$C$2</f>
        <v>4642.679999999999</v>
      </c>
      <c r="AA167" s="102">
        <f>SUM(L167,J167,H167,T167)*Valores!$C$3</f>
        <v>2603.9025</v>
      </c>
      <c r="AB167" s="81">
        <f>Valores!$C$29</f>
        <v>160.21</v>
      </c>
      <c r="AC167" s="76">
        <f t="shared" si="29"/>
        <v>0</v>
      </c>
      <c r="AD167" s="76">
        <f>Valores!$C$30</f>
        <v>160.21</v>
      </c>
      <c r="AE167" s="80">
        <v>94</v>
      </c>
      <c r="AF167" s="76">
        <f>INT(((AE167*Valores!$C$2)*100)+0.5)/100</f>
        <v>623.45</v>
      </c>
      <c r="AG167" s="76">
        <f>Valores!$C$58</f>
        <v>325.89</v>
      </c>
      <c r="AH167" s="76">
        <f>Valores!$C$60</f>
        <v>93.11</v>
      </c>
      <c r="AI167" s="115">
        <f t="shared" si="30"/>
        <v>42560.5045</v>
      </c>
      <c r="AJ167" s="102">
        <f>Valores!$C$35</f>
        <v>599.19</v>
      </c>
      <c r="AK167" s="79">
        <f>Valores!$C$9</f>
        <v>0</v>
      </c>
      <c r="AL167" s="79">
        <f>Valores!$C$83</f>
        <v>2600</v>
      </c>
      <c r="AM167" s="81">
        <v>224.5</v>
      </c>
      <c r="AN167" s="83">
        <f t="shared" si="31"/>
        <v>3199.19</v>
      </c>
      <c r="AO167" s="62">
        <f>AI167*-Valores!$C$65</f>
        <v>-5532.8655850000005</v>
      </c>
      <c r="AP167" s="62">
        <f>AI167*-Valores!$C$66</f>
        <v>-212.8025225</v>
      </c>
      <c r="AQ167" s="78">
        <f>AI167*-Valores!$C$67</f>
        <v>-1915.2227025</v>
      </c>
      <c r="AR167" s="78">
        <f>AI167*-Valores!$C$68</f>
        <v>-1149.1336215000001</v>
      </c>
      <c r="AS167" s="78">
        <f>AI167*-Valores!$C$69</f>
        <v>-127.68151350000001</v>
      </c>
      <c r="AT167" s="82">
        <f t="shared" si="27"/>
        <v>38098.80369</v>
      </c>
      <c r="AU167" s="82">
        <f t="shared" si="28"/>
        <v>38737.21125750001</v>
      </c>
      <c r="AV167" s="78">
        <f>AI167*Valores!$C$71</f>
        <v>6809.68072</v>
      </c>
      <c r="AW167" s="78">
        <f>AI167*Valores!$C$72</f>
        <v>1915.2227025</v>
      </c>
      <c r="AX167" s="78">
        <f>AI167*Valores!$C$73</f>
        <v>425.605045</v>
      </c>
      <c r="AY167" s="78">
        <f>AI167*Valores!$C$75</f>
        <v>1489.6176575000002</v>
      </c>
      <c r="AZ167" s="78">
        <f>AI167*Valores!$C$76</f>
        <v>255.36302700000002</v>
      </c>
      <c r="BA167" s="78">
        <f t="shared" si="32"/>
        <v>2298.2672430000002</v>
      </c>
      <c r="BB167" s="52"/>
      <c r="BC167" s="52">
        <v>45</v>
      </c>
      <c r="BD167" s="28" t="s">
        <v>4</v>
      </c>
    </row>
    <row r="168" spans="1:56" s="28" customFormat="1" ht="11.25" customHeight="1">
      <c r="A168" s="52">
        <v>167</v>
      </c>
      <c r="B168" s="52"/>
      <c r="C168" s="28" t="s">
        <v>471</v>
      </c>
      <c r="E168" s="28">
        <f t="shared" si="24"/>
        <v>31</v>
      </c>
      <c r="F168" s="72" t="s">
        <v>472</v>
      </c>
      <c r="G168" s="73">
        <v>83</v>
      </c>
      <c r="H168" s="74">
        <f>INT((G168*Valores!$C$2*100)+0.5)/100</f>
        <v>550.49</v>
      </c>
      <c r="I168" s="113">
        <v>2352</v>
      </c>
      <c r="J168" s="76">
        <f>INT((I168*Valores!$C$2*100)+0.5)/100</f>
        <v>15599.4</v>
      </c>
      <c r="K168" s="103">
        <v>0</v>
      </c>
      <c r="L168" s="76">
        <f>INT((K168*Valores!$C$2*100)+0.5)/100</f>
        <v>0</v>
      </c>
      <c r="M168" s="101">
        <v>0</v>
      </c>
      <c r="N168" s="76">
        <f>INT((M168*Valores!$C$2*100)+0.5)/100</f>
        <v>0</v>
      </c>
      <c r="O168" s="76">
        <f t="shared" si="25"/>
        <v>3805.7039999999997</v>
      </c>
      <c r="P168" s="76">
        <f t="shared" si="26"/>
        <v>0</v>
      </c>
      <c r="Q168" s="102">
        <f>Valores!$C$20</f>
        <v>4080.56</v>
      </c>
      <c r="R168" s="102">
        <f>Valores!$D$4</f>
        <v>2966.67</v>
      </c>
      <c r="S168" s="76">
        <v>0</v>
      </c>
      <c r="T168" s="79">
        <f>Valores!$C$43</f>
        <v>1839.54</v>
      </c>
      <c r="U168" s="76">
        <f>Valores!$C$23</f>
        <v>2739.25</v>
      </c>
      <c r="V168" s="76">
        <f t="shared" si="23"/>
        <v>2739.25</v>
      </c>
      <c r="W168" s="76">
        <v>0</v>
      </c>
      <c r="X168" s="76">
        <v>0</v>
      </c>
      <c r="Y168" s="75">
        <v>700</v>
      </c>
      <c r="Z168" s="76">
        <f>Y168*Valores!$C$2</f>
        <v>4642.679999999999</v>
      </c>
      <c r="AA168" s="102">
        <f>SUM(L168,J168,H168,T168)*Valores!$C$3</f>
        <v>2698.4145</v>
      </c>
      <c r="AB168" s="81">
        <f>Valores!$C$29</f>
        <v>160.21</v>
      </c>
      <c r="AC168" s="76">
        <f t="shared" si="29"/>
        <v>0</v>
      </c>
      <c r="AD168" s="76">
        <f>Valores!$C$30</f>
        <v>160.21</v>
      </c>
      <c r="AE168" s="80">
        <v>94</v>
      </c>
      <c r="AF168" s="76">
        <f>INT(((AE168*Valores!$C$2)*100)+0.5)/100</f>
        <v>623.45</v>
      </c>
      <c r="AG168" s="76">
        <f>Valores!$C$58</f>
        <v>325.89</v>
      </c>
      <c r="AH168" s="76">
        <f>Valores!$C$60</f>
        <v>93.11</v>
      </c>
      <c r="AI168" s="115">
        <f t="shared" si="30"/>
        <v>40285.578499999996</v>
      </c>
      <c r="AJ168" s="102">
        <f>Valores!$C$35</f>
        <v>599.19</v>
      </c>
      <c r="AK168" s="79">
        <f>Valores!$C$9</f>
        <v>0</v>
      </c>
      <c r="AL168" s="79">
        <f>Valores!$C$83</f>
        <v>2600</v>
      </c>
      <c r="AM168" s="81">
        <v>0</v>
      </c>
      <c r="AN168" s="83">
        <f t="shared" si="31"/>
        <v>3199.19</v>
      </c>
      <c r="AO168" s="62">
        <f>AI168*-Valores!$C$65</f>
        <v>-5237.125204999999</v>
      </c>
      <c r="AP168" s="62">
        <f>AI168*-Valores!$C$66</f>
        <v>-201.42789249999998</v>
      </c>
      <c r="AQ168" s="78">
        <f>AI168*-Valores!$C$67</f>
        <v>-1812.8510324999997</v>
      </c>
      <c r="AR168" s="78">
        <f>AI168*-Valores!$C$68</f>
        <v>-1087.7106195</v>
      </c>
      <c r="AS168" s="78">
        <f>AI168*-Valores!$C$69</f>
        <v>-120.85673549999998</v>
      </c>
      <c r="AT168" s="82">
        <f t="shared" si="27"/>
        <v>36233.364369999996</v>
      </c>
      <c r="AU168" s="82">
        <f t="shared" si="28"/>
        <v>36837.6480475</v>
      </c>
      <c r="AV168" s="78">
        <f>AI168*Valores!$C$71</f>
        <v>6445.6925599999995</v>
      </c>
      <c r="AW168" s="78">
        <f>AI168*Valores!$C$72</f>
        <v>1812.8510324999997</v>
      </c>
      <c r="AX168" s="78">
        <f>AI168*Valores!$C$73</f>
        <v>402.85578499999997</v>
      </c>
      <c r="AY168" s="78">
        <f>AI168*Valores!$C$75</f>
        <v>1409.9952475</v>
      </c>
      <c r="AZ168" s="78">
        <f>AI168*Valores!$C$76</f>
        <v>241.71347099999997</v>
      </c>
      <c r="BA168" s="78">
        <f t="shared" si="32"/>
        <v>2175.4212390000002</v>
      </c>
      <c r="BB168" s="52"/>
      <c r="BC168" s="52">
        <v>45</v>
      </c>
      <c r="BD168" s="28" t="s">
        <v>8</v>
      </c>
    </row>
    <row r="169" spans="1:56" s="28" customFormat="1" ht="11.25" customHeight="1">
      <c r="A169" s="52">
        <v>168</v>
      </c>
      <c r="B169" s="52"/>
      <c r="C169" s="28" t="s">
        <v>473</v>
      </c>
      <c r="E169" s="28">
        <f t="shared" si="24"/>
        <v>31</v>
      </c>
      <c r="F169" s="72" t="s">
        <v>474</v>
      </c>
      <c r="G169" s="73">
        <v>83</v>
      </c>
      <c r="H169" s="74">
        <f>INT((G169*Valores!$C$2*100)+0.5)/100</f>
        <v>550.49</v>
      </c>
      <c r="I169" s="113">
        <v>2092</v>
      </c>
      <c r="J169" s="76">
        <f>INT((I169*Valores!$C$2*100)+0.5)/100</f>
        <v>13874.98</v>
      </c>
      <c r="K169" s="103">
        <v>0</v>
      </c>
      <c r="L169" s="76">
        <f>INT((K169*Valores!$C$2*100)+0.5)/100</f>
        <v>0</v>
      </c>
      <c r="M169" s="101">
        <v>0</v>
      </c>
      <c r="N169" s="76">
        <f>INT((M169*Valores!$C$2*100)+0.5)/100</f>
        <v>0</v>
      </c>
      <c r="O169" s="76">
        <f t="shared" si="25"/>
        <v>3547.0409999999997</v>
      </c>
      <c r="P169" s="76">
        <f t="shared" si="26"/>
        <v>0</v>
      </c>
      <c r="Q169" s="102">
        <f>Valores!$C$20</f>
        <v>4080.56</v>
      </c>
      <c r="R169" s="102">
        <f>Valores!$D$4</f>
        <v>2966.67</v>
      </c>
      <c r="S169" s="76">
        <v>0</v>
      </c>
      <c r="T169" s="79">
        <f>Valores!$C$43</f>
        <v>1839.54</v>
      </c>
      <c r="U169" s="76">
        <f>Valores!$C$23</f>
        <v>2739.25</v>
      </c>
      <c r="V169" s="76">
        <f t="shared" si="23"/>
        <v>2739.25</v>
      </c>
      <c r="W169" s="76">
        <v>0</v>
      </c>
      <c r="X169" s="76">
        <v>0</v>
      </c>
      <c r="Y169" s="75">
        <v>700</v>
      </c>
      <c r="Z169" s="76">
        <f>Y169*Valores!$C$2</f>
        <v>4642.679999999999</v>
      </c>
      <c r="AA169" s="102">
        <f>SUM(L169,J169,H169,T169)*Valores!$C$3</f>
        <v>2439.7515</v>
      </c>
      <c r="AB169" s="81">
        <f>Valores!$C$29</f>
        <v>160.21</v>
      </c>
      <c r="AC169" s="76">
        <f t="shared" si="29"/>
        <v>0</v>
      </c>
      <c r="AD169" s="76">
        <f>Valores!$C$30</f>
        <v>160.21</v>
      </c>
      <c r="AE169" s="80">
        <v>94</v>
      </c>
      <c r="AF169" s="76">
        <f>INT(((AE169*Valores!$C$2)*100)+0.5)/100</f>
        <v>623.45</v>
      </c>
      <c r="AG169" s="76">
        <f>Valores!$C$58</f>
        <v>325.89</v>
      </c>
      <c r="AH169" s="76">
        <f>Valores!$C$60</f>
        <v>93.11</v>
      </c>
      <c r="AI169" s="115">
        <f t="shared" si="30"/>
        <v>38043.8325</v>
      </c>
      <c r="AJ169" s="102">
        <f>Valores!$C$35</f>
        <v>599.19</v>
      </c>
      <c r="AK169" s="79">
        <f>Valores!$C$9</f>
        <v>0</v>
      </c>
      <c r="AL169" s="79">
        <f>Valores!$C$83</f>
        <v>2600</v>
      </c>
      <c r="AM169" s="81">
        <v>0</v>
      </c>
      <c r="AN169" s="83">
        <f t="shared" si="31"/>
        <v>3199.19</v>
      </c>
      <c r="AO169" s="62">
        <f>AI169*-Valores!$C$65</f>
        <v>-4945.698225</v>
      </c>
      <c r="AP169" s="62">
        <f>AI169*-Valores!$C$66</f>
        <v>-190.21916249999998</v>
      </c>
      <c r="AQ169" s="78">
        <f>AI169*-Valores!$C$67</f>
        <v>-1711.9724625</v>
      </c>
      <c r="AR169" s="78">
        <f>AI169*-Valores!$C$68</f>
        <v>-1027.1834775</v>
      </c>
      <c r="AS169" s="78">
        <f>AI169*-Valores!$C$69</f>
        <v>-114.1314975</v>
      </c>
      <c r="AT169" s="82">
        <f t="shared" si="27"/>
        <v>34395.13265</v>
      </c>
      <c r="AU169" s="82">
        <f t="shared" si="28"/>
        <v>34965.7901375</v>
      </c>
      <c r="AV169" s="78">
        <f>AI169*Valores!$C$71</f>
        <v>6087.013199999999</v>
      </c>
      <c r="AW169" s="78">
        <f>AI169*Valores!$C$72</f>
        <v>1711.9724625</v>
      </c>
      <c r="AX169" s="78">
        <f>AI169*Valores!$C$73</f>
        <v>380.43832499999996</v>
      </c>
      <c r="AY169" s="78">
        <f>AI169*Valores!$C$75</f>
        <v>1331.5341375</v>
      </c>
      <c r="AZ169" s="78">
        <f>AI169*Valores!$C$76</f>
        <v>228.262995</v>
      </c>
      <c r="BA169" s="78">
        <f t="shared" si="32"/>
        <v>2054.366955</v>
      </c>
      <c r="BB169" s="52"/>
      <c r="BC169" s="86">
        <v>45</v>
      </c>
      <c r="BD169" s="28" t="s">
        <v>8</v>
      </c>
    </row>
    <row r="170" spans="1:56" s="28" customFormat="1" ht="11.25" customHeight="1">
      <c r="A170" s="52">
        <v>169</v>
      </c>
      <c r="B170" s="52"/>
      <c r="C170" s="28" t="s">
        <v>475</v>
      </c>
      <c r="E170" s="28">
        <f t="shared" si="24"/>
        <v>31</v>
      </c>
      <c r="F170" s="72" t="s">
        <v>476</v>
      </c>
      <c r="G170" s="73">
        <v>82</v>
      </c>
      <c r="H170" s="74">
        <f>INT((G170*Valores!$C$2*100)+0.5)/100</f>
        <v>543.86</v>
      </c>
      <c r="I170" s="113">
        <v>1941</v>
      </c>
      <c r="J170" s="76">
        <f>INT((I170*Valores!$C$2*100)+0.5)/100</f>
        <v>12873.49</v>
      </c>
      <c r="K170" s="103">
        <v>0</v>
      </c>
      <c r="L170" s="76">
        <f>INT((K170*Valores!$C$2*100)+0.5)/100</f>
        <v>0</v>
      </c>
      <c r="M170" s="101">
        <v>0</v>
      </c>
      <c r="N170" s="76">
        <f>INT((M170*Valores!$C$2*100)+0.5)/100</f>
        <v>0</v>
      </c>
      <c r="O170" s="76">
        <f t="shared" si="25"/>
        <v>3395.823</v>
      </c>
      <c r="P170" s="76">
        <f t="shared" si="26"/>
        <v>0</v>
      </c>
      <c r="Q170" s="102">
        <f>Valores!$C$20</f>
        <v>4080.56</v>
      </c>
      <c r="R170" s="102">
        <f>Valores!$D$4</f>
        <v>2966.67</v>
      </c>
      <c r="S170" s="76">
        <v>0</v>
      </c>
      <c r="T170" s="79">
        <f>Valores!$C$43</f>
        <v>1839.54</v>
      </c>
      <c r="U170" s="76">
        <f>Valores!$C$23</f>
        <v>2739.25</v>
      </c>
      <c r="V170" s="76">
        <f t="shared" si="23"/>
        <v>2739.25</v>
      </c>
      <c r="W170" s="76">
        <v>0</v>
      </c>
      <c r="X170" s="76">
        <v>0</v>
      </c>
      <c r="Y170" s="75">
        <v>700</v>
      </c>
      <c r="Z170" s="76">
        <f>Y170*Valores!$C$2</f>
        <v>4642.679999999999</v>
      </c>
      <c r="AA170" s="102">
        <f>SUM(L170,J170,H170,T170)*Valores!$C$3</f>
        <v>2288.5335</v>
      </c>
      <c r="AB170" s="81">
        <f>Valores!$C$29</f>
        <v>160.21</v>
      </c>
      <c r="AC170" s="76">
        <f t="shared" si="29"/>
        <v>0</v>
      </c>
      <c r="AD170" s="76">
        <f>Valores!$C$30</f>
        <v>160.21</v>
      </c>
      <c r="AE170" s="80">
        <v>94</v>
      </c>
      <c r="AF170" s="76">
        <f>INT(((AE170*Valores!$C$2)*100)+0.5)/100</f>
        <v>623.45</v>
      </c>
      <c r="AG170" s="76">
        <f>Valores!$C$58</f>
        <v>325.89</v>
      </c>
      <c r="AH170" s="76">
        <f>Valores!$C$60</f>
        <v>93.11</v>
      </c>
      <c r="AI170" s="115">
        <f t="shared" si="30"/>
        <v>36733.27649999999</v>
      </c>
      <c r="AJ170" s="102">
        <f>Valores!$C$35</f>
        <v>599.19</v>
      </c>
      <c r="AK170" s="79">
        <f>Valores!$C$9</f>
        <v>0</v>
      </c>
      <c r="AL170" s="79">
        <f>Valores!$C$83</f>
        <v>2600</v>
      </c>
      <c r="AM170" s="81">
        <v>0</v>
      </c>
      <c r="AN170" s="83">
        <f t="shared" si="31"/>
        <v>3199.19</v>
      </c>
      <c r="AO170" s="62">
        <f>AI170*-Valores!$C$65</f>
        <v>-4775.325945</v>
      </c>
      <c r="AP170" s="62">
        <f>AI170*-Valores!$C$66</f>
        <v>-183.66638249999997</v>
      </c>
      <c r="AQ170" s="78">
        <f>AI170*-Valores!$C$67</f>
        <v>-1652.9974424999996</v>
      </c>
      <c r="AR170" s="78">
        <f>AI170*-Valores!$C$68</f>
        <v>-991.7984654999998</v>
      </c>
      <c r="AS170" s="78">
        <f>AI170*-Valores!$C$69</f>
        <v>-110.19982949999998</v>
      </c>
      <c r="AT170" s="82">
        <f t="shared" si="27"/>
        <v>33320.47673</v>
      </c>
      <c r="AU170" s="82">
        <f t="shared" si="28"/>
        <v>33871.4758775</v>
      </c>
      <c r="AV170" s="78">
        <f>AI170*Valores!$C$71</f>
        <v>5877.324239999999</v>
      </c>
      <c r="AW170" s="78">
        <f>AI170*Valores!$C$72</f>
        <v>1652.9974424999996</v>
      </c>
      <c r="AX170" s="78">
        <f>AI170*Valores!$C$73</f>
        <v>367.33276499999994</v>
      </c>
      <c r="AY170" s="78">
        <f>AI170*Valores!$C$75</f>
        <v>1285.6646775</v>
      </c>
      <c r="AZ170" s="78">
        <f>AI170*Valores!$C$76</f>
        <v>220.39965899999996</v>
      </c>
      <c r="BA170" s="78">
        <f t="shared" si="32"/>
        <v>1983.5969309999998</v>
      </c>
      <c r="BB170" s="52"/>
      <c r="BC170" s="52">
        <v>45</v>
      </c>
      <c r="BD170" s="28" t="s">
        <v>8</v>
      </c>
    </row>
    <row r="171" spans="1:56" s="28" customFormat="1" ht="11.25" customHeight="1">
      <c r="A171" s="86">
        <v>170</v>
      </c>
      <c r="B171" s="86" t="s">
        <v>163</v>
      </c>
      <c r="C171" s="87" t="s">
        <v>477</v>
      </c>
      <c r="D171" s="87"/>
      <c r="E171" s="87">
        <f t="shared" si="24"/>
        <v>30</v>
      </c>
      <c r="F171" s="88" t="s">
        <v>478</v>
      </c>
      <c r="G171" s="89">
        <v>79</v>
      </c>
      <c r="H171" s="90">
        <f>INT((G171*Valores!$C$2*100)+0.5)/100</f>
        <v>523.96</v>
      </c>
      <c r="I171" s="104">
        <v>2161</v>
      </c>
      <c r="J171" s="92">
        <f>INT((I171*Valores!$C$2*100)+0.5)/100</f>
        <v>14332.62</v>
      </c>
      <c r="K171" s="105">
        <v>0</v>
      </c>
      <c r="L171" s="92">
        <f>INT((K171*Valores!$C$2*100)+0.5)/100</f>
        <v>0</v>
      </c>
      <c r="M171" s="106">
        <v>0</v>
      </c>
      <c r="N171" s="92">
        <f>INT((M171*Valores!$C$2*100)+0.5)/100</f>
        <v>0</v>
      </c>
      <c r="O171" s="92">
        <f t="shared" si="25"/>
        <v>3611.7075000000004</v>
      </c>
      <c r="P171" s="92">
        <f t="shared" si="26"/>
        <v>0</v>
      </c>
      <c r="Q171" s="108">
        <f>Valores!$C$20</f>
        <v>4080.56</v>
      </c>
      <c r="R171" s="108">
        <f>Valores!$D$4</f>
        <v>2966.67</v>
      </c>
      <c r="S171" s="92">
        <v>0</v>
      </c>
      <c r="T171" s="95">
        <f>Valores!$C$43</f>
        <v>1839.54</v>
      </c>
      <c r="U171" s="92">
        <f>Valores!$C$23</f>
        <v>2739.25</v>
      </c>
      <c r="V171" s="92">
        <f t="shared" si="23"/>
        <v>2739.25</v>
      </c>
      <c r="W171" s="92">
        <v>0</v>
      </c>
      <c r="X171" s="92">
        <v>0</v>
      </c>
      <c r="Y171" s="91">
        <v>700</v>
      </c>
      <c r="Z171" s="92">
        <f>Y171*Valores!$C$2</f>
        <v>4642.679999999999</v>
      </c>
      <c r="AA171" s="108">
        <f>SUM(L171,J171,H171,T171)*Valores!$C$3</f>
        <v>2504.418</v>
      </c>
      <c r="AB171" s="97">
        <f>Valores!$C$29</f>
        <v>160.21</v>
      </c>
      <c r="AC171" s="92">
        <f t="shared" si="29"/>
        <v>0</v>
      </c>
      <c r="AD171" s="92">
        <f>Valores!$C$30</f>
        <v>160.21</v>
      </c>
      <c r="AE171" s="96">
        <v>94</v>
      </c>
      <c r="AF171" s="92">
        <f>INT(((AE171*Valores!$C$2)*100)+0.5)/100</f>
        <v>623.45</v>
      </c>
      <c r="AG171" s="92">
        <f>Valores!$C$58</f>
        <v>325.89</v>
      </c>
      <c r="AH171" s="92">
        <f>Valores!$C$60</f>
        <v>93.11</v>
      </c>
      <c r="AI171" s="116">
        <f t="shared" si="30"/>
        <v>38604.275499999996</v>
      </c>
      <c r="AJ171" s="108">
        <f>Valores!$C$35</f>
        <v>599.19</v>
      </c>
      <c r="AK171" s="95">
        <f>Valores!$C$9</f>
        <v>0</v>
      </c>
      <c r="AL171" s="95">
        <f>Valores!$C$83</f>
        <v>2600</v>
      </c>
      <c r="AM171" s="97">
        <v>0</v>
      </c>
      <c r="AN171" s="99">
        <f t="shared" si="31"/>
        <v>3199.19</v>
      </c>
      <c r="AO171" s="117">
        <f>AI171*-Valores!$C$65</f>
        <v>-5018.555815</v>
      </c>
      <c r="AP171" s="117">
        <f>AI171*-Valores!$C$66</f>
        <v>-193.02137749999997</v>
      </c>
      <c r="AQ171" s="94">
        <f>AI171*-Valores!$C$67</f>
        <v>-1737.1923974999997</v>
      </c>
      <c r="AR171" s="94">
        <f>AI171*-Valores!$C$68</f>
        <v>-1042.3154384999998</v>
      </c>
      <c r="AS171" s="94">
        <f>AI171*-Valores!$C$69</f>
        <v>-115.81282649999999</v>
      </c>
      <c r="AT171" s="98">
        <f t="shared" si="27"/>
        <v>34854.695909999995</v>
      </c>
      <c r="AU171" s="98">
        <f t="shared" si="28"/>
        <v>35433.7600425</v>
      </c>
      <c r="AV171" s="94">
        <f>AI171*Valores!$C$71</f>
        <v>6176.684079999999</v>
      </c>
      <c r="AW171" s="94">
        <f>AI171*Valores!$C$72</f>
        <v>1737.1923974999997</v>
      </c>
      <c r="AX171" s="94">
        <f>AI171*Valores!$C$73</f>
        <v>386.04275499999994</v>
      </c>
      <c r="AY171" s="94">
        <f>AI171*Valores!$C$75</f>
        <v>1351.1496425</v>
      </c>
      <c r="AZ171" s="94">
        <f>AI171*Valores!$C$76</f>
        <v>231.62565299999997</v>
      </c>
      <c r="BA171" s="94">
        <f t="shared" si="32"/>
        <v>2084.630877</v>
      </c>
      <c r="BB171" s="86"/>
      <c r="BC171" s="86">
        <v>45</v>
      </c>
      <c r="BD171" s="87" t="s">
        <v>8</v>
      </c>
    </row>
    <row r="172" spans="1:56" s="28" customFormat="1" ht="11.25" customHeight="1">
      <c r="A172" s="52">
        <v>171</v>
      </c>
      <c r="B172" s="52"/>
      <c r="C172" s="28" t="s">
        <v>479</v>
      </c>
      <c r="E172" s="28">
        <f t="shared" si="24"/>
        <v>28</v>
      </c>
      <c r="F172" s="72" t="s">
        <v>480</v>
      </c>
      <c r="G172" s="73">
        <v>98</v>
      </c>
      <c r="H172" s="74">
        <f>INT((G172*Valores!$C$2*100)+0.5)/100</f>
        <v>649.98</v>
      </c>
      <c r="I172" s="113">
        <v>2686</v>
      </c>
      <c r="J172" s="76">
        <f>INT((I172*Valores!$C$2*100)+0.5)/100</f>
        <v>17814.63</v>
      </c>
      <c r="K172" s="103">
        <v>0</v>
      </c>
      <c r="L172" s="76">
        <f>INT((K172*Valores!$C$2*100)+0.5)/100</f>
        <v>0</v>
      </c>
      <c r="M172" s="101">
        <v>0</v>
      </c>
      <c r="N172" s="76">
        <f>INT((M172*Valores!$C$2*100)+0.5)/100</f>
        <v>0</v>
      </c>
      <c r="O172" s="76">
        <f t="shared" si="25"/>
        <v>4152.912</v>
      </c>
      <c r="P172" s="76">
        <f t="shared" si="26"/>
        <v>0</v>
      </c>
      <c r="Q172" s="76">
        <f>Valores!$C$20</f>
        <v>4080.56</v>
      </c>
      <c r="R172" s="102">
        <f>Valores!$D$4</f>
        <v>2966.67</v>
      </c>
      <c r="S172" s="76">
        <v>0</v>
      </c>
      <c r="T172" s="79">
        <f>Valores!$C$43</f>
        <v>1839.54</v>
      </c>
      <c r="U172" s="76">
        <f>Valores!$C$23</f>
        <v>2739.25</v>
      </c>
      <c r="V172" s="76">
        <f t="shared" si="23"/>
        <v>2739.25</v>
      </c>
      <c r="W172" s="76">
        <v>0</v>
      </c>
      <c r="X172" s="76">
        <v>0</v>
      </c>
      <c r="Y172" s="75">
        <v>700</v>
      </c>
      <c r="Z172" s="76">
        <f>Y172*Valores!$C$2</f>
        <v>4642.679999999999</v>
      </c>
      <c r="AA172" s="102">
        <f>SUM(L172,J172,H172,T172)*Valores!$C$3</f>
        <v>3045.6225</v>
      </c>
      <c r="AB172" s="81">
        <f>Valores!$C$29</f>
        <v>160.21</v>
      </c>
      <c r="AC172" s="76">
        <f t="shared" si="29"/>
        <v>0</v>
      </c>
      <c r="AD172" s="76">
        <f>Valores!$C$30</f>
        <v>160.21</v>
      </c>
      <c r="AE172" s="80">
        <v>0</v>
      </c>
      <c r="AF172" s="76">
        <f>INT(((AE172*Valores!$C$2)*100)+0.5)/100</f>
        <v>0</v>
      </c>
      <c r="AG172" s="76">
        <f>Valores!$C$58</f>
        <v>325.89</v>
      </c>
      <c r="AH172" s="76">
        <f>Valores!$C$60</f>
        <v>93.11</v>
      </c>
      <c r="AI172" s="115">
        <f t="shared" si="30"/>
        <v>42671.2645</v>
      </c>
      <c r="AJ172" s="102">
        <f>Valores!$C$35</f>
        <v>599.19</v>
      </c>
      <c r="AK172" s="79">
        <f>Valores!$C$9</f>
        <v>0</v>
      </c>
      <c r="AL172" s="79">
        <f>Valores!$C$83</f>
        <v>2600</v>
      </c>
      <c r="AM172" s="81">
        <v>0</v>
      </c>
      <c r="AN172" s="83">
        <f t="shared" si="31"/>
        <v>3199.19</v>
      </c>
      <c r="AO172" s="62">
        <f>AI172*-Valores!$C$65</f>
        <v>-5547.2643849999995</v>
      </c>
      <c r="AP172" s="62">
        <f>AI172*-Valores!$C$66</f>
        <v>-213.3563225</v>
      </c>
      <c r="AQ172" s="78">
        <f>AI172*-Valores!$C$67</f>
        <v>-1920.2069024999998</v>
      </c>
      <c r="AR172" s="78">
        <f>AI172*-Valores!$C$68</f>
        <v>-1152.1241415</v>
      </c>
      <c r="AS172" s="78">
        <f>AI172*-Valores!$C$69</f>
        <v>-128.0137935</v>
      </c>
      <c r="AT172" s="82">
        <f t="shared" si="27"/>
        <v>38189.62688999999</v>
      </c>
      <c r="AU172" s="82">
        <f t="shared" si="28"/>
        <v>38829.695857499995</v>
      </c>
      <c r="AV172" s="78">
        <f>AI172*Valores!$C$71</f>
        <v>6827.40232</v>
      </c>
      <c r="AW172" s="78">
        <f>AI172*Valores!$C$72</f>
        <v>1920.2069024999998</v>
      </c>
      <c r="AX172" s="78">
        <f>AI172*Valores!$C$73</f>
        <v>426.712645</v>
      </c>
      <c r="AY172" s="78">
        <f>AI172*Valores!$C$75</f>
        <v>1493.4942575</v>
      </c>
      <c r="AZ172" s="78">
        <f>AI172*Valores!$C$76</f>
        <v>256.027587</v>
      </c>
      <c r="BA172" s="78">
        <f t="shared" si="32"/>
        <v>2304.248283</v>
      </c>
      <c r="BB172" s="52"/>
      <c r="BC172" s="52"/>
      <c r="BD172" s="28" t="s">
        <v>8</v>
      </c>
    </row>
    <row r="173" spans="1:56" s="28" customFormat="1" ht="11.25" customHeight="1">
      <c r="A173" s="52">
        <v>172</v>
      </c>
      <c r="B173" s="52"/>
      <c r="C173" s="28" t="s">
        <v>481</v>
      </c>
      <c r="E173" s="28">
        <f t="shared" si="24"/>
        <v>28</v>
      </c>
      <c r="F173" s="72" t="s">
        <v>482</v>
      </c>
      <c r="G173" s="73">
        <v>93</v>
      </c>
      <c r="H173" s="74">
        <f>INT((G173*Valores!$C$2*100)+0.5)/100</f>
        <v>616.81</v>
      </c>
      <c r="I173" s="113">
        <v>2547</v>
      </c>
      <c r="J173" s="76">
        <f>INT((I173*Valores!$C$2*100)+0.5)/100</f>
        <v>16892.72</v>
      </c>
      <c r="K173" s="103">
        <v>0</v>
      </c>
      <c r="L173" s="76">
        <f>INT((K173*Valores!$C$2*100)+0.5)/100</f>
        <v>0</v>
      </c>
      <c r="M173" s="101">
        <v>0</v>
      </c>
      <c r="N173" s="76">
        <f>INT((M173*Valores!$C$2*100)+0.5)/100</f>
        <v>0</v>
      </c>
      <c r="O173" s="76">
        <f t="shared" si="25"/>
        <v>4009.6500000000005</v>
      </c>
      <c r="P173" s="76">
        <f t="shared" si="26"/>
        <v>0</v>
      </c>
      <c r="Q173" s="107">
        <f>Valores!$C$20</f>
        <v>4080.56</v>
      </c>
      <c r="R173" s="102">
        <f>Valores!$D$4</f>
        <v>2966.67</v>
      </c>
      <c r="S173" s="76">
        <v>0</v>
      </c>
      <c r="T173" s="79">
        <f>Valores!$C$43</f>
        <v>1839.54</v>
      </c>
      <c r="U173" s="76">
        <f>Valores!$C$23</f>
        <v>2739.25</v>
      </c>
      <c r="V173" s="76">
        <f t="shared" si="23"/>
        <v>2739.25</v>
      </c>
      <c r="W173" s="76">
        <v>0</v>
      </c>
      <c r="X173" s="76">
        <v>0</v>
      </c>
      <c r="Y173" s="75">
        <v>700</v>
      </c>
      <c r="Z173" s="76">
        <f>Y173*Valores!$C$2</f>
        <v>4642.679999999999</v>
      </c>
      <c r="AA173" s="102">
        <f>SUM(L173,J173,H173,T173)*Valores!$C$3</f>
        <v>2902.3605000000002</v>
      </c>
      <c r="AB173" s="81">
        <f>Valores!$C$29</f>
        <v>160.21</v>
      </c>
      <c r="AC173" s="76">
        <f t="shared" si="29"/>
        <v>0</v>
      </c>
      <c r="AD173" s="76">
        <f>Valores!$C$30</f>
        <v>160.21</v>
      </c>
      <c r="AE173" s="80">
        <v>0</v>
      </c>
      <c r="AF173" s="76">
        <f>INT(((AE173*Valores!$C$2)*100)+0.5)/100</f>
        <v>0</v>
      </c>
      <c r="AG173" s="76">
        <f>Valores!$C$58</f>
        <v>325.89</v>
      </c>
      <c r="AH173" s="76">
        <f>Valores!$C$60</f>
        <v>93.11</v>
      </c>
      <c r="AI173" s="115">
        <f t="shared" si="30"/>
        <v>41429.660500000005</v>
      </c>
      <c r="AJ173" s="102">
        <f>Valores!$C$35</f>
        <v>599.19</v>
      </c>
      <c r="AK173" s="79">
        <f>Valores!$C$9</f>
        <v>0</v>
      </c>
      <c r="AL173" s="79">
        <f>Valores!$C$83</f>
        <v>2600</v>
      </c>
      <c r="AM173" s="81">
        <v>0</v>
      </c>
      <c r="AN173" s="83">
        <f t="shared" si="31"/>
        <v>3199.19</v>
      </c>
      <c r="AO173" s="62">
        <f>AI173*-Valores!$C$65</f>
        <v>-5385.855865</v>
      </c>
      <c r="AP173" s="62">
        <f>AI173*-Valores!$C$66</f>
        <v>-207.14830250000003</v>
      </c>
      <c r="AQ173" s="78">
        <f>AI173*-Valores!$C$67</f>
        <v>-1864.3347225000002</v>
      </c>
      <c r="AR173" s="78">
        <f>AI173*-Valores!$C$68</f>
        <v>-1118.6008335000001</v>
      </c>
      <c r="AS173" s="78">
        <f>AI173*-Valores!$C$69</f>
        <v>-124.28898150000002</v>
      </c>
      <c r="AT173" s="82">
        <f t="shared" si="27"/>
        <v>37171.51161000001</v>
      </c>
      <c r="AU173" s="82">
        <f t="shared" si="28"/>
        <v>37792.95651750001</v>
      </c>
      <c r="AV173" s="78">
        <f>AI173*Valores!$C$71</f>
        <v>6628.745680000001</v>
      </c>
      <c r="AW173" s="78">
        <f>AI173*Valores!$C$72</f>
        <v>1864.3347225000002</v>
      </c>
      <c r="AX173" s="78">
        <f>AI173*Valores!$C$73</f>
        <v>414.29660500000006</v>
      </c>
      <c r="AY173" s="78">
        <f>AI173*Valores!$C$75</f>
        <v>1450.0381175000002</v>
      </c>
      <c r="AZ173" s="78">
        <f>AI173*Valores!$C$76</f>
        <v>248.57796300000004</v>
      </c>
      <c r="BA173" s="78">
        <f t="shared" si="32"/>
        <v>2237.2016670000003</v>
      </c>
      <c r="BB173" s="52"/>
      <c r="BC173" s="52"/>
      <c r="BD173" s="28" t="s">
        <v>4</v>
      </c>
    </row>
    <row r="174" spans="1:56" s="28" customFormat="1" ht="11.25" customHeight="1">
      <c r="A174" s="52">
        <v>173</v>
      </c>
      <c r="B174" s="52"/>
      <c r="C174" s="28" t="s">
        <v>483</v>
      </c>
      <c r="E174" s="28">
        <f t="shared" si="24"/>
        <v>27</v>
      </c>
      <c r="F174" s="72" t="s">
        <v>484</v>
      </c>
      <c r="G174" s="73">
        <v>1278</v>
      </c>
      <c r="H174" s="74">
        <f>INT((G174*Valores!$C$2*100)+0.5)/100</f>
        <v>8476.21</v>
      </c>
      <c r="I174" s="113">
        <v>0</v>
      </c>
      <c r="J174" s="76">
        <f>INT((I174*Valores!$C$2*100)+0.5)/100</f>
        <v>0</v>
      </c>
      <c r="K174" s="103">
        <v>0</v>
      </c>
      <c r="L174" s="76">
        <f>INT((K174*Valores!$C$2*100)+0.5)/100</f>
        <v>0</v>
      </c>
      <c r="M174" s="101">
        <v>0</v>
      </c>
      <c r="N174" s="76">
        <f>INT((M174*Valores!$C$2*100)+0.5)/100</f>
        <v>0</v>
      </c>
      <c r="O174" s="76">
        <f t="shared" si="25"/>
        <v>2853.624</v>
      </c>
      <c r="P174" s="76">
        <f t="shared" si="26"/>
        <v>0</v>
      </c>
      <c r="Q174" s="102">
        <f>Valores!$C$20</f>
        <v>4080.56</v>
      </c>
      <c r="R174" s="102">
        <f>Valores!$D$4</f>
        <v>2966.67</v>
      </c>
      <c r="S174" s="76">
        <v>0</v>
      </c>
      <c r="T174" s="79">
        <f>Valores!$C$43</f>
        <v>1839.54</v>
      </c>
      <c r="U174" s="76">
        <f>Valores!$C$23</f>
        <v>2739.25</v>
      </c>
      <c r="V174" s="76">
        <f aca="true" t="shared" si="33" ref="V174:V237">U174*(1+$J$2)</f>
        <v>2739.25</v>
      </c>
      <c r="W174" s="76">
        <v>0</v>
      </c>
      <c r="X174" s="76">
        <v>0</v>
      </c>
      <c r="Y174" s="75">
        <v>900</v>
      </c>
      <c r="Z174" s="76">
        <f>Y174*Valores!$C$2</f>
        <v>5969.16</v>
      </c>
      <c r="AA174" s="102">
        <f>SUM(L174,J174,H174,T174)*Valores!$C$3</f>
        <v>1547.3625</v>
      </c>
      <c r="AB174" s="81">
        <f>Valores!$C$29</f>
        <v>160.21</v>
      </c>
      <c r="AC174" s="76">
        <f t="shared" si="29"/>
        <v>0</v>
      </c>
      <c r="AD174" s="76">
        <f>Valores!$C$30</f>
        <v>160.21</v>
      </c>
      <c r="AE174" s="80">
        <v>94</v>
      </c>
      <c r="AF174" s="76">
        <f>INT(((AE174*Valores!$C$2)*100)+0.5)/100</f>
        <v>623.45</v>
      </c>
      <c r="AG174" s="76">
        <f>Valores!$C$58</f>
        <v>325.89</v>
      </c>
      <c r="AH174" s="76">
        <f>Valores!$C$60</f>
        <v>93.11</v>
      </c>
      <c r="AI174" s="115">
        <f t="shared" si="30"/>
        <v>31835.246499999997</v>
      </c>
      <c r="AJ174" s="102">
        <f>Valores!$C$35</f>
        <v>599.19</v>
      </c>
      <c r="AK174" s="79">
        <f>Valores!$C$9</f>
        <v>0</v>
      </c>
      <c r="AL174" s="79">
        <f>Valores!$C$83</f>
        <v>2600</v>
      </c>
      <c r="AM174" s="81">
        <f>Valores!$C$50</f>
        <v>265.48</v>
      </c>
      <c r="AN174" s="83">
        <f t="shared" si="31"/>
        <v>3199.19</v>
      </c>
      <c r="AO174" s="62">
        <f>AI174*-Valores!$C$65</f>
        <v>-4138.582045</v>
      </c>
      <c r="AP174" s="62">
        <f>AI174*-Valores!$C$66</f>
        <v>-159.1762325</v>
      </c>
      <c r="AQ174" s="78">
        <f>AI174*-Valores!$C$67</f>
        <v>-1432.5860924999997</v>
      </c>
      <c r="AR174" s="78">
        <f>AI174*-Valores!$C$68</f>
        <v>-859.5516554999999</v>
      </c>
      <c r="AS174" s="78">
        <f>AI174*-Valores!$C$69</f>
        <v>-95.50573949999999</v>
      </c>
      <c r="AT174" s="82">
        <f t="shared" si="27"/>
        <v>29304.092129999994</v>
      </c>
      <c r="AU174" s="82">
        <f t="shared" si="28"/>
        <v>29781.620827499995</v>
      </c>
      <c r="AV174" s="78">
        <f>AI174*Valores!$C$71</f>
        <v>5093.63944</v>
      </c>
      <c r="AW174" s="78">
        <f>AI174*Valores!$C$72</f>
        <v>1432.5860924999997</v>
      </c>
      <c r="AX174" s="78">
        <f>AI174*Valores!$C$73</f>
        <v>318.352465</v>
      </c>
      <c r="AY174" s="78">
        <f>AI174*Valores!$C$75</f>
        <v>1114.2336275</v>
      </c>
      <c r="AZ174" s="78">
        <f>AI174*Valores!$C$76</f>
        <v>191.01147899999998</v>
      </c>
      <c r="BA174" s="78">
        <f t="shared" si="32"/>
        <v>1719.103311</v>
      </c>
      <c r="BB174" s="52"/>
      <c r="BC174" s="86">
        <v>36</v>
      </c>
      <c r="BD174" s="28" t="s">
        <v>4</v>
      </c>
    </row>
    <row r="175" spans="1:56" s="28" customFormat="1" ht="11.25" customHeight="1">
      <c r="A175" s="52">
        <v>174</v>
      </c>
      <c r="B175" s="52"/>
      <c r="C175" s="28" t="s">
        <v>485</v>
      </c>
      <c r="E175" s="28">
        <f t="shared" si="24"/>
        <v>27</v>
      </c>
      <c r="F175" s="72" t="s">
        <v>486</v>
      </c>
      <c r="G175" s="73">
        <v>217</v>
      </c>
      <c r="H175" s="74">
        <f>INT((G175*Valores!$C$2*100)+0.5)/100</f>
        <v>1439.23</v>
      </c>
      <c r="I175" s="113">
        <f>2245</f>
        <v>2245</v>
      </c>
      <c r="J175" s="76">
        <f>INT((I175*Valores!$C$2*100)+0.5)/100</f>
        <v>14889.74</v>
      </c>
      <c r="K175" s="103">
        <v>0</v>
      </c>
      <c r="L175" s="76">
        <f>INT((K175*Valores!$C$2*100)+0.5)/100</f>
        <v>0</v>
      </c>
      <c r="M175" s="101">
        <v>1300</v>
      </c>
      <c r="N175" s="76">
        <f>INT((M175*Valores!$C$2*100)+0.5)/100</f>
        <v>8622.12</v>
      </c>
      <c r="O175" s="76">
        <f t="shared" si="25"/>
        <v>4429.482</v>
      </c>
      <c r="P175" s="76">
        <f t="shared" si="26"/>
        <v>0</v>
      </c>
      <c r="Q175" s="102">
        <f>Valores!$C$16</f>
        <v>4291.62</v>
      </c>
      <c r="R175" s="102">
        <f>Valores!$D$4</f>
        <v>2966.67</v>
      </c>
      <c r="S175" s="102">
        <f>Valores!$C$26</f>
        <v>3094.03</v>
      </c>
      <c r="T175" s="107">
        <f>Valores!$C$43</f>
        <v>1839.54</v>
      </c>
      <c r="U175" s="76">
        <f>Valores!$C$23</f>
        <v>2739.25</v>
      </c>
      <c r="V175" s="76">
        <f t="shared" si="33"/>
        <v>2739.25</v>
      </c>
      <c r="W175" s="76">
        <v>0</v>
      </c>
      <c r="X175" s="76">
        <v>0</v>
      </c>
      <c r="Y175" s="80">
        <v>0</v>
      </c>
      <c r="Z175" s="76">
        <f>Y175*Valores!$C$2</f>
        <v>0</v>
      </c>
      <c r="AA175" s="76">
        <v>0</v>
      </c>
      <c r="AB175" s="81">
        <f>Valores!$C$29</f>
        <v>160.21</v>
      </c>
      <c r="AC175" s="76">
        <f t="shared" si="29"/>
        <v>0</v>
      </c>
      <c r="AD175" s="76">
        <f>Valores!$C$30</f>
        <v>160.21</v>
      </c>
      <c r="AE175" s="80">
        <v>0</v>
      </c>
      <c r="AF175" s="76">
        <f>INT(((AE175*Valores!$C$2)*100)+0.5)/100</f>
        <v>0</v>
      </c>
      <c r="AG175" s="76">
        <f>Valores!$C$58</f>
        <v>325.89</v>
      </c>
      <c r="AH175" s="76">
        <f>Valores!$C$60</f>
        <v>93.11</v>
      </c>
      <c r="AI175" s="115">
        <f t="shared" si="30"/>
        <v>45051.102</v>
      </c>
      <c r="AJ175" s="102">
        <f>Valores!$C$35</f>
        <v>599.19</v>
      </c>
      <c r="AK175" s="79">
        <f>Valores!$C$9</f>
        <v>0</v>
      </c>
      <c r="AL175" s="79">
        <f>Valores!$C$83</f>
        <v>2600</v>
      </c>
      <c r="AM175" s="81">
        <f>Valores!$C$50</f>
        <v>265.48</v>
      </c>
      <c r="AN175" s="83">
        <f t="shared" si="31"/>
        <v>3199.19</v>
      </c>
      <c r="AO175" s="62">
        <f>AI175*-Valores!$C$65</f>
        <v>-5856.64326</v>
      </c>
      <c r="AP175" s="62">
        <f>AI175*-Valores!$C$66</f>
        <v>-225.25551</v>
      </c>
      <c r="AQ175" s="78">
        <f>AI175*-Valores!$C$67</f>
        <v>-2027.2995899999999</v>
      </c>
      <c r="AR175" s="78">
        <f>AI175*-Valores!$C$68</f>
        <v>-1216.379754</v>
      </c>
      <c r="AS175" s="78">
        <f>AI175*-Valores!$C$69</f>
        <v>-135.153306</v>
      </c>
      <c r="AT175" s="82">
        <f t="shared" si="27"/>
        <v>40141.09364</v>
      </c>
      <c r="AU175" s="82">
        <f t="shared" si="28"/>
        <v>40816.86017</v>
      </c>
      <c r="AV175" s="78">
        <f>AI175*Valores!$C$71</f>
        <v>7208.17632</v>
      </c>
      <c r="AW175" s="78">
        <f>AI175*Valores!$C$72</f>
        <v>2027.2995899999999</v>
      </c>
      <c r="AX175" s="78">
        <f>AI175*Valores!$C$73</f>
        <v>450.51102</v>
      </c>
      <c r="AY175" s="78">
        <f>AI175*Valores!$C$75</f>
        <v>1576.7885700000002</v>
      </c>
      <c r="AZ175" s="78">
        <f>AI175*Valores!$C$76</f>
        <v>270.306612</v>
      </c>
      <c r="BA175" s="78">
        <f t="shared" si="32"/>
        <v>2432.759508</v>
      </c>
      <c r="BB175" s="52"/>
      <c r="BC175" s="52">
        <v>45</v>
      </c>
      <c r="BD175" s="28" t="s">
        <v>4</v>
      </c>
    </row>
    <row r="176" spans="1:56" s="28" customFormat="1" ht="11.25" customHeight="1">
      <c r="A176" s="86">
        <v>175</v>
      </c>
      <c r="B176" s="86" t="s">
        <v>163</v>
      </c>
      <c r="C176" s="87" t="s">
        <v>487</v>
      </c>
      <c r="D176" s="87"/>
      <c r="E176" s="87">
        <f t="shared" si="24"/>
        <v>27</v>
      </c>
      <c r="F176" s="88" t="s">
        <v>488</v>
      </c>
      <c r="G176" s="89">
        <v>185</v>
      </c>
      <c r="H176" s="90">
        <f>INT((G176*Valores!$C$2*100)+0.5)/100</f>
        <v>1226.99</v>
      </c>
      <c r="I176" s="104">
        <f>1835</f>
        <v>1835</v>
      </c>
      <c r="J176" s="92">
        <f>INT((I176*Valores!$C$2*100)+0.5)/100</f>
        <v>12170.45</v>
      </c>
      <c r="K176" s="105">
        <v>0</v>
      </c>
      <c r="L176" s="92">
        <f>INT((K176*Valores!$C$2*100)+0.5)/100</f>
        <v>0</v>
      </c>
      <c r="M176" s="106">
        <v>1300</v>
      </c>
      <c r="N176" s="92">
        <f>INT((M176*Valores!$C$2*100)+0.5)/100</f>
        <v>8622.12</v>
      </c>
      <c r="O176" s="92">
        <f t="shared" si="25"/>
        <v>3989.7525</v>
      </c>
      <c r="P176" s="92">
        <f t="shared" si="26"/>
        <v>0</v>
      </c>
      <c r="Q176" s="108">
        <f>Valores!$C$16</f>
        <v>4291.62</v>
      </c>
      <c r="R176" s="108">
        <f>Valores!$D$4</f>
        <v>2966.67</v>
      </c>
      <c r="S176" s="108">
        <f>Valores!$C$26</f>
        <v>3094.03</v>
      </c>
      <c r="T176" s="109">
        <f>Valores!$C$43</f>
        <v>1839.54</v>
      </c>
      <c r="U176" s="92">
        <f>Valores!$C$23</f>
        <v>2739.25</v>
      </c>
      <c r="V176" s="92">
        <f t="shared" si="33"/>
        <v>2739.25</v>
      </c>
      <c r="W176" s="92">
        <v>0</v>
      </c>
      <c r="X176" s="92">
        <v>0</v>
      </c>
      <c r="Y176" s="96">
        <v>0</v>
      </c>
      <c r="Z176" s="92">
        <f>Y176*Valores!$C$2</f>
        <v>0</v>
      </c>
      <c r="AA176" s="92">
        <v>0</v>
      </c>
      <c r="AB176" s="97">
        <f>Valores!$C$29</f>
        <v>160.21</v>
      </c>
      <c r="AC176" s="92">
        <f t="shared" si="29"/>
        <v>0</v>
      </c>
      <c r="AD176" s="92">
        <f>Valores!$C$30</f>
        <v>160.21</v>
      </c>
      <c r="AE176" s="96">
        <v>0</v>
      </c>
      <c r="AF176" s="92">
        <f>INT(((AE176*Valores!$C$2)*100)+0.5)/100</f>
        <v>0</v>
      </c>
      <c r="AG176" s="92">
        <f>Valores!$C$58</f>
        <v>325.89</v>
      </c>
      <c r="AH176" s="92">
        <f>Valores!$C$60</f>
        <v>93.11</v>
      </c>
      <c r="AI176" s="116">
        <f t="shared" si="30"/>
        <v>41679.8425</v>
      </c>
      <c r="AJ176" s="108">
        <f>Valores!$C$35</f>
        <v>599.19</v>
      </c>
      <c r="AK176" s="95">
        <f>Valores!$C$9</f>
        <v>0</v>
      </c>
      <c r="AL176" s="95">
        <f>Valores!$C$83</f>
        <v>2600</v>
      </c>
      <c r="AM176" s="97">
        <f>Valores!$C$50</f>
        <v>265.48</v>
      </c>
      <c r="AN176" s="99">
        <f t="shared" si="31"/>
        <v>3199.19</v>
      </c>
      <c r="AO176" s="117">
        <f>AI176*-Valores!$C$65</f>
        <v>-5418.379525</v>
      </c>
      <c r="AP176" s="117">
        <f>AI176*-Valores!$C$66</f>
        <v>-208.3992125</v>
      </c>
      <c r="AQ176" s="94">
        <f>AI176*-Valores!$C$67</f>
        <v>-1875.5929124999998</v>
      </c>
      <c r="AR176" s="94">
        <f>AI176*-Valores!$C$68</f>
        <v>-1125.3557475</v>
      </c>
      <c r="AS176" s="94">
        <f>AI176*-Valores!$C$69</f>
        <v>-125.0395275</v>
      </c>
      <c r="AT176" s="98">
        <f t="shared" si="27"/>
        <v>37376.66085</v>
      </c>
      <c r="AU176" s="98">
        <f t="shared" si="28"/>
        <v>38001.8584875</v>
      </c>
      <c r="AV176" s="94">
        <f>AI176*Valores!$C$71</f>
        <v>6668.7748</v>
      </c>
      <c r="AW176" s="94">
        <f>AI176*Valores!$C$72</f>
        <v>1875.5929124999998</v>
      </c>
      <c r="AX176" s="94">
        <f>AI176*Valores!$C$73</f>
        <v>416.798425</v>
      </c>
      <c r="AY176" s="94">
        <f>AI176*Valores!$C$75</f>
        <v>1458.7944875</v>
      </c>
      <c r="AZ176" s="94">
        <f>AI176*Valores!$C$76</f>
        <v>250.079055</v>
      </c>
      <c r="BA176" s="94">
        <f t="shared" si="32"/>
        <v>2250.711495</v>
      </c>
      <c r="BB176" s="86"/>
      <c r="BC176" s="86">
        <v>45</v>
      </c>
      <c r="BD176" s="87" t="s">
        <v>4</v>
      </c>
    </row>
    <row r="177" spans="1:56" s="28" customFormat="1" ht="11.25" customHeight="1">
      <c r="A177" s="52">
        <v>176</v>
      </c>
      <c r="B177" s="52"/>
      <c r="C177" s="28" t="s">
        <v>489</v>
      </c>
      <c r="E177" s="28">
        <f t="shared" si="24"/>
        <v>27</v>
      </c>
      <c r="F177" s="72" t="s">
        <v>490</v>
      </c>
      <c r="G177" s="73">
        <v>160</v>
      </c>
      <c r="H177" s="74">
        <f>INT((G177*Valores!$C$2*100)+0.5)/100</f>
        <v>1061.18</v>
      </c>
      <c r="I177" s="113">
        <f>1484</f>
        <v>1484</v>
      </c>
      <c r="J177" s="76">
        <f>INT((I177*Valores!$C$2*100)+0.5)/100</f>
        <v>9842.48</v>
      </c>
      <c r="K177" s="103">
        <v>0</v>
      </c>
      <c r="L177" s="76">
        <f>INT((K177*Valores!$C$2*100)+0.5)/100</f>
        <v>0</v>
      </c>
      <c r="M177" s="101">
        <v>1300</v>
      </c>
      <c r="N177" s="76">
        <f>INT((M177*Valores!$C$2*100)+0.5)/100</f>
        <v>8622.12</v>
      </c>
      <c r="O177" s="76">
        <f t="shared" si="25"/>
        <v>3615.6855</v>
      </c>
      <c r="P177" s="76">
        <f t="shared" si="26"/>
        <v>0</v>
      </c>
      <c r="Q177" s="102">
        <f>Valores!$C$16</f>
        <v>4291.62</v>
      </c>
      <c r="R177" s="102">
        <f>Valores!$D$4</f>
        <v>2966.67</v>
      </c>
      <c r="S177" s="102">
        <f>Valores!$C$26</f>
        <v>3094.03</v>
      </c>
      <c r="T177" s="107">
        <f>Valores!$C$43</f>
        <v>1839.54</v>
      </c>
      <c r="U177" s="76">
        <f>Valores!$C$23</f>
        <v>2739.25</v>
      </c>
      <c r="V177" s="76">
        <f t="shared" si="33"/>
        <v>2739.25</v>
      </c>
      <c r="W177" s="76">
        <v>0</v>
      </c>
      <c r="X177" s="76">
        <v>0</v>
      </c>
      <c r="Y177" s="80">
        <v>0</v>
      </c>
      <c r="Z177" s="76">
        <f>Y177*Valores!$C$2</f>
        <v>0</v>
      </c>
      <c r="AA177" s="76">
        <v>0</v>
      </c>
      <c r="AB177" s="81">
        <f>Valores!$C$29</f>
        <v>160.21</v>
      </c>
      <c r="AC177" s="76">
        <f t="shared" si="29"/>
        <v>0</v>
      </c>
      <c r="AD177" s="76">
        <f>Valores!$C$30</f>
        <v>160.21</v>
      </c>
      <c r="AE177" s="80">
        <v>0</v>
      </c>
      <c r="AF177" s="76">
        <f>INT(((AE177*Valores!$C$2)*100)+0.5)/100</f>
        <v>0</v>
      </c>
      <c r="AG177" s="76">
        <f>Valores!$C$58</f>
        <v>325.89</v>
      </c>
      <c r="AH177" s="76">
        <f>Valores!$C$60</f>
        <v>93.11</v>
      </c>
      <c r="AI177" s="115">
        <f t="shared" si="30"/>
        <v>38811.9955</v>
      </c>
      <c r="AJ177" s="102">
        <f>Valores!$C$35</f>
        <v>599.19</v>
      </c>
      <c r="AK177" s="79">
        <f>Valores!$C$9</f>
        <v>0</v>
      </c>
      <c r="AL177" s="79">
        <f>Valores!$C$83</f>
        <v>2600</v>
      </c>
      <c r="AM177" s="81">
        <f>Valores!$C$50</f>
        <v>265.48</v>
      </c>
      <c r="AN177" s="83">
        <f t="shared" si="31"/>
        <v>3199.19</v>
      </c>
      <c r="AO177" s="62">
        <f>AI177*-Valores!$C$65</f>
        <v>-5045.559415</v>
      </c>
      <c r="AP177" s="62">
        <f>AI177*-Valores!$C$66</f>
        <v>-194.0599775</v>
      </c>
      <c r="AQ177" s="78">
        <f>AI177*-Valores!$C$67</f>
        <v>-1746.5397974999998</v>
      </c>
      <c r="AR177" s="78">
        <f>AI177*-Valores!$C$68</f>
        <v>-1047.9238785</v>
      </c>
      <c r="AS177" s="78">
        <f>AI177*-Valores!$C$69</f>
        <v>-116.4359865</v>
      </c>
      <c r="AT177" s="82">
        <f t="shared" si="27"/>
        <v>35025.02631</v>
      </c>
      <c r="AU177" s="82">
        <f t="shared" si="28"/>
        <v>35607.206242500004</v>
      </c>
      <c r="AV177" s="78">
        <f>AI177*Valores!$C$71</f>
        <v>6209.91928</v>
      </c>
      <c r="AW177" s="78">
        <f>AI177*Valores!$C$72</f>
        <v>1746.5397974999998</v>
      </c>
      <c r="AX177" s="78">
        <f>AI177*Valores!$C$73</f>
        <v>388.119955</v>
      </c>
      <c r="AY177" s="78">
        <f>AI177*Valores!$C$75</f>
        <v>1358.4198425</v>
      </c>
      <c r="AZ177" s="78">
        <f>AI177*Valores!$C$76</f>
        <v>232.871973</v>
      </c>
      <c r="BA177" s="78">
        <f t="shared" si="32"/>
        <v>2095.847757</v>
      </c>
      <c r="BB177" s="52"/>
      <c r="BC177" s="52">
        <v>45</v>
      </c>
      <c r="BD177" s="28" t="s">
        <v>4</v>
      </c>
    </row>
    <row r="178" spans="1:56" s="28" customFormat="1" ht="11.25" customHeight="1">
      <c r="A178" s="52">
        <v>177</v>
      </c>
      <c r="B178" s="52"/>
      <c r="C178" s="28" t="s">
        <v>491</v>
      </c>
      <c r="E178" s="28">
        <f t="shared" si="24"/>
        <v>29</v>
      </c>
      <c r="F178" s="72" t="s">
        <v>492</v>
      </c>
      <c r="G178" s="73">
        <v>178</v>
      </c>
      <c r="H178" s="74">
        <f>INT((G178*Valores!$C$2*100)+0.5)/100</f>
        <v>1180.57</v>
      </c>
      <c r="I178" s="113">
        <f>1842</f>
        <v>1842</v>
      </c>
      <c r="J178" s="76">
        <f>INT((I178*Valores!$C$2*100)+0.5)/100</f>
        <v>12216.88</v>
      </c>
      <c r="K178" s="103">
        <v>0</v>
      </c>
      <c r="L178" s="76">
        <f>INT((K178*Valores!$C$2*100)+0.5)/100</f>
        <v>0</v>
      </c>
      <c r="M178" s="101">
        <v>1300</v>
      </c>
      <c r="N178" s="76">
        <f>INT((M178*Valores!$C$2*100)+0.5)/100</f>
        <v>8622.12</v>
      </c>
      <c r="O178" s="76">
        <f t="shared" si="25"/>
        <v>3989.754</v>
      </c>
      <c r="P178" s="76">
        <f t="shared" si="26"/>
        <v>0</v>
      </c>
      <c r="Q178" s="102">
        <f>Valores!$C$16</f>
        <v>4291.62</v>
      </c>
      <c r="R178" s="102">
        <f>Valores!$D$4</f>
        <v>2966.67</v>
      </c>
      <c r="S178" s="76">
        <f>Valores!$C$26</f>
        <v>3094.03</v>
      </c>
      <c r="T178" s="79">
        <f>Valores!$C$43</f>
        <v>1839.54</v>
      </c>
      <c r="U178" s="76">
        <f>Valores!$C$23</f>
        <v>2739.25</v>
      </c>
      <c r="V178" s="76">
        <f t="shared" si="33"/>
        <v>2739.25</v>
      </c>
      <c r="W178" s="76">
        <v>0</v>
      </c>
      <c r="X178" s="76">
        <v>0</v>
      </c>
      <c r="Y178" s="80">
        <v>0</v>
      </c>
      <c r="Z178" s="76">
        <f>Y178*Valores!$C$2</f>
        <v>0</v>
      </c>
      <c r="AA178" s="76">
        <v>0</v>
      </c>
      <c r="AB178" s="81">
        <f>Valores!$C$29</f>
        <v>160.21</v>
      </c>
      <c r="AC178" s="76">
        <f t="shared" si="29"/>
        <v>0</v>
      </c>
      <c r="AD178" s="76">
        <f>Valores!$C$30</f>
        <v>160.21</v>
      </c>
      <c r="AE178" s="80">
        <v>0</v>
      </c>
      <c r="AF178" s="76">
        <f>INT(((AE178*Valores!$C$2)*100)+0.5)/100</f>
        <v>0</v>
      </c>
      <c r="AG178" s="76">
        <f>Valores!$C$58</f>
        <v>325.89</v>
      </c>
      <c r="AH178" s="76">
        <f>Valores!$C$60</f>
        <v>93.11</v>
      </c>
      <c r="AI178" s="115">
        <f t="shared" si="30"/>
        <v>41679.854</v>
      </c>
      <c r="AJ178" s="102">
        <f>Valores!$C$35</f>
        <v>599.19</v>
      </c>
      <c r="AK178" s="79">
        <f>Valores!$C$9</f>
        <v>0</v>
      </c>
      <c r="AL178" s="79">
        <f>Valores!$C$83</f>
        <v>2600</v>
      </c>
      <c r="AM178" s="81">
        <f>Valores!$C$50</f>
        <v>265.48</v>
      </c>
      <c r="AN178" s="83">
        <f t="shared" si="31"/>
        <v>3199.19</v>
      </c>
      <c r="AO178" s="62">
        <f>AI178*-Valores!$C$65</f>
        <v>-5418.38102</v>
      </c>
      <c r="AP178" s="62">
        <f>AI178*-Valores!$C$66</f>
        <v>-208.39927</v>
      </c>
      <c r="AQ178" s="78">
        <f>AI178*-Valores!$C$67</f>
        <v>-1875.59343</v>
      </c>
      <c r="AR178" s="78">
        <f>AI178*-Valores!$C$68</f>
        <v>-1125.356058</v>
      </c>
      <c r="AS178" s="78">
        <f>AI178*-Valores!$C$69</f>
        <v>-125.039562</v>
      </c>
      <c r="AT178" s="82">
        <f t="shared" si="27"/>
        <v>37376.67028</v>
      </c>
      <c r="AU178" s="82">
        <f t="shared" si="28"/>
        <v>38001.86809</v>
      </c>
      <c r="AV178" s="78">
        <f>AI178*Valores!$C$71</f>
        <v>6668.77664</v>
      </c>
      <c r="AW178" s="78">
        <f>AI178*Valores!$C$72</f>
        <v>1875.59343</v>
      </c>
      <c r="AX178" s="78">
        <f>AI178*Valores!$C$73</f>
        <v>416.79854</v>
      </c>
      <c r="AY178" s="78">
        <f>AI178*Valores!$C$75</f>
        <v>1458.7948900000001</v>
      </c>
      <c r="AZ178" s="78">
        <f>AI178*Valores!$C$76</f>
        <v>250.079124</v>
      </c>
      <c r="BA178" s="78">
        <f t="shared" si="32"/>
        <v>2250.712116</v>
      </c>
      <c r="BB178" s="52"/>
      <c r="BC178" s="52">
        <v>45</v>
      </c>
      <c r="BD178" s="28" t="s">
        <v>4</v>
      </c>
    </row>
    <row r="179" spans="1:56" s="28" customFormat="1" ht="11.25" customHeight="1">
      <c r="A179" s="52">
        <v>178</v>
      </c>
      <c r="B179" s="52"/>
      <c r="C179" s="28" t="s">
        <v>493</v>
      </c>
      <c r="E179" s="28">
        <f t="shared" si="24"/>
        <v>28</v>
      </c>
      <c r="F179" s="72" t="s">
        <v>494</v>
      </c>
      <c r="G179" s="73">
        <v>1278</v>
      </c>
      <c r="H179" s="74">
        <f>INT((G179*Valores!$C$2*100)+0.5)/100</f>
        <v>8476.21</v>
      </c>
      <c r="I179" s="113">
        <v>0</v>
      </c>
      <c r="J179" s="76">
        <f>INT((I179*Valores!$C$2*100)+0.5)/100</f>
        <v>0</v>
      </c>
      <c r="K179" s="103">
        <v>0</v>
      </c>
      <c r="L179" s="76">
        <f>INT((K179*Valores!$C$2*100)+0.5)/100</f>
        <v>0</v>
      </c>
      <c r="M179" s="101">
        <v>1200</v>
      </c>
      <c r="N179" s="76">
        <f>INT((M179*Valores!$C$2*100)+0.5)/100</f>
        <v>7958.88</v>
      </c>
      <c r="O179" s="76">
        <f t="shared" si="25"/>
        <v>3152.082</v>
      </c>
      <c r="P179" s="76">
        <f t="shared" si="26"/>
        <v>0</v>
      </c>
      <c r="Q179" s="102">
        <f>Valores!$C$20</f>
        <v>4080.56</v>
      </c>
      <c r="R179" s="102">
        <f>Valores!$D$4</f>
        <v>2966.67</v>
      </c>
      <c r="S179" s="102">
        <f>Valores!$C$26</f>
        <v>3094.03</v>
      </c>
      <c r="T179" s="107">
        <f>Valores!$C$43</f>
        <v>1839.54</v>
      </c>
      <c r="U179" s="76">
        <f>Valores!$C$23</f>
        <v>2739.25</v>
      </c>
      <c r="V179" s="76">
        <f t="shared" si="33"/>
        <v>2739.25</v>
      </c>
      <c r="W179" s="76">
        <v>0</v>
      </c>
      <c r="X179" s="76">
        <v>0</v>
      </c>
      <c r="Y179" s="80">
        <v>0</v>
      </c>
      <c r="Z179" s="76">
        <f>Y179*Valores!$C$2</f>
        <v>0</v>
      </c>
      <c r="AA179" s="76">
        <v>0</v>
      </c>
      <c r="AB179" s="81">
        <f>Valores!$C$29</f>
        <v>160.21</v>
      </c>
      <c r="AC179" s="76">
        <f t="shared" si="29"/>
        <v>0</v>
      </c>
      <c r="AD179" s="76">
        <f>Valores!$C$30</f>
        <v>160.21</v>
      </c>
      <c r="AE179" s="80">
        <v>0</v>
      </c>
      <c r="AF179" s="76">
        <f>INT(((AE179*Valores!$C$2)*100)+0.5)/100</f>
        <v>0</v>
      </c>
      <c r="AG179" s="76">
        <f>Valores!$C$58</f>
        <v>325.89</v>
      </c>
      <c r="AH179" s="76">
        <f>Valores!$C$60</f>
        <v>93.11</v>
      </c>
      <c r="AI179" s="115">
        <f t="shared" si="30"/>
        <v>35046.642</v>
      </c>
      <c r="AJ179" s="102">
        <f>Valores!$C$35</f>
        <v>599.19</v>
      </c>
      <c r="AK179" s="79">
        <f>Valores!$C$9</f>
        <v>0</v>
      </c>
      <c r="AL179" s="79">
        <f>Valores!$C$83</f>
        <v>2600</v>
      </c>
      <c r="AM179" s="81">
        <f>Valores!$C$50</f>
        <v>265.48</v>
      </c>
      <c r="AN179" s="83">
        <f t="shared" si="31"/>
        <v>3199.19</v>
      </c>
      <c r="AO179" s="62">
        <f>AI179*-Valores!$C$65</f>
        <v>-4556.06346</v>
      </c>
      <c r="AP179" s="62">
        <f>AI179*-Valores!$C$66</f>
        <v>-175.23321</v>
      </c>
      <c r="AQ179" s="78">
        <f>AI179*-Valores!$C$67</f>
        <v>-1577.09889</v>
      </c>
      <c r="AR179" s="78">
        <f>AI179*-Valores!$C$68</f>
        <v>-946.259334</v>
      </c>
      <c r="AS179" s="78">
        <f>AI179*-Valores!$C$69</f>
        <v>-105.139926</v>
      </c>
      <c r="AT179" s="82">
        <f t="shared" si="27"/>
        <v>31937.43644</v>
      </c>
      <c r="AU179" s="82">
        <f t="shared" si="28"/>
        <v>32463.13607</v>
      </c>
      <c r="AV179" s="78">
        <f>AI179*Valores!$C$71</f>
        <v>5607.46272</v>
      </c>
      <c r="AW179" s="78">
        <f>AI179*Valores!$C$72</f>
        <v>1577.09889</v>
      </c>
      <c r="AX179" s="78">
        <f>AI179*Valores!$C$73</f>
        <v>350.46642</v>
      </c>
      <c r="AY179" s="78">
        <f>AI179*Valores!$C$75</f>
        <v>1226.63247</v>
      </c>
      <c r="AZ179" s="78">
        <f>AI179*Valores!$C$76</f>
        <v>210.279852</v>
      </c>
      <c r="BA179" s="78">
        <f t="shared" si="32"/>
        <v>1892.5186680000002</v>
      </c>
      <c r="BB179" s="52"/>
      <c r="BC179" s="86"/>
      <c r="BD179" s="28" t="s">
        <v>4</v>
      </c>
    </row>
    <row r="180" spans="1:56" s="28" customFormat="1" ht="11.25" customHeight="1">
      <c r="A180" s="52">
        <v>179</v>
      </c>
      <c r="B180" s="52"/>
      <c r="C180" s="28" t="s">
        <v>495</v>
      </c>
      <c r="E180" s="28">
        <f t="shared" si="24"/>
        <v>29</v>
      </c>
      <c r="F180" s="72" t="s">
        <v>496</v>
      </c>
      <c r="G180" s="73">
        <v>971</v>
      </c>
      <c r="H180" s="74">
        <f>INT((G180*Valores!$C$2*100)+0.5)/100</f>
        <v>6440.06</v>
      </c>
      <c r="I180" s="113">
        <v>0</v>
      </c>
      <c r="J180" s="76">
        <f>INT((I180*Valores!$C$2*100)+0.5)/100</f>
        <v>0</v>
      </c>
      <c r="K180" s="103">
        <v>0</v>
      </c>
      <c r="L180" s="76">
        <f>INT((K180*Valores!$C$2*100)+0.5)/100</f>
        <v>0</v>
      </c>
      <c r="M180" s="101">
        <v>660</v>
      </c>
      <c r="N180" s="76">
        <f>INT((M180*Valores!$C$2*100)+0.5)/100</f>
        <v>4377.38</v>
      </c>
      <c r="O180" s="76">
        <f t="shared" si="25"/>
        <v>2309.4345</v>
      </c>
      <c r="P180" s="76">
        <f t="shared" si="26"/>
        <v>0</v>
      </c>
      <c r="Q180" s="102">
        <f>Valores!$C$20</f>
        <v>4080.56</v>
      </c>
      <c r="R180" s="102">
        <f>Valores!$D$4</f>
        <v>2966.67</v>
      </c>
      <c r="S180" s="102">
        <f>Valores!$C$26</f>
        <v>3094.03</v>
      </c>
      <c r="T180" s="107">
        <f>Valores!$C$43</f>
        <v>1839.54</v>
      </c>
      <c r="U180" s="76">
        <f>Valores!$C$23</f>
        <v>2739.25</v>
      </c>
      <c r="V180" s="76">
        <f t="shared" si="33"/>
        <v>2739.25</v>
      </c>
      <c r="W180" s="76">
        <v>0</v>
      </c>
      <c r="X180" s="76">
        <v>0</v>
      </c>
      <c r="Y180" s="80">
        <v>0</v>
      </c>
      <c r="Z180" s="76">
        <f>Y180*Valores!$C$2</f>
        <v>0</v>
      </c>
      <c r="AA180" s="76">
        <v>0</v>
      </c>
      <c r="AB180" s="81">
        <f>Valores!$C$29</f>
        <v>160.21</v>
      </c>
      <c r="AC180" s="76">
        <f t="shared" si="29"/>
        <v>0</v>
      </c>
      <c r="AD180" s="76">
        <f>Valores!$C$30</f>
        <v>160.21</v>
      </c>
      <c r="AE180" s="80">
        <v>0</v>
      </c>
      <c r="AF180" s="76">
        <f>INT(((AE180*Valores!$C$2)*100)+0.5)/100</f>
        <v>0</v>
      </c>
      <c r="AG180" s="76">
        <f>Valores!$C$58</f>
        <v>325.89</v>
      </c>
      <c r="AH180" s="76">
        <f>Valores!$C$60</f>
        <v>93.11</v>
      </c>
      <c r="AI180" s="115">
        <f t="shared" si="30"/>
        <v>28586.3445</v>
      </c>
      <c r="AJ180" s="102">
        <f>Valores!$C$35</f>
        <v>599.19</v>
      </c>
      <c r="AK180" s="79">
        <f>Valores!$C$9</f>
        <v>0</v>
      </c>
      <c r="AL180" s="79">
        <f>Valores!$C$83</f>
        <v>2600</v>
      </c>
      <c r="AM180" s="81">
        <f>Valores!$C$50</f>
        <v>265.48</v>
      </c>
      <c r="AN180" s="83">
        <f t="shared" si="31"/>
        <v>3199.19</v>
      </c>
      <c r="AO180" s="62">
        <f>AI180*-Valores!$C$65</f>
        <v>-3716.224785</v>
      </c>
      <c r="AP180" s="62">
        <f>AI180*-Valores!$C$66</f>
        <v>-142.9317225</v>
      </c>
      <c r="AQ180" s="78">
        <f>AI180*-Valores!$C$67</f>
        <v>-1286.3855025</v>
      </c>
      <c r="AR180" s="78">
        <f>AI180*-Valores!$C$68</f>
        <v>-771.8313015</v>
      </c>
      <c r="AS180" s="78">
        <f>AI180*-Valores!$C$69</f>
        <v>-85.7590335</v>
      </c>
      <c r="AT180" s="82">
        <f t="shared" si="27"/>
        <v>26639.992489999997</v>
      </c>
      <c r="AU180" s="82">
        <f t="shared" si="28"/>
        <v>27068.7876575</v>
      </c>
      <c r="AV180" s="78">
        <f>AI180*Valores!$C$71</f>
        <v>4573.81512</v>
      </c>
      <c r="AW180" s="78">
        <f>AI180*Valores!$C$72</f>
        <v>1286.3855025</v>
      </c>
      <c r="AX180" s="78">
        <f>AI180*Valores!$C$73</f>
        <v>285.863445</v>
      </c>
      <c r="AY180" s="78">
        <f>AI180*Valores!$C$75</f>
        <v>1000.5220575000001</v>
      </c>
      <c r="AZ180" s="78">
        <f>AI180*Valores!$C$76</f>
        <v>171.518067</v>
      </c>
      <c r="BA180" s="78">
        <f t="shared" si="32"/>
        <v>1543.662603</v>
      </c>
      <c r="BB180" s="52"/>
      <c r="BC180" s="52">
        <v>18</v>
      </c>
      <c r="BD180" s="28" t="s">
        <v>4</v>
      </c>
    </row>
    <row r="181" spans="1:56" s="28" customFormat="1" ht="11.25" customHeight="1">
      <c r="A181" s="86">
        <v>180</v>
      </c>
      <c r="B181" s="86" t="s">
        <v>163</v>
      </c>
      <c r="C181" s="87" t="s">
        <v>497</v>
      </c>
      <c r="D181" s="87"/>
      <c r="E181" s="87">
        <f t="shared" si="24"/>
        <v>22</v>
      </c>
      <c r="F181" s="88" t="s">
        <v>498</v>
      </c>
      <c r="G181" s="89">
        <v>213</v>
      </c>
      <c r="H181" s="90">
        <f>INT((G181*Valores!$C$2*100)+0.5)/100</f>
        <v>1412.7</v>
      </c>
      <c r="I181" s="104">
        <f>1835</f>
        <v>1835</v>
      </c>
      <c r="J181" s="92">
        <f>INT((I181*Valores!$C$2*100)+0.5)/100</f>
        <v>12170.45</v>
      </c>
      <c r="K181" s="105">
        <v>0</v>
      </c>
      <c r="L181" s="92">
        <f>INT((K181*Valores!$C$2*100)+0.5)/100</f>
        <v>0</v>
      </c>
      <c r="M181" s="106">
        <v>1300</v>
      </c>
      <c r="N181" s="92">
        <f>INT((M181*Valores!$C$2*100)+0.5)/100</f>
        <v>8622.12</v>
      </c>
      <c r="O181" s="92">
        <f t="shared" si="25"/>
        <v>4017.6090000000004</v>
      </c>
      <c r="P181" s="92">
        <f t="shared" si="26"/>
        <v>0</v>
      </c>
      <c r="Q181" s="108">
        <f>Valores!$C$16</f>
        <v>4291.62</v>
      </c>
      <c r="R181" s="108">
        <f>Valores!$D$4</f>
        <v>2966.67</v>
      </c>
      <c r="S181" s="108">
        <f>Valores!$C$26</f>
        <v>3094.03</v>
      </c>
      <c r="T181" s="109">
        <f>Valores!$C$43</f>
        <v>1839.54</v>
      </c>
      <c r="U181" s="92">
        <f>Valores!$C$23</f>
        <v>2739.25</v>
      </c>
      <c r="V181" s="92">
        <f t="shared" si="33"/>
        <v>2739.25</v>
      </c>
      <c r="W181" s="92">
        <v>0</v>
      </c>
      <c r="X181" s="92">
        <v>0</v>
      </c>
      <c r="Y181" s="96">
        <v>0</v>
      </c>
      <c r="Z181" s="92">
        <f>Y181*Valores!$C$2</f>
        <v>0</v>
      </c>
      <c r="AA181" s="92">
        <v>0</v>
      </c>
      <c r="AB181" s="97">
        <f>Valores!$C$29</f>
        <v>160.21</v>
      </c>
      <c r="AC181" s="92">
        <f t="shared" si="29"/>
        <v>0</v>
      </c>
      <c r="AD181" s="92">
        <f>Valores!$C$30</f>
        <v>160.21</v>
      </c>
      <c r="AE181" s="96">
        <v>0</v>
      </c>
      <c r="AF181" s="92">
        <f>INT(((AE181*Valores!$C$2)*100)+0.5)/100</f>
        <v>0</v>
      </c>
      <c r="AG181" s="92">
        <f>Valores!$C$58</f>
        <v>325.89</v>
      </c>
      <c r="AH181" s="92">
        <f>Valores!$C$60</f>
        <v>93.11</v>
      </c>
      <c r="AI181" s="116">
        <f t="shared" si="30"/>
        <v>41893.409</v>
      </c>
      <c r="AJ181" s="108">
        <f>Valores!$C$35</f>
        <v>599.19</v>
      </c>
      <c r="AK181" s="95">
        <f>Valores!$C$9</f>
        <v>0</v>
      </c>
      <c r="AL181" s="95">
        <f>Valores!$C$83</f>
        <v>2600</v>
      </c>
      <c r="AM181" s="97">
        <f>Valores!$C$50</f>
        <v>265.48</v>
      </c>
      <c r="AN181" s="99">
        <f t="shared" si="31"/>
        <v>3199.19</v>
      </c>
      <c r="AO181" s="117">
        <f>AI181*-Valores!$C$65</f>
        <v>-5446.14317</v>
      </c>
      <c r="AP181" s="117">
        <f>AI181*-Valores!$C$66</f>
        <v>-209.467045</v>
      </c>
      <c r="AQ181" s="94">
        <f>AI181*-Valores!$C$67</f>
        <v>-1885.203405</v>
      </c>
      <c r="AR181" s="94">
        <f>AI181*-Valores!$C$68</f>
        <v>-1131.122043</v>
      </c>
      <c r="AS181" s="94">
        <f>AI181*-Valores!$C$69</f>
        <v>-125.680227</v>
      </c>
      <c r="AT181" s="98">
        <f t="shared" si="27"/>
        <v>37551.78538</v>
      </c>
      <c r="AU181" s="98">
        <f t="shared" si="28"/>
        <v>38180.186515</v>
      </c>
      <c r="AV181" s="94">
        <f>AI181*Valores!$C$71</f>
        <v>6702.94544</v>
      </c>
      <c r="AW181" s="94">
        <f>AI181*Valores!$C$72</f>
        <v>1885.203405</v>
      </c>
      <c r="AX181" s="94">
        <f>AI181*Valores!$C$73</f>
        <v>418.93409</v>
      </c>
      <c r="AY181" s="94">
        <f>AI181*Valores!$C$75</f>
        <v>1466.2693150000002</v>
      </c>
      <c r="AZ181" s="94">
        <f>AI181*Valores!$C$76</f>
        <v>251.360454</v>
      </c>
      <c r="BA181" s="94">
        <f t="shared" si="32"/>
        <v>2262.244086</v>
      </c>
      <c r="BB181" s="86"/>
      <c r="BC181" s="86">
        <v>45</v>
      </c>
      <c r="BD181" s="87" t="s">
        <v>4</v>
      </c>
    </row>
    <row r="182" spans="1:56" s="28" customFormat="1" ht="11.25" customHeight="1">
      <c r="A182" s="52">
        <v>181</v>
      </c>
      <c r="B182" s="52"/>
      <c r="C182" s="28" t="s">
        <v>499</v>
      </c>
      <c r="E182" s="28">
        <f t="shared" si="24"/>
        <v>26</v>
      </c>
      <c r="F182" s="72" t="s">
        <v>500</v>
      </c>
      <c r="G182" s="73">
        <v>185</v>
      </c>
      <c r="H182" s="74">
        <f>INT((G182*Valores!$C$2*100)+0.5)/100</f>
        <v>1226.99</v>
      </c>
      <c r="I182" s="113">
        <f>1835</f>
        <v>1835</v>
      </c>
      <c r="J182" s="76">
        <f>INT((I182*Valores!$C$2*100)+0.5)/100</f>
        <v>12170.45</v>
      </c>
      <c r="K182" s="103">
        <v>0</v>
      </c>
      <c r="L182" s="76">
        <f>INT((K182*Valores!$C$2*100)+0.5)/100</f>
        <v>0</v>
      </c>
      <c r="M182" s="101">
        <v>1300</v>
      </c>
      <c r="N182" s="76">
        <f>INT((M182*Valores!$C$2*100)+0.5)/100</f>
        <v>8622.12</v>
      </c>
      <c r="O182" s="76">
        <f t="shared" si="25"/>
        <v>3989.7525</v>
      </c>
      <c r="P182" s="76">
        <f t="shared" si="26"/>
        <v>0</v>
      </c>
      <c r="Q182" s="102">
        <f>Valores!$C$16</f>
        <v>4291.62</v>
      </c>
      <c r="R182" s="102">
        <f>Valores!$D$4</f>
        <v>2966.67</v>
      </c>
      <c r="S182" s="102">
        <f>Valores!$C$26</f>
        <v>3094.03</v>
      </c>
      <c r="T182" s="107">
        <f>Valores!$C$43</f>
        <v>1839.54</v>
      </c>
      <c r="U182" s="76">
        <f>Valores!$C$23</f>
        <v>2739.25</v>
      </c>
      <c r="V182" s="76">
        <f t="shared" si="33"/>
        <v>2739.25</v>
      </c>
      <c r="W182" s="76">
        <v>0</v>
      </c>
      <c r="X182" s="76">
        <v>0</v>
      </c>
      <c r="Y182" s="80">
        <v>0</v>
      </c>
      <c r="Z182" s="76">
        <f>Y182*Valores!$C$2</f>
        <v>0</v>
      </c>
      <c r="AA182" s="76">
        <v>0</v>
      </c>
      <c r="AB182" s="81">
        <f>Valores!$C$29</f>
        <v>160.21</v>
      </c>
      <c r="AC182" s="76">
        <f t="shared" si="29"/>
        <v>0</v>
      </c>
      <c r="AD182" s="76">
        <f>Valores!$C$30</f>
        <v>160.21</v>
      </c>
      <c r="AE182" s="80">
        <v>0</v>
      </c>
      <c r="AF182" s="76">
        <f>INT(((AE182*Valores!$C$2)*100)+0.5)/100</f>
        <v>0</v>
      </c>
      <c r="AG182" s="76">
        <f>Valores!$C$58</f>
        <v>325.89</v>
      </c>
      <c r="AH182" s="76">
        <f>Valores!$C$60</f>
        <v>93.11</v>
      </c>
      <c r="AI182" s="115">
        <f t="shared" si="30"/>
        <v>41679.8425</v>
      </c>
      <c r="AJ182" s="102">
        <f>Valores!$C$35</f>
        <v>599.19</v>
      </c>
      <c r="AK182" s="79">
        <f>Valores!$C$9</f>
        <v>0</v>
      </c>
      <c r="AL182" s="79">
        <f>Valores!$C$83</f>
        <v>2600</v>
      </c>
      <c r="AM182" s="81">
        <f>Valores!$C$50</f>
        <v>265.48</v>
      </c>
      <c r="AN182" s="83">
        <f t="shared" si="31"/>
        <v>3199.19</v>
      </c>
      <c r="AO182" s="62">
        <f>AI182*-Valores!$C$65</f>
        <v>-5418.379525</v>
      </c>
      <c r="AP182" s="62">
        <f>AI182*-Valores!$C$66</f>
        <v>-208.3992125</v>
      </c>
      <c r="AQ182" s="78">
        <f>AI182*-Valores!$C$67</f>
        <v>-1875.5929124999998</v>
      </c>
      <c r="AR182" s="78">
        <f>AI182*-Valores!$C$68</f>
        <v>-1125.3557475</v>
      </c>
      <c r="AS182" s="78">
        <f>AI182*-Valores!$C$69</f>
        <v>-125.0395275</v>
      </c>
      <c r="AT182" s="82">
        <f t="shared" si="27"/>
        <v>37376.66085</v>
      </c>
      <c r="AU182" s="82">
        <f t="shared" si="28"/>
        <v>38001.8584875</v>
      </c>
      <c r="AV182" s="78">
        <f>AI182*Valores!$C$71</f>
        <v>6668.7748</v>
      </c>
      <c r="AW182" s="78">
        <f>AI182*Valores!$C$72</f>
        <v>1875.5929124999998</v>
      </c>
      <c r="AX182" s="78">
        <f>AI182*Valores!$C$73</f>
        <v>416.798425</v>
      </c>
      <c r="AY182" s="78">
        <f>AI182*Valores!$C$75</f>
        <v>1458.7944875</v>
      </c>
      <c r="AZ182" s="78">
        <f>AI182*Valores!$C$76</f>
        <v>250.079055</v>
      </c>
      <c r="BA182" s="78">
        <f t="shared" si="32"/>
        <v>2250.711495</v>
      </c>
      <c r="BB182" s="52"/>
      <c r="BC182" s="52">
        <v>45</v>
      </c>
      <c r="BD182" s="28" t="s">
        <v>4</v>
      </c>
    </row>
    <row r="183" spans="1:56" s="28" customFormat="1" ht="11.25" customHeight="1">
      <c r="A183" s="52">
        <v>182</v>
      </c>
      <c r="B183" s="52"/>
      <c r="C183" s="28" t="s">
        <v>501</v>
      </c>
      <c r="E183" s="28">
        <f t="shared" si="24"/>
        <v>26</v>
      </c>
      <c r="F183" s="72" t="s">
        <v>502</v>
      </c>
      <c r="G183" s="73">
        <v>160</v>
      </c>
      <c r="H183" s="74">
        <f>INT((G183*Valores!$C$2*100)+0.5)/100</f>
        <v>1061.18</v>
      </c>
      <c r="I183" s="113">
        <f>1484</f>
        <v>1484</v>
      </c>
      <c r="J183" s="76">
        <f>INT((I183*Valores!$C$2*100)+0.5)/100</f>
        <v>9842.48</v>
      </c>
      <c r="K183" s="103">
        <v>0</v>
      </c>
      <c r="L183" s="76">
        <f>INT((K183*Valores!$C$2*100)+0.5)/100</f>
        <v>0</v>
      </c>
      <c r="M183" s="101">
        <v>1300</v>
      </c>
      <c r="N183" s="76">
        <f>INT((M183*Valores!$C$2*100)+0.5)/100</f>
        <v>8622.12</v>
      </c>
      <c r="O183" s="76">
        <f t="shared" si="25"/>
        <v>3615.6855</v>
      </c>
      <c r="P183" s="76">
        <f t="shared" si="26"/>
        <v>0</v>
      </c>
      <c r="Q183" s="102">
        <f>Valores!$C$16</f>
        <v>4291.62</v>
      </c>
      <c r="R183" s="102">
        <f>Valores!$D$4</f>
        <v>2966.67</v>
      </c>
      <c r="S183" s="76">
        <f>Valores!$C$26</f>
        <v>3094.03</v>
      </c>
      <c r="T183" s="79">
        <f>Valores!$C$43</f>
        <v>1839.54</v>
      </c>
      <c r="U183" s="76">
        <f>Valores!$C$23</f>
        <v>2739.25</v>
      </c>
      <c r="V183" s="76">
        <f t="shared" si="33"/>
        <v>2739.25</v>
      </c>
      <c r="W183" s="76">
        <v>0</v>
      </c>
      <c r="X183" s="76">
        <v>0</v>
      </c>
      <c r="Y183" s="80">
        <v>0</v>
      </c>
      <c r="Z183" s="76">
        <f>Y183*Valores!$C$2</f>
        <v>0</v>
      </c>
      <c r="AA183" s="76">
        <v>0</v>
      </c>
      <c r="AB183" s="81">
        <f>Valores!$C$29</f>
        <v>160.21</v>
      </c>
      <c r="AC183" s="76">
        <f t="shared" si="29"/>
        <v>0</v>
      </c>
      <c r="AD183" s="76">
        <f>Valores!$C$30</f>
        <v>160.21</v>
      </c>
      <c r="AE183" s="80">
        <v>0</v>
      </c>
      <c r="AF183" s="76">
        <f>INT(((AE183*Valores!$C$2)*100)+0.5)/100</f>
        <v>0</v>
      </c>
      <c r="AG183" s="76">
        <f>Valores!$C$58</f>
        <v>325.89</v>
      </c>
      <c r="AH183" s="76">
        <f>Valores!$C$60</f>
        <v>93.11</v>
      </c>
      <c r="AI183" s="115">
        <f t="shared" si="30"/>
        <v>38811.9955</v>
      </c>
      <c r="AJ183" s="102">
        <f>Valores!$C$35</f>
        <v>599.19</v>
      </c>
      <c r="AK183" s="79">
        <f>Valores!$C$9</f>
        <v>0</v>
      </c>
      <c r="AL183" s="79">
        <f>Valores!$C$83</f>
        <v>2600</v>
      </c>
      <c r="AM183" s="81">
        <f>Valores!$C$50</f>
        <v>265.48</v>
      </c>
      <c r="AN183" s="83">
        <f t="shared" si="31"/>
        <v>3199.19</v>
      </c>
      <c r="AO183" s="62">
        <f>AI183*-Valores!$C$65</f>
        <v>-5045.559415</v>
      </c>
      <c r="AP183" s="62">
        <f>AI183*-Valores!$C$66</f>
        <v>-194.0599775</v>
      </c>
      <c r="AQ183" s="78">
        <f>AI183*-Valores!$C$67</f>
        <v>-1746.5397974999998</v>
      </c>
      <c r="AR183" s="78">
        <f>AI183*-Valores!$C$68</f>
        <v>-1047.9238785</v>
      </c>
      <c r="AS183" s="78">
        <f>AI183*-Valores!$C$69</f>
        <v>-116.4359865</v>
      </c>
      <c r="AT183" s="82">
        <f t="shared" si="27"/>
        <v>35025.02631</v>
      </c>
      <c r="AU183" s="82">
        <f t="shared" si="28"/>
        <v>35607.206242500004</v>
      </c>
      <c r="AV183" s="78">
        <f>AI183*Valores!$C$71</f>
        <v>6209.91928</v>
      </c>
      <c r="AW183" s="78">
        <f>AI183*Valores!$C$72</f>
        <v>1746.5397974999998</v>
      </c>
      <c r="AX183" s="78">
        <f>AI183*Valores!$C$73</f>
        <v>388.119955</v>
      </c>
      <c r="AY183" s="78">
        <f>AI183*Valores!$C$75</f>
        <v>1358.4198425</v>
      </c>
      <c r="AZ183" s="78">
        <f>AI183*Valores!$C$76</f>
        <v>232.871973</v>
      </c>
      <c r="BA183" s="78">
        <f t="shared" si="32"/>
        <v>2095.847757</v>
      </c>
      <c r="BB183" s="52"/>
      <c r="BC183" s="52">
        <v>45</v>
      </c>
      <c r="BD183" s="28" t="s">
        <v>4</v>
      </c>
    </row>
    <row r="184" spans="1:56" s="28" customFormat="1" ht="11.25" customHeight="1">
      <c r="A184" s="52">
        <v>183</v>
      </c>
      <c r="B184" s="52"/>
      <c r="C184" s="28" t="s">
        <v>503</v>
      </c>
      <c r="E184" s="28">
        <f t="shared" si="24"/>
        <v>22</v>
      </c>
      <c r="F184" s="72" t="s">
        <v>504</v>
      </c>
      <c r="G184" s="73">
        <v>1278</v>
      </c>
      <c r="H184" s="74">
        <f>INT((G184*Valores!$C$2*100)+0.5)/100</f>
        <v>8476.21</v>
      </c>
      <c r="I184" s="113">
        <v>0</v>
      </c>
      <c r="J184" s="76">
        <f>INT((I184*Valores!$C$2*100)+0.5)/100</f>
        <v>0</v>
      </c>
      <c r="K184" s="103">
        <v>0</v>
      </c>
      <c r="L184" s="76">
        <f>INT((K184*Valores!$C$2*100)+0.5)/100</f>
        <v>0</v>
      </c>
      <c r="M184" s="101">
        <v>1200</v>
      </c>
      <c r="N184" s="76">
        <f>INT((M184*Valores!$C$2*100)+0.5)/100</f>
        <v>7958.88</v>
      </c>
      <c r="O184" s="76">
        <f t="shared" si="25"/>
        <v>3152.082</v>
      </c>
      <c r="P184" s="76">
        <f t="shared" si="26"/>
        <v>0</v>
      </c>
      <c r="Q184" s="102">
        <f>Valores!$C$20</f>
        <v>4080.56</v>
      </c>
      <c r="R184" s="102">
        <f>Valores!$D$4</f>
        <v>2966.67</v>
      </c>
      <c r="S184" s="102">
        <f>Valores!$C$26</f>
        <v>3094.03</v>
      </c>
      <c r="T184" s="107">
        <f>Valores!$C$43</f>
        <v>1839.54</v>
      </c>
      <c r="U184" s="76">
        <f>Valores!$C$23</f>
        <v>2739.25</v>
      </c>
      <c r="V184" s="76">
        <f t="shared" si="33"/>
        <v>2739.25</v>
      </c>
      <c r="W184" s="76">
        <v>0</v>
      </c>
      <c r="X184" s="76">
        <v>0</v>
      </c>
      <c r="Y184" s="80">
        <v>0</v>
      </c>
      <c r="Z184" s="76">
        <f>Y184*Valores!$C$2</f>
        <v>0</v>
      </c>
      <c r="AA184" s="76">
        <v>0</v>
      </c>
      <c r="AB184" s="81">
        <f>Valores!$C$29</f>
        <v>160.21</v>
      </c>
      <c r="AC184" s="76">
        <f t="shared" si="29"/>
        <v>0</v>
      </c>
      <c r="AD184" s="76">
        <f>Valores!$C$30</f>
        <v>160.21</v>
      </c>
      <c r="AE184" s="80">
        <v>0</v>
      </c>
      <c r="AF184" s="76">
        <f>INT(((AE184*Valores!$C$2)*100)+0.5)/100</f>
        <v>0</v>
      </c>
      <c r="AG184" s="76">
        <f>Valores!$C$58</f>
        <v>325.89</v>
      </c>
      <c r="AH184" s="76">
        <f>Valores!$C$60</f>
        <v>93.11</v>
      </c>
      <c r="AI184" s="115">
        <f t="shared" si="30"/>
        <v>35046.642</v>
      </c>
      <c r="AJ184" s="102">
        <f>Valores!$C$35</f>
        <v>599.19</v>
      </c>
      <c r="AK184" s="79">
        <f>Valores!$C$9</f>
        <v>0</v>
      </c>
      <c r="AL184" s="79">
        <f>Valores!$C$83</f>
        <v>2600</v>
      </c>
      <c r="AM184" s="81">
        <f>Valores!$C$50</f>
        <v>265.48</v>
      </c>
      <c r="AN184" s="83">
        <f t="shared" si="31"/>
        <v>3199.19</v>
      </c>
      <c r="AO184" s="62">
        <f>AI184*-Valores!$C$65</f>
        <v>-4556.06346</v>
      </c>
      <c r="AP184" s="62">
        <f>AI184*-Valores!$C$66</f>
        <v>-175.23321</v>
      </c>
      <c r="AQ184" s="78">
        <f>AI184*-Valores!$C$67</f>
        <v>-1577.09889</v>
      </c>
      <c r="AR184" s="78">
        <f>AI184*-Valores!$C$68</f>
        <v>-946.259334</v>
      </c>
      <c r="AS184" s="78">
        <f>AI184*-Valores!$C$69</f>
        <v>-105.139926</v>
      </c>
      <c r="AT184" s="82">
        <f t="shared" si="27"/>
        <v>31937.43644</v>
      </c>
      <c r="AU184" s="82">
        <f t="shared" si="28"/>
        <v>32463.13607</v>
      </c>
      <c r="AV184" s="78">
        <f>AI184*Valores!$C$71</f>
        <v>5607.46272</v>
      </c>
      <c r="AW184" s="78">
        <f>AI184*Valores!$C$72</f>
        <v>1577.09889</v>
      </c>
      <c r="AX184" s="78">
        <f>AI184*Valores!$C$73</f>
        <v>350.46642</v>
      </c>
      <c r="AY184" s="78">
        <f>AI184*Valores!$C$75</f>
        <v>1226.63247</v>
      </c>
      <c r="AZ184" s="78">
        <f>AI184*Valores!$C$76</f>
        <v>210.279852</v>
      </c>
      <c r="BA184" s="78">
        <f t="shared" si="32"/>
        <v>1892.5186680000002</v>
      </c>
      <c r="BB184" s="52"/>
      <c r="BC184" s="86"/>
      <c r="BD184" s="28" t="s">
        <v>4</v>
      </c>
    </row>
    <row r="185" spans="1:56" s="28" customFormat="1" ht="11.25" customHeight="1">
      <c r="A185" s="52">
        <v>184</v>
      </c>
      <c r="B185" s="52"/>
      <c r="C185" s="28" t="s">
        <v>505</v>
      </c>
      <c r="E185" s="28">
        <f t="shared" si="24"/>
        <v>28</v>
      </c>
      <c r="F185" s="72" t="s">
        <v>506</v>
      </c>
      <c r="G185" s="73">
        <v>971</v>
      </c>
      <c r="H185" s="74">
        <f>INT((G185*Valores!$C$2*100)+0.5)/100</f>
        <v>6440.06</v>
      </c>
      <c r="I185" s="113">
        <v>0</v>
      </c>
      <c r="J185" s="76">
        <f>INT((I185*Valores!$C$2*100)+0.5)/100</f>
        <v>0</v>
      </c>
      <c r="K185" s="103">
        <v>0</v>
      </c>
      <c r="L185" s="76">
        <f>INT((K185*Valores!$C$2*100)+0.5)/100</f>
        <v>0</v>
      </c>
      <c r="M185" s="101">
        <v>660</v>
      </c>
      <c r="N185" s="76">
        <f>INT((M185*Valores!$C$2*100)+0.5)/100</f>
        <v>4377.38</v>
      </c>
      <c r="O185" s="76">
        <f t="shared" si="25"/>
        <v>2309.4345</v>
      </c>
      <c r="P185" s="76">
        <f t="shared" si="26"/>
        <v>0</v>
      </c>
      <c r="Q185" s="102">
        <f>Valores!$C$20</f>
        <v>4080.56</v>
      </c>
      <c r="R185" s="102">
        <f>Valores!$D$4</f>
        <v>2966.67</v>
      </c>
      <c r="S185" s="102">
        <f>Valores!$C$27</f>
        <v>2851.94</v>
      </c>
      <c r="T185" s="107">
        <f>Valores!$C$43</f>
        <v>1839.54</v>
      </c>
      <c r="U185" s="76">
        <f>Valores!$C$23</f>
        <v>2739.25</v>
      </c>
      <c r="V185" s="76">
        <f t="shared" si="33"/>
        <v>2739.25</v>
      </c>
      <c r="W185" s="76">
        <v>0</v>
      </c>
      <c r="X185" s="76">
        <v>0</v>
      </c>
      <c r="Y185" s="80">
        <v>0</v>
      </c>
      <c r="Z185" s="76">
        <f>Y185*Valores!$C$2</f>
        <v>0</v>
      </c>
      <c r="AA185" s="76">
        <v>0</v>
      </c>
      <c r="AB185" s="81">
        <f>Valores!$C$29</f>
        <v>160.21</v>
      </c>
      <c r="AC185" s="76">
        <f t="shared" si="29"/>
        <v>0</v>
      </c>
      <c r="AD185" s="76">
        <f>Valores!$C$30</f>
        <v>160.21</v>
      </c>
      <c r="AE185" s="80">
        <v>0</v>
      </c>
      <c r="AF185" s="76">
        <f>INT(((AE185*Valores!$C$2)*100)+0.5)/100</f>
        <v>0</v>
      </c>
      <c r="AG185" s="76">
        <f>Valores!$C$58</f>
        <v>325.89</v>
      </c>
      <c r="AH185" s="76">
        <f>Valores!$C$60</f>
        <v>93.11</v>
      </c>
      <c r="AI185" s="115">
        <f t="shared" si="30"/>
        <v>28344.2545</v>
      </c>
      <c r="AJ185" s="102">
        <f>Valores!$C$35</f>
        <v>599.19</v>
      </c>
      <c r="AK185" s="79">
        <f>Valores!$C$9</f>
        <v>0</v>
      </c>
      <c r="AL185" s="79">
        <f>Valores!$C$83</f>
        <v>2600</v>
      </c>
      <c r="AM185" s="81">
        <f>Valores!$C$52</f>
        <v>264.4</v>
      </c>
      <c r="AN185" s="83">
        <f t="shared" si="31"/>
        <v>3199.19</v>
      </c>
      <c r="AO185" s="62">
        <f>AI185*-Valores!$C$65</f>
        <v>-3684.753085</v>
      </c>
      <c r="AP185" s="62">
        <f>AI185*-Valores!$C$66</f>
        <v>-141.7212725</v>
      </c>
      <c r="AQ185" s="78">
        <f>AI185*-Valores!$C$67</f>
        <v>-1275.4914525</v>
      </c>
      <c r="AR185" s="78">
        <f>AI185*-Valores!$C$68</f>
        <v>-765.2948715</v>
      </c>
      <c r="AS185" s="78">
        <f>AI185*-Valores!$C$69</f>
        <v>-85.0327635</v>
      </c>
      <c r="AT185" s="82">
        <f t="shared" si="27"/>
        <v>26441.47869</v>
      </c>
      <c r="AU185" s="82">
        <f t="shared" si="28"/>
        <v>26866.6425075</v>
      </c>
      <c r="AV185" s="78">
        <f>AI185*Valores!$C$71</f>
        <v>4535.08072</v>
      </c>
      <c r="AW185" s="78">
        <f>AI185*Valores!$C$72</f>
        <v>1275.4914525</v>
      </c>
      <c r="AX185" s="78">
        <f>AI185*Valores!$C$73</f>
        <v>283.442545</v>
      </c>
      <c r="AY185" s="78">
        <f>AI185*Valores!$C$75</f>
        <v>992.0489075</v>
      </c>
      <c r="AZ185" s="78">
        <f>AI185*Valores!$C$76</f>
        <v>170.065527</v>
      </c>
      <c r="BA185" s="78">
        <f t="shared" si="32"/>
        <v>1530.589743</v>
      </c>
      <c r="BB185" s="52"/>
      <c r="BC185" s="52">
        <v>18</v>
      </c>
      <c r="BD185" s="28" t="s">
        <v>4</v>
      </c>
    </row>
    <row r="186" spans="1:56" s="28" customFormat="1" ht="11.25" customHeight="1">
      <c r="A186" s="86">
        <v>185</v>
      </c>
      <c r="B186" s="86" t="s">
        <v>163</v>
      </c>
      <c r="C186" s="87" t="s">
        <v>507</v>
      </c>
      <c r="D186" s="87"/>
      <c r="E186" s="87">
        <f t="shared" si="24"/>
        <v>23</v>
      </c>
      <c r="F186" s="88" t="s">
        <v>508</v>
      </c>
      <c r="G186" s="89">
        <v>179</v>
      </c>
      <c r="H186" s="90">
        <f>INT((G186*Valores!$C$2*100)+0.5)/100</f>
        <v>1187.2</v>
      </c>
      <c r="I186" s="104">
        <f>1323</f>
        <v>1323</v>
      </c>
      <c r="J186" s="92">
        <f>INT((I186*Valores!$C$2*100)+0.5)/100</f>
        <v>8774.67</v>
      </c>
      <c r="K186" s="105">
        <v>0</v>
      </c>
      <c r="L186" s="92">
        <f>INT((K186*Valores!$C$2*100)+0.5)/100</f>
        <v>0</v>
      </c>
      <c r="M186" s="106">
        <v>1300</v>
      </c>
      <c r="N186" s="92">
        <f>INT((M186*Valores!$C$2*100)+0.5)/100</f>
        <v>8622.12</v>
      </c>
      <c r="O186" s="92">
        <f t="shared" si="25"/>
        <v>3474.4170000000004</v>
      </c>
      <c r="P186" s="92">
        <f t="shared" si="26"/>
        <v>0</v>
      </c>
      <c r="Q186" s="108">
        <f>Valores!$C$16</f>
        <v>4291.62</v>
      </c>
      <c r="R186" s="108">
        <f>Valores!$D$4</f>
        <v>2966.67</v>
      </c>
      <c r="S186" s="108">
        <f>Valores!$C$26</f>
        <v>3094.03</v>
      </c>
      <c r="T186" s="109">
        <f>Valores!$C$43</f>
        <v>1839.54</v>
      </c>
      <c r="U186" s="92">
        <f>Valores!$C$23</f>
        <v>2739.25</v>
      </c>
      <c r="V186" s="92">
        <f t="shared" si="33"/>
        <v>2739.25</v>
      </c>
      <c r="W186" s="92">
        <v>0</v>
      </c>
      <c r="X186" s="92">
        <v>0</v>
      </c>
      <c r="Y186" s="96">
        <v>0</v>
      </c>
      <c r="Z186" s="92">
        <f>Y186*Valores!$C$2</f>
        <v>0</v>
      </c>
      <c r="AA186" s="92">
        <v>0</v>
      </c>
      <c r="AB186" s="97">
        <f>Valores!$C$29</f>
        <v>160.21</v>
      </c>
      <c r="AC186" s="92">
        <f t="shared" si="29"/>
        <v>0</v>
      </c>
      <c r="AD186" s="92">
        <f>Valores!$C$30</f>
        <v>160.21</v>
      </c>
      <c r="AE186" s="96">
        <v>0</v>
      </c>
      <c r="AF186" s="92">
        <f>INT(((AE186*Valores!$C$2)*100)+0.5)/100</f>
        <v>0</v>
      </c>
      <c r="AG186" s="92">
        <f>Valores!$C$58</f>
        <v>325.89</v>
      </c>
      <c r="AH186" s="92">
        <f>Valores!$C$60</f>
        <v>93.11</v>
      </c>
      <c r="AI186" s="116">
        <f t="shared" si="30"/>
        <v>37728.937</v>
      </c>
      <c r="AJ186" s="108">
        <f>Valores!$C$35</f>
        <v>599.19</v>
      </c>
      <c r="AK186" s="95">
        <f>Valores!$C$9</f>
        <v>0</v>
      </c>
      <c r="AL186" s="95">
        <f>Valores!$C$83</f>
        <v>2600</v>
      </c>
      <c r="AM186" s="97">
        <v>0</v>
      </c>
      <c r="AN186" s="99">
        <f t="shared" si="31"/>
        <v>3199.19</v>
      </c>
      <c r="AO186" s="117">
        <f>AI186*-Valores!$C$65</f>
        <v>-4904.76181</v>
      </c>
      <c r="AP186" s="117">
        <f>AI186*-Valores!$C$66</f>
        <v>-188.64468499999998</v>
      </c>
      <c r="AQ186" s="94">
        <f>AI186*-Valores!$C$67</f>
        <v>-1697.8021649999998</v>
      </c>
      <c r="AR186" s="94">
        <f>AI186*-Valores!$C$68</f>
        <v>-1018.681299</v>
      </c>
      <c r="AS186" s="94">
        <f>AI186*-Valores!$C$69</f>
        <v>-113.18681099999999</v>
      </c>
      <c r="AT186" s="98">
        <f t="shared" si="27"/>
        <v>34136.918340000004</v>
      </c>
      <c r="AU186" s="98">
        <f t="shared" si="28"/>
        <v>34702.852395</v>
      </c>
      <c r="AV186" s="94">
        <f>AI186*Valores!$C$71</f>
        <v>6036.629919999999</v>
      </c>
      <c r="AW186" s="94">
        <f>AI186*Valores!$C$72</f>
        <v>1697.8021649999998</v>
      </c>
      <c r="AX186" s="94">
        <f>AI186*Valores!$C$73</f>
        <v>377.28936999999996</v>
      </c>
      <c r="AY186" s="94">
        <f>AI186*Valores!$C$75</f>
        <v>1320.512795</v>
      </c>
      <c r="AZ186" s="94">
        <f>AI186*Valores!$C$76</f>
        <v>226.37362199999998</v>
      </c>
      <c r="BA186" s="94">
        <f t="shared" si="32"/>
        <v>2037.362598</v>
      </c>
      <c r="BB186" s="86"/>
      <c r="BC186" s="86">
        <v>45</v>
      </c>
      <c r="BD186" s="87" t="s">
        <v>4</v>
      </c>
    </row>
    <row r="187" spans="1:56" s="28" customFormat="1" ht="11.25" customHeight="1">
      <c r="A187" s="52">
        <v>186</v>
      </c>
      <c r="B187" s="52"/>
      <c r="C187" s="28" t="s">
        <v>509</v>
      </c>
      <c r="E187" s="28">
        <f t="shared" si="24"/>
        <v>26</v>
      </c>
      <c r="F187" s="72" t="s">
        <v>510</v>
      </c>
      <c r="G187" s="73">
        <v>64</v>
      </c>
      <c r="H187" s="74">
        <f>INT((G187*Valores!$C$2*100)+0.5)/100</f>
        <v>424.47</v>
      </c>
      <c r="I187" s="113">
        <v>1354</v>
      </c>
      <c r="J187" s="76">
        <f>INT((I187*Valores!$C$2*100)+0.5)/100</f>
        <v>8980.27</v>
      </c>
      <c r="K187" s="103">
        <v>0</v>
      </c>
      <c r="L187" s="76">
        <f>INT((K187*Valores!$C$2*100)+0.5)/100</f>
        <v>0</v>
      </c>
      <c r="M187" s="101">
        <v>1200</v>
      </c>
      <c r="N187" s="76">
        <f>INT((M187*Valores!$C$2*100)+0.5)/100</f>
        <v>7958.88</v>
      </c>
      <c r="O187" s="76">
        <f t="shared" si="25"/>
        <v>3285.7695</v>
      </c>
      <c r="P187" s="76">
        <f t="shared" si="26"/>
        <v>0</v>
      </c>
      <c r="Q187" s="102">
        <f>Valores!$C$20</f>
        <v>4080.56</v>
      </c>
      <c r="R187" s="102">
        <f>Valores!$D$4</f>
        <v>2966.67</v>
      </c>
      <c r="S187" s="76">
        <v>0</v>
      </c>
      <c r="T187" s="79">
        <f>Valores!$C$43</f>
        <v>1839.54</v>
      </c>
      <c r="U187" s="102">
        <f>Valores!$C$24</f>
        <v>2701.97</v>
      </c>
      <c r="V187" s="76">
        <f t="shared" si="33"/>
        <v>2701.97</v>
      </c>
      <c r="W187" s="76">
        <v>0</v>
      </c>
      <c r="X187" s="76">
        <v>0</v>
      </c>
      <c r="Y187" s="80">
        <v>0</v>
      </c>
      <c r="Z187" s="76">
        <f>Y187*Valores!$C$2</f>
        <v>0</v>
      </c>
      <c r="AA187" s="76">
        <v>0</v>
      </c>
      <c r="AB187" s="81">
        <f>Valores!$C$29</f>
        <v>160.21</v>
      </c>
      <c r="AC187" s="76">
        <f t="shared" si="29"/>
        <v>0</v>
      </c>
      <c r="AD187" s="76">
        <f>Valores!$C$30</f>
        <v>160.21</v>
      </c>
      <c r="AE187" s="80">
        <v>0</v>
      </c>
      <c r="AF187" s="76">
        <f>INT(((AE187*Valores!$C$2)*100)+0.5)/100</f>
        <v>0</v>
      </c>
      <c r="AG187" s="76">
        <f>Valores!$C$58</f>
        <v>325.89</v>
      </c>
      <c r="AH187" s="76">
        <f>Valores!$C$60</f>
        <v>93.11</v>
      </c>
      <c r="AI187" s="115">
        <f t="shared" si="30"/>
        <v>32977.5495</v>
      </c>
      <c r="AJ187" s="102">
        <f>Valores!$C$35</f>
        <v>599.19</v>
      </c>
      <c r="AK187" s="79">
        <f>Valores!$C$9</f>
        <v>0</v>
      </c>
      <c r="AL187" s="79">
        <f>Valores!$C$83</f>
        <v>2600</v>
      </c>
      <c r="AM187" s="81">
        <v>0</v>
      </c>
      <c r="AN187" s="83">
        <f t="shared" si="31"/>
        <v>3199.19</v>
      </c>
      <c r="AO187" s="62">
        <f>AI187*-Valores!$C$65</f>
        <v>-4287.081435</v>
      </c>
      <c r="AP187" s="62">
        <f>AI187*-Valores!$C$66</f>
        <v>-164.88774750000002</v>
      </c>
      <c r="AQ187" s="78">
        <f>AI187*-Valores!$C$67</f>
        <v>-1483.9897275</v>
      </c>
      <c r="AR187" s="78">
        <f>AI187*-Valores!$C$68</f>
        <v>-890.3938365</v>
      </c>
      <c r="AS187" s="78">
        <f>AI187*-Valores!$C$69</f>
        <v>-98.9326485</v>
      </c>
      <c r="AT187" s="82">
        <f t="shared" si="27"/>
        <v>30240.78059000001</v>
      </c>
      <c r="AU187" s="82">
        <f t="shared" si="28"/>
        <v>30735.44383250001</v>
      </c>
      <c r="AV187" s="78">
        <f>AI187*Valores!$C$71</f>
        <v>5276.407920000001</v>
      </c>
      <c r="AW187" s="78">
        <f>AI187*Valores!$C$72</f>
        <v>1483.9897275</v>
      </c>
      <c r="AX187" s="78">
        <f>AI187*Valores!$C$73</f>
        <v>329.77549500000003</v>
      </c>
      <c r="AY187" s="78">
        <f>AI187*Valores!$C$75</f>
        <v>1154.2142325000002</v>
      </c>
      <c r="AZ187" s="78">
        <f>AI187*Valores!$C$76</f>
        <v>197.865297</v>
      </c>
      <c r="BA187" s="78">
        <f t="shared" si="32"/>
        <v>1780.787673</v>
      </c>
      <c r="BB187" s="52"/>
      <c r="BC187" s="52">
        <v>30</v>
      </c>
      <c r="BD187" s="28" t="s">
        <v>8</v>
      </c>
    </row>
    <row r="188" spans="1:56" s="28" customFormat="1" ht="11.25" customHeight="1">
      <c r="A188" s="52">
        <v>187</v>
      </c>
      <c r="B188" s="52"/>
      <c r="C188" s="28" t="s">
        <v>511</v>
      </c>
      <c r="E188" s="28">
        <f t="shared" si="24"/>
        <v>26</v>
      </c>
      <c r="F188" s="72" t="s">
        <v>512</v>
      </c>
      <c r="G188" s="73">
        <v>55</v>
      </c>
      <c r="H188" s="74">
        <f>INT((G188*Valores!$C$2*100)+0.5)/100</f>
        <v>364.78</v>
      </c>
      <c r="I188" s="113">
        <v>1279</v>
      </c>
      <c r="J188" s="76">
        <f>INT((I188*Valores!$C$2*100)+0.5)/100</f>
        <v>8482.84</v>
      </c>
      <c r="K188" s="103">
        <v>0</v>
      </c>
      <c r="L188" s="76">
        <f>INT((K188*Valores!$C$2*100)+0.5)/100</f>
        <v>0</v>
      </c>
      <c r="M188" s="101">
        <v>1200</v>
      </c>
      <c r="N188" s="76">
        <f>INT((M188*Valores!$C$2*100)+0.5)/100</f>
        <v>7958.88</v>
      </c>
      <c r="O188" s="76">
        <f t="shared" si="25"/>
        <v>3207.7935</v>
      </c>
      <c r="P188" s="76">
        <f t="shared" si="26"/>
        <v>0</v>
      </c>
      <c r="Q188" s="102">
        <f>Valores!$C$20</f>
        <v>4080.56</v>
      </c>
      <c r="R188" s="102">
        <f>Valores!$D$4</f>
        <v>2966.67</v>
      </c>
      <c r="S188" s="76">
        <v>0</v>
      </c>
      <c r="T188" s="79">
        <f>Valores!$C$43</f>
        <v>1839.54</v>
      </c>
      <c r="U188" s="76">
        <f>Valores!$C$23</f>
        <v>2739.25</v>
      </c>
      <c r="V188" s="76">
        <f t="shared" si="33"/>
        <v>2739.25</v>
      </c>
      <c r="W188" s="76">
        <v>0</v>
      </c>
      <c r="X188" s="76">
        <v>0</v>
      </c>
      <c r="Y188" s="80">
        <v>0</v>
      </c>
      <c r="Z188" s="76">
        <f>Y188*Valores!$C$2</f>
        <v>0</v>
      </c>
      <c r="AA188" s="76">
        <v>0</v>
      </c>
      <c r="AB188" s="81">
        <f>Valores!$C$29</f>
        <v>160.21</v>
      </c>
      <c r="AC188" s="76">
        <f t="shared" si="29"/>
        <v>0</v>
      </c>
      <c r="AD188" s="76">
        <f>Valores!$C$30</f>
        <v>160.21</v>
      </c>
      <c r="AE188" s="80">
        <v>0</v>
      </c>
      <c r="AF188" s="76">
        <f>INT(((AE188*Valores!$C$2)*100)+0.5)/100</f>
        <v>0</v>
      </c>
      <c r="AG188" s="76">
        <f>Valores!$C$58</f>
        <v>325.89</v>
      </c>
      <c r="AH188" s="76">
        <f>Valores!$C$60</f>
        <v>93.11</v>
      </c>
      <c r="AI188" s="115">
        <f t="shared" si="30"/>
        <v>32379.733500000002</v>
      </c>
      <c r="AJ188" s="102">
        <f>Valores!$C$35</f>
        <v>599.19</v>
      </c>
      <c r="AK188" s="79">
        <f>Valores!$C$9</f>
        <v>0</v>
      </c>
      <c r="AL188" s="79">
        <f>Valores!$C$83</f>
        <v>2600</v>
      </c>
      <c r="AM188" s="81">
        <v>0</v>
      </c>
      <c r="AN188" s="83">
        <f t="shared" si="31"/>
        <v>3199.19</v>
      </c>
      <c r="AO188" s="62">
        <f>AI188*-Valores!$C$65</f>
        <v>-4209.365355000001</v>
      </c>
      <c r="AP188" s="62">
        <f>AI188*-Valores!$C$66</f>
        <v>-161.89866750000002</v>
      </c>
      <c r="AQ188" s="78">
        <f>AI188*-Valores!$C$67</f>
        <v>-1457.0880075</v>
      </c>
      <c r="AR188" s="78">
        <f>AI188*-Valores!$C$68</f>
        <v>-874.2528045</v>
      </c>
      <c r="AS188" s="78">
        <f>AI188*-Valores!$C$69</f>
        <v>-97.13920050000002</v>
      </c>
      <c r="AT188" s="82">
        <f t="shared" si="27"/>
        <v>29750.571470000003</v>
      </c>
      <c r="AU188" s="82">
        <f t="shared" si="28"/>
        <v>30236.267472500003</v>
      </c>
      <c r="AV188" s="78">
        <f>AI188*Valores!$C$71</f>
        <v>5180.7573600000005</v>
      </c>
      <c r="AW188" s="78">
        <f>AI188*Valores!$C$72</f>
        <v>1457.0880075</v>
      </c>
      <c r="AX188" s="78">
        <f>AI188*Valores!$C$73</f>
        <v>323.79733500000003</v>
      </c>
      <c r="AY188" s="78">
        <f>AI188*Valores!$C$75</f>
        <v>1133.2906725000003</v>
      </c>
      <c r="AZ188" s="78">
        <f>AI188*Valores!$C$76</f>
        <v>194.27840100000003</v>
      </c>
      <c r="BA188" s="78">
        <f t="shared" si="32"/>
        <v>1748.505609</v>
      </c>
      <c r="BB188" s="52"/>
      <c r="BC188" s="52">
        <v>30</v>
      </c>
      <c r="BD188" s="28" t="s">
        <v>8</v>
      </c>
    </row>
    <row r="189" spans="1:56" s="28" customFormat="1" ht="11.25" customHeight="1">
      <c r="A189" s="52">
        <v>188</v>
      </c>
      <c r="B189" s="52"/>
      <c r="C189" s="28" t="s">
        <v>513</v>
      </c>
      <c r="E189" s="28">
        <f t="shared" si="24"/>
        <v>24</v>
      </c>
      <c r="F189" s="72" t="s">
        <v>514</v>
      </c>
      <c r="G189" s="73">
        <v>1027</v>
      </c>
      <c r="H189" s="74">
        <f>INT((G189*Valores!$C$2*100)+0.5)/100</f>
        <v>6811.47</v>
      </c>
      <c r="I189" s="113">
        <v>0</v>
      </c>
      <c r="J189" s="76">
        <f>INT((I189*Valores!$C$2*100)+0.5)/100</f>
        <v>0</v>
      </c>
      <c r="K189" s="103">
        <v>0</v>
      </c>
      <c r="L189" s="76">
        <f>INT((K189*Valores!$C$2*100)+0.5)/100</f>
        <v>0</v>
      </c>
      <c r="M189" s="101">
        <v>1200</v>
      </c>
      <c r="N189" s="76">
        <f>INT((M189*Valores!$C$2*100)+0.5)/100</f>
        <v>7958.88</v>
      </c>
      <c r="O189" s="76">
        <f t="shared" si="25"/>
        <v>2896.779</v>
      </c>
      <c r="P189" s="76">
        <f t="shared" si="26"/>
        <v>0</v>
      </c>
      <c r="Q189" s="102">
        <f>Valores!$C$20</f>
        <v>4080.56</v>
      </c>
      <c r="R189" s="102">
        <f>Valores!$D$4</f>
        <v>2966.67</v>
      </c>
      <c r="S189" s="76">
        <v>0</v>
      </c>
      <c r="T189" s="79">
        <f>Valores!$C$43</f>
        <v>1839.54</v>
      </c>
      <c r="U189" s="102">
        <f>Valores!$C$24</f>
        <v>2701.97</v>
      </c>
      <c r="V189" s="76">
        <f t="shared" si="33"/>
        <v>2701.97</v>
      </c>
      <c r="W189" s="76">
        <v>0</v>
      </c>
      <c r="X189" s="76">
        <v>0</v>
      </c>
      <c r="Y189" s="80">
        <v>0</v>
      </c>
      <c r="Z189" s="76">
        <f>Y189*Valores!$C$2</f>
        <v>0</v>
      </c>
      <c r="AA189" s="76">
        <v>0</v>
      </c>
      <c r="AB189" s="81">
        <f>Valores!$C$29</f>
        <v>160.21</v>
      </c>
      <c r="AC189" s="76">
        <f t="shared" si="29"/>
        <v>0</v>
      </c>
      <c r="AD189" s="76">
        <f>Valores!$C$30</f>
        <v>160.21</v>
      </c>
      <c r="AE189" s="80">
        <v>0</v>
      </c>
      <c r="AF189" s="76">
        <f>INT(((AE189*Valores!$C$2)*100)+0.5)/100</f>
        <v>0</v>
      </c>
      <c r="AG189" s="76">
        <f>Valores!$C$58</f>
        <v>325.89</v>
      </c>
      <c r="AH189" s="76">
        <f>Valores!$C$60</f>
        <v>93.11</v>
      </c>
      <c r="AI189" s="115">
        <f t="shared" si="30"/>
        <v>29995.289000000004</v>
      </c>
      <c r="AJ189" s="102">
        <f>Valores!$C$35</f>
        <v>599.19</v>
      </c>
      <c r="AK189" s="79">
        <f>Valores!$C$9</f>
        <v>0</v>
      </c>
      <c r="AL189" s="79">
        <f>Valores!$C$83</f>
        <v>2600</v>
      </c>
      <c r="AM189" s="81">
        <v>0</v>
      </c>
      <c r="AN189" s="83">
        <f t="shared" si="31"/>
        <v>3199.19</v>
      </c>
      <c r="AO189" s="62">
        <f>AI189*-Valores!$C$65</f>
        <v>-3899.387570000001</v>
      </c>
      <c r="AP189" s="62">
        <f>AI189*-Valores!$C$66</f>
        <v>-149.976445</v>
      </c>
      <c r="AQ189" s="78">
        <f>AI189*-Valores!$C$67</f>
        <v>-1349.788005</v>
      </c>
      <c r="AR189" s="78">
        <f>AI189*-Valores!$C$68</f>
        <v>-809.8728030000001</v>
      </c>
      <c r="AS189" s="78">
        <f>AI189*-Valores!$C$69</f>
        <v>-89.98586700000001</v>
      </c>
      <c r="AT189" s="82">
        <f t="shared" si="27"/>
        <v>27795.326980000005</v>
      </c>
      <c r="AU189" s="82">
        <f t="shared" si="28"/>
        <v>28245.25631500001</v>
      </c>
      <c r="AV189" s="78">
        <f>AI189*Valores!$C$71</f>
        <v>4799.24624</v>
      </c>
      <c r="AW189" s="78">
        <f>AI189*Valores!$C$72</f>
        <v>1349.788005</v>
      </c>
      <c r="AX189" s="78">
        <f>AI189*Valores!$C$73</f>
        <v>299.95289</v>
      </c>
      <c r="AY189" s="78">
        <f>AI189*Valores!$C$75</f>
        <v>1049.8351150000003</v>
      </c>
      <c r="AZ189" s="78">
        <f>AI189*Valores!$C$76</f>
        <v>179.97173400000003</v>
      </c>
      <c r="BA189" s="78">
        <f t="shared" si="32"/>
        <v>1619.7456060000002</v>
      </c>
      <c r="BB189" s="52"/>
      <c r="BC189" s="86">
        <v>30</v>
      </c>
      <c r="BD189" s="28" t="s">
        <v>8</v>
      </c>
    </row>
    <row r="190" spans="1:56" s="28" customFormat="1" ht="11.25" customHeight="1">
      <c r="A190" s="52">
        <v>189</v>
      </c>
      <c r="B190" s="52"/>
      <c r="C190" s="28" t="s">
        <v>515</v>
      </c>
      <c r="E190" s="28">
        <f t="shared" si="24"/>
        <v>24</v>
      </c>
      <c r="F190" s="72" t="s">
        <v>516</v>
      </c>
      <c r="G190" s="73">
        <v>1278</v>
      </c>
      <c r="H190" s="74">
        <f>INT((G190*Valores!$C$2*100)+0.5)/100</f>
        <v>8476.21</v>
      </c>
      <c r="I190" s="113">
        <v>0</v>
      </c>
      <c r="J190" s="76">
        <f>INT((I190*Valores!$C$2*100)+0.5)/100</f>
        <v>0</v>
      </c>
      <c r="K190" s="103">
        <v>0</v>
      </c>
      <c r="L190" s="76">
        <f>INT((K190*Valores!$C$2*100)+0.5)/100</f>
        <v>0</v>
      </c>
      <c r="M190" s="101">
        <v>1200</v>
      </c>
      <c r="N190" s="76">
        <f>INT((M190*Valores!$C$2*100)+0.5)/100</f>
        <v>7958.88</v>
      </c>
      <c r="O190" s="76">
        <f t="shared" si="25"/>
        <v>3152.082</v>
      </c>
      <c r="P190" s="76">
        <f t="shared" si="26"/>
        <v>0</v>
      </c>
      <c r="Q190" s="102">
        <f>Valores!$C$20</f>
        <v>4080.56</v>
      </c>
      <c r="R190" s="102">
        <f>Valores!$D$4</f>
        <v>2966.67</v>
      </c>
      <c r="S190" s="102">
        <f>Valores!$C$26</f>
        <v>3094.03</v>
      </c>
      <c r="T190" s="107">
        <f>Valores!$C$43</f>
        <v>1839.54</v>
      </c>
      <c r="U190" s="76">
        <f>Valores!$C$23</f>
        <v>2739.25</v>
      </c>
      <c r="V190" s="76">
        <f t="shared" si="33"/>
        <v>2739.25</v>
      </c>
      <c r="W190" s="76">
        <v>0</v>
      </c>
      <c r="X190" s="76">
        <v>0</v>
      </c>
      <c r="Y190" s="80">
        <v>0</v>
      </c>
      <c r="Z190" s="76">
        <f>Y190*Valores!$C$2</f>
        <v>0</v>
      </c>
      <c r="AA190" s="76">
        <v>0</v>
      </c>
      <c r="AB190" s="81">
        <f>Valores!$C$29</f>
        <v>160.21</v>
      </c>
      <c r="AC190" s="76">
        <f t="shared" si="29"/>
        <v>0</v>
      </c>
      <c r="AD190" s="76">
        <f>Valores!$C$30</f>
        <v>160.21</v>
      </c>
      <c r="AE190" s="80">
        <v>0</v>
      </c>
      <c r="AF190" s="76">
        <f>INT(((AE190*Valores!$C$2)*100)+0.5)/100</f>
        <v>0</v>
      </c>
      <c r="AG190" s="76">
        <f>Valores!$C$58</f>
        <v>325.89</v>
      </c>
      <c r="AH190" s="76">
        <f>Valores!$C$60</f>
        <v>93.11</v>
      </c>
      <c r="AI190" s="115">
        <f t="shared" si="30"/>
        <v>35046.642</v>
      </c>
      <c r="AJ190" s="102">
        <f>Valores!$C$35</f>
        <v>599.19</v>
      </c>
      <c r="AK190" s="79">
        <f>Valores!$C$9</f>
        <v>0</v>
      </c>
      <c r="AL190" s="79">
        <f>Valores!$C$83</f>
        <v>2600</v>
      </c>
      <c r="AM190" s="81">
        <f>Valores!$C$50</f>
        <v>265.48</v>
      </c>
      <c r="AN190" s="83">
        <f t="shared" si="31"/>
        <v>3199.19</v>
      </c>
      <c r="AO190" s="62">
        <f>AI190*-Valores!$C$65</f>
        <v>-4556.06346</v>
      </c>
      <c r="AP190" s="62">
        <f>AI190*-Valores!$C$66</f>
        <v>-175.23321</v>
      </c>
      <c r="AQ190" s="78">
        <f>AI190*-Valores!$C$67</f>
        <v>-1577.09889</v>
      </c>
      <c r="AR190" s="78">
        <f>AI190*-Valores!$C$68</f>
        <v>-946.259334</v>
      </c>
      <c r="AS190" s="78">
        <f>AI190*-Valores!$C$69</f>
        <v>-105.139926</v>
      </c>
      <c r="AT190" s="82">
        <f t="shared" si="27"/>
        <v>31937.43644</v>
      </c>
      <c r="AU190" s="82">
        <f t="shared" si="28"/>
        <v>32463.13607</v>
      </c>
      <c r="AV190" s="78">
        <f>AI190*Valores!$C$71</f>
        <v>5607.46272</v>
      </c>
      <c r="AW190" s="78">
        <f>AI190*Valores!$C$72</f>
        <v>1577.09889</v>
      </c>
      <c r="AX190" s="78">
        <f>AI190*Valores!$C$73</f>
        <v>350.46642</v>
      </c>
      <c r="AY190" s="78">
        <f>AI190*Valores!$C$75</f>
        <v>1226.63247</v>
      </c>
      <c r="AZ190" s="78">
        <f>AI190*Valores!$C$76</f>
        <v>210.279852</v>
      </c>
      <c r="BA190" s="78">
        <f t="shared" si="32"/>
        <v>1892.5186680000002</v>
      </c>
      <c r="BB190" s="52"/>
      <c r="BC190" s="52">
        <v>36</v>
      </c>
      <c r="BD190" s="28" t="s">
        <v>4</v>
      </c>
    </row>
    <row r="191" spans="1:56" s="28" customFormat="1" ht="11.25" customHeight="1">
      <c r="A191" s="86">
        <v>190</v>
      </c>
      <c r="B191" s="86" t="s">
        <v>163</v>
      </c>
      <c r="C191" s="87" t="s">
        <v>517</v>
      </c>
      <c r="D191" s="87"/>
      <c r="E191" s="87">
        <f t="shared" si="24"/>
        <v>38</v>
      </c>
      <c r="F191" s="88" t="s">
        <v>518</v>
      </c>
      <c r="G191" s="89">
        <v>1065</v>
      </c>
      <c r="H191" s="90">
        <f>INT((G191*Valores!$C$2*100)+0.5)/100</f>
        <v>7063.51</v>
      </c>
      <c r="I191" s="104">
        <v>0</v>
      </c>
      <c r="J191" s="92">
        <f>INT((I191*Valores!$C$2*100)+0.5)/100</f>
        <v>0</v>
      </c>
      <c r="K191" s="105">
        <v>0</v>
      </c>
      <c r="L191" s="92">
        <f>INT((K191*Valores!$C$2*100)+0.5)/100</f>
        <v>0</v>
      </c>
      <c r="M191" s="106">
        <v>600</v>
      </c>
      <c r="N191" s="92">
        <f>INT((M191*Valores!$C$2*100)+0.5)/100</f>
        <v>3979.44</v>
      </c>
      <c r="O191" s="92">
        <f t="shared" si="25"/>
        <v>2343.261</v>
      </c>
      <c r="P191" s="92">
        <f t="shared" si="26"/>
        <v>0</v>
      </c>
      <c r="Q191" s="108">
        <f>Valores!$C$20</f>
        <v>4080.56</v>
      </c>
      <c r="R191" s="108">
        <f>Valores!$D$4</f>
        <v>2966.67</v>
      </c>
      <c r="S191" s="92">
        <v>0</v>
      </c>
      <c r="T191" s="95">
        <f>Valores!$C$43</f>
        <v>1839.54</v>
      </c>
      <c r="U191" s="92">
        <f>Valores!$C$23</f>
        <v>2739.25</v>
      </c>
      <c r="V191" s="92">
        <f t="shared" si="33"/>
        <v>2739.25</v>
      </c>
      <c r="W191" s="92">
        <v>0</v>
      </c>
      <c r="X191" s="92">
        <v>0</v>
      </c>
      <c r="Y191" s="96">
        <v>0</v>
      </c>
      <c r="Z191" s="92">
        <f>Y191*Valores!$C$2</f>
        <v>0</v>
      </c>
      <c r="AA191" s="92">
        <v>0</v>
      </c>
      <c r="AB191" s="97">
        <f>Valores!$C$29</f>
        <v>160.21</v>
      </c>
      <c r="AC191" s="92">
        <f t="shared" si="29"/>
        <v>0</v>
      </c>
      <c r="AD191" s="92">
        <f>Valores!$C$30</f>
        <v>160.21</v>
      </c>
      <c r="AE191" s="96">
        <v>0</v>
      </c>
      <c r="AF191" s="92">
        <f>INT(((AE191*Valores!$C$2)*100)+0.5)/100</f>
        <v>0</v>
      </c>
      <c r="AG191" s="92">
        <f>Valores!$C$58</f>
        <v>325.89</v>
      </c>
      <c r="AH191" s="92">
        <f>Valores!$C$60</f>
        <v>93.11</v>
      </c>
      <c r="AI191" s="116">
        <f t="shared" si="30"/>
        <v>25751.650999999998</v>
      </c>
      <c r="AJ191" s="108">
        <f>Valores!$C$35</f>
        <v>599.19</v>
      </c>
      <c r="AK191" s="95">
        <f>Valores!$C$9</f>
        <v>0</v>
      </c>
      <c r="AL191" s="95">
        <f>Valores!$C$83</f>
        <v>2600</v>
      </c>
      <c r="AM191" s="97">
        <f>Valores!$C$50</f>
        <v>265.48</v>
      </c>
      <c r="AN191" s="99">
        <f t="shared" si="31"/>
        <v>3199.19</v>
      </c>
      <c r="AO191" s="117">
        <f>AI191*-Valores!$C$65</f>
        <v>-3347.71463</v>
      </c>
      <c r="AP191" s="117">
        <f>AI191*-Valores!$C$66</f>
        <v>-128.758255</v>
      </c>
      <c r="AQ191" s="94">
        <f>AI191*-Valores!$C$67</f>
        <v>-1158.824295</v>
      </c>
      <c r="AR191" s="94">
        <f>AI191*-Valores!$C$68</f>
        <v>-695.2945769999999</v>
      </c>
      <c r="AS191" s="94">
        <f>AI191*-Valores!$C$69</f>
        <v>-77.254953</v>
      </c>
      <c r="AT191" s="98">
        <f t="shared" si="27"/>
        <v>24315.54382</v>
      </c>
      <c r="AU191" s="98">
        <f t="shared" si="28"/>
        <v>24701.818584999997</v>
      </c>
      <c r="AV191" s="94">
        <f>AI191*Valores!$C$71</f>
        <v>4120.26416</v>
      </c>
      <c r="AW191" s="94">
        <f>AI191*Valores!$C$72</f>
        <v>1158.824295</v>
      </c>
      <c r="AX191" s="94">
        <f>AI191*Valores!$C$73</f>
        <v>257.51651</v>
      </c>
      <c r="AY191" s="94">
        <f>AI191*Valores!$C$75</f>
        <v>901.307785</v>
      </c>
      <c r="AZ191" s="94">
        <f>AI191*Valores!$C$76</f>
        <v>154.509906</v>
      </c>
      <c r="BA191" s="94">
        <f t="shared" si="32"/>
        <v>1390.589154</v>
      </c>
      <c r="BB191" s="86"/>
      <c r="BC191" s="86"/>
      <c r="BD191" s="87" t="s">
        <v>4</v>
      </c>
    </row>
    <row r="192" spans="1:56" s="28" customFormat="1" ht="11.25" customHeight="1">
      <c r="A192" s="52">
        <v>191</v>
      </c>
      <c r="B192" s="52"/>
      <c r="C192" s="28" t="s">
        <v>519</v>
      </c>
      <c r="E192" s="28">
        <f t="shared" si="24"/>
        <v>26</v>
      </c>
      <c r="F192" s="72" t="s">
        <v>520</v>
      </c>
      <c r="G192" s="73">
        <v>971</v>
      </c>
      <c r="H192" s="74">
        <f>INT((G192*Valores!$C$2*100)+0.5)/100</f>
        <v>6440.06</v>
      </c>
      <c r="I192" s="113">
        <v>0</v>
      </c>
      <c r="J192" s="76">
        <f>INT((I192*Valores!$C$2*100)+0.5)/100</f>
        <v>0</v>
      </c>
      <c r="K192" s="103">
        <v>0</v>
      </c>
      <c r="L192" s="76">
        <f>INT((K192*Valores!$C$2*100)+0.5)/100</f>
        <v>0</v>
      </c>
      <c r="M192" s="101">
        <v>660</v>
      </c>
      <c r="N192" s="76">
        <f>INT((M192*Valores!$C$2*100)+0.5)/100</f>
        <v>4377.38</v>
      </c>
      <c r="O192" s="76">
        <f t="shared" si="25"/>
        <v>2217.4590000000003</v>
      </c>
      <c r="P192" s="76">
        <f t="shared" si="26"/>
        <v>0</v>
      </c>
      <c r="Q192" s="102">
        <f>Valores!$C$20</f>
        <v>4080.56</v>
      </c>
      <c r="R192" s="102">
        <f>Valores!$D$4</f>
        <v>2966.67</v>
      </c>
      <c r="S192" s="102">
        <f>Valores!$C$27</f>
        <v>2851.94</v>
      </c>
      <c r="T192" s="107">
        <f>Valores!$C$42</f>
        <v>1226.37</v>
      </c>
      <c r="U192" s="76">
        <f>Valores!$C$23</f>
        <v>2739.25</v>
      </c>
      <c r="V192" s="76">
        <f t="shared" si="33"/>
        <v>2739.25</v>
      </c>
      <c r="W192" s="76">
        <v>0</v>
      </c>
      <c r="X192" s="76">
        <v>0</v>
      </c>
      <c r="Y192" s="80">
        <v>0</v>
      </c>
      <c r="Z192" s="76">
        <f>Y192*Valores!$C$2</f>
        <v>0</v>
      </c>
      <c r="AA192" s="76">
        <v>0</v>
      </c>
      <c r="AB192" s="81">
        <f>Valores!$C$29</f>
        <v>160.21</v>
      </c>
      <c r="AC192" s="76">
        <f t="shared" si="29"/>
        <v>0</v>
      </c>
      <c r="AD192" s="76">
        <f>Valores!$C$30</f>
        <v>160.21</v>
      </c>
      <c r="AE192" s="80">
        <v>0</v>
      </c>
      <c r="AF192" s="76">
        <f>INT(((AE192*Valores!$C$2)*100)+0.5)/100</f>
        <v>0</v>
      </c>
      <c r="AG192" s="76">
        <f>Valores!$C$58</f>
        <v>325.89</v>
      </c>
      <c r="AH192" s="76">
        <f>Valores!$C$60</f>
        <v>93.11</v>
      </c>
      <c r="AI192" s="115">
        <f t="shared" si="30"/>
        <v>27639.108999999997</v>
      </c>
      <c r="AJ192" s="102">
        <f>Valores!$C$35</f>
        <v>599.19</v>
      </c>
      <c r="AK192" s="79">
        <f>Valores!$C$8</f>
        <v>0</v>
      </c>
      <c r="AL192" s="79">
        <f>Valores!$C$81</f>
        <v>1300</v>
      </c>
      <c r="AM192" s="81">
        <v>0</v>
      </c>
      <c r="AN192" s="83">
        <f t="shared" si="31"/>
        <v>1899.19</v>
      </c>
      <c r="AO192" s="62">
        <f>AI192*-Valores!$C$65</f>
        <v>-3593.0841699999996</v>
      </c>
      <c r="AP192" s="62">
        <f>AI192*-Valores!$C$66</f>
        <v>-138.19554499999998</v>
      </c>
      <c r="AQ192" s="78">
        <f>AI192*-Valores!$C$67</f>
        <v>-1243.759905</v>
      </c>
      <c r="AR192" s="78">
        <f>AI192*-Valores!$C$68</f>
        <v>-746.2559429999999</v>
      </c>
      <c r="AS192" s="78">
        <f>AI192*-Valores!$C$69</f>
        <v>-82.91732699999999</v>
      </c>
      <c r="AT192" s="82">
        <f t="shared" si="27"/>
        <v>24563.25938</v>
      </c>
      <c r="AU192" s="82">
        <f t="shared" si="28"/>
        <v>24977.846015</v>
      </c>
      <c r="AV192" s="78">
        <f>AI192*Valores!$C$71</f>
        <v>4422.257439999999</v>
      </c>
      <c r="AW192" s="78">
        <f>AI192*Valores!$C$72</f>
        <v>1243.759905</v>
      </c>
      <c r="AX192" s="78">
        <f>AI192*Valores!$C$73</f>
        <v>276.39108999999996</v>
      </c>
      <c r="AY192" s="78">
        <f>AI192*Valores!$C$75</f>
        <v>967.3688149999999</v>
      </c>
      <c r="AZ192" s="78">
        <f>AI192*Valores!$C$76</f>
        <v>165.83465399999997</v>
      </c>
      <c r="BA192" s="78">
        <f t="shared" si="32"/>
        <v>1492.511886</v>
      </c>
      <c r="BB192" s="52"/>
      <c r="BC192" s="52">
        <v>18</v>
      </c>
      <c r="BD192" s="28" t="s">
        <v>4</v>
      </c>
    </row>
    <row r="193" spans="1:56" s="28" customFormat="1" ht="11.25" customHeight="1">
      <c r="A193" s="52">
        <v>192</v>
      </c>
      <c r="B193" s="52"/>
      <c r="C193" s="28" t="s">
        <v>521</v>
      </c>
      <c r="D193" s="28">
        <v>1</v>
      </c>
      <c r="E193" s="28">
        <f t="shared" si="24"/>
        <v>36</v>
      </c>
      <c r="F193" s="72" t="str">
        <f aca="true" t="shared" si="34" ref="F193:F228">CONCATENATE("Hora Cátedra Enseñanza Superior ",D193," hs")</f>
        <v>Hora Cátedra Enseñanza Superior 1 hs</v>
      </c>
      <c r="G193" s="73">
        <f aca="true" t="shared" si="35" ref="G193:G228">99*D193</f>
        <v>99</v>
      </c>
      <c r="H193" s="74">
        <f>INT((G193*Valores!$C$2*100)+0.5)/100</f>
        <v>656.61</v>
      </c>
      <c r="I193" s="113">
        <v>0</v>
      </c>
      <c r="J193" s="76">
        <f>INT((I193*Valores!$C$2*100)+0.5)/100</f>
        <v>0</v>
      </c>
      <c r="K193" s="103">
        <v>0</v>
      </c>
      <c r="L193" s="76">
        <f>INT((K193*Valores!$C$2*100)+0.5)/100</f>
        <v>0</v>
      </c>
      <c r="M193" s="101">
        <v>0</v>
      </c>
      <c r="N193" s="76">
        <f>INT((M193*Valores!$C$2*100)+0.5)/100</f>
        <v>0</v>
      </c>
      <c r="O193" s="76">
        <f t="shared" si="25"/>
        <v>114.633</v>
      </c>
      <c r="P193" s="76">
        <f t="shared" si="26"/>
        <v>0</v>
      </c>
      <c r="Q193" s="102">
        <f>Valores!$C$14*D193</f>
        <v>160.19</v>
      </c>
      <c r="R193" s="102">
        <f>IF(D193&lt;15,(Valores!$E$4*D193),Valores!$D$4)</f>
        <v>197.78</v>
      </c>
      <c r="S193" s="76">
        <v>0</v>
      </c>
      <c r="T193" s="79">
        <f>IF(Valores!$C$45*D193&gt;Valores!$C$43,Valores!$C$43,Valores!$C$45*D193)</f>
        <v>51.12</v>
      </c>
      <c r="U193" s="102">
        <f>Valores!$C$22*D193</f>
        <v>56.49</v>
      </c>
      <c r="V193" s="76">
        <f t="shared" si="33"/>
        <v>56.49</v>
      </c>
      <c r="W193" s="76">
        <v>0</v>
      </c>
      <c r="X193" s="76">
        <v>0</v>
      </c>
      <c r="Y193" s="119">
        <v>0</v>
      </c>
      <c r="Z193" s="76">
        <f>Y193*Valores!$C$2</f>
        <v>0</v>
      </c>
      <c r="AA193" s="76">
        <v>0</v>
      </c>
      <c r="AB193" s="81">
        <f>IF((Valores!$C$32)*D193&gt;Valores!$F$32,Valores!$F$32,(Valores!$C$32)*D193)</f>
        <v>6.42</v>
      </c>
      <c r="AC193" s="76">
        <f t="shared" si="29"/>
        <v>0</v>
      </c>
      <c r="AD193" s="76">
        <f>IF(Valores!$C$33*D193&gt;Valores!$F$33,Valores!$F$33,Valores!$C$33*D193)</f>
        <v>5.34</v>
      </c>
      <c r="AE193" s="80">
        <v>0</v>
      </c>
      <c r="AF193" s="76">
        <f>INT(((AE193*Valores!$C$2)*100)+0.5)/100</f>
        <v>0</v>
      </c>
      <c r="AG193" s="76">
        <f>IF(Valores!$D$58*'Escala Docente'!D193&gt;Valores!$F$58,Valores!$F$58,Valores!$D$58*'Escala Docente'!D193)</f>
        <v>21.73</v>
      </c>
      <c r="AH193" s="76">
        <f>IF(Valores!$D$60*D193&gt;Valores!$F$60,Valores!$F$60,Valores!$D$60*D193)</f>
        <v>6.21</v>
      </c>
      <c r="AI193" s="115">
        <f t="shared" si="30"/>
        <v>1276.523</v>
      </c>
      <c r="AJ193" s="102">
        <f>IF(Valores!$C$36*D193&gt;Valores!$F$36,Valores!$F$36,Valores!$C$36*D193)</f>
        <v>39.95</v>
      </c>
      <c r="AK193" s="79">
        <f>IF(Valores!$C$11*D193&gt;Valores!$F$11,Valores!$F$11,Valores!$C$11*D193)</f>
        <v>0</v>
      </c>
      <c r="AL193" s="79">
        <f>IF(Valores!$C$84*D193&gt;Valores!$C$83,Valores!$C$83,Valores!$C$84*D193)</f>
        <v>65</v>
      </c>
      <c r="AM193" s="81">
        <f>IF(Valores!$C$56*D193&gt;Valores!$F$56,Valores!$F$56,Valores!$C$56*D193)</f>
        <v>11.38</v>
      </c>
      <c r="AN193" s="83">
        <f t="shared" si="31"/>
        <v>104.95</v>
      </c>
      <c r="AO193" s="62">
        <f>AI193*-Valores!$C$65</f>
        <v>-165.94799</v>
      </c>
      <c r="AP193" s="62">
        <f>AI193*-Valores!$C$66</f>
        <v>-6.3826149999999995</v>
      </c>
      <c r="AQ193" s="78">
        <f>AI193*-Valores!$C$67</f>
        <v>-57.443535</v>
      </c>
      <c r="AR193" s="78">
        <f>AI193*-Valores!$C$68</f>
        <v>-34.466120999999994</v>
      </c>
      <c r="AS193" s="78">
        <f>AI193*-Valores!$C$69</f>
        <v>-3.829569</v>
      </c>
      <c r="AT193" s="82">
        <f t="shared" si="27"/>
        <v>1151.69886</v>
      </c>
      <c r="AU193" s="82">
        <f t="shared" si="28"/>
        <v>1170.846705</v>
      </c>
      <c r="AV193" s="78">
        <f>AI193*Valores!$C$71</f>
        <v>204.24367999999998</v>
      </c>
      <c r="AW193" s="78">
        <f>AI193*Valores!$C$72</f>
        <v>57.443535</v>
      </c>
      <c r="AX193" s="78">
        <f>AI193*Valores!$C$73</f>
        <v>12.765229999999999</v>
      </c>
      <c r="AY193" s="78">
        <f>AI193*Valores!$C$75</f>
        <v>44.678305</v>
      </c>
      <c r="AZ193" s="78">
        <f>AI193*Valores!$C$76</f>
        <v>7.659138</v>
      </c>
      <c r="BA193" s="78">
        <f t="shared" si="32"/>
        <v>68.932242</v>
      </c>
      <c r="BB193" s="52"/>
      <c r="BC193" s="52">
        <f aca="true" t="shared" si="36" ref="BC193:BC224">4*D193</f>
        <v>4</v>
      </c>
      <c r="BD193" s="28" t="s">
        <v>4</v>
      </c>
    </row>
    <row r="194" spans="1:56" s="28" customFormat="1" ht="11.25" customHeight="1">
      <c r="A194" s="52">
        <v>193</v>
      </c>
      <c r="B194" s="52"/>
      <c r="C194" s="28" t="s">
        <v>521</v>
      </c>
      <c r="D194" s="28">
        <v>2</v>
      </c>
      <c r="E194" s="28">
        <f t="shared" si="24"/>
        <v>36</v>
      </c>
      <c r="F194" s="72" t="str">
        <f t="shared" si="34"/>
        <v>Hora Cátedra Enseñanza Superior 2 hs</v>
      </c>
      <c r="G194" s="73">
        <f t="shared" si="35"/>
        <v>198</v>
      </c>
      <c r="H194" s="74">
        <f>INT((G194*Valores!$C$2*100)+0.5)/100</f>
        <v>1313.22</v>
      </c>
      <c r="I194" s="113">
        <v>0</v>
      </c>
      <c r="J194" s="76">
        <f>INT((I194*Valores!$C$2*100)+0.5)/100</f>
        <v>0</v>
      </c>
      <c r="K194" s="103">
        <v>0</v>
      </c>
      <c r="L194" s="76">
        <f>INT((K194*Valores!$C$2*100)+0.5)/100</f>
        <v>0</v>
      </c>
      <c r="M194" s="101">
        <v>0</v>
      </c>
      <c r="N194" s="76">
        <f>INT((M194*Valores!$C$2*100)+0.5)/100</f>
        <v>0</v>
      </c>
      <c r="O194" s="76">
        <f t="shared" si="25"/>
        <v>229.266</v>
      </c>
      <c r="P194" s="76">
        <f t="shared" si="26"/>
        <v>0</v>
      </c>
      <c r="Q194" s="102">
        <f>Valores!$C$14*D194</f>
        <v>320.38</v>
      </c>
      <c r="R194" s="102">
        <f>IF(D194&lt;15,(Valores!$E$4*D194),Valores!$D$4)</f>
        <v>395.56</v>
      </c>
      <c r="S194" s="76">
        <v>0</v>
      </c>
      <c r="T194" s="79">
        <f>IF(Valores!$C$45*D194&gt;Valores!$C$43,Valores!$C$43,Valores!$C$45*D194)</f>
        <v>102.24</v>
      </c>
      <c r="U194" s="102">
        <f>Valores!$C$22*D194</f>
        <v>112.98</v>
      </c>
      <c r="V194" s="76">
        <f t="shared" si="33"/>
        <v>112.98</v>
      </c>
      <c r="W194" s="76">
        <v>0</v>
      </c>
      <c r="X194" s="76">
        <v>0</v>
      </c>
      <c r="Y194" s="119">
        <v>0</v>
      </c>
      <c r="Z194" s="76">
        <f>Y194*Valores!$C$2</f>
        <v>0</v>
      </c>
      <c r="AA194" s="76">
        <v>0</v>
      </c>
      <c r="AB194" s="81">
        <f>IF((Valores!$C$32)*D194&gt;Valores!$F$32,Valores!$F$32,(Valores!$C$32)*D194)</f>
        <v>12.84</v>
      </c>
      <c r="AC194" s="76">
        <f t="shared" si="29"/>
        <v>0</v>
      </c>
      <c r="AD194" s="76">
        <f>IF(Valores!$C$33*D194&gt;Valores!$F$33,Valores!$F$33,Valores!$C$33*D194)</f>
        <v>10.68</v>
      </c>
      <c r="AE194" s="80">
        <v>0</v>
      </c>
      <c r="AF194" s="76">
        <f>INT(((AE194*Valores!$C$2)*100)+0.5)/100</f>
        <v>0</v>
      </c>
      <c r="AG194" s="76">
        <f>IF(Valores!$D$58*'Escala Docente'!D194&gt;Valores!$F$58,Valores!$F$58,Valores!$D$58*'Escala Docente'!D194)</f>
        <v>43.46</v>
      </c>
      <c r="AH194" s="76">
        <f>IF(Valores!$D$60*D194&gt;Valores!$F$60,Valores!$F$60,Valores!$D$60*D194)</f>
        <v>12.42</v>
      </c>
      <c r="AI194" s="115">
        <f t="shared" si="30"/>
        <v>2553.046</v>
      </c>
      <c r="AJ194" s="102">
        <f>IF(Valores!$C$36*D194&gt;Valores!$F$36,Valores!$F$36,Valores!$C$36*D194)</f>
        <v>79.9</v>
      </c>
      <c r="AK194" s="79">
        <f>IF(Valores!$C$11*D194&gt;Valores!$F$11,Valores!$F$11,Valores!$C$11*D194)</f>
        <v>0</v>
      </c>
      <c r="AL194" s="79">
        <f>IF(Valores!$C$84*D194&gt;Valores!$C$83,Valores!$C$83,Valores!$C$84*D194)</f>
        <v>130</v>
      </c>
      <c r="AM194" s="81">
        <f>IF(Valores!$C$56*D194&gt;Valores!$F$56,Valores!$F$56,Valores!$C$56*D194)</f>
        <v>22.76</v>
      </c>
      <c r="AN194" s="83">
        <f t="shared" si="31"/>
        <v>209.9</v>
      </c>
      <c r="AO194" s="62">
        <f>AI194*-Valores!$C$65</f>
        <v>-331.89598</v>
      </c>
      <c r="AP194" s="62">
        <f>AI194*-Valores!$C$66</f>
        <v>-12.765229999999999</v>
      </c>
      <c r="AQ194" s="78">
        <f>AI194*-Valores!$C$67</f>
        <v>-114.88707</v>
      </c>
      <c r="AR194" s="78">
        <f>AI194*-Valores!$C$68</f>
        <v>-68.93224199999999</v>
      </c>
      <c r="AS194" s="78">
        <f>AI194*-Valores!$C$69</f>
        <v>-7.659138</v>
      </c>
      <c r="AT194" s="82">
        <f t="shared" si="27"/>
        <v>2303.39772</v>
      </c>
      <c r="AU194" s="82">
        <f t="shared" si="28"/>
        <v>2341.69341</v>
      </c>
      <c r="AV194" s="78">
        <f>AI194*Valores!$C$71</f>
        <v>408.48735999999997</v>
      </c>
      <c r="AW194" s="78">
        <f>AI194*Valores!$C$72</f>
        <v>114.88707</v>
      </c>
      <c r="AX194" s="78">
        <f>AI194*Valores!$C$73</f>
        <v>25.530459999999998</v>
      </c>
      <c r="AY194" s="78">
        <f>AI194*Valores!$C$75</f>
        <v>89.35661</v>
      </c>
      <c r="AZ194" s="78">
        <f>AI194*Valores!$C$76</f>
        <v>15.318276</v>
      </c>
      <c r="BA194" s="78">
        <f t="shared" si="32"/>
        <v>137.864484</v>
      </c>
      <c r="BB194" s="52"/>
      <c r="BC194" s="86">
        <f t="shared" si="36"/>
        <v>8</v>
      </c>
      <c r="BD194" s="28" t="s">
        <v>4</v>
      </c>
    </row>
    <row r="195" spans="1:56" s="28" customFormat="1" ht="11.25" customHeight="1">
      <c r="A195" s="52">
        <v>194</v>
      </c>
      <c r="B195" s="52"/>
      <c r="C195" s="28" t="s">
        <v>521</v>
      </c>
      <c r="D195" s="28">
        <v>3</v>
      </c>
      <c r="E195" s="28">
        <f t="shared" si="24"/>
        <v>36</v>
      </c>
      <c r="F195" s="72" t="str">
        <f t="shared" si="34"/>
        <v>Hora Cátedra Enseñanza Superior 3 hs</v>
      </c>
      <c r="G195" s="73">
        <f t="shared" si="35"/>
        <v>297</v>
      </c>
      <c r="H195" s="74">
        <f>INT((G195*Valores!$C$2*100)+0.5)/100</f>
        <v>1969.82</v>
      </c>
      <c r="I195" s="113">
        <v>0</v>
      </c>
      <c r="J195" s="76">
        <f>INT((I195*Valores!$C$2*100)+0.5)/100</f>
        <v>0</v>
      </c>
      <c r="K195" s="103">
        <v>0</v>
      </c>
      <c r="L195" s="76">
        <f>INT((K195*Valores!$C$2*100)+0.5)/100</f>
        <v>0</v>
      </c>
      <c r="M195" s="101">
        <v>0</v>
      </c>
      <c r="N195" s="76">
        <f>INT((M195*Valores!$C$2*100)+0.5)/100</f>
        <v>0</v>
      </c>
      <c r="O195" s="76">
        <f t="shared" si="25"/>
        <v>343.8975</v>
      </c>
      <c r="P195" s="76">
        <f t="shared" si="26"/>
        <v>0</v>
      </c>
      <c r="Q195" s="102">
        <f>Valores!$C$14*D195</f>
        <v>480.57</v>
      </c>
      <c r="R195" s="102">
        <f>IF(D195&lt;15,(Valores!$E$4*D195),Valores!$D$4)</f>
        <v>593.34</v>
      </c>
      <c r="S195" s="76">
        <v>0</v>
      </c>
      <c r="T195" s="79">
        <f>IF(Valores!$C$45*D195&gt;Valores!$C$43,Valores!$C$43,Valores!$C$45*D195)</f>
        <v>153.35999999999999</v>
      </c>
      <c r="U195" s="102">
        <f>Valores!$C$22*D195</f>
        <v>169.47</v>
      </c>
      <c r="V195" s="76">
        <f t="shared" si="33"/>
        <v>169.47</v>
      </c>
      <c r="W195" s="76">
        <v>0</v>
      </c>
      <c r="X195" s="76">
        <v>0</v>
      </c>
      <c r="Y195" s="119">
        <v>0</v>
      </c>
      <c r="Z195" s="76">
        <f>Y195*Valores!$C$2</f>
        <v>0</v>
      </c>
      <c r="AA195" s="76">
        <v>0</v>
      </c>
      <c r="AB195" s="81">
        <f>IF((Valores!$C$32)*D195&gt;Valores!$F$32,Valores!$F$32,(Valores!$C$32)*D195)</f>
        <v>19.259999999999998</v>
      </c>
      <c r="AC195" s="76">
        <f t="shared" si="29"/>
        <v>0</v>
      </c>
      <c r="AD195" s="76">
        <f>IF(Valores!$C$33*D195&gt;Valores!$F$33,Valores!$F$33,Valores!$C$33*D195)</f>
        <v>16.02</v>
      </c>
      <c r="AE195" s="80">
        <v>0</v>
      </c>
      <c r="AF195" s="76">
        <f>INT(((AE195*Valores!$C$2)*100)+0.5)/100</f>
        <v>0</v>
      </c>
      <c r="AG195" s="76">
        <f>IF(Valores!$D$58*'Escala Docente'!D195&gt;Valores!$F$58,Valores!$F$58,Valores!$D$58*'Escala Docente'!D195)</f>
        <v>65.19</v>
      </c>
      <c r="AH195" s="76">
        <f>IF(Valores!$D$60*D195&gt;Valores!$F$60,Valores!$F$60,Valores!$D$60*D195)</f>
        <v>18.63</v>
      </c>
      <c r="AI195" s="115">
        <f t="shared" si="30"/>
        <v>3829.5575000000003</v>
      </c>
      <c r="AJ195" s="102">
        <f>IF(Valores!$C$36*D195&gt;Valores!$F$36,Valores!$F$36,Valores!$C$36*D195)</f>
        <v>119.85000000000001</v>
      </c>
      <c r="AK195" s="79">
        <f>IF(Valores!$C$11*D195&gt;Valores!$F$11,Valores!$F$11,Valores!$C$11*D195)</f>
        <v>0</v>
      </c>
      <c r="AL195" s="79">
        <f>IF(Valores!$C$84*D195&gt;Valores!$C$83,Valores!$C$83,Valores!$C$84*D195)</f>
        <v>195</v>
      </c>
      <c r="AM195" s="81">
        <f>IF(Valores!$C$56*D195&gt;Valores!$F$56,Valores!$F$56,Valores!$C$56*D195)</f>
        <v>34.14</v>
      </c>
      <c r="AN195" s="83">
        <f t="shared" si="31"/>
        <v>314.85</v>
      </c>
      <c r="AO195" s="62">
        <f>AI195*-Valores!$C$65</f>
        <v>-497.84247500000004</v>
      </c>
      <c r="AP195" s="62">
        <f>AI195*-Valores!$C$66</f>
        <v>-19.147787500000003</v>
      </c>
      <c r="AQ195" s="78">
        <f>AI195*-Valores!$C$67</f>
        <v>-172.33008750000002</v>
      </c>
      <c r="AR195" s="78">
        <f>AI195*-Valores!$C$68</f>
        <v>-103.3980525</v>
      </c>
      <c r="AS195" s="78">
        <f>AI195*-Valores!$C$69</f>
        <v>-11.488672500000002</v>
      </c>
      <c r="AT195" s="82">
        <f t="shared" si="27"/>
        <v>3455.0871500000003</v>
      </c>
      <c r="AU195" s="82">
        <f t="shared" si="28"/>
        <v>3512.5305125</v>
      </c>
      <c r="AV195" s="78">
        <f>AI195*Valores!$C$71</f>
        <v>612.7292000000001</v>
      </c>
      <c r="AW195" s="78">
        <f>AI195*Valores!$C$72</f>
        <v>172.33008750000002</v>
      </c>
      <c r="AX195" s="78">
        <f>AI195*Valores!$C$73</f>
        <v>38.29557500000001</v>
      </c>
      <c r="AY195" s="78">
        <f>AI195*Valores!$C$75</f>
        <v>134.03451250000003</v>
      </c>
      <c r="AZ195" s="78">
        <f>AI195*Valores!$C$76</f>
        <v>22.977345000000003</v>
      </c>
      <c r="BA195" s="78">
        <f t="shared" si="32"/>
        <v>206.796105</v>
      </c>
      <c r="BB195" s="52"/>
      <c r="BC195" s="52">
        <f t="shared" si="36"/>
        <v>12</v>
      </c>
      <c r="BD195" s="28" t="s">
        <v>4</v>
      </c>
    </row>
    <row r="196" spans="1:56" s="28" customFormat="1" ht="11.25" customHeight="1">
      <c r="A196" s="86">
        <v>195</v>
      </c>
      <c r="B196" s="86" t="s">
        <v>163</v>
      </c>
      <c r="C196" s="87" t="s">
        <v>521</v>
      </c>
      <c r="D196" s="87">
        <v>4</v>
      </c>
      <c r="E196" s="87">
        <f t="shared" si="24"/>
        <v>36</v>
      </c>
      <c r="F196" s="88" t="str">
        <f t="shared" si="34"/>
        <v>Hora Cátedra Enseñanza Superior 4 hs</v>
      </c>
      <c r="G196" s="89">
        <f t="shared" si="35"/>
        <v>396</v>
      </c>
      <c r="H196" s="90">
        <f>INT((G196*Valores!$C$2*100)+0.5)/100</f>
        <v>2626.43</v>
      </c>
      <c r="I196" s="104">
        <v>0</v>
      </c>
      <c r="J196" s="92">
        <f>INT((I196*Valores!$C$2*100)+0.5)/100</f>
        <v>0</v>
      </c>
      <c r="K196" s="105">
        <v>0</v>
      </c>
      <c r="L196" s="92">
        <f>INT((K196*Valores!$C$2*100)+0.5)/100</f>
        <v>0</v>
      </c>
      <c r="M196" s="106">
        <v>0</v>
      </c>
      <c r="N196" s="92">
        <f>INT((M196*Valores!$C$2*100)+0.5)/100</f>
        <v>0</v>
      </c>
      <c r="O196" s="92">
        <f t="shared" si="25"/>
        <v>458.53049999999996</v>
      </c>
      <c r="P196" s="92">
        <f t="shared" si="26"/>
        <v>0</v>
      </c>
      <c r="Q196" s="108">
        <f>Valores!$C$14*D196</f>
        <v>640.76</v>
      </c>
      <c r="R196" s="108">
        <f>IF(D196&lt;15,(Valores!$E$4*D196),Valores!$D$4)</f>
        <v>791.12</v>
      </c>
      <c r="S196" s="92">
        <v>0</v>
      </c>
      <c r="T196" s="95">
        <f>IF(Valores!$C$45*D196&gt;Valores!$C$43,Valores!$C$43,Valores!$C$45*D196)</f>
        <v>204.48</v>
      </c>
      <c r="U196" s="108">
        <f>Valores!$C$22*D196</f>
        <v>225.96</v>
      </c>
      <c r="V196" s="92">
        <f t="shared" si="33"/>
        <v>225.96</v>
      </c>
      <c r="W196" s="92">
        <v>0</v>
      </c>
      <c r="X196" s="92">
        <v>0</v>
      </c>
      <c r="Y196" s="120">
        <v>0</v>
      </c>
      <c r="Z196" s="92">
        <f>Y196*Valores!$C$2</f>
        <v>0</v>
      </c>
      <c r="AA196" s="92">
        <v>0</v>
      </c>
      <c r="AB196" s="97">
        <f>IF((Valores!$C$32)*D196&gt;Valores!$F$32,Valores!$F$32,(Valores!$C$32)*D196)</f>
        <v>25.68</v>
      </c>
      <c r="AC196" s="92">
        <f t="shared" si="29"/>
        <v>0</v>
      </c>
      <c r="AD196" s="92">
        <f>IF(Valores!$C$33*D196&gt;Valores!$F$33,Valores!$F$33,Valores!$C$33*D196)</f>
        <v>21.36</v>
      </c>
      <c r="AE196" s="96">
        <v>0</v>
      </c>
      <c r="AF196" s="92">
        <f>INT(((AE196*Valores!$C$2)*100)+0.5)/100</f>
        <v>0</v>
      </c>
      <c r="AG196" s="92">
        <f>IF(Valores!$D$58*'Escala Docente'!D196&gt;Valores!$F$58,Valores!$F$58,Valores!$D$58*'Escala Docente'!D196)</f>
        <v>86.92</v>
      </c>
      <c r="AH196" s="92">
        <f>IF(Valores!$D$60*D196&gt;Valores!$F$60,Valores!$F$60,Valores!$D$60*D196)</f>
        <v>24.84</v>
      </c>
      <c r="AI196" s="116">
        <f t="shared" si="30"/>
        <v>5106.080499999999</v>
      </c>
      <c r="AJ196" s="108">
        <f>IF(Valores!$C$36*D196&gt;Valores!$F$36,Valores!$F$36,Valores!$C$36*D196)</f>
        <v>159.8</v>
      </c>
      <c r="AK196" s="95">
        <f>IF(Valores!$C$11*D196&gt;Valores!$F$11,Valores!$F$11,Valores!$C$11*D196)</f>
        <v>0</v>
      </c>
      <c r="AL196" s="79">
        <f>IF(Valores!$C$84*D196&gt;Valores!$C$83,Valores!$C$83,Valores!$C$84*D196)</f>
        <v>260</v>
      </c>
      <c r="AM196" s="97">
        <f>IF(Valores!$C$56*D196&gt;Valores!$F$56,Valores!$F$56,Valores!$C$56*D196)</f>
        <v>45.52</v>
      </c>
      <c r="AN196" s="99">
        <f t="shared" si="31"/>
        <v>419.8</v>
      </c>
      <c r="AO196" s="117">
        <f>AI196*-Valores!$C$65</f>
        <v>-663.7904649999999</v>
      </c>
      <c r="AP196" s="117">
        <f>AI196*-Valores!$C$66</f>
        <v>-25.530402499999997</v>
      </c>
      <c r="AQ196" s="94">
        <f>AI196*-Valores!$C$67</f>
        <v>-229.77362249999996</v>
      </c>
      <c r="AR196" s="94">
        <f>AI196*-Valores!$C$68</f>
        <v>-137.86417349999996</v>
      </c>
      <c r="AS196" s="94">
        <f>AI196*-Valores!$C$69</f>
        <v>-15.318241499999997</v>
      </c>
      <c r="AT196" s="98">
        <f t="shared" si="27"/>
        <v>4606.78601</v>
      </c>
      <c r="AU196" s="98">
        <f t="shared" si="28"/>
        <v>4683.3772174999995</v>
      </c>
      <c r="AV196" s="94">
        <f>AI196*Valores!$C$71</f>
        <v>816.9728799999999</v>
      </c>
      <c r="AW196" s="94">
        <f>AI196*Valores!$C$72</f>
        <v>229.77362249999996</v>
      </c>
      <c r="AX196" s="94">
        <f>AI196*Valores!$C$73</f>
        <v>51.060804999999995</v>
      </c>
      <c r="AY196" s="94">
        <f>AI196*Valores!$C$75</f>
        <v>178.7128175</v>
      </c>
      <c r="AZ196" s="94">
        <f>AI196*Valores!$C$76</f>
        <v>30.636482999999995</v>
      </c>
      <c r="BA196" s="94">
        <f t="shared" si="32"/>
        <v>275.728347</v>
      </c>
      <c r="BB196" s="86"/>
      <c r="BC196" s="86">
        <f t="shared" si="36"/>
        <v>16</v>
      </c>
      <c r="BD196" s="87" t="s">
        <v>4</v>
      </c>
    </row>
    <row r="197" spans="1:56" s="28" customFormat="1" ht="11.25" customHeight="1">
      <c r="A197" s="52">
        <v>196</v>
      </c>
      <c r="B197" s="52"/>
      <c r="C197" s="28" t="s">
        <v>521</v>
      </c>
      <c r="D197" s="28">
        <v>5</v>
      </c>
      <c r="E197" s="28">
        <f t="shared" si="24"/>
        <v>36</v>
      </c>
      <c r="F197" s="72" t="str">
        <f t="shared" si="34"/>
        <v>Hora Cátedra Enseñanza Superior 5 hs</v>
      </c>
      <c r="G197" s="73">
        <f t="shared" si="35"/>
        <v>495</v>
      </c>
      <c r="H197" s="74">
        <f>INT((G197*Valores!$C$2*100)+0.5)/100</f>
        <v>3283.04</v>
      </c>
      <c r="I197" s="113">
        <v>0</v>
      </c>
      <c r="J197" s="76">
        <f>INT((I197*Valores!$C$2*100)+0.5)/100</f>
        <v>0</v>
      </c>
      <c r="K197" s="103">
        <v>0</v>
      </c>
      <c r="L197" s="76">
        <f>INT((K197*Valores!$C$2*100)+0.5)/100</f>
        <v>0</v>
      </c>
      <c r="M197" s="101">
        <v>0</v>
      </c>
      <c r="N197" s="76">
        <f>INT((M197*Valores!$C$2*100)+0.5)/100</f>
        <v>0</v>
      </c>
      <c r="O197" s="76">
        <f t="shared" si="25"/>
        <v>573.1634999999999</v>
      </c>
      <c r="P197" s="76">
        <f t="shared" si="26"/>
        <v>0</v>
      </c>
      <c r="Q197" s="102">
        <f>Valores!$C$14*D197</f>
        <v>800.95</v>
      </c>
      <c r="R197" s="102">
        <f>IF(D197&lt;15,(Valores!$E$4*D197),Valores!$D$4)</f>
        <v>988.9</v>
      </c>
      <c r="S197" s="76">
        <v>0</v>
      </c>
      <c r="T197" s="79">
        <f>IF(Valores!$C$45*D197&gt;Valores!$C$43,Valores!$C$43,Valores!$C$45*D197)</f>
        <v>255.6</v>
      </c>
      <c r="U197" s="102">
        <f>Valores!$C$22*D197</f>
        <v>282.45</v>
      </c>
      <c r="V197" s="76">
        <f t="shared" si="33"/>
        <v>282.45</v>
      </c>
      <c r="W197" s="76">
        <v>0</v>
      </c>
      <c r="X197" s="76">
        <v>0</v>
      </c>
      <c r="Y197" s="119">
        <v>0</v>
      </c>
      <c r="Z197" s="76">
        <f>Y197*Valores!$C$2</f>
        <v>0</v>
      </c>
      <c r="AA197" s="76">
        <v>0</v>
      </c>
      <c r="AB197" s="81">
        <f>IF((Valores!$C$32)*D197&gt;Valores!$F$32,Valores!$F$32,(Valores!$C$32)*D197)</f>
        <v>32.1</v>
      </c>
      <c r="AC197" s="76">
        <f t="shared" si="29"/>
        <v>0</v>
      </c>
      <c r="AD197" s="76">
        <f>IF(Valores!$C$33*D197&gt;Valores!$F$33,Valores!$F$33,Valores!$C$33*D197)</f>
        <v>26.7</v>
      </c>
      <c r="AE197" s="80">
        <v>0</v>
      </c>
      <c r="AF197" s="76">
        <f>INT(((AE197*Valores!$C$2)*100)+0.5)/100</f>
        <v>0</v>
      </c>
      <c r="AG197" s="76">
        <f>IF(Valores!$D$58*'Escala Docente'!D197&gt;Valores!$F$58,Valores!$F$58,Valores!$D$58*'Escala Docente'!D197)</f>
        <v>108.65</v>
      </c>
      <c r="AH197" s="76">
        <f>IF(Valores!$D$60*D197&gt;Valores!$F$60,Valores!$F$60,Valores!$D$60*D197)</f>
        <v>31.05</v>
      </c>
      <c r="AI197" s="115">
        <f t="shared" si="30"/>
        <v>6382.603499999999</v>
      </c>
      <c r="AJ197" s="102">
        <f>IF(Valores!$C$36*D197&gt;Valores!$F$36,Valores!$F$36,Valores!$C$36*D197)</f>
        <v>199.75</v>
      </c>
      <c r="AK197" s="79">
        <f>IF(Valores!$C$11*D197&gt;Valores!$F$11,Valores!$F$11,Valores!$C$11*D197)</f>
        <v>0</v>
      </c>
      <c r="AL197" s="79">
        <f>IF(Valores!$C$84*D197&gt;Valores!$C$83,Valores!$C$83,Valores!$C$84*D197)</f>
        <v>325</v>
      </c>
      <c r="AM197" s="81">
        <f>IF(Valores!$C$56*D197&gt;Valores!$F$56,Valores!$F$56,Valores!$C$56*D197)</f>
        <v>56.900000000000006</v>
      </c>
      <c r="AN197" s="83">
        <f t="shared" si="31"/>
        <v>524.75</v>
      </c>
      <c r="AO197" s="62">
        <f>AI197*-Valores!$C$65</f>
        <v>-829.7384549999999</v>
      </c>
      <c r="AP197" s="62">
        <f>AI197*-Valores!$C$66</f>
        <v>-31.9130175</v>
      </c>
      <c r="AQ197" s="78">
        <f>AI197*-Valores!$C$67</f>
        <v>-287.2171574999999</v>
      </c>
      <c r="AR197" s="78">
        <f>AI197*-Valores!$C$68</f>
        <v>-172.33029449999998</v>
      </c>
      <c r="AS197" s="78">
        <f>AI197*-Valores!$C$69</f>
        <v>-19.1478105</v>
      </c>
      <c r="AT197" s="82">
        <f t="shared" si="27"/>
        <v>5758.484869999999</v>
      </c>
      <c r="AU197" s="82">
        <f t="shared" si="28"/>
        <v>5854.2239225</v>
      </c>
      <c r="AV197" s="78">
        <f>AI197*Valores!$C$71</f>
        <v>1021.21656</v>
      </c>
      <c r="AW197" s="78">
        <f>AI197*Valores!$C$72</f>
        <v>287.2171574999999</v>
      </c>
      <c r="AX197" s="78">
        <f>AI197*Valores!$C$73</f>
        <v>63.826035</v>
      </c>
      <c r="AY197" s="78">
        <f>AI197*Valores!$C$75</f>
        <v>223.3911225</v>
      </c>
      <c r="AZ197" s="78">
        <f>AI197*Valores!$C$76</f>
        <v>38.295621</v>
      </c>
      <c r="BA197" s="78">
        <f t="shared" si="32"/>
        <v>344.66058899999996</v>
      </c>
      <c r="BB197" s="52"/>
      <c r="BC197" s="52">
        <f t="shared" si="36"/>
        <v>20</v>
      </c>
      <c r="BD197" s="28" t="s">
        <v>4</v>
      </c>
    </row>
    <row r="198" spans="1:56" s="28" customFormat="1" ht="11.25" customHeight="1">
      <c r="A198" s="52">
        <v>197</v>
      </c>
      <c r="B198" s="52"/>
      <c r="C198" s="28" t="s">
        <v>521</v>
      </c>
      <c r="D198" s="28">
        <v>6</v>
      </c>
      <c r="E198" s="28">
        <f t="shared" si="24"/>
        <v>36</v>
      </c>
      <c r="F198" s="72" t="str">
        <f t="shared" si="34"/>
        <v>Hora Cátedra Enseñanza Superior 6 hs</v>
      </c>
      <c r="G198" s="73">
        <f t="shared" si="35"/>
        <v>594</v>
      </c>
      <c r="H198" s="74">
        <f>INT((G198*Valores!$C$2*100)+0.5)/100</f>
        <v>3939.65</v>
      </c>
      <c r="I198" s="113">
        <v>0</v>
      </c>
      <c r="J198" s="76">
        <f>INT((I198*Valores!$C$2*100)+0.5)/100</f>
        <v>0</v>
      </c>
      <c r="K198" s="103">
        <v>0</v>
      </c>
      <c r="L198" s="76">
        <f>INT((K198*Valores!$C$2*100)+0.5)/100</f>
        <v>0</v>
      </c>
      <c r="M198" s="101">
        <v>0</v>
      </c>
      <c r="N198" s="76">
        <f>INT((M198*Valores!$C$2*100)+0.5)/100</f>
        <v>0</v>
      </c>
      <c r="O198" s="76">
        <f t="shared" si="25"/>
        <v>687.7965</v>
      </c>
      <c r="P198" s="76">
        <f t="shared" si="26"/>
        <v>0</v>
      </c>
      <c r="Q198" s="102">
        <f>Valores!$C$14*D198</f>
        <v>961.14</v>
      </c>
      <c r="R198" s="102">
        <f>IF(D198&lt;15,(Valores!$E$4*D198),Valores!$D$4)</f>
        <v>1186.68</v>
      </c>
      <c r="S198" s="76">
        <v>0</v>
      </c>
      <c r="T198" s="79">
        <f>IF(Valores!$C$45*D198&gt;Valores!$C$43,Valores!$C$43,Valores!$C$45*D198)</f>
        <v>306.71999999999997</v>
      </c>
      <c r="U198" s="102">
        <f>Valores!$C$22*D198</f>
        <v>338.94</v>
      </c>
      <c r="V198" s="76">
        <f t="shared" si="33"/>
        <v>338.94</v>
      </c>
      <c r="W198" s="76">
        <v>0</v>
      </c>
      <c r="X198" s="76">
        <v>0</v>
      </c>
      <c r="Y198" s="119">
        <v>0</v>
      </c>
      <c r="Z198" s="76">
        <f>Y198*Valores!$C$2</f>
        <v>0</v>
      </c>
      <c r="AA198" s="76">
        <v>0</v>
      </c>
      <c r="AB198" s="81">
        <f>IF((Valores!$C$32)*D198&gt;Valores!$F$32,Valores!$F$32,(Valores!$C$32)*D198)</f>
        <v>38.519999999999996</v>
      </c>
      <c r="AC198" s="76">
        <f t="shared" si="29"/>
        <v>0</v>
      </c>
      <c r="AD198" s="76">
        <f>IF(Valores!$C$33*D198&gt;Valores!$F$33,Valores!$F$33,Valores!$C$33*D198)</f>
        <v>32.04</v>
      </c>
      <c r="AE198" s="80">
        <v>0</v>
      </c>
      <c r="AF198" s="76">
        <f>INT(((AE198*Valores!$C$2)*100)+0.5)/100</f>
        <v>0</v>
      </c>
      <c r="AG198" s="76">
        <f>IF(Valores!$D$58*'Escala Docente'!D198&gt;Valores!$F$58,Valores!$F$58,Valores!$D$58*'Escala Docente'!D198)</f>
        <v>130.38</v>
      </c>
      <c r="AH198" s="76">
        <f>IF(Valores!$D$60*D198&gt;Valores!$F$60,Valores!$F$60,Valores!$D$60*D198)</f>
        <v>37.26</v>
      </c>
      <c r="AI198" s="115">
        <f t="shared" si="30"/>
        <v>7659.126500000001</v>
      </c>
      <c r="AJ198" s="102">
        <f>IF(Valores!$C$36*D198&gt;Valores!$F$36,Valores!$F$36,Valores!$C$36*D198)</f>
        <v>239.70000000000002</v>
      </c>
      <c r="AK198" s="79">
        <f>IF(Valores!$C$11*D198&gt;Valores!$F$11,Valores!$F$11,Valores!$C$11*D198)</f>
        <v>0</v>
      </c>
      <c r="AL198" s="79">
        <f>IF(Valores!$C$84*D198&gt;Valores!$C$83,Valores!$C$83,Valores!$C$84*D198)</f>
        <v>390</v>
      </c>
      <c r="AM198" s="81">
        <f>IF(Valores!$C$56*D198&gt;Valores!$F$56,Valores!$F$56,Valores!$C$56*D198)</f>
        <v>68.28</v>
      </c>
      <c r="AN198" s="83">
        <f t="shared" si="31"/>
        <v>629.7</v>
      </c>
      <c r="AO198" s="62">
        <f>AI198*-Valores!$C$65</f>
        <v>-995.6864450000002</v>
      </c>
      <c r="AP198" s="62">
        <f>AI198*-Valores!$C$66</f>
        <v>-38.2956325</v>
      </c>
      <c r="AQ198" s="78">
        <f>AI198*-Valores!$C$67</f>
        <v>-344.66069250000004</v>
      </c>
      <c r="AR198" s="78">
        <f>AI198*-Valores!$C$68</f>
        <v>-206.79641550000002</v>
      </c>
      <c r="AS198" s="78">
        <f>AI198*-Valores!$C$69</f>
        <v>-22.977379500000005</v>
      </c>
      <c r="AT198" s="82">
        <f t="shared" si="27"/>
        <v>6910.183730000002</v>
      </c>
      <c r="AU198" s="82">
        <f t="shared" si="28"/>
        <v>7025.070627500001</v>
      </c>
      <c r="AV198" s="78">
        <f>AI198*Valores!$C$71</f>
        <v>1225.46024</v>
      </c>
      <c r="AW198" s="78">
        <f>AI198*Valores!$C$72</f>
        <v>344.66069250000004</v>
      </c>
      <c r="AX198" s="78">
        <f>AI198*Valores!$C$73</f>
        <v>76.591265</v>
      </c>
      <c r="AY198" s="78">
        <f>AI198*Valores!$C$75</f>
        <v>268.0694275000001</v>
      </c>
      <c r="AZ198" s="78">
        <f>AI198*Valores!$C$76</f>
        <v>45.95475900000001</v>
      </c>
      <c r="BA198" s="78">
        <f t="shared" si="32"/>
        <v>413.5928310000001</v>
      </c>
      <c r="BB198" s="52"/>
      <c r="BC198" s="52">
        <f t="shared" si="36"/>
        <v>24</v>
      </c>
      <c r="BD198" s="28" t="s">
        <v>4</v>
      </c>
    </row>
    <row r="199" spans="1:56" s="28" customFormat="1" ht="11.25" customHeight="1">
      <c r="A199" s="52">
        <v>198</v>
      </c>
      <c r="B199" s="52"/>
      <c r="C199" s="28" t="s">
        <v>521</v>
      </c>
      <c r="D199" s="28">
        <v>7</v>
      </c>
      <c r="E199" s="28">
        <f aca="true" t="shared" si="37" ref="E199:E262">LEN(F199)</f>
        <v>36</v>
      </c>
      <c r="F199" s="72" t="str">
        <f t="shared" si="34"/>
        <v>Hora Cátedra Enseñanza Superior 7 hs</v>
      </c>
      <c r="G199" s="73">
        <f t="shared" si="35"/>
        <v>693</v>
      </c>
      <c r="H199" s="74">
        <f>INT((G199*Valores!$C$2*100)+0.5)/100</f>
        <v>4596.25</v>
      </c>
      <c r="I199" s="113">
        <v>0</v>
      </c>
      <c r="J199" s="76">
        <f>INT((I199*Valores!$C$2*100)+0.5)/100</f>
        <v>0</v>
      </c>
      <c r="K199" s="103">
        <v>0</v>
      </c>
      <c r="L199" s="76">
        <f>INT((K199*Valores!$C$2*100)+0.5)/100</f>
        <v>0</v>
      </c>
      <c r="M199" s="101">
        <v>0</v>
      </c>
      <c r="N199" s="76">
        <f>INT((M199*Valores!$C$2*100)+0.5)/100</f>
        <v>0</v>
      </c>
      <c r="O199" s="76">
        <f aca="true" t="shared" si="38" ref="O199:O262">IF($J$2=0,IF(C199&lt;&gt;"13-930",(SUM(H199,J199,L199,N199,Z199,U199,T199)*$O$2),0),0)</f>
        <v>802.428</v>
      </c>
      <c r="P199" s="76">
        <f aca="true" t="shared" si="39" ref="P199:P262">SUM(H199,J199,L199,N199,Z199,T199)*$J$2</f>
        <v>0</v>
      </c>
      <c r="Q199" s="102">
        <f>Valores!$C$14*D199</f>
        <v>1121.33</v>
      </c>
      <c r="R199" s="102">
        <f>IF(D199&lt;15,(Valores!$E$4*D199),Valores!$D$4)</f>
        <v>1384.46</v>
      </c>
      <c r="S199" s="76">
        <v>0</v>
      </c>
      <c r="T199" s="79">
        <f>IF(Valores!$C$45*D199&gt;Valores!$C$43,Valores!$C$43,Valores!$C$45*D199)</f>
        <v>357.84</v>
      </c>
      <c r="U199" s="102">
        <f>Valores!$C$22*D199</f>
        <v>395.43</v>
      </c>
      <c r="V199" s="76">
        <f t="shared" si="33"/>
        <v>395.43</v>
      </c>
      <c r="W199" s="76">
        <v>0</v>
      </c>
      <c r="X199" s="76">
        <v>0</v>
      </c>
      <c r="Y199" s="119">
        <v>0</v>
      </c>
      <c r="Z199" s="76">
        <f>Y199*Valores!$C$2</f>
        <v>0</v>
      </c>
      <c r="AA199" s="76">
        <v>0</v>
      </c>
      <c r="AB199" s="81">
        <f>IF((Valores!$C$32)*D199&gt;Valores!$F$32,Valores!$F$32,(Valores!$C$32)*D199)</f>
        <v>44.94</v>
      </c>
      <c r="AC199" s="76">
        <f t="shared" si="29"/>
        <v>0</v>
      </c>
      <c r="AD199" s="76">
        <f>IF(Valores!$C$33*D199&gt;Valores!$F$33,Valores!$F$33,Valores!$C$33*D199)</f>
        <v>37.379999999999995</v>
      </c>
      <c r="AE199" s="80">
        <v>0</v>
      </c>
      <c r="AF199" s="76">
        <f>INT(((AE199*Valores!$C$2)*100)+0.5)/100</f>
        <v>0</v>
      </c>
      <c r="AG199" s="76">
        <f>IF(Valores!$D$58*'Escala Docente'!D199&gt;Valores!$F$58,Valores!$F$58,Valores!$D$58*'Escala Docente'!D199)</f>
        <v>152.11</v>
      </c>
      <c r="AH199" s="76">
        <f>IF(Valores!$D$60*D199&gt;Valores!$F$60,Valores!$F$60,Valores!$D$60*D199)</f>
        <v>43.47</v>
      </c>
      <c r="AI199" s="115">
        <f t="shared" si="30"/>
        <v>8935.637999999999</v>
      </c>
      <c r="AJ199" s="102">
        <f>IF(Valores!$C$36*D199&gt;Valores!$F$36,Valores!$F$36,Valores!$C$36*D199)</f>
        <v>279.65000000000003</v>
      </c>
      <c r="AK199" s="79">
        <f>IF(Valores!$C$11*D199&gt;Valores!$F$11,Valores!$F$11,Valores!$C$11*D199)</f>
        <v>0</v>
      </c>
      <c r="AL199" s="79">
        <f>IF(Valores!$C$84*D199&gt;Valores!$C$83,Valores!$C$83,Valores!$C$84*D199)</f>
        <v>455</v>
      </c>
      <c r="AM199" s="81">
        <f>IF(Valores!$C$56*D199&gt;Valores!$F$56,Valores!$F$56,Valores!$C$56*D199)</f>
        <v>79.66000000000001</v>
      </c>
      <c r="AN199" s="83">
        <f t="shared" si="31"/>
        <v>734.6500000000001</v>
      </c>
      <c r="AO199" s="62">
        <f>AI199*-Valores!$C$65</f>
        <v>-1161.63294</v>
      </c>
      <c r="AP199" s="62">
        <f>AI199*-Valores!$C$66</f>
        <v>-44.678189999999994</v>
      </c>
      <c r="AQ199" s="78">
        <f>AI199*-Valores!$C$67</f>
        <v>-402.1037099999999</v>
      </c>
      <c r="AR199" s="78">
        <f>AI199*-Valores!$C$68</f>
        <v>-241.26222599999997</v>
      </c>
      <c r="AS199" s="78">
        <f>AI199*-Valores!$C$69</f>
        <v>-26.806914</v>
      </c>
      <c r="AT199" s="82">
        <f aca="true" t="shared" si="40" ref="AT199:AT262">AI199+AN199+AP199+AQ199+AO199</f>
        <v>8061.873159999999</v>
      </c>
      <c r="AU199" s="82">
        <f aca="true" t="shared" si="41" ref="AU199:AU262">AI199+AN199+AP199+AR199+AO199+AS199</f>
        <v>8195.907729999997</v>
      </c>
      <c r="AV199" s="78">
        <f>AI199*Valores!$C$71</f>
        <v>1429.7020799999998</v>
      </c>
      <c r="AW199" s="78">
        <f>AI199*Valores!$C$72</f>
        <v>402.1037099999999</v>
      </c>
      <c r="AX199" s="78">
        <f>AI199*Valores!$C$73</f>
        <v>89.35637999999999</v>
      </c>
      <c r="AY199" s="78">
        <f>AI199*Valores!$C$75</f>
        <v>312.74733</v>
      </c>
      <c r="AZ199" s="78">
        <f>AI199*Valores!$C$76</f>
        <v>53.613828</v>
      </c>
      <c r="BA199" s="78">
        <f t="shared" si="32"/>
        <v>482.52445199999994</v>
      </c>
      <c r="BB199" s="52"/>
      <c r="BC199" s="86">
        <f t="shared" si="36"/>
        <v>28</v>
      </c>
      <c r="BD199" s="28" t="s">
        <v>4</v>
      </c>
    </row>
    <row r="200" spans="1:56" s="28" customFormat="1" ht="11.25" customHeight="1">
      <c r="A200" s="52">
        <v>199</v>
      </c>
      <c r="B200" s="52"/>
      <c r="C200" s="28" t="s">
        <v>521</v>
      </c>
      <c r="D200" s="28">
        <v>8</v>
      </c>
      <c r="E200" s="28">
        <f t="shared" si="37"/>
        <v>36</v>
      </c>
      <c r="F200" s="72" t="str">
        <f t="shared" si="34"/>
        <v>Hora Cátedra Enseñanza Superior 8 hs</v>
      </c>
      <c r="G200" s="73">
        <f t="shared" si="35"/>
        <v>792</v>
      </c>
      <c r="H200" s="74">
        <f>INT((G200*Valores!$C$2*100)+0.5)/100</f>
        <v>5252.86</v>
      </c>
      <c r="I200" s="113">
        <v>0</v>
      </c>
      <c r="J200" s="76">
        <f>INT((I200*Valores!$C$2*100)+0.5)/100</f>
        <v>0</v>
      </c>
      <c r="K200" s="103">
        <v>0</v>
      </c>
      <c r="L200" s="76">
        <f>INT((K200*Valores!$C$2*100)+0.5)/100</f>
        <v>0</v>
      </c>
      <c r="M200" s="101">
        <v>0</v>
      </c>
      <c r="N200" s="76">
        <f>INT((M200*Valores!$C$2*100)+0.5)/100</f>
        <v>0</v>
      </c>
      <c r="O200" s="76">
        <f t="shared" si="38"/>
        <v>917.0609999999999</v>
      </c>
      <c r="P200" s="76">
        <f t="shared" si="39"/>
        <v>0</v>
      </c>
      <c r="Q200" s="102">
        <f>Valores!$C$14*D200</f>
        <v>1281.52</v>
      </c>
      <c r="R200" s="102">
        <f>IF(D200&lt;15,(Valores!$E$4*D200),Valores!$D$4)</f>
        <v>1582.24</v>
      </c>
      <c r="S200" s="76">
        <v>0</v>
      </c>
      <c r="T200" s="79">
        <f>IF(Valores!$C$45*D200&gt;Valores!$C$43,Valores!$C$43,Valores!$C$45*D200)</f>
        <v>408.96</v>
      </c>
      <c r="U200" s="102">
        <f>Valores!$C$22*D200</f>
        <v>451.92</v>
      </c>
      <c r="V200" s="76">
        <f t="shared" si="33"/>
        <v>451.92</v>
      </c>
      <c r="W200" s="76">
        <v>0</v>
      </c>
      <c r="X200" s="76">
        <v>0</v>
      </c>
      <c r="Y200" s="119">
        <v>0</v>
      </c>
      <c r="Z200" s="76">
        <f>Y200*Valores!$C$2</f>
        <v>0</v>
      </c>
      <c r="AA200" s="76">
        <v>0</v>
      </c>
      <c r="AB200" s="81">
        <f>IF((Valores!$C$32)*D200&gt;Valores!$F$32,Valores!$F$32,(Valores!$C$32)*D200)</f>
        <v>51.36</v>
      </c>
      <c r="AC200" s="76">
        <f aca="true" t="shared" si="42" ref="AC200:AC263">SUM(H200,J200,L200,Z200,T200)*$H$3/100</f>
        <v>0</v>
      </c>
      <c r="AD200" s="76">
        <f>IF(Valores!$C$33*D200&gt;Valores!$F$33,Valores!$F$33,Valores!$C$33*D200)</f>
        <v>42.72</v>
      </c>
      <c r="AE200" s="80">
        <v>0</v>
      </c>
      <c r="AF200" s="76">
        <f>INT(((AE200*Valores!$C$2)*100)+0.5)/100</f>
        <v>0</v>
      </c>
      <c r="AG200" s="76">
        <f>IF(Valores!$D$58*'Escala Docente'!D200&gt;Valores!$F$58,Valores!$F$58,Valores!$D$58*'Escala Docente'!D200)</f>
        <v>173.84</v>
      </c>
      <c r="AH200" s="76">
        <f>IF(Valores!$D$60*D200&gt;Valores!$F$60,Valores!$F$60,Valores!$D$60*D200)</f>
        <v>49.68</v>
      </c>
      <c r="AI200" s="115">
        <f aca="true" t="shared" si="43" ref="AI200:AI263">SUM(H200,J200,L200,N200,O200,P200,Q200,R200,S200,V200,W200,X200,Z200,AA200,AB200,AC200,AD200,AF200,T200,AG200,AH200)</f>
        <v>10212.160999999998</v>
      </c>
      <c r="AJ200" s="102">
        <f>IF(Valores!$C$36*D200&gt;Valores!$F$36,Valores!$F$36,Valores!$C$36*D200)</f>
        <v>319.6</v>
      </c>
      <c r="AK200" s="79">
        <f>IF(Valores!$C$11*D200&gt;Valores!$F$11,Valores!$F$11,Valores!$C$11*D200)</f>
        <v>0</v>
      </c>
      <c r="AL200" s="79">
        <f>IF(Valores!$C$84*D200&gt;Valores!$C$83,Valores!$C$83,Valores!$C$84*D200)</f>
        <v>520</v>
      </c>
      <c r="AM200" s="81">
        <f>IF(Valores!$C$56*D200&gt;Valores!$F$56,Valores!$F$56,Valores!$C$56*D200)</f>
        <v>91.04</v>
      </c>
      <c r="AN200" s="83">
        <f aca="true" t="shared" si="44" ref="AN200:AN263">IF($H$4="SI",SUM(AJ200:AL200,AM200),SUM(AJ200:AL200))</f>
        <v>839.6</v>
      </c>
      <c r="AO200" s="62">
        <f>AI200*-Valores!$C$65</f>
        <v>-1327.5809299999999</v>
      </c>
      <c r="AP200" s="62">
        <f>AI200*-Valores!$C$66</f>
        <v>-51.060804999999995</v>
      </c>
      <c r="AQ200" s="78">
        <f>AI200*-Valores!$C$67</f>
        <v>-459.5472449999999</v>
      </c>
      <c r="AR200" s="78">
        <f>AI200*-Valores!$C$68</f>
        <v>-275.7283469999999</v>
      </c>
      <c r="AS200" s="78">
        <f>AI200*-Valores!$C$69</f>
        <v>-30.636482999999995</v>
      </c>
      <c r="AT200" s="82">
        <f t="shared" si="40"/>
        <v>9213.57202</v>
      </c>
      <c r="AU200" s="82">
        <f t="shared" si="41"/>
        <v>9366.754434999999</v>
      </c>
      <c r="AV200" s="78">
        <f>AI200*Valores!$C$71</f>
        <v>1633.9457599999998</v>
      </c>
      <c r="AW200" s="78">
        <f>AI200*Valores!$C$72</f>
        <v>459.5472449999999</v>
      </c>
      <c r="AX200" s="78">
        <f>AI200*Valores!$C$73</f>
        <v>102.12160999999999</v>
      </c>
      <c r="AY200" s="78">
        <f>AI200*Valores!$C$75</f>
        <v>357.425635</v>
      </c>
      <c r="AZ200" s="78">
        <f>AI200*Valores!$C$76</f>
        <v>61.27296599999999</v>
      </c>
      <c r="BA200" s="78">
        <f t="shared" si="32"/>
        <v>551.456694</v>
      </c>
      <c r="BB200" s="52"/>
      <c r="BC200" s="52">
        <f t="shared" si="36"/>
        <v>32</v>
      </c>
      <c r="BD200" s="28" t="s">
        <v>4</v>
      </c>
    </row>
    <row r="201" spans="1:56" s="28" customFormat="1" ht="11.25" customHeight="1">
      <c r="A201" s="86">
        <v>200</v>
      </c>
      <c r="B201" s="86" t="s">
        <v>163</v>
      </c>
      <c r="C201" s="87" t="s">
        <v>521</v>
      </c>
      <c r="D201" s="87">
        <v>9</v>
      </c>
      <c r="E201" s="87">
        <f t="shared" si="37"/>
        <v>36</v>
      </c>
      <c r="F201" s="88" t="str">
        <f t="shared" si="34"/>
        <v>Hora Cátedra Enseñanza Superior 9 hs</v>
      </c>
      <c r="G201" s="89">
        <f t="shared" si="35"/>
        <v>891</v>
      </c>
      <c r="H201" s="90">
        <f>INT((G201*Valores!$C$2*100)+0.5)/100</f>
        <v>5909.47</v>
      </c>
      <c r="I201" s="104">
        <v>0</v>
      </c>
      <c r="J201" s="92">
        <f>INT((I201*Valores!$C$2*100)+0.5)/100</f>
        <v>0</v>
      </c>
      <c r="K201" s="105">
        <v>0</v>
      </c>
      <c r="L201" s="92">
        <f>INT((K201*Valores!$C$2*100)+0.5)/100</f>
        <v>0</v>
      </c>
      <c r="M201" s="106">
        <v>0</v>
      </c>
      <c r="N201" s="92">
        <f>INT((M201*Valores!$C$2*100)+0.5)/100</f>
        <v>0</v>
      </c>
      <c r="O201" s="92">
        <f t="shared" si="38"/>
        <v>1031.694</v>
      </c>
      <c r="P201" s="92">
        <f t="shared" si="39"/>
        <v>0</v>
      </c>
      <c r="Q201" s="108">
        <f>Valores!$C$14*D201</f>
        <v>1441.71</v>
      </c>
      <c r="R201" s="108">
        <f>IF(D201&lt;15,(Valores!$E$4*D201),Valores!$D$4)</f>
        <v>1780.02</v>
      </c>
      <c r="S201" s="92">
        <v>0</v>
      </c>
      <c r="T201" s="95">
        <f>IF(Valores!$C$45*D201&gt;Valores!$C$43,Valores!$C$43,Valores!$C$45*D201)</f>
        <v>460.08</v>
      </c>
      <c r="U201" s="108">
        <f>Valores!$C$22*D201</f>
        <v>508.41</v>
      </c>
      <c r="V201" s="92">
        <f t="shared" si="33"/>
        <v>508.41</v>
      </c>
      <c r="W201" s="92">
        <v>0</v>
      </c>
      <c r="X201" s="92">
        <v>0</v>
      </c>
      <c r="Y201" s="120">
        <v>0</v>
      </c>
      <c r="Z201" s="92">
        <f>Y201*Valores!$C$2</f>
        <v>0</v>
      </c>
      <c r="AA201" s="92">
        <v>0</v>
      </c>
      <c r="AB201" s="97">
        <f>IF((Valores!$C$32)*D201&gt;Valores!$F$32,Valores!$F$32,(Valores!$C$32)*D201)</f>
        <v>57.78</v>
      </c>
      <c r="AC201" s="92">
        <f t="shared" si="42"/>
        <v>0</v>
      </c>
      <c r="AD201" s="92">
        <f>IF(Valores!$C$33*D201&gt;Valores!$F$33,Valores!$F$33,Valores!$C$33*D201)</f>
        <v>48.06</v>
      </c>
      <c r="AE201" s="96">
        <v>0</v>
      </c>
      <c r="AF201" s="92">
        <f>INT(((AE201*Valores!$C$2)*100)+0.5)/100</f>
        <v>0</v>
      </c>
      <c r="AG201" s="92">
        <f>IF(Valores!$D$58*'Escala Docente'!D201&gt;Valores!$F$58,Valores!$F$58,Valores!$D$58*'Escala Docente'!D201)</f>
        <v>195.57</v>
      </c>
      <c r="AH201" s="92">
        <f>IF(Valores!$D$60*D201&gt;Valores!$F$60,Valores!$F$60,Valores!$D$60*D201)</f>
        <v>55.89</v>
      </c>
      <c r="AI201" s="116">
        <f t="shared" si="43"/>
        <v>11488.684</v>
      </c>
      <c r="AJ201" s="108">
        <f>IF(Valores!$C$36*D201&gt;Valores!$F$36,Valores!$F$36,Valores!$C$36*D201)</f>
        <v>359.55</v>
      </c>
      <c r="AK201" s="95">
        <f>IF(Valores!$C$11*D201&gt;Valores!$F$11,Valores!$F$11,Valores!$C$11*D201)</f>
        <v>0</v>
      </c>
      <c r="AL201" s="95">
        <f>IF(Valores!$C$84*D201&gt;Valores!$C$83,Valores!$C$83,Valores!$C$84*D201)</f>
        <v>585</v>
      </c>
      <c r="AM201" s="97">
        <f>IF(Valores!$C$56*D201&gt;Valores!$F$56,Valores!$F$56,Valores!$C$56*D201)</f>
        <v>102.42</v>
      </c>
      <c r="AN201" s="99">
        <f t="shared" si="44"/>
        <v>944.55</v>
      </c>
      <c r="AO201" s="117">
        <f>AI201*-Valores!$C$65</f>
        <v>-1493.52892</v>
      </c>
      <c r="AP201" s="117">
        <f>AI201*-Valores!$C$66</f>
        <v>-57.443419999999996</v>
      </c>
      <c r="AQ201" s="94">
        <f>AI201*-Valores!$C$67</f>
        <v>-516.99078</v>
      </c>
      <c r="AR201" s="94">
        <f>AI201*-Valores!$C$68</f>
        <v>-310.194468</v>
      </c>
      <c r="AS201" s="94">
        <f>AI201*-Valores!$C$69</f>
        <v>-34.466052</v>
      </c>
      <c r="AT201" s="98">
        <f t="shared" si="40"/>
        <v>10365.270879999998</v>
      </c>
      <c r="AU201" s="98">
        <f t="shared" si="41"/>
        <v>10537.601139999999</v>
      </c>
      <c r="AV201" s="94">
        <f>AI201*Valores!$C$71</f>
        <v>1838.1894399999999</v>
      </c>
      <c r="AW201" s="94">
        <f>AI201*Valores!$C$72</f>
        <v>516.99078</v>
      </c>
      <c r="AX201" s="94">
        <f>AI201*Valores!$C$73</f>
        <v>114.88683999999999</v>
      </c>
      <c r="AY201" s="94">
        <f>AI201*Valores!$C$75</f>
        <v>402.10394</v>
      </c>
      <c r="AZ201" s="94">
        <f>AI201*Valores!$C$76</f>
        <v>68.932104</v>
      </c>
      <c r="BA201" s="94">
        <f aca="true" t="shared" si="45" ref="BA201:BA264">AI201*5.4/100</f>
        <v>620.3889360000001</v>
      </c>
      <c r="BB201" s="86"/>
      <c r="BC201" s="86">
        <f t="shared" si="36"/>
        <v>36</v>
      </c>
      <c r="BD201" s="87" t="s">
        <v>4</v>
      </c>
    </row>
    <row r="202" spans="1:56" s="28" customFormat="1" ht="11.25" customHeight="1">
      <c r="A202" s="52">
        <v>201</v>
      </c>
      <c r="B202" s="52"/>
      <c r="C202" s="28" t="s">
        <v>521</v>
      </c>
      <c r="D202" s="28">
        <v>10</v>
      </c>
      <c r="E202" s="28">
        <f t="shared" si="37"/>
        <v>37</v>
      </c>
      <c r="F202" s="72" t="str">
        <f t="shared" si="34"/>
        <v>Hora Cátedra Enseñanza Superior 10 hs</v>
      </c>
      <c r="G202" s="73">
        <f t="shared" si="35"/>
        <v>990</v>
      </c>
      <c r="H202" s="74">
        <f>INT((G202*Valores!$C$2*100)+0.5)/100</f>
        <v>6566.08</v>
      </c>
      <c r="I202" s="113">
        <v>0</v>
      </c>
      <c r="J202" s="76">
        <f>INT((I202*Valores!$C$2*100)+0.5)/100</f>
        <v>0</v>
      </c>
      <c r="K202" s="103">
        <v>0</v>
      </c>
      <c r="L202" s="76">
        <f>INT((K202*Valores!$C$2*100)+0.5)/100</f>
        <v>0</v>
      </c>
      <c r="M202" s="101">
        <v>0</v>
      </c>
      <c r="N202" s="76">
        <f>INT((M202*Valores!$C$2*100)+0.5)/100</f>
        <v>0</v>
      </c>
      <c r="O202" s="76">
        <f t="shared" si="38"/>
        <v>1146.3269999999998</v>
      </c>
      <c r="P202" s="76">
        <f t="shared" si="39"/>
        <v>0</v>
      </c>
      <c r="Q202" s="102">
        <f>Valores!$C$14*D202</f>
        <v>1601.9</v>
      </c>
      <c r="R202" s="102">
        <f>IF(D202&lt;15,(Valores!$E$4*D202),Valores!$D$4)</f>
        <v>1977.8</v>
      </c>
      <c r="S202" s="76">
        <v>0</v>
      </c>
      <c r="T202" s="79">
        <f>IF(Valores!$C$45*D202&gt;Valores!$C$43,Valores!$C$43,Valores!$C$45*D202)</f>
        <v>511.2</v>
      </c>
      <c r="U202" s="102">
        <f>Valores!$C$22*D202</f>
        <v>564.9</v>
      </c>
      <c r="V202" s="76">
        <f t="shared" si="33"/>
        <v>564.9</v>
      </c>
      <c r="W202" s="76">
        <v>0</v>
      </c>
      <c r="X202" s="76">
        <v>0</v>
      </c>
      <c r="Y202" s="119">
        <v>0</v>
      </c>
      <c r="Z202" s="76">
        <f>Y202*Valores!$C$2</f>
        <v>0</v>
      </c>
      <c r="AA202" s="76">
        <v>0</v>
      </c>
      <c r="AB202" s="81">
        <f>IF((Valores!$C$32)*D202&gt;Valores!$F$32,Valores!$F$32,(Valores!$C$32)*D202)</f>
        <v>64.2</v>
      </c>
      <c r="AC202" s="76">
        <f t="shared" si="42"/>
        <v>0</v>
      </c>
      <c r="AD202" s="76">
        <f>IF(Valores!$C$33*D202&gt;Valores!$F$33,Valores!$F$33,Valores!$C$33*D202)</f>
        <v>53.4</v>
      </c>
      <c r="AE202" s="80">
        <v>0</v>
      </c>
      <c r="AF202" s="76">
        <f>INT(((AE202*Valores!$C$2)*100)+0.5)/100</f>
        <v>0</v>
      </c>
      <c r="AG202" s="76">
        <f>IF(Valores!$D$58*'Escala Docente'!D202&gt;Valores!$F$58,Valores!$F$58,Valores!$D$58*'Escala Docente'!D202)</f>
        <v>217.3</v>
      </c>
      <c r="AH202" s="76">
        <f>IF(Valores!$D$60*D202&gt;Valores!$F$60,Valores!$F$60,Valores!$D$60*D202)</f>
        <v>62.1</v>
      </c>
      <c r="AI202" s="115">
        <f t="shared" si="43"/>
        <v>12765.206999999999</v>
      </c>
      <c r="AJ202" s="102">
        <f>IF(Valores!$C$36*D202&gt;Valores!$F$36,Valores!$F$36,Valores!$C$36*D202)</f>
        <v>399.5</v>
      </c>
      <c r="AK202" s="79">
        <f>IF(Valores!$C$11*D202&gt;Valores!$F$11,Valores!$F$11,Valores!$C$11*D202)</f>
        <v>0</v>
      </c>
      <c r="AL202" s="79">
        <f>IF(Valores!$C$84*D202&gt;Valores!$C$83,Valores!$C$83,Valores!$C$84*D202)</f>
        <v>650</v>
      </c>
      <c r="AM202" s="81">
        <f>IF(Valores!$C$56*D202&gt;Valores!$F$56,Valores!$F$56,Valores!$C$56*D202)</f>
        <v>113.80000000000001</v>
      </c>
      <c r="AN202" s="83">
        <f t="shared" si="44"/>
        <v>1049.5</v>
      </c>
      <c r="AO202" s="62">
        <f>AI202*-Valores!$C$65</f>
        <v>-1659.4769099999999</v>
      </c>
      <c r="AP202" s="62">
        <f>AI202*-Valores!$C$66</f>
        <v>-63.826035</v>
      </c>
      <c r="AQ202" s="78">
        <f>AI202*-Valores!$C$67</f>
        <v>-574.4343149999999</v>
      </c>
      <c r="AR202" s="78">
        <f>AI202*-Valores!$C$68</f>
        <v>-344.66058899999996</v>
      </c>
      <c r="AS202" s="78">
        <f>AI202*-Valores!$C$69</f>
        <v>-38.295621</v>
      </c>
      <c r="AT202" s="82">
        <f t="shared" si="40"/>
        <v>11516.969739999999</v>
      </c>
      <c r="AU202" s="82">
        <f t="shared" si="41"/>
        <v>11708.447845</v>
      </c>
      <c r="AV202" s="78">
        <f>AI202*Valores!$C$71</f>
        <v>2042.43312</v>
      </c>
      <c r="AW202" s="78">
        <f>AI202*Valores!$C$72</f>
        <v>574.4343149999999</v>
      </c>
      <c r="AX202" s="78">
        <f>AI202*Valores!$C$73</f>
        <v>127.65207</v>
      </c>
      <c r="AY202" s="78">
        <f>AI202*Valores!$C$75</f>
        <v>446.782245</v>
      </c>
      <c r="AZ202" s="78">
        <f>AI202*Valores!$C$76</f>
        <v>76.591242</v>
      </c>
      <c r="BA202" s="78">
        <f t="shared" si="45"/>
        <v>689.3211779999999</v>
      </c>
      <c r="BB202" s="52"/>
      <c r="BC202" s="52">
        <f t="shared" si="36"/>
        <v>40</v>
      </c>
      <c r="BD202" s="28" t="s">
        <v>4</v>
      </c>
    </row>
    <row r="203" spans="1:56" s="28" customFormat="1" ht="11.25" customHeight="1">
      <c r="A203" s="52">
        <v>202</v>
      </c>
      <c r="B203" s="52"/>
      <c r="C203" s="28" t="s">
        <v>521</v>
      </c>
      <c r="D203" s="28">
        <v>11</v>
      </c>
      <c r="E203" s="28">
        <f t="shared" si="37"/>
        <v>37</v>
      </c>
      <c r="F203" s="72" t="str">
        <f t="shared" si="34"/>
        <v>Hora Cátedra Enseñanza Superior 11 hs</v>
      </c>
      <c r="G203" s="73">
        <f t="shared" si="35"/>
        <v>1089</v>
      </c>
      <c r="H203" s="74">
        <f>INT((G203*Valores!$C$2*100)+0.5)/100</f>
        <v>7222.68</v>
      </c>
      <c r="I203" s="113">
        <v>0</v>
      </c>
      <c r="J203" s="76">
        <f>INT((I203*Valores!$C$2*100)+0.5)/100</f>
        <v>0</v>
      </c>
      <c r="K203" s="103">
        <v>0</v>
      </c>
      <c r="L203" s="76">
        <f>INT((K203*Valores!$C$2*100)+0.5)/100</f>
        <v>0</v>
      </c>
      <c r="M203" s="101">
        <v>0</v>
      </c>
      <c r="N203" s="76">
        <f>INT((M203*Valores!$C$2*100)+0.5)/100</f>
        <v>0</v>
      </c>
      <c r="O203" s="76">
        <f t="shared" si="38"/>
        <v>1260.9585000000002</v>
      </c>
      <c r="P203" s="76">
        <f t="shared" si="39"/>
        <v>0</v>
      </c>
      <c r="Q203" s="102">
        <f>Valores!$C$14*D203</f>
        <v>1762.09</v>
      </c>
      <c r="R203" s="102">
        <f>IF(D203&lt;15,(Valores!$E$4*D203),Valores!$D$4)</f>
        <v>2175.58</v>
      </c>
      <c r="S203" s="76">
        <v>0</v>
      </c>
      <c r="T203" s="79">
        <f>IF(Valores!$C$45*D203&gt;Valores!$C$43,Valores!$C$43,Valores!$C$45*D203)</f>
        <v>562.3199999999999</v>
      </c>
      <c r="U203" s="102">
        <f>Valores!$C$22*D203</f>
        <v>621.39</v>
      </c>
      <c r="V203" s="76">
        <f t="shared" si="33"/>
        <v>621.39</v>
      </c>
      <c r="W203" s="76">
        <v>0</v>
      </c>
      <c r="X203" s="76">
        <v>0</v>
      </c>
      <c r="Y203" s="119">
        <v>0</v>
      </c>
      <c r="Z203" s="76">
        <f>Y203*Valores!$C$2</f>
        <v>0</v>
      </c>
      <c r="AA203" s="76">
        <v>0</v>
      </c>
      <c r="AB203" s="81">
        <f>IF((Valores!$C$32)*D203&gt;Valores!$F$32,Valores!$F$32,(Valores!$C$32)*D203)</f>
        <v>70.62</v>
      </c>
      <c r="AC203" s="76">
        <f t="shared" si="42"/>
        <v>0</v>
      </c>
      <c r="AD203" s="76">
        <f>IF(Valores!$C$33*D203&gt;Valores!$F$33,Valores!$F$33,Valores!$C$33*D203)</f>
        <v>58.739999999999995</v>
      </c>
      <c r="AE203" s="80">
        <v>0</v>
      </c>
      <c r="AF203" s="76">
        <f>INT(((AE203*Valores!$C$2)*100)+0.5)/100</f>
        <v>0</v>
      </c>
      <c r="AG203" s="76">
        <f>IF(Valores!$D$58*'Escala Docente'!D203&gt;Valores!$F$58,Valores!$F$58,Valores!$D$58*'Escala Docente'!D203)</f>
        <v>239.03</v>
      </c>
      <c r="AH203" s="76">
        <f>IF(Valores!$D$60*D203&gt;Valores!$F$60,Valores!$F$60,Valores!$D$60*D203)</f>
        <v>68.31</v>
      </c>
      <c r="AI203" s="115">
        <f t="shared" si="43"/>
        <v>14041.7185</v>
      </c>
      <c r="AJ203" s="102">
        <f>IF(Valores!$C$36*D203&gt;Valores!$F$36,Valores!$F$36,Valores!$C$36*D203)</f>
        <v>439.45000000000005</v>
      </c>
      <c r="AK203" s="79">
        <f>IF(Valores!$C$11*D203&gt;Valores!$F$11,Valores!$F$11,Valores!$C$11*D203)</f>
        <v>0</v>
      </c>
      <c r="AL203" s="79">
        <f>IF(Valores!$C$84*D203&gt;Valores!$C$83,Valores!$C$83,Valores!$C$84*D203)</f>
        <v>715</v>
      </c>
      <c r="AM203" s="81">
        <f>IF(Valores!$C$56*D203&gt;Valores!$F$56,Valores!$F$56,Valores!$C$56*D203)</f>
        <v>125.18</v>
      </c>
      <c r="AN203" s="83">
        <f t="shared" si="44"/>
        <v>1154.45</v>
      </c>
      <c r="AO203" s="62">
        <f>AI203*-Valores!$C$65</f>
        <v>-1825.4234050000002</v>
      </c>
      <c r="AP203" s="62">
        <f>AI203*-Valores!$C$66</f>
        <v>-70.20859250000001</v>
      </c>
      <c r="AQ203" s="78">
        <f>AI203*-Valores!$C$67</f>
        <v>-631.8773325</v>
      </c>
      <c r="AR203" s="78">
        <f>AI203*-Valores!$C$68</f>
        <v>-379.1263995</v>
      </c>
      <c r="AS203" s="78">
        <f>AI203*-Valores!$C$69</f>
        <v>-42.125155500000005</v>
      </c>
      <c r="AT203" s="82">
        <f t="shared" si="40"/>
        <v>12668.659170000003</v>
      </c>
      <c r="AU203" s="82">
        <f t="shared" si="41"/>
        <v>12879.284947500002</v>
      </c>
      <c r="AV203" s="78">
        <f>AI203*Valores!$C$71</f>
        <v>2246.6749600000003</v>
      </c>
      <c r="AW203" s="78">
        <f>AI203*Valores!$C$72</f>
        <v>631.8773325</v>
      </c>
      <c r="AX203" s="78">
        <f>AI203*Valores!$C$73</f>
        <v>140.41718500000002</v>
      </c>
      <c r="AY203" s="78">
        <f>AI203*Valores!$C$75</f>
        <v>491.46014750000006</v>
      </c>
      <c r="AZ203" s="78">
        <f>AI203*Valores!$C$76</f>
        <v>84.25031100000001</v>
      </c>
      <c r="BA203" s="78">
        <f t="shared" si="45"/>
        <v>758.2527990000001</v>
      </c>
      <c r="BB203" s="52"/>
      <c r="BC203" s="52">
        <f t="shared" si="36"/>
        <v>44</v>
      </c>
      <c r="BD203" s="28" t="s">
        <v>4</v>
      </c>
    </row>
    <row r="204" spans="1:56" s="28" customFormat="1" ht="11.25" customHeight="1">
      <c r="A204" s="52">
        <v>203</v>
      </c>
      <c r="B204" s="52"/>
      <c r="C204" s="28" t="s">
        <v>521</v>
      </c>
      <c r="D204" s="28">
        <v>12</v>
      </c>
      <c r="E204" s="28">
        <f t="shared" si="37"/>
        <v>37</v>
      </c>
      <c r="F204" s="72" t="str">
        <f t="shared" si="34"/>
        <v>Hora Cátedra Enseñanza Superior 12 hs</v>
      </c>
      <c r="G204" s="73">
        <f t="shared" si="35"/>
        <v>1188</v>
      </c>
      <c r="H204" s="74">
        <f>INT((G204*Valores!$C$2*100)+0.5)/100</f>
        <v>7879.29</v>
      </c>
      <c r="I204" s="113">
        <v>0</v>
      </c>
      <c r="J204" s="76">
        <f>INT((I204*Valores!$C$2*100)+0.5)/100</f>
        <v>0</v>
      </c>
      <c r="K204" s="103">
        <v>0</v>
      </c>
      <c r="L204" s="76">
        <f>INT((K204*Valores!$C$2*100)+0.5)/100</f>
        <v>0</v>
      </c>
      <c r="M204" s="101">
        <v>0</v>
      </c>
      <c r="N204" s="76">
        <f>INT((M204*Valores!$C$2*100)+0.5)/100</f>
        <v>0</v>
      </c>
      <c r="O204" s="76">
        <f t="shared" si="38"/>
        <v>1375.5915</v>
      </c>
      <c r="P204" s="76">
        <f t="shared" si="39"/>
        <v>0</v>
      </c>
      <c r="Q204" s="102">
        <f>Valores!$C$14*D204</f>
        <v>1922.28</v>
      </c>
      <c r="R204" s="102">
        <f>IF(D204&lt;15,(Valores!$E$4*D204),Valores!$D$4)</f>
        <v>2373.36</v>
      </c>
      <c r="S204" s="76">
        <v>0</v>
      </c>
      <c r="T204" s="79">
        <f>IF(Valores!$C$45*D204&gt;Valores!$C$43,Valores!$C$43,Valores!$C$45*D204)</f>
        <v>613.4399999999999</v>
      </c>
      <c r="U204" s="102">
        <f>Valores!$C$22*D204</f>
        <v>677.88</v>
      </c>
      <c r="V204" s="76">
        <f t="shared" si="33"/>
        <v>677.88</v>
      </c>
      <c r="W204" s="76">
        <v>0</v>
      </c>
      <c r="X204" s="76">
        <v>0</v>
      </c>
      <c r="Y204" s="119">
        <v>0</v>
      </c>
      <c r="Z204" s="76">
        <f>Y204*Valores!$C$2</f>
        <v>0</v>
      </c>
      <c r="AA204" s="76">
        <v>0</v>
      </c>
      <c r="AB204" s="81">
        <f>IF((Valores!$C$32)*D204&gt;Valores!$F$32,Valores!$F$32,(Valores!$C$32)*D204)</f>
        <v>77.03999999999999</v>
      </c>
      <c r="AC204" s="76">
        <f t="shared" si="42"/>
        <v>0</v>
      </c>
      <c r="AD204" s="76">
        <f>IF(Valores!$C$33*D204&gt;Valores!$F$33,Valores!$F$33,Valores!$C$33*D204)</f>
        <v>64.08</v>
      </c>
      <c r="AE204" s="80">
        <v>0</v>
      </c>
      <c r="AF204" s="76">
        <f>INT(((AE204*Valores!$C$2)*100)+0.5)/100</f>
        <v>0</v>
      </c>
      <c r="AG204" s="76">
        <f>IF(Valores!$D$58*'Escala Docente'!D204&gt;Valores!$F$58,Valores!$F$58,Valores!$D$58*'Escala Docente'!D204)</f>
        <v>260.76</v>
      </c>
      <c r="AH204" s="76">
        <f>IF(Valores!$D$60*D204&gt;Valores!$F$60,Valores!$F$60,Valores!$D$60*D204)</f>
        <v>74.52</v>
      </c>
      <c r="AI204" s="115">
        <f t="shared" si="43"/>
        <v>15318.241500000002</v>
      </c>
      <c r="AJ204" s="102">
        <f>IF(Valores!$C$36*D204&gt;Valores!$F$36,Valores!$F$36,Valores!$C$36*D204)</f>
        <v>479.40000000000003</v>
      </c>
      <c r="AK204" s="79">
        <f>IF(Valores!$C$11*D204&gt;Valores!$F$11,Valores!$F$11,Valores!$C$11*D204)</f>
        <v>0</v>
      </c>
      <c r="AL204" s="79">
        <f>IF(Valores!$C$84*D204&gt;Valores!$C$83,Valores!$C$83,Valores!$C$84*D204)</f>
        <v>780</v>
      </c>
      <c r="AM204" s="81">
        <f>IF(Valores!$C$56*D204&gt;Valores!$F$56,Valores!$F$56,Valores!$C$56*D204)</f>
        <v>136.56</v>
      </c>
      <c r="AN204" s="83">
        <f t="shared" si="44"/>
        <v>1259.4</v>
      </c>
      <c r="AO204" s="62">
        <f>AI204*-Valores!$C$65</f>
        <v>-1991.3713950000003</v>
      </c>
      <c r="AP204" s="62">
        <f>AI204*-Valores!$C$66</f>
        <v>-76.59120750000001</v>
      </c>
      <c r="AQ204" s="78">
        <f>AI204*-Valores!$C$67</f>
        <v>-689.3208675000001</v>
      </c>
      <c r="AR204" s="78">
        <f>AI204*-Valores!$C$68</f>
        <v>-413.59252050000003</v>
      </c>
      <c r="AS204" s="78">
        <f>AI204*-Valores!$C$69</f>
        <v>-45.954724500000005</v>
      </c>
      <c r="AT204" s="82">
        <f t="shared" si="40"/>
        <v>13820.35803</v>
      </c>
      <c r="AU204" s="82">
        <f t="shared" si="41"/>
        <v>14050.1316525</v>
      </c>
      <c r="AV204" s="78">
        <f>AI204*Valores!$C$71</f>
        <v>2450.9186400000003</v>
      </c>
      <c r="AW204" s="78">
        <f>AI204*Valores!$C$72</f>
        <v>689.3208675000001</v>
      </c>
      <c r="AX204" s="78">
        <f>AI204*Valores!$C$73</f>
        <v>153.18241500000002</v>
      </c>
      <c r="AY204" s="78">
        <f>AI204*Valores!$C$75</f>
        <v>536.1384525000001</v>
      </c>
      <c r="AZ204" s="78">
        <f>AI204*Valores!$C$76</f>
        <v>91.90944900000001</v>
      </c>
      <c r="BA204" s="78">
        <f t="shared" si="45"/>
        <v>827.1850410000002</v>
      </c>
      <c r="BB204" s="52"/>
      <c r="BC204" s="86">
        <f t="shared" si="36"/>
        <v>48</v>
      </c>
      <c r="BD204" s="28" t="s">
        <v>4</v>
      </c>
    </row>
    <row r="205" spans="1:56" s="28" customFormat="1" ht="11.25" customHeight="1">
      <c r="A205" s="52">
        <v>204</v>
      </c>
      <c r="B205" s="52"/>
      <c r="C205" s="28" t="s">
        <v>521</v>
      </c>
      <c r="D205" s="28">
        <v>13</v>
      </c>
      <c r="E205" s="28">
        <f t="shared" si="37"/>
        <v>37</v>
      </c>
      <c r="F205" s="72" t="str">
        <f t="shared" si="34"/>
        <v>Hora Cátedra Enseñanza Superior 13 hs</v>
      </c>
      <c r="G205" s="73">
        <f t="shared" si="35"/>
        <v>1287</v>
      </c>
      <c r="H205" s="74">
        <f>INT((G205*Valores!$C$2*100)+0.5)/100</f>
        <v>8535.9</v>
      </c>
      <c r="I205" s="113">
        <v>0</v>
      </c>
      <c r="J205" s="76">
        <f>INT((I205*Valores!$C$2*100)+0.5)/100</f>
        <v>0</v>
      </c>
      <c r="K205" s="103">
        <v>0</v>
      </c>
      <c r="L205" s="76">
        <f>INT((K205*Valores!$C$2*100)+0.5)/100</f>
        <v>0</v>
      </c>
      <c r="M205" s="101">
        <v>0</v>
      </c>
      <c r="N205" s="76">
        <f>INT((M205*Valores!$C$2*100)+0.5)/100</f>
        <v>0</v>
      </c>
      <c r="O205" s="76">
        <f t="shared" si="38"/>
        <v>1490.2245</v>
      </c>
      <c r="P205" s="76">
        <f t="shared" si="39"/>
        <v>0</v>
      </c>
      <c r="Q205" s="102">
        <f>Valores!$C$14*D205</f>
        <v>2082.47</v>
      </c>
      <c r="R205" s="102">
        <f>IF(D205&lt;15,(Valores!$E$4*D205),Valores!$D$4)</f>
        <v>2571.14</v>
      </c>
      <c r="S205" s="76">
        <v>0</v>
      </c>
      <c r="T205" s="79">
        <f>IF(Valores!$C$45*D205&gt;Valores!$C$43,Valores!$C$43,Valores!$C$45*D205)</f>
        <v>664.56</v>
      </c>
      <c r="U205" s="102">
        <f>Valores!$C$22*D205</f>
        <v>734.37</v>
      </c>
      <c r="V205" s="76">
        <f t="shared" si="33"/>
        <v>734.37</v>
      </c>
      <c r="W205" s="76">
        <v>0</v>
      </c>
      <c r="X205" s="76">
        <v>0</v>
      </c>
      <c r="Y205" s="119">
        <v>0</v>
      </c>
      <c r="Z205" s="76">
        <f>Y205*Valores!$C$2</f>
        <v>0</v>
      </c>
      <c r="AA205" s="76">
        <v>0</v>
      </c>
      <c r="AB205" s="81">
        <f>IF((Valores!$C$32)*D205&gt;Valores!$F$32,Valores!$F$32,(Valores!$C$32)*D205)</f>
        <v>83.46</v>
      </c>
      <c r="AC205" s="76">
        <f t="shared" si="42"/>
        <v>0</v>
      </c>
      <c r="AD205" s="76">
        <f>IF(Valores!$C$33*D205&gt;Valores!$F$33,Valores!$F$33,Valores!$C$33*D205)</f>
        <v>69.42</v>
      </c>
      <c r="AE205" s="80">
        <v>0</v>
      </c>
      <c r="AF205" s="76">
        <f>INT(((AE205*Valores!$C$2)*100)+0.5)/100</f>
        <v>0</v>
      </c>
      <c r="AG205" s="76">
        <f>IF(Valores!$D$58*'Escala Docente'!D205&gt;Valores!$F$58,Valores!$F$58,Valores!$D$58*'Escala Docente'!D205)</f>
        <v>282.49</v>
      </c>
      <c r="AH205" s="76">
        <f>IF(Valores!$D$60*D205&gt;Valores!$F$60,Valores!$F$60,Valores!$D$60*D205)</f>
        <v>80.73</v>
      </c>
      <c r="AI205" s="115">
        <f t="shared" si="43"/>
        <v>16594.764499999997</v>
      </c>
      <c r="AJ205" s="102">
        <f>IF(Valores!$C$36*D205&gt;Valores!$F$36,Valores!$F$36,Valores!$C$36*D205)</f>
        <v>519.35</v>
      </c>
      <c r="AK205" s="79">
        <f>IF(Valores!$C$11*D205&gt;Valores!$F$11,Valores!$F$11,Valores!$C$11*D205)</f>
        <v>0</v>
      </c>
      <c r="AL205" s="79">
        <f>IF(Valores!$C$84*D205&gt;Valores!$C$83,Valores!$C$83,Valores!$C$84*D205)</f>
        <v>845</v>
      </c>
      <c r="AM205" s="81">
        <f>IF(Valores!$C$56*D205&gt;Valores!$F$56,Valores!$F$56,Valores!$C$56*D205)</f>
        <v>147.94</v>
      </c>
      <c r="AN205" s="83">
        <f t="shared" si="44"/>
        <v>1364.35</v>
      </c>
      <c r="AO205" s="62">
        <f>AI205*-Valores!$C$65</f>
        <v>-2157.319385</v>
      </c>
      <c r="AP205" s="62">
        <f>AI205*-Valores!$C$66</f>
        <v>-82.97382249999998</v>
      </c>
      <c r="AQ205" s="78">
        <f>AI205*-Valores!$C$67</f>
        <v>-746.7644024999998</v>
      </c>
      <c r="AR205" s="78">
        <f>AI205*-Valores!$C$68</f>
        <v>-448.0586414999999</v>
      </c>
      <c r="AS205" s="78">
        <f>AI205*-Valores!$C$69</f>
        <v>-49.7842935</v>
      </c>
      <c r="AT205" s="82">
        <f t="shared" si="40"/>
        <v>14972.056889999996</v>
      </c>
      <c r="AU205" s="82">
        <f t="shared" si="41"/>
        <v>15220.978357499996</v>
      </c>
      <c r="AV205" s="78">
        <f>AI205*Valores!$C$71</f>
        <v>2655.1623199999995</v>
      </c>
      <c r="AW205" s="78">
        <f>AI205*Valores!$C$72</f>
        <v>746.7644024999998</v>
      </c>
      <c r="AX205" s="78">
        <f>AI205*Valores!$C$73</f>
        <v>165.94764499999997</v>
      </c>
      <c r="AY205" s="78">
        <f>AI205*Valores!$C$75</f>
        <v>580.8167575</v>
      </c>
      <c r="AZ205" s="78">
        <f>AI205*Valores!$C$76</f>
        <v>99.568587</v>
      </c>
      <c r="BA205" s="78">
        <f t="shared" si="45"/>
        <v>896.1172829999999</v>
      </c>
      <c r="BB205" s="52"/>
      <c r="BC205" s="52">
        <f t="shared" si="36"/>
        <v>52</v>
      </c>
      <c r="BD205" s="28" t="s">
        <v>4</v>
      </c>
    </row>
    <row r="206" spans="1:56" s="28" customFormat="1" ht="11.25" customHeight="1">
      <c r="A206" s="86">
        <v>205</v>
      </c>
      <c r="B206" s="86" t="s">
        <v>163</v>
      </c>
      <c r="C206" s="87" t="s">
        <v>521</v>
      </c>
      <c r="D206" s="87">
        <v>14</v>
      </c>
      <c r="E206" s="87">
        <f t="shared" si="37"/>
        <v>37</v>
      </c>
      <c r="F206" s="88" t="str">
        <f t="shared" si="34"/>
        <v>Hora Cátedra Enseñanza Superior 14 hs</v>
      </c>
      <c r="G206" s="89">
        <f t="shared" si="35"/>
        <v>1386</v>
      </c>
      <c r="H206" s="90">
        <f>INT((G206*Valores!$C$2*100)+0.5)/100</f>
        <v>9192.51</v>
      </c>
      <c r="I206" s="104">
        <v>0</v>
      </c>
      <c r="J206" s="92">
        <f>INT((I206*Valores!$C$2*100)+0.5)/100</f>
        <v>0</v>
      </c>
      <c r="K206" s="105">
        <v>0</v>
      </c>
      <c r="L206" s="92">
        <f>INT((K206*Valores!$C$2*100)+0.5)/100</f>
        <v>0</v>
      </c>
      <c r="M206" s="106">
        <v>0</v>
      </c>
      <c r="N206" s="92">
        <f>INT((M206*Valores!$C$2*100)+0.5)/100</f>
        <v>0</v>
      </c>
      <c r="O206" s="92">
        <f t="shared" si="38"/>
        <v>1604.8575</v>
      </c>
      <c r="P206" s="92">
        <f t="shared" si="39"/>
        <v>0</v>
      </c>
      <c r="Q206" s="108">
        <f>Valores!$C$14*D206</f>
        <v>2242.66</v>
      </c>
      <c r="R206" s="108">
        <f>IF(D206&lt;15,(Valores!$E$4*D206),Valores!$D$4)</f>
        <v>2768.92</v>
      </c>
      <c r="S206" s="92">
        <v>0</v>
      </c>
      <c r="T206" s="95">
        <f>IF(Valores!$C$45*D206&gt;Valores!$C$43,Valores!$C$43,Valores!$C$45*D206)</f>
        <v>715.68</v>
      </c>
      <c r="U206" s="108">
        <f>Valores!$C$22*D206</f>
        <v>790.86</v>
      </c>
      <c r="V206" s="92">
        <f t="shared" si="33"/>
        <v>790.86</v>
      </c>
      <c r="W206" s="92">
        <v>0</v>
      </c>
      <c r="X206" s="92">
        <v>0</v>
      </c>
      <c r="Y206" s="120">
        <v>0</v>
      </c>
      <c r="Z206" s="92">
        <f>Y206*Valores!$C$2</f>
        <v>0</v>
      </c>
      <c r="AA206" s="92">
        <v>0</v>
      </c>
      <c r="AB206" s="97">
        <f>IF((Valores!$C$32)*D206&gt;Valores!$F$32,Valores!$F$32,(Valores!$C$32)*D206)</f>
        <v>89.88</v>
      </c>
      <c r="AC206" s="92">
        <f t="shared" si="42"/>
        <v>0</v>
      </c>
      <c r="AD206" s="92">
        <f>IF(Valores!$C$33*D206&gt;Valores!$F$33,Valores!$F$33,Valores!$C$33*D206)</f>
        <v>74.75999999999999</v>
      </c>
      <c r="AE206" s="96">
        <v>0</v>
      </c>
      <c r="AF206" s="92">
        <f>INT(((AE206*Valores!$C$2)*100)+0.5)/100</f>
        <v>0</v>
      </c>
      <c r="AG206" s="92">
        <f>IF(Valores!$D$58*'Escala Docente'!D206&gt;Valores!$F$58,Valores!$F$58,Valores!$D$58*'Escala Docente'!D206)</f>
        <v>304.22</v>
      </c>
      <c r="AH206" s="92">
        <f>IF(Valores!$D$60*D206&gt;Valores!$F$60,Valores!$F$60,Valores!$D$60*D206)</f>
        <v>86.94</v>
      </c>
      <c r="AI206" s="116">
        <f t="shared" si="43"/>
        <v>17871.2875</v>
      </c>
      <c r="AJ206" s="108">
        <f>IF(Valores!$C$36*D206&gt;Valores!$F$36,Valores!$F$36,Valores!$C$36*D206)</f>
        <v>559.3000000000001</v>
      </c>
      <c r="AK206" s="95">
        <f>IF(Valores!$C$11*D206&gt;Valores!$F$11,Valores!$F$11,Valores!$C$11*D206)</f>
        <v>0</v>
      </c>
      <c r="AL206" s="95">
        <f>IF(Valores!$C$84*D206&gt;Valores!$C$83,Valores!$C$83,Valores!$C$84*D206)</f>
        <v>910</v>
      </c>
      <c r="AM206" s="97">
        <f>IF(Valores!$C$56*D206&gt;Valores!$F$56,Valores!$F$56,Valores!$C$56*D206)</f>
        <v>159.32000000000002</v>
      </c>
      <c r="AN206" s="99">
        <f t="shared" si="44"/>
        <v>1469.3000000000002</v>
      </c>
      <c r="AO206" s="117">
        <f>AI206*-Valores!$C$65</f>
        <v>-2323.267375</v>
      </c>
      <c r="AP206" s="117">
        <f>AI206*-Valores!$C$66</f>
        <v>-89.3564375</v>
      </c>
      <c r="AQ206" s="94">
        <f>AI206*-Valores!$C$67</f>
        <v>-804.2079375</v>
      </c>
      <c r="AR206" s="94">
        <f>AI206*-Valores!$C$68</f>
        <v>-482.52476249999995</v>
      </c>
      <c r="AS206" s="94">
        <f>AI206*-Valores!$C$69</f>
        <v>-53.613862499999996</v>
      </c>
      <c r="AT206" s="98">
        <f t="shared" si="40"/>
        <v>16123.75575</v>
      </c>
      <c r="AU206" s="98">
        <f t="shared" si="41"/>
        <v>16391.8250625</v>
      </c>
      <c r="AV206" s="94">
        <f>AI206*Valores!$C$71</f>
        <v>2859.406</v>
      </c>
      <c r="AW206" s="94">
        <f>AI206*Valores!$C$72</f>
        <v>804.2079375</v>
      </c>
      <c r="AX206" s="94">
        <f>AI206*Valores!$C$73</f>
        <v>178.712875</v>
      </c>
      <c r="AY206" s="94">
        <f>AI206*Valores!$C$75</f>
        <v>625.4950625</v>
      </c>
      <c r="AZ206" s="94">
        <f>AI206*Valores!$C$76</f>
        <v>107.22772499999999</v>
      </c>
      <c r="BA206" s="94">
        <f t="shared" si="45"/>
        <v>965.049525</v>
      </c>
      <c r="BB206" s="86"/>
      <c r="BC206" s="86">
        <f t="shared" si="36"/>
        <v>56</v>
      </c>
      <c r="BD206" s="87" t="s">
        <v>4</v>
      </c>
    </row>
    <row r="207" spans="1:56" s="28" customFormat="1" ht="11.25" customHeight="1">
      <c r="A207" s="52">
        <v>206</v>
      </c>
      <c r="B207" s="52"/>
      <c r="C207" s="28" t="s">
        <v>521</v>
      </c>
      <c r="D207" s="28">
        <v>15</v>
      </c>
      <c r="E207" s="28">
        <f t="shared" si="37"/>
        <v>37</v>
      </c>
      <c r="F207" s="72" t="str">
        <f t="shared" si="34"/>
        <v>Hora Cátedra Enseñanza Superior 15 hs</v>
      </c>
      <c r="G207" s="73">
        <f t="shared" si="35"/>
        <v>1485</v>
      </c>
      <c r="H207" s="74">
        <f>INT((G207*Valores!$C$2*100)+0.5)/100</f>
        <v>9849.11</v>
      </c>
      <c r="I207" s="113">
        <v>0</v>
      </c>
      <c r="J207" s="76">
        <f>INT((I207*Valores!$C$2*100)+0.5)/100</f>
        <v>0</v>
      </c>
      <c r="K207" s="103">
        <v>0</v>
      </c>
      <c r="L207" s="76">
        <f>INT((K207*Valores!$C$2*100)+0.5)/100</f>
        <v>0</v>
      </c>
      <c r="M207" s="101">
        <v>0</v>
      </c>
      <c r="N207" s="76">
        <f>INT((M207*Valores!$C$2*100)+0.5)/100</f>
        <v>0</v>
      </c>
      <c r="O207" s="76">
        <f t="shared" si="38"/>
        <v>1719.489</v>
      </c>
      <c r="P207" s="76">
        <f t="shared" si="39"/>
        <v>0</v>
      </c>
      <c r="Q207" s="102">
        <f>Valores!$C$14*D207</f>
        <v>2402.85</v>
      </c>
      <c r="R207" s="102">
        <f>IF(D207&lt;15,(Valores!$E$4*D207),Valores!$D$4)</f>
        <v>2966.67</v>
      </c>
      <c r="S207" s="76">
        <v>0</v>
      </c>
      <c r="T207" s="79">
        <f>IF(Valores!$C$45*D207&gt;Valores!$C$43,Valores!$C$43,Valores!$C$45*D207)</f>
        <v>766.8</v>
      </c>
      <c r="U207" s="102">
        <f>Valores!$C$22*D207</f>
        <v>847.35</v>
      </c>
      <c r="V207" s="76">
        <f t="shared" si="33"/>
        <v>847.35</v>
      </c>
      <c r="W207" s="76">
        <v>0</v>
      </c>
      <c r="X207" s="76">
        <v>0</v>
      </c>
      <c r="Y207" s="119">
        <v>0</v>
      </c>
      <c r="Z207" s="76">
        <f>Y207*Valores!$C$2</f>
        <v>0</v>
      </c>
      <c r="AA207" s="76">
        <v>0</v>
      </c>
      <c r="AB207" s="81">
        <f>IF((Valores!$C$32)*D207&gt;Valores!$F$32,Valores!$F$32,(Valores!$C$32)*D207)</f>
        <v>96.3</v>
      </c>
      <c r="AC207" s="76">
        <f t="shared" si="42"/>
        <v>0</v>
      </c>
      <c r="AD207" s="76">
        <f>IF(Valores!$C$33*D207&gt;Valores!$F$33,Valores!$F$33,Valores!$C$33*D207)</f>
        <v>80.1</v>
      </c>
      <c r="AE207" s="80">
        <v>0</v>
      </c>
      <c r="AF207" s="76">
        <f>INT(((AE207*Valores!$C$2)*100)+0.5)/100</f>
        <v>0</v>
      </c>
      <c r="AG207" s="76">
        <f>IF(Valores!$D$58*'Escala Docente'!D207&gt;Valores!$F$58,Valores!$F$58,Valores!$D$58*'Escala Docente'!D207)</f>
        <v>325.95</v>
      </c>
      <c r="AH207" s="76">
        <f>IF(Valores!$D$60*D207&gt;Valores!$F$60,Valores!$F$60,Valores!$D$60*D207)</f>
        <v>93.15</v>
      </c>
      <c r="AI207" s="115">
        <f t="shared" si="43"/>
        <v>19147.768999999997</v>
      </c>
      <c r="AJ207" s="102">
        <f>IF(Valores!$C$36*D207&gt;Valores!$F$36,Valores!$F$36,Valores!$C$36*D207)</f>
        <v>599.25</v>
      </c>
      <c r="AK207" s="79">
        <f>IF(Valores!$C$11*D207&gt;Valores!$F$11,Valores!$F$11,Valores!$C$11*D207)</f>
        <v>0</v>
      </c>
      <c r="AL207" s="79">
        <f>IF(Valores!$C$84*D207&gt;Valores!$C$83,Valores!$C$83,Valores!$C$84*D207)</f>
        <v>975</v>
      </c>
      <c r="AM207" s="81">
        <f>IF(Valores!$C$56*D207&gt;Valores!$F$56,Valores!$F$56,Valores!$C$56*D207)</f>
        <v>170.70000000000002</v>
      </c>
      <c r="AN207" s="83">
        <f t="shared" si="44"/>
        <v>1574.25</v>
      </c>
      <c r="AO207" s="62">
        <f>AI207*-Valores!$C$65</f>
        <v>-2489.2099699999994</v>
      </c>
      <c r="AP207" s="62">
        <f>AI207*-Valores!$C$66</f>
        <v>-95.73884499999998</v>
      </c>
      <c r="AQ207" s="78">
        <f>AI207*-Valores!$C$67</f>
        <v>-861.6496049999998</v>
      </c>
      <c r="AR207" s="78">
        <f>AI207*-Valores!$C$68</f>
        <v>-516.9897629999999</v>
      </c>
      <c r="AS207" s="78">
        <f>AI207*-Valores!$C$69</f>
        <v>-57.44330699999999</v>
      </c>
      <c r="AT207" s="82">
        <f t="shared" si="40"/>
        <v>17275.420579999998</v>
      </c>
      <c r="AU207" s="82">
        <f t="shared" si="41"/>
        <v>17562.637114999994</v>
      </c>
      <c r="AV207" s="78">
        <f>AI207*Valores!$C$71</f>
        <v>3063.6430399999995</v>
      </c>
      <c r="AW207" s="78">
        <f>AI207*Valores!$C$72</f>
        <v>861.6496049999998</v>
      </c>
      <c r="AX207" s="78">
        <f>AI207*Valores!$C$73</f>
        <v>191.47768999999997</v>
      </c>
      <c r="AY207" s="78">
        <f>AI207*Valores!$C$75</f>
        <v>670.1719149999999</v>
      </c>
      <c r="AZ207" s="78">
        <f>AI207*Valores!$C$76</f>
        <v>114.88661399999998</v>
      </c>
      <c r="BA207" s="78">
        <f t="shared" si="45"/>
        <v>1033.9795259999999</v>
      </c>
      <c r="BB207" s="52"/>
      <c r="BC207" s="52">
        <f t="shared" si="36"/>
        <v>60</v>
      </c>
      <c r="BD207" s="28" t="s">
        <v>4</v>
      </c>
    </row>
    <row r="208" spans="1:56" s="28" customFormat="1" ht="11.25" customHeight="1">
      <c r="A208" s="52">
        <v>207</v>
      </c>
      <c r="B208" s="52"/>
      <c r="C208" s="28" t="s">
        <v>521</v>
      </c>
      <c r="D208" s="28">
        <v>16</v>
      </c>
      <c r="E208" s="28">
        <f t="shared" si="37"/>
        <v>37</v>
      </c>
      <c r="F208" s="72" t="str">
        <f t="shared" si="34"/>
        <v>Hora Cátedra Enseñanza Superior 16 hs</v>
      </c>
      <c r="G208" s="73">
        <f t="shared" si="35"/>
        <v>1584</v>
      </c>
      <c r="H208" s="74">
        <f>INT((G208*Valores!$C$2*100)+0.5)/100</f>
        <v>10505.72</v>
      </c>
      <c r="I208" s="113">
        <v>0</v>
      </c>
      <c r="J208" s="76">
        <f>INT((I208*Valores!$C$2*100)+0.5)/100</f>
        <v>0</v>
      </c>
      <c r="K208" s="103">
        <v>0</v>
      </c>
      <c r="L208" s="76">
        <f>INT((K208*Valores!$C$2*100)+0.5)/100</f>
        <v>0</v>
      </c>
      <c r="M208" s="101">
        <v>0</v>
      </c>
      <c r="N208" s="76">
        <f>INT((M208*Valores!$C$2*100)+0.5)/100</f>
        <v>0</v>
      </c>
      <c r="O208" s="76">
        <f t="shared" si="38"/>
        <v>1834.1219999999998</v>
      </c>
      <c r="P208" s="76">
        <f t="shared" si="39"/>
        <v>0</v>
      </c>
      <c r="Q208" s="102">
        <f>Valores!$C$14*D208</f>
        <v>2563.04</v>
      </c>
      <c r="R208" s="102">
        <f>IF(D208&lt;15,(Valores!$E$4*D208),Valores!$D$4)</f>
        <v>2966.67</v>
      </c>
      <c r="S208" s="76">
        <v>0</v>
      </c>
      <c r="T208" s="79">
        <f>IF(Valores!$C$45*D208&gt;Valores!$C$43,Valores!$C$43,Valores!$C$45*D208)</f>
        <v>817.92</v>
      </c>
      <c r="U208" s="102">
        <f>Valores!$C$22*D208</f>
        <v>903.84</v>
      </c>
      <c r="V208" s="76">
        <f t="shared" si="33"/>
        <v>903.84</v>
      </c>
      <c r="W208" s="76">
        <v>0</v>
      </c>
      <c r="X208" s="76">
        <v>0</v>
      </c>
      <c r="Y208" s="119">
        <v>0</v>
      </c>
      <c r="Z208" s="76">
        <f>Y208*Valores!$C$2</f>
        <v>0</v>
      </c>
      <c r="AA208" s="76">
        <v>0</v>
      </c>
      <c r="AB208" s="81">
        <f>IF((Valores!$C$32)*D208&gt;Valores!$F$32,Valores!$F$32,(Valores!$C$32)*D208)</f>
        <v>102.72</v>
      </c>
      <c r="AC208" s="76">
        <f t="shared" si="42"/>
        <v>0</v>
      </c>
      <c r="AD208" s="76">
        <f>IF(Valores!$C$33*D208&gt;Valores!$F$33,Valores!$F$33,Valores!$C$33*D208)</f>
        <v>85.44</v>
      </c>
      <c r="AE208" s="80">
        <v>0</v>
      </c>
      <c r="AF208" s="76">
        <f>INT(((AE208*Valores!$C$2)*100)+0.5)/100</f>
        <v>0</v>
      </c>
      <c r="AG208" s="76">
        <f>IF(Valores!$D$58*'Escala Docente'!D208&gt;Valores!$F$58,Valores!$F$58,Valores!$D$58*'Escala Docente'!D208)</f>
        <v>347.68</v>
      </c>
      <c r="AH208" s="76">
        <f>IF(Valores!$D$60*D208&gt;Valores!$F$60,Valores!$F$60,Valores!$D$60*D208)</f>
        <v>99.36</v>
      </c>
      <c r="AI208" s="115">
        <f t="shared" si="43"/>
        <v>20226.511999999995</v>
      </c>
      <c r="AJ208" s="102">
        <f>IF(Valores!$C$36*D208&gt;Valores!$F$36,Valores!$F$36,Valores!$C$36*D208)</f>
        <v>639.2</v>
      </c>
      <c r="AK208" s="79">
        <f>IF(Valores!$C$11*D208&gt;Valores!$F$11,Valores!$F$11,Valores!$C$11*D208)</f>
        <v>0</v>
      </c>
      <c r="AL208" s="79">
        <f>IF(Valores!$C$84*D208&gt;Valores!$C$83,Valores!$C$83,Valores!$C$84*D208)</f>
        <v>1040</v>
      </c>
      <c r="AM208" s="81">
        <f>IF(Valores!$C$56*D208&gt;Valores!$F$56,Valores!$F$56,Valores!$C$56*D208)</f>
        <v>182.08</v>
      </c>
      <c r="AN208" s="83">
        <f t="shared" si="44"/>
        <v>1679.2</v>
      </c>
      <c r="AO208" s="62">
        <f>AI208*-Valores!$C$65</f>
        <v>-2629.4465599999994</v>
      </c>
      <c r="AP208" s="62">
        <f>AI208*-Valores!$C$66</f>
        <v>-101.13255999999998</v>
      </c>
      <c r="AQ208" s="78">
        <f>AI208*-Valores!$C$67</f>
        <v>-910.1930399999998</v>
      </c>
      <c r="AR208" s="78">
        <f>AI208*-Valores!$C$68</f>
        <v>-546.1158239999999</v>
      </c>
      <c r="AS208" s="78">
        <f>AI208*-Valores!$C$69</f>
        <v>-60.679535999999985</v>
      </c>
      <c r="AT208" s="82">
        <f t="shared" si="40"/>
        <v>18264.93984</v>
      </c>
      <c r="AU208" s="82">
        <f t="shared" si="41"/>
        <v>18568.337519999997</v>
      </c>
      <c r="AV208" s="78">
        <f>AI208*Valores!$C$71</f>
        <v>3236.2419199999995</v>
      </c>
      <c r="AW208" s="78">
        <f>AI208*Valores!$C$72</f>
        <v>910.1930399999998</v>
      </c>
      <c r="AX208" s="78">
        <f>AI208*Valores!$C$73</f>
        <v>202.26511999999997</v>
      </c>
      <c r="AY208" s="78">
        <f>AI208*Valores!$C$75</f>
        <v>707.9279199999999</v>
      </c>
      <c r="AZ208" s="78">
        <f>AI208*Valores!$C$76</f>
        <v>121.35907199999997</v>
      </c>
      <c r="BA208" s="78">
        <f t="shared" si="45"/>
        <v>1092.231648</v>
      </c>
      <c r="BB208" s="52"/>
      <c r="BC208" s="52">
        <f t="shared" si="36"/>
        <v>64</v>
      </c>
      <c r="BD208" s="28" t="s">
        <v>4</v>
      </c>
    </row>
    <row r="209" spans="1:56" s="28" customFormat="1" ht="11.25" customHeight="1">
      <c r="A209" s="52">
        <v>208</v>
      </c>
      <c r="B209" s="52"/>
      <c r="C209" s="28" t="s">
        <v>521</v>
      </c>
      <c r="D209" s="28">
        <v>17</v>
      </c>
      <c r="E209" s="28">
        <f t="shared" si="37"/>
        <v>37</v>
      </c>
      <c r="F209" s="72" t="str">
        <f t="shared" si="34"/>
        <v>Hora Cátedra Enseñanza Superior 17 hs</v>
      </c>
      <c r="G209" s="73">
        <f t="shared" si="35"/>
        <v>1683</v>
      </c>
      <c r="H209" s="74">
        <f>INT((G209*Valores!$C$2*100)+0.5)/100</f>
        <v>11162.33</v>
      </c>
      <c r="I209" s="113">
        <v>0</v>
      </c>
      <c r="J209" s="76">
        <f>INT((I209*Valores!$C$2*100)+0.5)/100</f>
        <v>0</v>
      </c>
      <c r="K209" s="103">
        <v>0</v>
      </c>
      <c r="L209" s="76">
        <f>INT((K209*Valores!$C$2*100)+0.5)/100</f>
        <v>0</v>
      </c>
      <c r="M209" s="101">
        <v>0</v>
      </c>
      <c r="N209" s="76">
        <f>INT((M209*Valores!$C$2*100)+0.5)/100</f>
        <v>0</v>
      </c>
      <c r="O209" s="76">
        <f t="shared" si="38"/>
        <v>1948.755</v>
      </c>
      <c r="P209" s="76">
        <f t="shared" si="39"/>
        <v>0</v>
      </c>
      <c r="Q209" s="102">
        <f>Valores!$C$14*D209</f>
        <v>2723.23</v>
      </c>
      <c r="R209" s="102">
        <f>IF(D209&lt;15,(Valores!$E$4*D209),Valores!$D$4)</f>
        <v>2966.67</v>
      </c>
      <c r="S209" s="76">
        <v>0</v>
      </c>
      <c r="T209" s="79">
        <f>IF(Valores!$C$45*D209&gt;Valores!$C$43,Valores!$C$43,Valores!$C$45*D209)</f>
        <v>869.04</v>
      </c>
      <c r="U209" s="102">
        <f>Valores!$C$22*D209</f>
        <v>960.33</v>
      </c>
      <c r="V209" s="76">
        <f t="shared" si="33"/>
        <v>960.33</v>
      </c>
      <c r="W209" s="76">
        <v>0</v>
      </c>
      <c r="X209" s="76">
        <v>0</v>
      </c>
      <c r="Y209" s="119">
        <v>0</v>
      </c>
      <c r="Z209" s="76">
        <f>Y209*Valores!$C$2</f>
        <v>0</v>
      </c>
      <c r="AA209" s="76">
        <v>0</v>
      </c>
      <c r="AB209" s="81">
        <f>IF((Valores!$C$32)*D209&gt;Valores!$F$32,Valores!$F$32,(Valores!$C$32)*D209)</f>
        <v>109.14</v>
      </c>
      <c r="AC209" s="76">
        <f t="shared" si="42"/>
        <v>0</v>
      </c>
      <c r="AD209" s="76">
        <f>IF(Valores!$C$33*D209&gt;Valores!$F$33,Valores!$F$33,Valores!$C$33*D209)</f>
        <v>90.78</v>
      </c>
      <c r="AE209" s="80">
        <v>0</v>
      </c>
      <c r="AF209" s="76">
        <f>INT(((AE209*Valores!$C$2)*100)+0.5)/100</f>
        <v>0</v>
      </c>
      <c r="AG209" s="76">
        <f>IF(Valores!$D$58*'Escala Docente'!D209&gt;Valores!$F$58,Valores!$F$58,Valores!$D$58*'Escala Docente'!D209)</f>
        <v>369.41</v>
      </c>
      <c r="AH209" s="76">
        <f>IF(Valores!$D$60*D209&gt;Valores!$F$60,Valores!$F$60,Valores!$D$60*D209)</f>
        <v>105.57</v>
      </c>
      <c r="AI209" s="115">
        <f t="shared" si="43"/>
        <v>21305.255</v>
      </c>
      <c r="AJ209" s="102">
        <f>IF(Valores!$C$36*D209&gt;Valores!$F$36,Valores!$F$36,Valores!$C$36*D209)</f>
        <v>679.1500000000001</v>
      </c>
      <c r="AK209" s="79">
        <f>IF(Valores!$C$11*D209&gt;Valores!$F$11,Valores!$F$11,Valores!$C$11*D209)</f>
        <v>0</v>
      </c>
      <c r="AL209" s="79">
        <f>IF(Valores!$C$84*D209&gt;Valores!$C$83,Valores!$C$83,Valores!$C$84*D209)</f>
        <v>1105</v>
      </c>
      <c r="AM209" s="81">
        <f>IF(Valores!$C$56*D209&gt;Valores!$F$56,Valores!$F$56,Valores!$C$56*D209)</f>
        <v>193.46</v>
      </c>
      <c r="AN209" s="83">
        <f t="shared" si="44"/>
        <v>1784.15</v>
      </c>
      <c r="AO209" s="62">
        <f>AI209*-Valores!$C$65</f>
        <v>-2769.6831500000003</v>
      </c>
      <c r="AP209" s="62">
        <f>AI209*-Valores!$C$66</f>
        <v>-106.52627500000001</v>
      </c>
      <c r="AQ209" s="78">
        <f>AI209*-Valores!$C$67</f>
        <v>-958.736475</v>
      </c>
      <c r="AR209" s="78">
        <f>AI209*-Valores!$C$68</f>
        <v>-575.241885</v>
      </c>
      <c r="AS209" s="78">
        <f>AI209*-Valores!$C$69</f>
        <v>-63.91576500000001</v>
      </c>
      <c r="AT209" s="82">
        <f t="shared" si="40"/>
        <v>19254.4591</v>
      </c>
      <c r="AU209" s="82">
        <f t="shared" si="41"/>
        <v>19574.037925</v>
      </c>
      <c r="AV209" s="78">
        <f>AI209*Valores!$C$71</f>
        <v>3408.8408000000004</v>
      </c>
      <c r="AW209" s="78">
        <f>AI209*Valores!$C$72</f>
        <v>958.736475</v>
      </c>
      <c r="AX209" s="78">
        <f>AI209*Valores!$C$73</f>
        <v>213.05255000000002</v>
      </c>
      <c r="AY209" s="78">
        <f>AI209*Valores!$C$75</f>
        <v>745.6839250000002</v>
      </c>
      <c r="AZ209" s="78">
        <f>AI209*Valores!$C$76</f>
        <v>127.83153000000001</v>
      </c>
      <c r="BA209" s="78">
        <f t="shared" si="45"/>
        <v>1150.48377</v>
      </c>
      <c r="BB209" s="52"/>
      <c r="BC209" s="86">
        <f t="shared" si="36"/>
        <v>68</v>
      </c>
      <c r="BD209" s="28" t="s">
        <v>4</v>
      </c>
    </row>
    <row r="210" spans="1:56" s="28" customFormat="1" ht="11.25" customHeight="1">
      <c r="A210" s="52">
        <v>209</v>
      </c>
      <c r="B210" s="52"/>
      <c r="C210" s="28" t="s">
        <v>521</v>
      </c>
      <c r="D210" s="28">
        <v>18</v>
      </c>
      <c r="E210" s="28">
        <f t="shared" si="37"/>
        <v>37</v>
      </c>
      <c r="F210" s="72" t="str">
        <f t="shared" si="34"/>
        <v>Hora Cátedra Enseñanza Superior 18 hs</v>
      </c>
      <c r="G210" s="73">
        <f t="shared" si="35"/>
        <v>1782</v>
      </c>
      <c r="H210" s="74">
        <f>INT((G210*Valores!$C$2*100)+0.5)/100</f>
        <v>11818.94</v>
      </c>
      <c r="I210" s="113">
        <v>0</v>
      </c>
      <c r="J210" s="76">
        <f>INT((I210*Valores!$C$2*100)+0.5)/100</f>
        <v>0</v>
      </c>
      <c r="K210" s="103">
        <v>0</v>
      </c>
      <c r="L210" s="76">
        <f>INT((K210*Valores!$C$2*100)+0.5)/100</f>
        <v>0</v>
      </c>
      <c r="M210" s="101">
        <v>0</v>
      </c>
      <c r="N210" s="76">
        <f>INT((M210*Valores!$C$2*100)+0.5)/100</f>
        <v>0</v>
      </c>
      <c r="O210" s="76">
        <f t="shared" si="38"/>
        <v>2063.388</v>
      </c>
      <c r="P210" s="76">
        <f t="shared" si="39"/>
        <v>0</v>
      </c>
      <c r="Q210" s="102">
        <f>Valores!$C$14*D210</f>
        <v>2883.42</v>
      </c>
      <c r="R210" s="102">
        <f>IF(D210&lt;15,(Valores!$E$4*D210),Valores!$D$4)</f>
        <v>2966.67</v>
      </c>
      <c r="S210" s="76">
        <v>0</v>
      </c>
      <c r="T210" s="79">
        <f>IF(Valores!$C$45*D210&gt;Valores!$C$43,Valores!$C$43,Valores!$C$45*D210)</f>
        <v>920.16</v>
      </c>
      <c r="U210" s="102">
        <f>Valores!$C$22*D210</f>
        <v>1016.82</v>
      </c>
      <c r="V210" s="76">
        <f t="shared" si="33"/>
        <v>1016.82</v>
      </c>
      <c r="W210" s="76">
        <v>0</v>
      </c>
      <c r="X210" s="76">
        <v>0</v>
      </c>
      <c r="Y210" s="119">
        <v>0</v>
      </c>
      <c r="Z210" s="76">
        <f>Y210*Valores!$C$2</f>
        <v>0</v>
      </c>
      <c r="AA210" s="76">
        <v>0</v>
      </c>
      <c r="AB210" s="81">
        <f>IF((Valores!$C$32)*D210&gt;Valores!$F$32,Valores!$F$32,(Valores!$C$32)*D210)</f>
        <v>115.56</v>
      </c>
      <c r="AC210" s="76">
        <f t="shared" si="42"/>
        <v>0</v>
      </c>
      <c r="AD210" s="76">
        <f>IF(Valores!$C$33*D210&gt;Valores!$F$33,Valores!$F$33,Valores!$C$33*D210)</f>
        <v>96.12</v>
      </c>
      <c r="AE210" s="80">
        <v>0</v>
      </c>
      <c r="AF210" s="76">
        <f>INT(((AE210*Valores!$C$2)*100)+0.5)/100</f>
        <v>0</v>
      </c>
      <c r="AG210" s="76">
        <f>IF(Valores!$D$58*'Escala Docente'!D210&gt;Valores!$F$58,Valores!$F$58,Valores!$D$58*'Escala Docente'!D210)</f>
        <v>391.14</v>
      </c>
      <c r="AH210" s="76">
        <f>IF(Valores!$D$60*D210&gt;Valores!$F$60,Valores!$F$60,Valores!$D$60*D210)</f>
        <v>111.78</v>
      </c>
      <c r="AI210" s="115">
        <f t="shared" si="43"/>
        <v>22383.997999999996</v>
      </c>
      <c r="AJ210" s="102">
        <f>IF(Valores!$C$36*D210&gt;Valores!$F$36,Valores!$F$36,Valores!$C$36*D210)</f>
        <v>719.1</v>
      </c>
      <c r="AK210" s="79">
        <f>IF(Valores!$C$11*D210&gt;Valores!$F$11,Valores!$F$11,Valores!$C$11*D210)</f>
        <v>0</v>
      </c>
      <c r="AL210" s="79">
        <f>IF(Valores!$C$84*D210&gt;Valores!$C$83,Valores!$C$83,Valores!$C$84*D210)</f>
        <v>1170</v>
      </c>
      <c r="AM210" s="81">
        <f>IF(Valores!$C$56*D210&gt;Valores!$F$56,Valores!$F$56,Valores!$C$56*D210)</f>
        <v>204.84</v>
      </c>
      <c r="AN210" s="83">
        <f t="shared" si="44"/>
        <v>1889.1</v>
      </c>
      <c r="AO210" s="62">
        <f>AI210*-Valores!$C$65</f>
        <v>-2909.9197399999994</v>
      </c>
      <c r="AP210" s="62">
        <f>AI210*-Valores!$C$66</f>
        <v>-111.91998999999998</v>
      </c>
      <c r="AQ210" s="78">
        <f>AI210*-Valores!$C$67</f>
        <v>-1007.2799099999997</v>
      </c>
      <c r="AR210" s="78">
        <f>AI210*-Valores!$C$68</f>
        <v>-604.3679459999998</v>
      </c>
      <c r="AS210" s="78">
        <f>AI210*-Valores!$C$69</f>
        <v>-67.15199399999999</v>
      </c>
      <c r="AT210" s="82">
        <f t="shared" si="40"/>
        <v>20243.978359999994</v>
      </c>
      <c r="AU210" s="82">
        <f t="shared" si="41"/>
        <v>20579.73833</v>
      </c>
      <c r="AV210" s="78">
        <f>AI210*Valores!$C$71</f>
        <v>3581.4396799999995</v>
      </c>
      <c r="AW210" s="78">
        <f>AI210*Valores!$C$72</f>
        <v>1007.2799099999997</v>
      </c>
      <c r="AX210" s="78">
        <f>AI210*Valores!$C$73</f>
        <v>223.83997999999997</v>
      </c>
      <c r="AY210" s="78">
        <f>AI210*Valores!$C$75</f>
        <v>783.4399299999999</v>
      </c>
      <c r="AZ210" s="78">
        <f>AI210*Valores!$C$76</f>
        <v>134.30398799999998</v>
      </c>
      <c r="BA210" s="78">
        <f t="shared" si="45"/>
        <v>1208.735892</v>
      </c>
      <c r="BB210" s="52"/>
      <c r="BC210" s="52">
        <f t="shared" si="36"/>
        <v>72</v>
      </c>
      <c r="BD210" s="28" t="s">
        <v>4</v>
      </c>
    </row>
    <row r="211" spans="1:56" s="28" customFormat="1" ht="11.25" customHeight="1">
      <c r="A211" s="86">
        <v>210</v>
      </c>
      <c r="B211" s="86" t="s">
        <v>163</v>
      </c>
      <c r="C211" s="87" t="s">
        <v>521</v>
      </c>
      <c r="D211" s="87">
        <v>19</v>
      </c>
      <c r="E211" s="87">
        <f t="shared" si="37"/>
        <v>37</v>
      </c>
      <c r="F211" s="88" t="str">
        <f t="shared" si="34"/>
        <v>Hora Cátedra Enseñanza Superior 19 hs</v>
      </c>
      <c r="G211" s="89">
        <f t="shared" si="35"/>
        <v>1881</v>
      </c>
      <c r="H211" s="90">
        <f>INT((G211*Valores!$C$2*100)+0.5)/100</f>
        <v>12475.54</v>
      </c>
      <c r="I211" s="104">
        <v>0</v>
      </c>
      <c r="J211" s="92">
        <f>INT((I211*Valores!$C$2*100)+0.5)/100</f>
        <v>0</v>
      </c>
      <c r="K211" s="105">
        <v>0</v>
      </c>
      <c r="L211" s="92">
        <f>INT((K211*Valores!$C$2*100)+0.5)/100</f>
        <v>0</v>
      </c>
      <c r="M211" s="106">
        <v>0</v>
      </c>
      <c r="N211" s="92">
        <f>INT((M211*Valores!$C$2*100)+0.5)/100</f>
        <v>0</v>
      </c>
      <c r="O211" s="92">
        <f t="shared" si="38"/>
        <v>2178.0195</v>
      </c>
      <c r="P211" s="92">
        <f t="shared" si="39"/>
        <v>0</v>
      </c>
      <c r="Q211" s="108">
        <f>Valores!$C$14*D211</f>
        <v>3043.61</v>
      </c>
      <c r="R211" s="108">
        <f>IF(D211&lt;15,(Valores!$E$4*D211),Valores!$D$4)</f>
        <v>2966.67</v>
      </c>
      <c r="S211" s="92">
        <v>0</v>
      </c>
      <c r="T211" s="95">
        <f>IF(Valores!$C$45*D211&gt;Valores!$C$43,Valores!$C$43,Valores!$C$45*D211)</f>
        <v>971.28</v>
      </c>
      <c r="U211" s="108">
        <f>Valores!$C$22*D211</f>
        <v>1073.31</v>
      </c>
      <c r="V211" s="92">
        <f t="shared" si="33"/>
        <v>1073.31</v>
      </c>
      <c r="W211" s="92">
        <v>0</v>
      </c>
      <c r="X211" s="92">
        <v>0</v>
      </c>
      <c r="Y211" s="120">
        <v>0</v>
      </c>
      <c r="Z211" s="92">
        <f>Y211*Valores!$C$2</f>
        <v>0</v>
      </c>
      <c r="AA211" s="92">
        <v>0</v>
      </c>
      <c r="AB211" s="97">
        <f>IF((Valores!$C$32)*D211&gt;Valores!$F$32,Valores!$F$32,(Valores!$C$32)*D211)</f>
        <v>121.98</v>
      </c>
      <c r="AC211" s="92">
        <f t="shared" si="42"/>
        <v>0</v>
      </c>
      <c r="AD211" s="92">
        <f>IF(Valores!$C$33*D211&gt;Valores!$F$33,Valores!$F$33,Valores!$C$33*D211)</f>
        <v>101.46</v>
      </c>
      <c r="AE211" s="96">
        <v>0</v>
      </c>
      <c r="AF211" s="92">
        <f>INT(((AE211*Valores!$C$2)*100)+0.5)/100</f>
        <v>0</v>
      </c>
      <c r="AG211" s="92">
        <f>IF(Valores!$D$58*'Escala Docente'!D211&gt;Valores!$F$58,Valores!$F$58,Valores!$D$58*'Escala Docente'!D211)</f>
        <v>412.87</v>
      </c>
      <c r="AH211" s="92">
        <f>IF(Valores!$D$60*D211&gt;Valores!$F$60,Valores!$F$60,Valores!$D$60*D211)</f>
        <v>117.99</v>
      </c>
      <c r="AI211" s="116">
        <f t="shared" si="43"/>
        <v>23462.7295</v>
      </c>
      <c r="AJ211" s="108">
        <f>IF(Valores!$C$36*D211&gt;Valores!$F$36,Valores!$F$36,Valores!$C$36*D211)</f>
        <v>759.0500000000001</v>
      </c>
      <c r="AK211" s="95">
        <f>IF(Valores!$C$11*D211&gt;Valores!$F$11,Valores!$F$11,Valores!$C$11*D211)</f>
        <v>0</v>
      </c>
      <c r="AL211" s="95">
        <f>IF(Valores!$C$84*D211&gt;Valores!$C$83,Valores!$C$83,Valores!$C$84*D211)</f>
        <v>1235</v>
      </c>
      <c r="AM211" s="97">
        <f>IF(Valores!$C$56*D211&gt;Valores!$F$56,Valores!$F$56,Valores!$C$56*D211)</f>
        <v>216.22000000000003</v>
      </c>
      <c r="AN211" s="99">
        <f t="shared" si="44"/>
        <v>1994.0500000000002</v>
      </c>
      <c r="AO211" s="117">
        <f>AI211*-Valores!$C$65</f>
        <v>-3050.1548350000003</v>
      </c>
      <c r="AP211" s="117">
        <f>AI211*-Valores!$C$66</f>
        <v>-117.3136475</v>
      </c>
      <c r="AQ211" s="94">
        <f>AI211*-Valores!$C$67</f>
        <v>-1055.8228275000001</v>
      </c>
      <c r="AR211" s="94">
        <f>AI211*-Valores!$C$68</f>
        <v>-633.4936965</v>
      </c>
      <c r="AS211" s="94">
        <f>AI211*-Valores!$C$69</f>
        <v>-70.3881885</v>
      </c>
      <c r="AT211" s="98">
        <f t="shared" si="40"/>
        <v>21233.48819</v>
      </c>
      <c r="AU211" s="98">
        <f t="shared" si="41"/>
        <v>21585.429132499998</v>
      </c>
      <c r="AV211" s="94">
        <f>AI211*Valores!$C$71</f>
        <v>3754.03672</v>
      </c>
      <c r="AW211" s="94">
        <f>AI211*Valores!$C$72</f>
        <v>1055.8228275000001</v>
      </c>
      <c r="AX211" s="94">
        <f>AI211*Valores!$C$73</f>
        <v>234.627295</v>
      </c>
      <c r="AY211" s="94">
        <f>AI211*Valores!$C$75</f>
        <v>821.1955325000001</v>
      </c>
      <c r="AZ211" s="94">
        <f>AI211*Valores!$C$76</f>
        <v>140.776377</v>
      </c>
      <c r="BA211" s="94">
        <f t="shared" si="45"/>
        <v>1266.987393</v>
      </c>
      <c r="BB211" s="86"/>
      <c r="BC211" s="86">
        <f t="shared" si="36"/>
        <v>76</v>
      </c>
      <c r="BD211" s="87" t="s">
        <v>4</v>
      </c>
    </row>
    <row r="212" spans="1:56" s="28" customFormat="1" ht="11.25" customHeight="1">
      <c r="A212" s="52">
        <v>211</v>
      </c>
      <c r="B212" s="52"/>
      <c r="C212" s="28" t="s">
        <v>521</v>
      </c>
      <c r="D212" s="28">
        <v>20</v>
      </c>
      <c r="E212" s="28">
        <f t="shared" si="37"/>
        <v>37</v>
      </c>
      <c r="F212" s="72" t="str">
        <f t="shared" si="34"/>
        <v>Hora Cátedra Enseñanza Superior 20 hs</v>
      </c>
      <c r="G212" s="73">
        <f t="shared" si="35"/>
        <v>1980</v>
      </c>
      <c r="H212" s="74">
        <f>INT((G212*Valores!$C$2*100)+0.5)/100</f>
        <v>13132.15</v>
      </c>
      <c r="I212" s="113">
        <v>0</v>
      </c>
      <c r="J212" s="76">
        <f>INT((I212*Valores!$C$2*100)+0.5)/100</f>
        <v>0</v>
      </c>
      <c r="K212" s="103">
        <v>0</v>
      </c>
      <c r="L212" s="76">
        <f>INT((K212*Valores!$C$2*100)+0.5)/100</f>
        <v>0</v>
      </c>
      <c r="M212" s="101">
        <v>0</v>
      </c>
      <c r="N212" s="76">
        <f>INT((M212*Valores!$C$2*100)+0.5)/100</f>
        <v>0</v>
      </c>
      <c r="O212" s="76">
        <f t="shared" si="38"/>
        <v>2292.6524999999997</v>
      </c>
      <c r="P212" s="76">
        <f t="shared" si="39"/>
        <v>0</v>
      </c>
      <c r="Q212" s="102">
        <f>Valores!$C$14*D212</f>
        <v>3203.8</v>
      </c>
      <c r="R212" s="102">
        <f>IF(D212&lt;15,(Valores!$E$4*D212),Valores!$D$4)</f>
        <v>2966.67</v>
      </c>
      <c r="S212" s="76">
        <v>0</v>
      </c>
      <c r="T212" s="79">
        <f>IF(Valores!$C$45*D212&gt;Valores!$C$43,Valores!$C$43,Valores!$C$45*D212)</f>
        <v>1022.4</v>
      </c>
      <c r="U212" s="102">
        <f>Valores!$C$22*D212</f>
        <v>1129.8</v>
      </c>
      <c r="V212" s="76">
        <f t="shared" si="33"/>
        <v>1129.8</v>
      </c>
      <c r="W212" s="76">
        <v>0</v>
      </c>
      <c r="X212" s="76">
        <v>0</v>
      </c>
      <c r="Y212" s="119">
        <v>0</v>
      </c>
      <c r="Z212" s="76">
        <f>Y212*Valores!$C$2</f>
        <v>0</v>
      </c>
      <c r="AA212" s="76">
        <v>0</v>
      </c>
      <c r="AB212" s="81">
        <f>IF((Valores!$C$32)*D212&gt;Valores!$F$32,Valores!$F$32,(Valores!$C$32)*D212)</f>
        <v>128.4</v>
      </c>
      <c r="AC212" s="76">
        <f t="shared" si="42"/>
        <v>0</v>
      </c>
      <c r="AD212" s="76">
        <f>IF(Valores!$C$33*D212&gt;Valores!$F$33,Valores!$F$33,Valores!$C$33*D212)</f>
        <v>106.8</v>
      </c>
      <c r="AE212" s="80">
        <v>0</v>
      </c>
      <c r="AF212" s="76">
        <f>INT(((AE212*Valores!$C$2)*100)+0.5)/100</f>
        <v>0</v>
      </c>
      <c r="AG212" s="76">
        <f>IF(Valores!$D$58*'Escala Docente'!D212&gt;Valores!$F$58,Valores!$F$58,Valores!$D$58*'Escala Docente'!D212)</f>
        <v>434.6</v>
      </c>
      <c r="AH212" s="76">
        <f>IF(Valores!$D$60*D212&gt;Valores!$F$60,Valores!$F$60,Valores!$D$60*D212)</f>
        <v>124.2</v>
      </c>
      <c r="AI212" s="115">
        <f t="shared" si="43"/>
        <v>24541.4725</v>
      </c>
      <c r="AJ212" s="102">
        <f>IF(Valores!$C$36*D212&gt;Valores!$F$36,Valores!$F$36,Valores!$C$36*D212)</f>
        <v>799</v>
      </c>
      <c r="AK212" s="79">
        <f>IF(Valores!$C$11*D212&gt;Valores!$F$11,Valores!$F$11,Valores!$C$11*D212)</f>
        <v>0</v>
      </c>
      <c r="AL212" s="79">
        <f>IF(Valores!$C$84*D212&gt;Valores!$C$83,Valores!$C$83,Valores!$C$84*D212)</f>
        <v>1300</v>
      </c>
      <c r="AM212" s="81">
        <f>IF(Valores!$C$56*D212&gt;Valores!$F$56,Valores!$F$56,Valores!$C$56*D212)</f>
        <v>227.60000000000002</v>
      </c>
      <c r="AN212" s="83">
        <f t="shared" si="44"/>
        <v>2099</v>
      </c>
      <c r="AO212" s="62">
        <f>AI212*-Valores!$C$65</f>
        <v>-3190.3914250000003</v>
      </c>
      <c r="AP212" s="62">
        <f>AI212*-Valores!$C$66</f>
        <v>-122.7073625</v>
      </c>
      <c r="AQ212" s="78">
        <f>AI212*-Valores!$C$67</f>
        <v>-1104.3662625</v>
      </c>
      <c r="AR212" s="78">
        <f>AI212*-Valores!$C$68</f>
        <v>-662.6197575</v>
      </c>
      <c r="AS212" s="78">
        <f>AI212*-Valores!$C$69</f>
        <v>-73.6244175</v>
      </c>
      <c r="AT212" s="82">
        <f t="shared" si="40"/>
        <v>22223.007449999997</v>
      </c>
      <c r="AU212" s="82">
        <f t="shared" si="41"/>
        <v>22591.129537499997</v>
      </c>
      <c r="AV212" s="78">
        <f>AI212*Valores!$C$71</f>
        <v>3926.6356</v>
      </c>
      <c r="AW212" s="78">
        <f>AI212*Valores!$C$72</f>
        <v>1104.3662625</v>
      </c>
      <c r="AX212" s="78">
        <f>AI212*Valores!$C$73</f>
        <v>245.414725</v>
      </c>
      <c r="AY212" s="78">
        <f>AI212*Valores!$C$75</f>
        <v>858.9515375000001</v>
      </c>
      <c r="AZ212" s="78">
        <f>AI212*Valores!$C$76</f>
        <v>147.248835</v>
      </c>
      <c r="BA212" s="78">
        <f t="shared" si="45"/>
        <v>1325.239515</v>
      </c>
      <c r="BB212" s="52"/>
      <c r="BC212" s="52">
        <f t="shared" si="36"/>
        <v>80</v>
      </c>
      <c r="BD212" s="28" t="s">
        <v>4</v>
      </c>
    </row>
    <row r="213" spans="1:56" s="28" customFormat="1" ht="11.25" customHeight="1">
      <c r="A213" s="52">
        <v>212</v>
      </c>
      <c r="B213" s="52"/>
      <c r="C213" s="28" t="s">
        <v>521</v>
      </c>
      <c r="D213" s="28">
        <v>21</v>
      </c>
      <c r="E213" s="28">
        <f t="shared" si="37"/>
        <v>37</v>
      </c>
      <c r="F213" s="72" t="str">
        <f t="shared" si="34"/>
        <v>Hora Cátedra Enseñanza Superior 21 hs</v>
      </c>
      <c r="G213" s="73">
        <f t="shared" si="35"/>
        <v>2079</v>
      </c>
      <c r="H213" s="74">
        <f>INT((G213*Valores!$C$2*100)+0.5)/100</f>
        <v>13788.76</v>
      </c>
      <c r="I213" s="113">
        <v>0</v>
      </c>
      <c r="J213" s="76">
        <f>INT((I213*Valores!$C$2*100)+0.5)/100</f>
        <v>0</v>
      </c>
      <c r="K213" s="103">
        <v>0</v>
      </c>
      <c r="L213" s="76">
        <f>INT((K213*Valores!$C$2*100)+0.5)/100</f>
        <v>0</v>
      </c>
      <c r="M213" s="101">
        <v>0</v>
      </c>
      <c r="N213" s="76">
        <f>INT((M213*Valores!$C$2*100)+0.5)/100</f>
        <v>0</v>
      </c>
      <c r="O213" s="76">
        <f t="shared" si="38"/>
        <v>2407.2855</v>
      </c>
      <c r="P213" s="76">
        <f t="shared" si="39"/>
        <v>0</v>
      </c>
      <c r="Q213" s="102">
        <f>Valores!$C$14*D213</f>
        <v>3363.99</v>
      </c>
      <c r="R213" s="102">
        <f>IF(D213&lt;15,(Valores!$E$4*D213),Valores!$D$4)</f>
        <v>2966.67</v>
      </c>
      <c r="S213" s="76">
        <v>0</v>
      </c>
      <c r="T213" s="79">
        <f>IF(Valores!$C$45*D213&gt;Valores!$C$43,Valores!$C$43,Valores!$C$45*D213)</f>
        <v>1073.52</v>
      </c>
      <c r="U213" s="102">
        <f>Valores!$C$22*D213</f>
        <v>1186.29</v>
      </c>
      <c r="V213" s="76">
        <f t="shared" si="33"/>
        <v>1186.29</v>
      </c>
      <c r="W213" s="76">
        <v>0</v>
      </c>
      <c r="X213" s="76">
        <v>0</v>
      </c>
      <c r="Y213" s="119">
        <v>0</v>
      </c>
      <c r="Z213" s="76">
        <f>Y213*Valores!$C$2</f>
        <v>0</v>
      </c>
      <c r="AA213" s="76">
        <v>0</v>
      </c>
      <c r="AB213" s="81">
        <f>IF((Valores!$C$32)*D213&gt;Valores!$F$32,Valores!$F$32,(Valores!$C$32)*D213)</f>
        <v>134.82</v>
      </c>
      <c r="AC213" s="76">
        <f t="shared" si="42"/>
        <v>0</v>
      </c>
      <c r="AD213" s="76">
        <f>IF(Valores!$C$33*D213&gt;Valores!$F$33,Valores!$F$33,Valores!$C$33*D213)</f>
        <v>112.14</v>
      </c>
      <c r="AE213" s="80">
        <v>0</v>
      </c>
      <c r="AF213" s="76">
        <f>INT(((AE213*Valores!$C$2)*100)+0.5)/100</f>
        <v>0</v>
      </c>
      <c r="AG213" s="76">
        <f>IF(Valores!$D$58*'Escala Docente'!D213&gt;Valores!$F$58,Valores!$F$58,Valores!$D$58*'Escala Docente'!D213)</f>
        <v>456.33</v>
      </c>
      <c r="AH213" s="76">
        <f>IF(Valores!$D$60*D213&gt;Valores!$F$60,Valores!$F$60,Valores!$D$60*D213)</f>
        <v>130.41</v>
      </c>
      <c r="AI213" s="115">
        <f t="shared" si="43"/>
        <v>25620.2155</v>
      </c>
      <c r="AJ213" s="102">
        <f>IF(Valores!$C$36*D213&gt;Valores!$F$36,Valores!$F$36,Valores!$C$36*D213)</f>
        <v>838.95</v>
      </c>
      <c r="AK213" s="79">
        <f>IF(Valores!$C$11*D213&gt;Valores!$F$11,Valores!$F$11,Valores!$C$11*D213)</f>
        <v>0</v>
      </c>
      <c r="AL213" s="79">
        <f>IF(Valores!$C$84*D213&gt;Valores!$C$83,Valores!$C$83,Valores!$C$84*D213)</f>
        <v>1365</v>
      </c>
      <c r="AM213" s="81">
        <f>IF(Valores!$C$56*D213&gt;Valores!$F$56,Valores!$F$56,Valores!$C$56*D213)</f>
        <v>238.98000000000002</v>
      </c>
      <c r="AN213" s="83">
        <f t="shared" si="44"/>
        <v>2203.95</v>
      </c>
      <c r="AO213" s="62">
        <f>AI213*-Valores!$C$65</f>
        <v>-3330.628015</v>
      </c>
      <c r="AP213" s="62">
        <f>AI213*-Valores!$C$66</f>
        <v>-128.1010775</v>
      </c>
      <c r="AQ213" s="78">
        <f>AI213*-Valores!$C$67</f>
        <v>-1152.9096975</v>
      </c>
      <c r="AR213" s="78">
        <f>AI213*-Valores!$C$68</f>
        <v>-691.7458184999999</v>
      </c>
      <c r="AS213" s="78">
        <f>AI213*-Valores!$C$69</f>
        <v>-76.8606465</v>
      </c>
      <c r="AT213" s="82">
        <f t="shared" si="40"/>
        <v>23212.526710000002</v>
      </c>
      <c r="AU213" s="82">
        <f t="shared" si="41"/>
        <v>23596.8299425</v>
      </c>
      <c r="AV213" s="78">
        <f>AI213*Valores!$C$71</f>
        <v>4099.23448</v>
      </c>
      <c r="AW213" s="78">
        <f>AI213*Valores!$C$72</f>
        <v>1152.9096975</v>
      </c>
      <c r="AX213" s="78">
        <f>AI213*Valores!$C$73</f>
        <v>256.202155</v>
      </c>
      <c r="AY213" s="78">
        <f>AI213*Valores!$C$75</f>
        <v>896.7075425</v>
      </c>
      <c r="AZ213" s="78">
        <f>AI213*Valores!$C$76</f>
        <v>153.721293</v>
      </c>
      <c r="BA213" s="78">
        <f t="shared" si="45"/>
        <v>1383.491637</v>
      </c>
      <c r="BB213" s="52"/>
      <c r="BC213" s="52">
        <f t="shared" si="36"/>
        <v>84</v>
      </c>
      <c r="BD213" s="28" t="s">
        <v>8</v>
      </c>
    </row>
    <row r="214" spans="1:56" s="28" customFormat="1" ht="11.25" customHeight="1">
      <c r="A214" s="52">
        <v>213</v>
      </c>
      <c r="B214" s="52"/>
      <c r="C214" s="28" t="s">
        <v>521</v>
      </c>
      <c r="D214" s="28">
        <v>22</v>
      </c>
      <c r="E214" s="28">
        <f t="shared" si="37"/>
        <v>37</v>
      </c>
      <c r="F214" s="72" t="str">
        <f t="shared" si="34"/>
        <v>Hora Cátedra Enseñanza Superior 22 hs</v>
      </c>
      <c r="G214" s="73">
        <f t="shared" si="35"/>
        <v>2178</v>
      </c>
      <c r="H214" s="74">
        <f>INT((G214*Valores!$C$2*100)+0.5)/100</f>
        <v>14445.37</v>
      </c>
      <c r="I214" s="113">
        <v>0</v>
      </c>
      <c r="J214" s="76">
        <f>INT((I214*Valores!$C$2*100)+0.5)/100</f>
        <v>0</v>
      </c>
      <c r="K214" s="103">
        <v>0</v>
      </c>
      <c r="L214" s="76">
        <f>INT((K214*Valores!$C$2*100)+0.5)/100</f>
        <v>0</v>
      </c>
      <c r="M214" s="101">
        <v>0</v>
      </c>
      <c r="N214" s="76">
        <f>INT((M214*Valores!$C$2*100)+0.5)/100</f>
        <v>0</v>
      </c>
      <c r="O214" s="76">
        <f t="shared" si="38"/>
        <v>2521.9185</v>
      </c>
      <c r="P214" s="76">
        <f t="shared" si="39"/>
        <v>0</v>
      </c>
      <c r="Q214" s="102">
        <f>Valores!$C$14*D214</f>
        <v>3524.18</v>
      </c>
      <c r="R214" s="102">
        <f>IF(D214&lt;15,(Valores!$E$4*D214),Valores!$D$4)</f>
        <v>2966.67</v>
      </c>
      <c r="S214" s="76">
        <v>0</v>
      </c>
      <c r="T214" s="79">
        <f>IF(Valores!$C$45*D214&gt;Valores!$C$43,Valores!$C$43,Valores!$C$45*D214)</f>
        <v>1124.6399999999999</v>
      </c>
      <c r="U214" s="102">
        <f>Valores!$C$22*D214</f>
        <v>1242.78</v>
      </c>
      <c r="V214" s="76">
        <f t="shared" si="33"/>
        <v>1242.78</v>
      </c>
      <c r="W214" s="76">
        <v>0</v>
      </c>
      <c r="X214" s="76">
        <v>0</v>
      </c>
      <c r="Y214" s="119">
        <v>0</v>
      </c>
      <c r="Z214" s="76">
        <f>Y214*Valores!$C$2</f>
        <v>0</v>
      </c>
      <c r="AA214" s="76">
        <v>0</v>
      </c>
      <c r="AB214" s="81">
        <f>IF((Valores!$C$32)*D214&gt;Valores!$F$32,Valores!$F$32,(Valores!$C$32)*D214)</f>
        <v>141.24</v>
      </c>
      <c r="AC214" s="76">
        <f t="shared" si="42"/>
        <v>0</v>
      </c>
      <c r="AD214" s="76">
        <f>IF(Valores!$C$33*D214&gt;Valores!$F$33,Valores!$F$33,Valores!$C$33*D214)</f>
        <v>117.47999999999999</v>
      </c>
      <c r="AE214" s="80">
        <v>0</v>
      </c>
      <c r="AF214" s="76">
        <f>INT(((AE214*Valores!$C$2)*100)+0.5)/100</f>
        <v>0</v>
      </c>
      <c r="AG214" s="76">
        <f>IF(Valores!$D$58*'Escala Docente'!D214&gt;Valores!$F$58,Valores!$F$58,Valores!$D$58*'Escala Docente'!D214)</f>
        <v>478.06</v>
      </c>
      <c r="AH214" s="76">
        <f>IF(Valores!$D$60*D214&gt;Valores!$F$60,Valores!$F$60,Valores!$D$60*D214)</f>
        <v>136.62</v>
      </c>
      <c r="AI214" s="115">
        <f t="shared" si="43"/>
        <v>26698.9585</v>
      </c>
      <c r="AJ214" s="102">
        <f>IF(Valores!$C$36*D214&gt;Valores!$F$36,Valores!$F$36,Valores!$C$36*D214)</f>
        <v>878.9000000000001</v>
      </c>
      <c r="AK214" s="79">
        <f>IF(Valores!$C$11*D214&gt;Valores!$F$11,Valores!$F$11,Valores!$C$11*D214)</f>
        <v>0</v>
      </c>
      <c r="AL214" s="79">
        <f>IF(Valores!$C$84*D214&gt;Valores!$C$83,Valores!$C$83,Valores!$C$84*D214)</f>
        <v>1430</v>
      </c>
      <c r="AM214" s="81">
        <f>IF(Valores!$C$56*D214&gt;Valores!$F$56,Valores!$F$56,Valores!$C$56*D214)</f>
        <v>250.36</v>
      </c>
      <c r="AN214" s="83">
        <f t="shared" si="44"/>
        <v>2308.9</v>
      </c>
      <c r="AO214" s="62">
        <f>AI214*-Valores!$C$65</f>
        <v>-3470.864605</v>
      </c>
      <c r="AP214" s="62">
        <f>AI214*-Valores!$C$66</f>
        <v>-133.49479250000002</v>
      </c>
      <c r="AQ214" s="78">
        <f>AI214*-Valores!$C$67</f>
        <v>-1201.4531325</v>
      </c>
      <c r="AR214" s="78">
        <f>AI214*-Valores!$C$68</f>
        <v>-720.8718795</v>
      </c>
      <c r="AS214" s="78">
        <f>AI214*-Valores!$C$69</f>
        <v>-80.09687550000001</v>
      </c>
      <c r="AT214" s="82">
        <f t="shared" si="40"/>
        <v>24202.045970000003</v>
      </c>
      <c r="AU214" s="82">
        <f t="shared" si="41"/>
        <v>24602.530347500004</v>
      </c>
      <c r="AV214" s="78">
        <f>AI214*Valores!$C$71</f>
        <v>4271.8333600000005</v>
      </c>
      <c r="AW214" s="78">
        <f>AI214*Valores!$C$72</f>
        <v>1201.4531325</v>
      </c>
      <c r="AX214" s="78">
        <f>AI214*Valores!$C$73</f>
        <v>266.98958500000003</v>
      </c>
      <c r="AY214" s="78">
        <f>AI214*Valores!$C$75</f>
        <v>934.4635475000001</v>
      </c>
      <c r="AZ214" s="78">
        <f>AI214*Valores!$C$76</f>
        <v>160.19375100000002</v>
      </c>
      <c r="BA214" s="78">
        <f t="shared" si="45"/>
        <v>1441.7437590000002</v>
      </c>
      <c r="BB214" s="52"/>
      <c r="BC214" s="86">
        <f t="shared" si="36"/>
        <v>88</v>
      </c>
      <c r="BD214" s="28" t="s">
        <v>4</v>
      </c>
    </row>
    <row r="215" spans="1:56" s="28" customFormat="1" ht="11.25" customHeight="1">
      <c r="A215" s="52">
        <v>214</v>
      </c>
      <c r="B215" s="52"/>
      <c r="C215" s="28" t="s">
        <v>521</v>
      </c>
      <c r="D215" s="28">
        <v>23</v>
      </c>
      <c r="E215" s="28">
        <f t="shared" si="37"/>
        <v>37</v>
      </c>
      <c r="F215" s="72" t="str">
        <f t="shared" si="34"/>
        <v>Hora Cátedra Enseñanza Superior 23 hs</v>
      </c>
      <c r="G215" s="73">
        <f t="shared" si="35"/>
        <v>2277</v>
      </c>
      <c r="H215" s="74">
        <f>INT((G215*Valores!$C$2*100)+0.5)/100</f>
        <v>15101.97</v>
      </c>
      <c r="I215" s="113">
        <v>0</v>
      </c>
      <c r="J215" s="76">
        <f>INT((I215*Valores!$C$2*100)+0.5)/100</f>
        <v>0</v>
      </c>
      <c r="K215" s="103">
        <v>0</v>
      </c>
      <c r="L215" s="76">
        <f>INT((K215*Valores!$C$2*100)+0.5)/100</f>
        <v>0</v>
      </c>
      <c r="M215" s="101">
        <v>0</v>
      </c>
      <c r="N215" s="76">
        <f>INT((M215*Valores!$C$2*100)+0.5)/100</f>
        <v>0</v>
      </c>
      <c r="O215" s="76">
        <f t="shared" si="38"/>
        <v>2636.5499999999993</v>
      </c>
      <c r="P215" s="76">
        <f t="shared" si="39"/>
        <v>0</v>
      </c>
      <c r="Q215" s="102">
        <f>Valores!$C$14*D215</f>
        <v>3684.37</v>
      </c>
      <c r="R215" s="102">
        <f>IF(D215&lt;15,(Valores!$E$4*D215),Valores!$D$4)</f>
        <v>2966.67</v>
      </c>
      <c r="S215" s="76">
        <v>0</v>
      </c>
      <c r="T215" s="79">
        <f>IF(Valores!$C$45*D215&gt;Valores!$C$43,Valores!$C$43,Valores!$C$45*D215)</f>
        <v>1175.76</v>
      </c>
      <c r="U215" s="102">
        <f>Valores!$C$22*D215</f>
        <v>1299.27</v>
      </c>
      <c r="V215" s="76">
        <f t="shared" si="33"/>
        <v>1299.27</v>
      </c>
      <c r="W215" s="76">
        <v>0</v>
      </c>
      <c r="X215" s="76">
        <v>0</v>
      </c>
      <c r="Y215" s="119">
        <v>0</v>
      </c>
      <c r="Z215" s="76">
        <f>Y215*Valores!$C$2</f>
        <v>0</v>
      </c>
      <c r="AA215" s="76">
        <v>0</v>
      </c>
      <c r="AB215" s="81">
        <f>IF((Valores!$C$32)*D215&gt;Valores!$F$32,Valores!$F$32,(Valores!$C$32)*D215)</f>
        <v>147.66</v>
      </c>
      <c r="AC215" s="76">
        <f t="shared" si="42"/>
        <v>0</v>
      </c>
      <c r="AD215" s="76">
        <f>IF(Valores!$C$33*D215&gt;Valores!$F$33,Valores!$F$33,Valores!$C$33*D215)</f>
        <v>122.82</v>
      </c>
      <c r="AE215" s="80">
        <v>0</v>
      </c>
      <c r="AF215" s="76">
        <f>INT(((AE215*Valores!$C$2)*100)+0.5)/100</f>
        <v>0</v>
      </c>
      <c r="AG215" s="76">
        <f>IF(Valores!$D$58*'Escala Docente'!D215&gt;Valores!$F$58,Valores!$F$58,Valores!$D$58*'Escala Docente'!D215)</f>
        <v>499.79</v>
      </c>
      <c r="AH215" s="76">
        <f>IF(Valores!$D$60*D215&gt;Valores!$F$60,Valores!$F$60,Valores!$D$60*D215)</f>
        <v>142.83</v>
      </c>
      <c r="AI215" s="115">
        <f t="shared" si="43"/>
        <v>27777.69</v>
      </c>
      <c r="AJ215" s="102">
        <f>IF(Valores!$C$36*D215&gt;Valores!$F$36,Valores!$F$36,Valores!$C$36*D215)</f>
        <v>918.85</v>
      </c>
      <c r="AK215" s="79">
        <f>IF(Valores!$C$11*D215&gt;Valores!$F$11,Valores!$F$11,Valores!$C$11*D215)</f>
        <v>0</v>
      </c>
      <c r="AL215" s="79">
        <f>IF(Valores!$C$84*D215&gt;Valores!$C$83,Valores!$C$83,Valores!$C$84*D215)</f>
        <v>1495</v>
      </c>
      <c r="AM215" s="81">
        <f>IF(Valores!$C$56*D215&gt;Valores!$F$56,Valores!$F$56,Valores!$C$56*D215)</f>
        <v>261.74</v>
      </c>
      <c r="AN215" s="83">
        <f t="shared" si="44"/>
        <v>2413.85</v>
      </c>
      <c r="AO215" s="62">
        <f>AI215*-Valores!$C$65</f>
        <v>-3611.0996999999998</v>
      </c>
      <c r="AP215" s="62">
        <f>AI215*-Valores!$C$66</f>
        <v>-138.88845</v>
      </c>
      <c r="AQ215" s="78">
        <f>AI215*-Valores!$C$67</f>
        <v>-1249.99605</v>
      </c>
      <c r="AR215" s="78">
        <f>AI215*-Valores!$C$68</f>
        <v>-749.99763</v>
      </c>
      <c r="AS215" s="78">
        <f>AI215*-Valores!$C$69</f>
        <v>-83.33306999999999</v>
      </c>
      <c r="AT215" s="82">
        <f t="shared" si="40"/>
        <v>25191.5558</v>
      </c>
      <c r="AU215" s="82">
        <f t="shared" si="41"/>
        <v>25608.221149999998</v>
      </c>
      <c r="AV215" s="78">
        <f>AI215*Valores!$C$71</f>
        <v>4444.4304</v>
      </c>
      <c r="AW215" s="78">
        <f>AI215*Valores!$C$72</f>
        <v>1249.99605</v>
      </c>
      <c r="AX215" s="78">
        <f>AI215*Valores!$C$73</f>
        <v>277.7769</v>
      </c>
      <c r="AY215" s="78">
        <f>AI215*Valores!$C$75</f>
        <v>972.21915</v>
      </c>
      <c r="AZ215" s="78">
        <f>AI215*Valores!$C$76</f>
        <v>166.66613999999998</v>
      </c>
      <c r="BA215" s="78">
        <f t="shared" si="45"/>
        <v>1499.9952600000001</v>
      </c>
      <c r="BB215" s="52"/>
      <c r="BC215" s="52">
        <f t="shared" si="36"/>
        <v>92</v>
      </c>
      <c r="BD215" s="28" t="s">
        <v>8</v>
      </c>
    </row>
    <row r="216" spans="1:56" s="28" customFormat="1" ht="11.25" customHeight="1">
      <c r="A216" s="86">
        <v>215</v>
      </c>
      <c r="B216" s="86" t="s">
        <v>163</v>
      </c>
      <c r="C216" s="87" t="s">
        <v>521</v>
      </c>
      <c r="D216" s="87">
        <v>24</v>
      </c>
      <c r="E216" s="87">
        <f t="shared" si="37"/>
        <v>37</v>
      </c>
      <c r="F216" s="88" t="str">
        <f t="shared" si="34"/>
        <v>Hora Cátedra Enseñanza Superior 24 hs</v>
      </c>
      <c r="G216" s="89">
        <f t="shared" si="35"/>
        <v>2376</v>
      </c>
      <c r="H216" s="90">
        <f>INT((G216*Valores!$C$2*100)+0.5)/100</f>
        <v>15758.58</v>
      </c>
      <c r="I216" s="104">
        <v>0</v>
      </c>
      <c r="J216" s="92">
        <f>INT((I216*Valores!$C$2*100)+0.5)/100</f>
        <v>0</v>
      </c>
      <c r="K216" s="105">
        <v>0</v>
      </c>
      <c r="L216" s="92">
        <f>INT((K216*Valores!$C$2*100)+0.5)/100</f>
        <v>0</v>
      </c>
      <c r="M216" s="106">
        <v>0</v>
      </c>
      <c r="N216" s="92">
        <f>INT((M216*Valores!$C$2*100)+0.5)/100</f>
        <v>0</v>
      </c>
      <c r="O216" s="92">
        <f t="shared" si="38"/>
        <v>2751.183</v>
      </c>
      <c r="P216" s="92">
        <f t="shared" si="39"/>
        <v>0</v>
      </c>
      <c r="Q216" s="108">
        <f>Valores!$C$14*D216</f>
        <v>3844.56</v>
      </c>
      <c r="R216" s="108">
        <f>IF(D216&lt;15,(Valores!$E$4*D216),Valores!$D$4)</f>
        <v>2966.67</v>
      </c>
      <c r="S216" s="92">
        <v>0</v>
      </c>
      <c r="T216" s="95">
        <f>IF(Valores!$C$45*D216&gt;Valores!$C$43,Valores!$C$43,Valores!$C$45*D216)</f>
        <v>1226.8799999999999</v>
      </c>
      <c r="U216" s="108">
        <f>Valores!$C$22*D216</f>
        <v>1355.76</v>
      </c>
      <c r="V216" s="92">
        <f t="shared" si="33"/>
        <v>1355.76</v>
      </c>
      <c r="W216" s="92">
        <v>0</v>
      </c>
      <c r="X216" s="92">
        <v>0</v>
      </c>
      <c r="Y216" s="120">
        <v>0</v>
      </c>
      <c r="Z216" s="92">
        <f>Y216*Valores!$C$2</f>
        <v>0</v>
      </c>
      <c r="AA216" s="92">
        <v>0</v>
      </c>
      <c r="AB216" s="97">
        <f>IF((Valores!$C$32)*D216&gt;Valores!$F$32,Valores!$F$32,(Valores!$C$32)*D216)</f>
        <v>154.07999999999998</v>
      </c>
      <c r="AC216" s="92">
        <f t="shared" si="42"/>
        <v>0</v>
      </c>
      <c r="AD216" s="92">
        <f>IF(Valores!$C$33*D216&gt;Valores!$F$33,Valores!$F$33,Valores!$C$33*D216)</f>
        <v>128.16</v>
      </c>
      <c r="AE216" s="96">
        <v>0</v>
      </c>
      <c r="AF216" s="92">
        <f>INT(((AE216*Valores!$C$2)*100)+0.5)/100</f>
        <v>0</v>
      </c>
      <c r="AG216" s="92">
        <f>IF(Valores!$D$58*'Escala Docente'!D216&gt;Valores!$F$58,Valores!$F$58,Valores!$D$58*'Escala Docente'!D216)</f>
        <v>521.52</v>
      </c>
      <c r="AH216" s="92">
        <f>IF(Valores!$D$60*D216&gt;Valores!$F$60,Valores!$F$60,Valores!$D$60*D216)</f>
        <v>149.04</v>
      </c>
      <c r="AI216" s="116">
        <f t="shared" si="43"/>
        <v>28856.433000000005</v>
      </c>
      <c r="AJ216" s="108">
        <f>IF(Valores!$C$36*D216&gt;Valores!$F$36,Valores!$F$36,Valores!$C$36*D216)</f>
        <v>958.8000000000001</v>
      </c>
      <c r="AK216" s="95">
        <f>IF(Valores!$C$11*D216&gt;Valores!$F$11,Valores!$F$11,Valores!$C$11*D216)</f>
        <v>0</v>
      </c>
      <c r="AL216" s="95">
        <f>IF(Valores!$C$84*D216&gt;Valores!$C$83,Valores!$C$83,Valores!$C$84*D216)</f>
        <v>1560</v>
      </c>
      <c r="AM216" s="97">
        <f>IF(Valores!$C$56*D216&gt;Valores!$F$56,Valores!$F$56,Valores!$C$56*D216)</f>
        <v>265.48</v>
      </c>
      <c r="AN216" s="99">
        <f t="shared" si="44"/>
        <v>2518.8</v>
      </c>
      <c r="AO216" s="117">
        <f>AI216*-Valores!$C$65</f>
        <v>-3751.3362900000006</v>
      </c>
      <c r="AP216" s="117">
        <f>AI216*-Valores!$C$66</f>
        <v>-144.28216500000002</v>
      </c>
      <c r="AQ216" s="94">
        <f>AI216*-Valores!$C$67</f>
        <v>-1298.5394850000002</v>
      </c>
      <c r="AR216" s="94">
        <f>AI216*-Valores!$C$68</f>
        <v>-779.1236910000001</v>
      </c>
      <c r="AS216" s="94">
        <f>AI216*-Valores!$C$69</f>
        <v>-86.56929900000002</v>
      </c>
      <c r="AT216" s="98">
        <f t="shared" si="40"/>
        <v>26181.075060000003</v>
      </c>
      <c r="AU216" s="98">
        <f t="shared" si="41"/>
        <v>26613.921555000004</v>
      </c>
      <c r="AV216" s="94">
        <f>AI216*Valores!$C$71</f>
        <v>4617.029280000001</v>
      </c>
      <c r="AW216" s="94">
        <f>AI216*Valores!$C$72</f>
        <v>1298.5394850000002</v>
      </c>
      <c r="AX216" s="94">
        <f>AI216*Valores!$C$73</f>
        <v>288.56433000000004</v>
      </c>
      <c r="AY216" s="94">
        <f>AI216*Valores!$C$75</f>
        <v>1009.9751550000002</v>
      </c>
      <c r="AZ216" s="94">
        <f>AI216*Valores!$C$76</f>
        <v>173.13859800000003</v>
      </c>
      <c r="BA216" s="94">
        <f t="shared" si="45"/>
        <v>1558.2473820000002</v>
      </c>
      <c r="BB216" s="86"/>
      <c r="BC216" s="86">
        <f t="shared" si="36"/>
        <v>96</v>
      </c>
      <c r="BD216" s="87" t="s">
        <v>8</v>
      </c>
    </row>
    <row r="217" spans="1:56" s="28" customFormat="1" ht="11.25" customHeight="1">
      <c r="A217" s="52">
        <v>216</v>
      </c>
      <c r="B217" s="52"/>
      <c r="C217" s="28" t="s">
        <v>521</v>
      </c>
      <c r="D217" s="28">
        <v>25</v>
      </c>
      <c r="E217" s="28">
        <f t="shared" si="37"/>
        <v>37</v>
      </c>
      <c r="F217" s="72" t="str">
        <f t="shared" si="34"/>
        <v>Hora Cátedra Enseñanza Superior 25 hs</v>
      </c>
      <c r="G217" s="73">
        <f t="shared" si="35"/>
        <v>2475</v>
      </c>
      <c r="H217" s="74">
        <f>INT((G217*Valores!$C$2*100)+0.5)/100</f>
        <v>16415.19</v>
      </c>
      <c r="I217" s="113">
        <v>0</v>
      </c>
      <c r="J217" s="76">
        <f>INT((I217*Valores!$C$2*100)+0.5)/100</f>
        <v>0</v>
      </c>
      <c r="K217" s="103">
        <v>0</v>
      </c>
      <c r="L217" s="76">
        <f>INT((K217*Valores!$C$2*100)+0.5)/100</f>
        <v>0</v>
      </c>
      <c r="M217" s="101">
        <v>0</v>
      </c>
      <c r="N217" s="76">
        <f>INT((M217*Valores!$C$2*100)+0.5)/100</f>
        <v>0</v>
      </c>
      <c r="O217" s="76">
        <f t="shared" si="38"/>
        <v>2865.816</v>
      </c>
      <c r="P217" s="76">
        <f t="shared" si="39"/>
        <v>0</v>
      </c>
      <c r="Q217" s="102">
        <f>Valores!$C$14*D217</f>
        <v>4004.75</v>
      </c>
      <c r="R217" s="102">
        <f>IF(D217&lt;15,(Valores!$E$4*D217),Valores!$D$4)</f>
        <v>2966.67</v>
      </c>
      <c r="S217" s="76">
        <v>0</v>
      </c>
      <c r="T217" s="79">
        <f>IF(Valores!$C$45*D217&gt;Valores!$C$43,Valores!$C$43,Valores!$C$45*D217)</f>
        <v>1278</v>
      </c>
      <c r="U217" s="102">
        <f>Valores!$C$22*D217</f>
        <v>1412.25</v>
      </c>
      <c r="V217" s="76">
        <f t="shared" si="33"/>
        <v>1412.25</v>
      </c>
      <c r="W217" s="76">
        <v>0</v>
      </c>
      <c r="X217" s="76">
        <v>0</v>
      </c>
      <c r="Y217" s="119">
        <v>0</v>
      </c>
      <c r="Z217" s="76">
        <f>Y217*Valores!$C$2</f>
        <v>0</v>
      </c>
      <c r="AA217" s="76">
        <v>0</v>
      </c>
      <c r="AB217" s="81">
        <f>IF((Valores!$C$32)*D217&gt;Valores!$F$32,Valores!$F$32,(Valores!$C$32)*D217)</f>
        <v>160.5</v>
      </c>
      <c r="AC217" s="76">
        <f t="shared" si="42"/>
        <v>0</v>
      </c>
      <c r="AD217" s="76">
        <f>IF(Valores!$C$33*D217&gt;Valores!$F$33,Valores!$F$33,Valores!$C$33*D217)</f>
        <v>133.5</v>
      </c>
      <c r="AE217" s="80">
        <v>0</v>
      </c>
      <c r="AF217" s="76">
        <f>INT(((AE217*Valores!$C$2)*100)+0.5)/100</f>
        <v>0</v>
      </c>
      <c r="AG217" s="76">
        <f>IF(Valores!$D$58*'Escala Docente'!D217&gt;Valores!$F$58,Valores!$F$58,Valores!$D$58*'Escala Docente'!D217)</f>
        <v>543.25</v>
      </c>
      <c r="AH217" s="76">
        <f>IF(Valores!$D$60*D217&gt;Valores!$F$60,Valores!$F$60,Valores!$D$60*D217)</f>
        <v>155.25</v>
      </c>
      <c r="AI217" s="115">
        <f t="shared" si="43"/>
        <v>29935.176</v>
      </c>
      <c r="AJ217" s="102">
        <f>IF(Valores!$C$36*D217&gt;Valores!$F$36,Valores!$F$36,Valores!$C$36*D217)</f>
        <v>998.7500000000001</v>
      </c>
      <c r="AK217" s="79">
        <f>IF(Valores!$C$11*D217&gt;Valores!$F$11,Valores!$F$11,Valores!$C$11*D217)</f>
        <v>0</v>
      </c>
      <c r="AL217" s="79">
        <f>IF(Valores!$C$84*D217&gt;Valores!$C$83,Valores!$C$83,Valores!$C$84*D217)</f>
        <v>1625</v>
      </c>
      <c r="AM217" s="81">
        <f>IF(Valores!$C$56*D217&gt;Valores!$F$56,Valores!$F$56,Valores!$C$56*D217)</f>
        <v>265.48</v>
      </c>
      <c r="AN217" s="83">
        <f t="shared" si="44"/>
        <v>2623.75</v>
      </c>
      <c r="AO217" s="62">
        <f>AI217*-Valores!$C$65</f>
        <v>-3891.57288</v>
      </c>
      <c r="AP217" s="62">
        <f>AI217*-Valores!$C$66</f>
        <v>-149.67588</v>
      </c>
      <c r="AQ217" s="78">
        <f>AI217*-Valores!$C$67</f>
        <v>-1347.0829199999998</v>
      </c>
      <c r="AR217" s="78">
        <f>AI217*-Valores!$C$68</f>
        <v>-808.249752</v>
      </c>
      <c r="AS217" s="78">
        <f>AI217*-Valores!$C$69</f>
        <v>-89.805528</v>
      </c>
      <c r="AT217" s="82">
        <f t="shared" si="40"/>
        <v>27170.59432</v>
      </c>
      <c r="AU217" s="82">
        <f t="shared" si="41"/>
        <v>27619.62196</v>
      </c>
      <c r="AV217" s="78">
        <f>AI217*Valores!$C$71</f>
        <v>4789.62816</v>
      </c>
      <c r="AW217" s="78">
        <f>AI217*Valores!$C$72</f>
        <v>1347.0829199999998</v>
      </c>
      <c r="AX217" s="78">
        <f>AI217*Valores!$C$73</f>
        <v>299.35176</v>
      </c>
      <c r="AY217" s="78">
        <f>AI217*Valores!$C$75</f>
        <v>1047.73116</v>
      </c>
      <c r="AZ217" s="78">
        <f>AI217*Valores!$C$76</f>
        <v>179.611056</v>
      </c>
      <c r="BA217" s="78">
        <f t="shared" si="45"/>
        <v>1616.4995040000001</v>
      </c>
      <c r="BB217" s="52"/>
      <c r="BC217" s="52">
        <f t="shared" si="36"/>
        <v>100</v>
      </c>
      <c r="BD217" s="28" t="s">
        <v>8</v>
      </c>
    </row>
    <row r="218" spans="1:56" s="28" customFormat="1" ht="11.25" customHeight="1">
      <c r="A218" s="52">
        <v>217</v>
      </c>
      <c r="B218" s="52"/>
      <c r="C218" s="28" t="s">
        <v>521</v>
      </c>
      <c r="D218" s="28">
        <v>26</v>
      </c>
      <c r="E218" s="28">
        <f t="shared" si="37"/>
        <v>37</v>
      </c>
      <c r="F218" s="72" t="str">
        <f t="shared" si="34"/>
        <v>Hora Cátedra Enseñanza Superior 26 hs</v>
      </c>
      <c r="G218" s="73">
        <f t="shared" si="35"/>
        <v>2574</v>
      </c>
      <c r="H218" s="74">
        <f>INT((G218*Valores!$C$2*100)+0.5)/100</f>
        <v>17071.8</v>
      </c>
      <c r="I218" s="113">
        <v>0</v>
      </c>
      <c r="J218" s="76">
        <f>INT((I218*Valores!$C$2*100)+0.5)/100</f>
        <v>0</v>
      </c>
      <c r="K218" s="103">
        <v>0</v>
      </c>
      <c r="L218" s="76">
        <f>INT((K218*Valores!$C$2*100)+0.5)/100</f>
        <v>0</v>
      </c>
      <c r="M218" s="101">
        <v>0</v>
      </c>
      <c r="N218" s="76">
        <f>INT((M218*Valores!$C$2*100)+0.5)/100</f>
        <v>0</v>
      </c>
      <c r="O218" s="76">
        <f t="shared" si="38"/>
        <v>2980.449</v>
      </c>
      <c r="P218" s="76">
        <f t="shared" si="39"/>
        <v>0</v>
      </c>
      <c r="Q218" s="102">
        <f>Valores!$C$14*D218</f>
        <v>4164.94</v>
      </c>
      <c r="R218" s="102">
        <f>IF(D218&lt;15,(Valores!$E$4*D218),Valores!$D$4)</f>
        <v>2966.67</v>
      </c>
      <c r="S218" s="76">
        <v>0</v>
      </c>
      <c r="T218" s="79">
        <f>IF(Valores!$C$45*D218&gt;Valores!$C$43,Valores!$C$43,Valores!$C$45*D218)</f>
        <v>1329.12</v>
      </c>
      <c r="U218" s="102">
        <f>Valores!$C$22*D218</f>
        <v>1468.74</v>
      </c>
      <c r="V218" s="76">
        <f t="shared" si="33"/>
        <v>1468.74</v>
      </c>
      <c r="W218" s="76">
        <v>0</v>
      </c>
      <c r="X218" s="76">
        <v>0</v>
      </c>
      <c r="Y218" s="119">
        <v>0</v>
      </c>
      <c r="Z218" s="76">
        <f>Y218*Valores!$C$2</f>
        <v>0</v>
      </c>
      <c r="AA218" s="76">
        <v>0</v>
      </c>
      <c r="AB218" s="81">
        <f>IF((Valores!$C$32)*D218&gt;Valores!$F$32,Valores!$F$32,(Valores!$C$32)*D218)</f>
        <v>166.92</v>
      </c>
      <c r="AC218" s="76">
        <f t="shared" si="42"/>
        <v>0</v>
      </c>
      <c r="AD218" s="76">
        <f>IF(Valores!$C$33*D218&gt;Valores!$F$33,Valores!$F$33,Valores!$C$33*D218)</f>
        <v>138.84</v>
      </c>
      <c r="AE218" s="80">
        <v>0</v>
      </c>
      <c r="AF218" s="76">
        <f>INT(((AE218*Valores!$C$2)*100)+0.5)/100</f>
        <v>0</v>
      </c>
      <c r="AG218" s="76">
        <f>IF(Valores!$D$58*'Escala Docente'!D218&gt;Valores!$F$58,Valores!$F$58,Valores!$D$58*'Escala Docente'!D218)</f>
        <v>564.98</v>
      </c>
      <c r="AH218" s="76">
        <f>IF(Valores!$D$60*D218&gt;Valores!$F$60,Valores!$F$60,Valores!$D$60*D218)</f>
        <v>161.46</v>
      </c>
      <c r="AI218" s="115">
        <f t="shared" si="43"/>
        <v>31013.918999999994</v>
      </c>
      <c r="AJ218" s="102">
        <f>IF(Valores!$C$36*D218&gt;Valores!$F$36,Valores!$F$36,Valores!$C$36*D218)</f>
        <v>1038.7</v>
      </c>
      <c r="AK218" s="79">
        <f>IF(Valores!$C$11*D218&gt;Valores!$F$11,Valores!$F$11,Valores!$C$11*D218)</f>
        <v>0</v>
      </c>
      <c r="AL218" s="79">
        <f>IF(Valores!$C$84*D218&gt;Valores!$C$83,Valores!$C$83,Valores!$C$84*D218)</f>
        <v>1690</v>
      </c>
      <c r="AM218" s="81">
        <f>IF(Valores!$C$56*D218&gt;Valores!$F$56,Valores!$F$56,Valores!$C$56*D218)</f>
        <v>265.48</v>
      </c>
      <c r="AN218" s="83">
        <f t="shared" si="44"/>
        <v>2728.7</v>
      </c>
      <c r="AO218" s="62">
        <f>AI218*-Valores!$C$65</f>
        <v>-4031.8094699999992</v>
      </c>
      <c r="AP218" s="62">
        <f>AI218*-Valores!$C$66</f>
        <v>-155.06959499999996</v>
      </c>
      <c r="AQ218" s="78">
        <f>AI218*-Valores!$C$67</f>
        <v>-1395.6263549999996</v>
      </c>
      <c r="AR218" s="78">
        <f>AI218*-Valores!$C$68</f>
        <v>-837.3758129999999</v>
      </c>
      <c r="AS218" s="78">
        <f>AI218*-Valores!$C$69</f>
        <v>-93.04175699999999</v>
      </c>
      <c r="AT218" s="82">
        <f t="shared" si="40"/>
        <v>28160.11357999999</v>
      </c>
      <c r="AU218" s="82">
        <f t="shared" si="41"/>
        <v>28625.322364999993</v>
      </c>
      <c r="AV218" s="78">
        <f>AI218*Valores!$C$71</f>
        <v>4962.227039999999</v>
      </c>
      <c r="AW218" s="78">
        <f>AI218*Valores!$C$72</f>
        <v>1395.6263549999996</v>
      </c>
      <c r="AX218" s="78">
        <f>AI218*Valores!$C$73</f>
        <v>310.1391899999999</v>
      </c>
      <c r="AY218" s="78">
        <f>AI218*Valores!$C$75</f>
        <v>1085.487165</v>
      </c>
      <c r="AZ218" s="78">
        <f>AI218*Valores!$C$76</f>
        <v>186.08351399999998</v>
      </c>
      <c r="BA218" s="78">
        <f t="shared" si="45"/>
        <v>1674.7516259999998</v>
      </c>
      <c r="BB218" s="52"/>
      <c r="BC218" s="52">
        <f t="shared" si="36"/>
        <v>104</v>
      </c>
      <c r="BD218" s="28" t="s">
        <v>8</v>
      </c>
    </row>
    <row r="219" spans="1:56" s="28" customFormat="1" ht="11.25" customHeight="1">
      <c r="A219" s="52">
        <v>218</v>
      </c>
      <c r="B219" s="52"/>
      <c r="C219" s="28" t="s">
        <v>521</v>
      </c>
      <c r="D219" s="28">
        <v>27</v>
      </c>
      <c r="E219" s="28">
        <f t="shared" si="37"/>
        <v>37</v>
      </c>
      <c r="F219" s="72" t="str">
        <f t="shared" si="34"/>
        <v>Hora Cátedra Enseñanza Superior 27 hs</v>
      </c>
      <c r="G219" s="73">
        <f t="shared" si="35"/>
        <v>2673</v>
      </c>
      <c r="H219" s="74">
        <f>INT((G219*Valores!$C$2*100)+0.5)/100</f>
        <v>17728.41</v>
      </c>
      <c r="I219" s="113">
        <v>0</v>
      </c>
      <c r="J219" s="76">
        <f>INT((I219*Valores!$C$2*100)+0.5)/100</f>
        <v>0</v>
      </c>
      <c r="K219" s="103">
        <v>0</v>
      </c>
      <c r="L219" s="76">
        <f>INT((K219*Valores!$C$2*100)+0.5)/100</f>
        <v>0</v>
      </c>
      <c r="M219" s="101">
        <v>0</v>
      </c>
      <c r="N219" s="76">
        <f>INT((M219*Valores!$C$2*100)+0.5)/100</f>
        <v>0</v>
      </c>
      <c r="O219" s="76">
        <f t="shared" si="38"/>
        <v>3095.082</v>
      </c>
      <c r="P219" s="76">
        <f t="shared" si="39"/>
        <v>0</v>
      </c>
      <c r="Q219" s="102">
        <f>Valores!$C$14*D219</f>
        <v>4325.13</v>
      </c>
      <c r="R219" s="102">
        <f>IF(D219&lt;15,(Valores!$E$4*D219),Valores!$D$4)</f>
        <v>2966.67</v>
      </c>
      <c r="S219" s="76">
        <v>0</v>
      </c>
      <c r="T219" s="79">
        <f>IF(Valores!$C$45*D219&gt;Valores!$C$43,Valores!$C$43,Valores!$C$45*D219)</f>
        <v>1380.24</v>
      </c>
      <c r="U219" s="79">
        <f>Valores!$C$22*D219</f>
        <v>1525.23</v>
      </c>
      <c r="V219" s="76">
        <f t="shared" si="33"/>
        <v>1525.23</v>
      </c>
      <c r="W219" s="76">
        <v>0</v>
      </c>
      <c r="X219" s="76">
        <v>0</v>
      </c>
      <c r="Y219" s="119">
        <v>0</v>
      </c>
      <c r="Z219" s="76">
        <f>Y219*Valores!$C$2</f>
        <v>0</v>
      </c>
      <c r="AA219" s="76">
        <v>0</v>
      </c>
      <c r="AB219" s="81">
        <f>IF((Valores!$C$32)*D219&gt;Valores!$F$32,Valores!$F$32,(Valores!$C$32)*D219)</f>
        <v>173.34</v>
      </c>
      <c r="AC219" s="76">
        <f t="shared" si="42"/>
        <v>0</v>
      </c>
      <c r="AD219" s="76">
        <f>IF(Valores!$C$33*D219&gt;Valores!$F$33,Valores!$F$33,Valores!$C$33*D219)</f>
        <v>144.18</v>
      </c>
      <c r="AE219" s="80">
        <v>0</v>
      </c>
      <c r="AF219" s="76">
        <f>INT(((AE219*Valores!$C$2)*100)+0.5)/100</f>
        <v>0</v>
      </c>
      <c r="AG219" s="76">
        <f>IF(Valores!$D$58*'Escala Docente'!D219&gt;Valores!$F$58,Valores!$F$58,Valores!$D$58*'Escala Docente'!D219)</f>
        <v>586.71</v>
      </c>
      <c r="AH219" s="76">
        <f>IF(Valores!$D$60*D219&gt;Valores!$F$60,Valores!$F$60,Valores!$D$60*D219)</f>
        <v>167.67</v>
      </c>
      <c r="AI219" s="115">
        <f t="shared" si="43"/>
        <v>32092.662</v>
      </c>
      <c r="AJ219" s="102">
        <f>IF(Valores!$C$36*D219&gt;Valores!$F$36,Valores!$F$36,Valores!$C$36*D219)</f>
        <v>1078.65</v>
      </c>
      <c r="AK219" s="79">
        <f>IF(Valores!$C$11*D219&gt;Valores!$F$11,Valores!$F$11,Valores!$C$11*D219)</f>
        <v>0</v>
      </c>
      <c r="AL219" s="79">
        <f>IF(Valores!$C$84*D219&gt;Valores!$C$83,Valores!$C$83,Valores!$C$84*D219)</f>
        <v>1755</v>
      </c>
      <c r="AM219" s="81">
        <f>IF(Valores!$C$56*D219&gt;Valores!$F$56,Valores!$F$56,Valores!$C$56*D219)</f>
        <v>265.48</v>
      </c>
      <c r="AN219" s="83">
        <f t="shared" si="44"/>
        <v>2833.65</v>
      </c>
      <c r="AO219" s="62">
        <f>AI219*-Valores!$C$65</f>
        <v>-4172.046060000001</v>
      </c>
      <c r="AP219" s="62">
        <f>AI219*-Valores!$C$66</f>
        <v>-160.46331</v>
      </c>
      <c r="AQ219" s="78">
        <f>AI219*-Valores!$C$67</f>
        <v>-1444.16979</v>
      </c>
      <c r="AR219" s="78">
        <f>AI219*-Valores!$C$68</f>
        <v>-866.501874</v>
      </c>
      <c r="AS219" s="78">
        <f>AI219*-Valores!$C$69</f>
        <v>-96.277986</v>
      </c>
      <c r="AT219" s="82">
        <f t="shared" si="40"/>
        <v>29149.63284</v>
      </c>
      <c r="AU219" s="82">
        <f t="shared" si="41"/>
        <v>29631.022769999996</v>
      </c>
      <c r="AV219" s="78">
        <f>AI219*Valores!$C$71</f>
        <v>5134.82592</v>
      </c>
      <c r="AW219" s="78">
        <f>AI219*Valores!$C$72</f>
        <v>1444.16979</v>
      </c>
      <c r="AX219" s="78">
        <f>AI219*Valores!$C$73</f>
        <v>320.92662</v>
      </c>
      <c r="AY219" s="78">
        <f>AI219*Valores!$C$75</f>
        <v>1123.2431700000002</v>
      </c>
      <c r="AZ219" s="78">
        <f>AI219*Valores!$C$76</f>
        <v>192.555972</v>
      </c>
      <c r="BA219" s="78">
        <f t="shared" si="45"/>
        <v>1733.003748</v>
      </c>
      <c r="BB219" s="52"/>
      <c r="BC219" s="52">
        <f t="shared" si="36"/>
        <v>108</v>
      </c>
      <c r="BD219" s="28" t="s">
        <v>8</v>
      </c>
    </row>
    <row r="220" spans="1:56" s="28" customFormat="1" ht="11.25" customHeight="1">
      <c r="A220" s="52">
        <v>219</v>
      </c>
      <c r="B220" s="52"/>
      <c r="C220" s="28" t="s">
        <v>521</v>
      </c>
      <c r="D220" s="28">
        <v>28</v>
      </c>
      <c r="E220" s="28">
        <f t="shared" si="37"/>
        <v>37</v>
      </c>
      <c r="F220" s="72" t="str">
        <f t="shared" si="34"/>
        <v>Hora Cátedra Enseñanza Superior 28 hs</v>
      </c>
      <c r="G220" s="73">
        <f t="shared" si="35"/>
        <v>2772</v>
      </c>
      <c r="H220" s="74">
        <f>INT((G220*Valores!$C$2*100)+0.5)/100</f>
        <v>18385.01</v>
      </c>
      <c r="I220" s="113">
        <v>0</v>
      </c>
      <c r="J220" s="76">
        <f>INT((I220*Valores!$C$2*100)+0.5)/100</f>
        <v>0</v>
      </c>
      <c r="K220" s="103">
        <v>0</v>
      </c>
      <c r="L220" s="76">
        <f>INT((K220*Valores!$C$2*100)+0.5)/100</f>
        <v>0</v>
      </c>
      <c r="M220" s="101">
        <v>0</v>
      </c>
      <c r="N220" s="76">
        <f>INT((M220*Valores!$C$2*100)+0.5)/100</f>
        <v>0</v>
      </c>
      <c r="O220" s="76">
        <f t="shared" si="38"/>
        <v>3209.7135</v>
      </c>
      <c r="P220" s="76">
        <f t="shared" si="39"/>
        <v>0</v>
      </c>
      <c r="Q220" s="102">
        <f>Valores!$C$14*D220</f>
        <v>4485.32</v>
      </c>
      <c r="R220" s="102">
        <f>IF(D220&lt;15,(Valores!$E$4*D220),Valores!$D$4)</f>
        <v>2966.67</v>
      </c>
      <c r="S220" s="76">
        <v>0</v>
      </c>
      <c r="T220" s="79">
        <f>IF(Valores!$C$45*D220&gt;Valores!$C$43,Valores!$C$43,Valores!$C$45*D220)</f>
        <v>1431.36</v>
      </c>
      <c r="U220" s="102">
        <f>Valores!$C$22*D220</f>
        <v>1581.72</v>
      </c>
      <c r="V220" s="76">
        <f t="shared" si="33"/>
        <v>1581.72</v>
      </c>
      <c r="W220" s="76">
        <v>0</v>
      </c>
      <c r="X220" s="76">
        <v>0</v>
      </c>
      <c r="Y220" s="119">
        <v>0</v>
      </c>
      <c r="Z220" s="76">
        <f>Y220*Valores!$C$2</f>
        <v>0</v>
      </c>
      <c r="AA220" s="76">
        <v>0</v>
      </c>
      <c r="AB220" s="81">
        <f>IF((Valores!$C$32)*D220&gt;Valores!$F$32,Valores!$F$32,(Valores!$C$32)*D220)</f>
        <v>179.76</v>
      </c>
      <c r="AC220" s="76">
        <f t="shared" si="42"/>
        <v>0</v>
      </c>
      <c r="AD220" s="76">
        <f>IF(Valores!$C$33*D220&gt;Valores!$F$33,Valores!$F$33,Valores!$C$33*D220)</f>
        <v>149.51999999999998</v>
      </c>
      <c r="AE220" s="80">
        <v>0</v>
      </c>
      <c r="AF220" s="76">
        <f>INT(((AE220*Valores!$C$2)*100)+0.5)/100</f>
        <v>0</v>
      </c>
      <c r="AG220" s="76">
        <f>IF(Valores!$D$58*'Escala Docente'!D220&gt;Valores!$F$58,Valores!$F$58,Valores!$D$58*'Escala Docente'!D220)</f>
        <v>608.44</v>
      </c>
      <c r="AH220" s="76">
        <f>IF(Valores!$D$60*D220&gt;Valores!$F$60,Valores!$F$60,Valores!$D$60*D220)</f>
        <v>173.88</v>
      </c>
      <c r="AI220" s="115">
        <f t="shared" si="43"/>
        <v>33171.3935</v>
      </c>
      <c r="AJ220" s="102">
        <f>IF(Valores!$C$36*D220&gt;Valores!$F$36,Valores!$F$36,Valores!$C$36*D220)</f>
        <v>1118.6000000000001</v>
      </c>
      <c r="AK220" s="79">
        <f>IF(Valores!$C$11*D220&gt;Valores!$F$11,Valores!$F$11,Valores!$C$11*D220)</f>
        <v>0</v>
      </c>
      <c r="AL220" s="79">
        <f>IF(Valores!$C$84*D220&gt;Valores!$C$83,Valores!$C$83,Valores!$C$84*D220)</f>
        <v>1820</v>
      </c>
      <c r="AM220" s="81">
        <f>IF(Valores!$C$56*D220&gt;Valores!$F$56,Valores!$F$56,Valores!$C$56*D220)</f>
        <v>265.48</v>
      </c>
      <c r="AN220" s="83">
        <f t="shared" si="44"/>
        <v>2938.6000000000004</v>
      </c>
      <c r="AO220" s="62">
        <f>AI220*-Valores!$C$65</f>
        <v>-4312.281155</v>
      </c>
      <c r="AP220" s="62">
        <f>AI220*-Valores!$C$66</f>
        <v>-165.8569675</v>
      </c>
      <c r="AQ220" s="78">
        <f>AI220*-Valores!$C$67</f>
        <v>-1492.7127074999999</v>
      </c>
      <c r="AR220" s="78">
        <f>AI220*-Valores!$C$68</f>
        <v>-895.6276244999999</v>
      </c>
      <c r="AS220" s="78">
        <f>AI220*-Valores!$C$69</f>
        <v>-99.5141805</v>
      </c>
      <c r="AT220" s="82">
        <f t="shared" si="40"/>
        <v>30139.14266999999</v>
      </c>
      <c r="AU220" s="82">
        <f t="shared" si="41"/>
        <v>30636.713572499997</v>
      </c>
      <c r="AV220" s="78">
        <f>AI220*Valores!$C$71</f>
        <v>5307.42296</v>
      </c>
      <c r="AW220" s="78">
        <f>AI220*Valores!$C$72</f>
        <v>1492.7127074999999</v>
      </c>
      <c r="AX220" s="78">
        <f>AI220*Valores!$C$73</f>
        <v>331.713935</v>
      </c>
      <c r="AY220" s="78">
        <f>AI220*Valores!$C$75</f>
        <v>1160.9987725</v>
      </c>
      <c r="AZ220" s="78">
        <f>AI220*Valores!$C$76</f>
        <v>199.028361</v>
      </c>
      <c r="BA220" s="78">
        <f t="shared" si="45"/>
        <v>1791.2552489999998</v>
      </c>
      <c r="BB220" s="52"/>
      <c r="BC220" s="52">
        <f t="shared" si="36"/>
        <v>112</v>
      </c>
      <c r="BD220" s="28" t="s">
        <v>8</v>
      </c>
    </row>
    <row r="221" spans="1:56" s="28" customFormat="1" ht="11.25" customHeight="1">
      <c r="A221" s="86">
        <v>220</v>
      </c>
      <c r="B221" s="86" t="s">
        <v>163</v>
      </c>
      <c r="C221" s="87" t="s">
        <v>521</v>
      </c>
      <c r="D221" s="87">
        <v>29</v>
      </c>
      <c r="E221" s="87">
        <f t="shared" si="37"/>
        <v>37</v>
      </c>
      <c r="F221" s="88" t="str">
        <f t="shared" si="34"/>
        <v>Hora Cátedra Enseñanza Superior 29 hs</v>
      </c>
      <c r="G221" s="89">
        <f t="shared" si="35"/>
        <v>2871</v>
      </c>
      <c r="H221" s="90">
        <f>INT((G221*Valores!$C$2*100)+0.5)/100</f>
        <v>19041.62</v>
      </c>
      <c r="I221" s="104">
        <v>0</v>
      </c>
      <c r="J221" s="92">
        <f>INT((I221*Valores!$C$2*100)+0.5)/100</f>
        <v>0</v>
      </c>
      <c r="K221" s="105">
        <v>0</v>
      </c>
      <c r="L221" s="92">
        <f>INT((K221*Valores!$C$2*100)+0.5)/100</f>
        <v>0</v>
      </c>
      <c r="M221" s="106">
        <v>0</v>
      </c>
      <c r="N221" s="92">
        <f>INT((M221*Valores!$C$2*100)+0.5)/100</f>
        <v>0</v>
      </c>
      <c r="O221" s="92">
        <f t="shared" si="38"/>
        <v>3324.3464999999997</v>
      </c>
      <c r="P221" s="92">
        <f t="shared" si="39"/>
        <v>0</v>
      </c>
      <c r="Q221" s="108">
        <f>Valores!$C$14*D221</f>
        <v>4645.51</v>
      </c>
      <c r="R221" s="108">
        <f>IF(D221&lt;15,(Valores!$E$4*D221),Valores!$D$4)</f>
        <v>2966.67</v>
      </c>
      <c r="S221" s="92">
        <v>0</v>
      </c>
      <c r="T221" s="95">
        <f>IF(Valores!$C$45*D221&gt;Valores!$C$43,Valores!$C$43,Valores!$C$45*D221)</f>
        <v>1482.48</v>
      </c>
      <c r="U221" s="95">
        <f>Valores!$C$22*D221</f>
        <v>1638.21</v>
      </c>
      <c r="V221" s="92">
        <f t="shared" si="33"/>
        <v>1638.21</v>
      </c>
      <c r="W221" s="92">
        <v>0</v>
      </c>
      <c r="X221" s="92">
        <v>0</v>
      </c>
      <c r="Y221" s="120">
        <v>0</v>
      </c>
      <c r="Z221" s="92">
        <f>Y221*Valores!$C$2</f>
        <v>0</v>
      </c>
      <c r="AA221" s="92">
        <v>0</v>
      </c>
      <c r="AB221" s="97">
        <f>IF((Valores!$C$32)*D221&gt;Valores!$F$32,Valores!$F$32,(Valores!$C$32)*D221)</f>
        <v>186.18</v>
      </c>
      <c r="AC221" s="92">
        <f t="shared" si="42"/>
        <v>0</v>
      </c>
      <c r="AD221" s="92">
        <f>IF(Valores!$C$33*D221&gt;Valores!$F$33,Valores!$F$33,Valores!$C$33*D221)</f>
        <v>154.85999999999999</v>
      </c>
      <c r="AE221" s="96">
        <v>0</v>
      </c>
      <c r="AF221" s="92">
        <f>INT(((AE221*Valores!$C$2)*100)+0.5)/100</f>
        <v>0</v>
      </c>
      <c r="AG221" s="92">
        <f>IF(Valores!$D$58*'Escala Docente'!D221&gt;Valores!$F$58,Valores!$F$58,Valores!$D$58*'Escala Docente'!D221)</f>
        <v>630.17</v>
      </c>
      <c r="AH221" s="92">
        <f>IF(Valores!$D$60*D221&gt;Valores!$F$60,Valores!$F$60,Valores!$D$60*D221)</f>
        <v>180.09</v>
      </c>
      <c r="AI221" s="116">
        <f t="shared" si="43"/>
        <v>34250.13649999999</v>
      </c>
      <c r="AJ221" s="108">
        <f>IF(Valores!$C$36*D221&gt;Valores!$F$36,Valores!$F$36,Valores!$C$36*D221)</f>
        <v>1158.5500000000002</v>
      </c>
      <c r="AK221" s="95">
        <f>IF(Valores!$C$11*D221&gt;Valores!$F$11,Valores!$F$11,Valores!$C$11*D221)</f>
        <v>0</v>
      </c>
      <c r="AL221" s="95">
        <f>IF(Valores!$C$84*D221&gt;Valores!$C$83,Valores!$C$83,Valores!$C$84*D221)</f>
        <v>1885</v>
      </c>
      <c r="AM221" s="97">
        <f>IF(Valores!$C$56*D221&gt;Valores!$F$56,Valores!$F$56,Valores!$C$56*D221)</f>
        <v>265.48</v>
      </c>
      <c r="AN221" s="99">
        <f t="shared" si="44"/>
        <v>3043.55</v>
      </c>
      <c r="AO221" s="117">
        <f>AI221*-Valores!$C$65</f>
        <v>-4452.517744999999</v>
      </c>
      <c r="AP221" s="117">
        <f>AI221*-Valores!$C$66</f>
        <v>-171.25068249999998</v>
      </c>
      <c r="AQ221" s="94">
        <f>AI221*-Valores!$C$67</f>
        <v>-1541.2561424999997</v>
      </c>
      <c r="AR221" s="94">
        <f>AI221*-Valores!$C$68</f>
        <v>-924.7536854999998</v>
      </c>
      <c r="AS221" s="94">
        <f>AI221*-Valores!$C$69</f>
        <v>-102.75040949999998</v>
      </c>
      <c r="AT221" s="98">
        <f t="shared" si="40"/>
        <v>31128.661929999995</v>
      </c>
      <c r="AU221" s="98">
        <f t="shared" si="41"/>
        <v>31642.413977499997</v>
      </c>
      <c r="AV221" s="94">
        <f>AI221*Valores!$C$71</f>
        <v>5480.021839999999</v>
      </c>
      <c r="AW221" s="94">
        <f>AI221*Valores!$C$72</f>
        <v>1541.2561424999997</v>
      </c>
      <c r="AX221" s="94">
        <f>AI221*Valores!$C$73</f>
        <v>342.50136499999996</v>
      </c>
      <c r="AY221" s="94">
        <f>AI221*Valores!$C$75</f>
        <v>1198.7547774999998</v>
      </c>
      <c r="AZ221" s="94">
        <f>AI221*Valores!$C$76</f>
        <v>205.50081899999995</v>
      </c>
      <c r="BA221" s="94">
        <f t="shared" si="45"/>
        <v>1849.5073709999997</v>
      </c>
      <c r="BB221" s="86"/>
      <c r="BC221" s="86">
        <f t="shared" si="36"/>
        <v>116</v>
      </c>
      <c r="BD221" s="87" t="s">
        <v>8</v>
      </c>
    </row>
    <row r="222" spans="1:56" s="28" customFormat="1" ht="11.25" customHeight="1">
      <c r="A222" s="52">
        <v>221</v>
      </c>
      <c r="B222" s="52"/>
      <c r="C222" s="28" t="s">
        <v>521</v>
      </c>
      <c r="D222" s="28">
        <v>30</v>
      </c>
      <c r="E222" s="28">
        <f t="shared" si="37"/>
        <v>37</v>
      </c>
      <c r="F222" s="72" t="str">
        <f t="shared" si="34"/>
        <v>Hora Cátedra Enseñanza Superior 30 hs</v>
      </c>
      <c r="G222" s="73">
        <f t="shared" si="35"/>
        <v>2970</v>
      </c>
      <c r="H222" s="74">
        <f>INT((G222*Valores!$C$2*100)+0.5)/100</f>
        <v>19698.23</v>
      </c>
      <c r="I222" s="113">
        <v>0</v>
      </c>
      <c r="J222" s="76">
        <f>INT((I222*Valores!$C$2*100)+0.5)/100</f>
        <v>0</v>
      </c>
      <c r="K222" s="103">
        <v>0</v>
      </c>
      <c r="L222" s="76">
        <f>INT((K222*Valores!$C$2*100)+0.5)/100</f>
        <v>0</v>
      </c>
      <c r="M222" s="101">
        <v>0</v>
      </c>
      <c r="N222" s="76">
        <f>INT((M222*Valores!$C$2*100)+0.5)/100</f>
        <v>0</v>
      </c>
      <c r="O222" s="76">
        <f t="shared" si="38"/>
        <v>3438.9795</v>
      </c>
      <c r="P222" s="76">
        <f t="shared" si="39"/>
        <v>0</v>
      </c>
      <c r="Q222" s="102">
        <f>Valores!$C$14*D222</f>
        <v>4805.7</v>
      </c>
      <c r="R222" s="102">
        <f>IF(D222&lt;15,(Valores!$E$4*D222),Valores!$D$4)</f>
        <v>2966.67</v>
      </c>
      <c r="S222" s="76">
        <v>0</v>
      </c>
      <c r="T222" s="79">
        <f>IF(Valores!$C$45*D222&gt;Valores!$C$43,Valores!$C$43,Valores!$C$45*D222)</f>
        <v>1533.6</v>
      </c>
      <c r="U222" s="102">
        <f>Valores!$C$22*D222</f>
        <v>1694.7</v>
      </c>
      <c r="V222" s="76">
        <f t="shared" si="33"/>
        <v>1694.7</v>
      </c>
      <c r="W222" s="76">
        <v>0</v>
      </c>
      <c r="X222" s="76">
        <v>0</v>
      </c>
      <c r="Y222" s="119">
        <v>0</v>
      </c>
      <c r="Z222" s="76">
        <f>Y222*Valores!$C$2</f>
        <v>0</v>
      </c>
      <c r="AA222" s="76">
        <v>0</v>
      </c>
      <c r="AB222" s="81">
        <f>IF((Valores!$C$32)*D222&gt;Valores!$F$32,Valores!$F$32,(Valores!$C$32)*D222)</f>
        <v>192.6</v>
      </c>
      <c r="AC222" s="76">
        <f t="shared" si="42"/>
        <v>0</v>
      </c>
      <c r="AD222" s="76">
        <f>IF(Valores!$C$33*D222&gt;Valores!$F$33,Valores!$F$33,Valores!$C$33*D222)</f>
        <v>160.2</v>
      </c>
      <c r="AE222" s="80">
        <v>0</v>
      </c>
      <c r="AF222" s="76">
        <f>INT(((AE222*Valores!$C$2)*100)+0.5)/100</f>
        <v>0</v>
      </c>
      <c r="AG222" s="76">
        <f>IF(Valores!$D$58*'Escala Docente'!D222&gt;Valores!$F$58,Valores!$F$58,Valores!$D$58*'Escala Docente'!D222)</f>
        <v>651.78</v>
      </c>
      <c r="AH222" s="76">
        <f>IF(Valores!$D$60*D222&gt;Valores!$F$60,Valores!$F$60,Valores!$D$60*D222)</f>
        <v>186.22</v>
      </c>
      <c r="AI222" s="115">
        <f t="shared" si="43"/>
        <v>35328.6795</v>
      </c>
      <c r="AJ222" s="102">
        <f>IF(Valores!$C$36*D222&gt;Valores!$F$36,Valores!$F$36,Valores!$C$36*D222)</f>
        <v>1198.38</v>
      </c>
      <c r="AK222" s="79">
        <f>IF(Valores!$C$11*D222&gt;Valores!$F$11,Valores!$F$11,Valores!$C$11*D222)</f>
        <v>0</v>
      </c>
      <c r="AL222" s="79">
        <f>IF(Valores!$C$84*D222&gt;Valores!$C$83,Valores!$C$83,Valores!$C$84*D222)</f>
        <v>1950</v>
      </c>
      <c r="AM222" s="81">
        <f>IF(Valores!$C$56*D222&gt;Valores!$F$56,Valores!$F$56,Valores!$C$56*D222)</f>
        <v>265.48</v>
      </c>
      <c r="AN222" s="83">
        <f t="shared" si="44"/>
        <v>3148.38</v>
      </c>
      <c r="AO222" s="62">
        <f>AI222*-Valores!$C$65</f>
        <v>-4592.728335</v>
      </c>
      <c r="AP222" s="62">
        <f>AI222*-Valores!$C$66</f>
        <v>-176.6433975</v>
      </c>
      <c r="AQ222" s="78">
        <f>AI222*-Valores!$C$67</f>
        <v>-1589.7905775</v>
      </c>
      <c r="AR222" s="78">
        <f>AI222*-Valores!$C$68</f>
        <v>-953.8743465</v>
      </c>
      <c r="AS222" s="78">
        <f>AI222*-Valores!$C$69</f>
        <v>-105.98603849999999</v>
      </c>
      <c r="AT222" s="82">
        <f t="shared" si="40"/>
        <v>32117.897189999996</v>
      </c>
      <c r="AU222" s="82">
        <f t="shared" si="41"/>
        <v>32647.827382499992</v>
      </c>
      <c r="AV222" s="78">
        <f>AI222*Valores!$C$71</f>
        <v>5652.58872</v>
      </c>
      <c r="AW222" s="78">
        <f>AI222*Valores!$C$72</f>
        <v>1589.7905775</v>
      </c>
      <c r="AX222" s="78">
        <f>AI222*Valores!$C$73</f>
        <v>353.286795</v>
      </c>
      <c r="AY222" s="78">
        <f>AI222*Valores!$C$75</f>
        <v>1236.5037825000002</v>
      </c>
      <c r="AZ222" s="78">
        <f>AI222*Valores!$C$76</f>
        <v>211.97207699999998</v>
      </c>
      <c r="BA222" s="78">
        <f t="shared" si="45"/>
        <v>1907.748693</v>
      </c>
      <c r="BB222" s="52"/>
      <c r="BC222" s="121">
        <f t="shared" si="36"/>
        <v>120</v>
      </c>
      <c r="BD222" s="28" t="s">
        <v>8</v>
      </c>
    </row>
    <row r="223" spans="1:56" s="28" customFormat="1" ht="11.25" customHeight="1">
      <c r="A223" s="52">
        <v>222</v>
      </c>
      <c r="B223" s="52"/>
      <c r="C223" s="28" t="s">
        <v>521</v>
      </c>
      <c r="D223" s="28">
        <v>31</v>
      </c>
      <c r="E223" s="28">
        <f t="shared" si="37"/>
        <v>37</v>
      </c>
      <c r="F223" s="72" t="str">
        <f t="shared" si="34"/>
        <v>Hora Cátedra Enseñanza Superior 31 hs</v>
      </c>
      <c r="G223" s="73">
        <f t="shared" si="35"/>
        <v>3069</v>
      </c>
      <c r="H223" s="74">
        <f>INT((G223*Valores!$C$2*100)+0.5)/100</f>
        <v>20354.84</v>
      </c>
      <c r="I223" s="113">
        <v>0</v>
      </c>
      <c r="J223" s="76">
        <f>INT((I223*Valores!$C$2*100)+0.5)/100</f>
        <v>0</v>
      </c>
      <c r="K223" s="103">
        <v>0</v>
      </c>
      <c r="L223" s="76">
        <f>INT((K223*Valores!$C$2*100)+0.5)/100</f>
        <v>0</v>
      </c>
      <c r="M223" s="101">
        <v>0</v>
      </c>
      <c r="N223" s="76">
        <f>INT((M223*Valores!$C$2*100)+0.5)/100</f>
        <v>0</v>
      </c>
      <c r="O223" s="76">
        <f t="shared" si="38"/>
        <v>3553.6124999999997</v>
      </c>
      <c r="P223" s="76">
        <f t="shared" si="39"/>
        <v>0</v>
      </c>
      <c r="Q223" s="102">
        <f>Valores!$C$14*D223</f>
        <v>4965.89</v>
      </c>
      <c r="R223" s="102">
        <f>IF(D223&lt;15,(Valores!$E$4*D223),Valores!$D$4)</f>
        <v>2966.67</v>
      </c>
      <c r="S223" s="76">
        <v>0</v>
      </c>
      <c r="T223" s="79">
        <f>IF(Valores!$C$45*D223&gt;Valores!$C$43,Valores!$C$43,Valores!$C$45*D223)</f>
        <v>1584.72</v>
      </c>
      <c r="U223" s="79">
        <f>Valores!$C$22*D223</f>
        <v>1751.19</v>
      </c>
      <c r="V223" s="76">
        <f t="shared" si="33"/>
        <v>1751.19</v>
      </c>
      <c r="W223" s="76">
        <v>0</v>
      </c>
      <c r="X223" s="76">
        <v>0</v>
      </c>
      <c r="Y223" s="119">
        <v>0</v>
      </c>
      <c r="Z223" s="76">
        <f>Y223*Valores!$C$2</f>
        <v>0</v>
      </c>
      <c r="AA223" s="76">
        <v>0</v>
      </c>
      <c r="AB223" s="81">
        <f>IF((Valores!$C$32)*D223&gt;Valores!$F$32,Valores!$F$32,(Valores!$C$32)*D223)</f>
        <v>199.02</v>
      </c>
      <c r="AC223" s="76">
        <f t="shared" si="42"/>
        <v>0</v>
      </c>
      <c r="AD223" s="76">
        <f>IF(Valores!$C$33*D223&gt;Valores!$F$33,Valores!$F$33,Valores!$C$33*D223)</f>
        <v>160.21</v>
      </c>
      <c r="AE223" s="80">
        <v>0</v>
      </c>
      <c r="AF223" s="76">
        <f>INT(((AE223*Valores!$C$2)*100)+0.5)/100</f>
        <v>0</v>
      </c>
      <c r="AG223" s="76">
        <f>IF(Valores!$D$58*'Escala Docente'!D223&gt;Valores!$F$58,Valores!$F$58,Valores!$D$58*'Escala Docente'!D223)</f>
        <v>651.78</v>
      </c>
      <c r="AH223" s="76">
        <f>IF(Valores!$D$60*D223&gt;Valores!$F$60,Valores!$F$60,Valores!$D$60*D223)</f>
        <v>186.22</v>
      </c>
      <c r="AI223" s="115">
        <f t="shared" si="43"/>
        <v>36374.1525</v>
      </c>
      <c r="AJ223" s="102">
        <f>IF(Valores!$C$36*D223&gt;Valores!$F$36,Valores!$F$36,Valores!$C$36*D223)</f>
        <v>1198.38</v>
      </c>
      <c r="AK223" s="79">
        <f>IF(Valores!$C$11*D223&gt;Valores!$F$11,Valores!$F$11,Valores!$C$11*D223)</f>
        <v>0</v>
      </c>
      <c r="AL223" s="79">
        <f>IF(Valores!$C$84*D223&gt;Valores!$C$83,Valores!$C$83,Valores!$C$84*D223)</f>
        <v>2015</v>
      </c>
      <c r="AM223" s="81">
        <f>IF(Valores!$C$56*D223&gt;Valores!$F$56,Valores!$F$56,Valores!$C$56*D223)</f>
        <v>265.48</v>
      </c>
      <c r="AN223" s="83">
        <f t="shared" si="44"/>
        <v>3213.38</v>
      </c>
      <c r="AO223" s="62">
        <f>AI223*-Valores!$C$65</f>
        <v>-4728.639824999999</v>
      </c>
      <c r="AP223" s="62">
        <f>AI223*-Valores!$C$66</f>
        <v>-181.87076249999998</v>
      </c>
      <c r="AQ223" s="78">
        <f>AI223*-Valores!$C$67</f>
        <v>-1636.8368624999998</v>
      </c>
      <c r="AR223" s="78">
        <f>AI223*-Valores!$C$68</f>
        <v>-982.1021174999998</v>
      </c>
      <c r="AS223" s="78">
        <f>AI223*-Valores!$C$69</f>
        <v>-109.1224575</v>
      </c>
      <c r="AT223" s="82">
        <f t="shared" si="40"/>
        <v>33040.18504999999</v>
      </c>
      <c r="AU223" s="82">
        <f t="shared" si="41"/>
        <v>33585.79733749999</v>
      </c>
      <c r="AV223" s="78">
        <f>AI223*Valores!$C$71</f>
        <v>5819.8643999999995</v>
      </c>
      <c r="AW223" s="78">
        <f>AI223*Valores!$C$72</f>
        <v>1636.8368624999998</v>
      </c>
      <c r="AX223" s="78">
        <f>AI223*Valores!$C$73</f>
        <v>363.74152499999997</v>
      </c>
      <c r="AY223" s="78">
        <f>AI223*Valores!$C$75</f>
        <v>1273.0953375</v>
      </c>
      <c r="AZ223" s="78">
        <f>AI223*Valores!$C$76</f>
        <v>218.244915</v>
      </c>
      <c r="BA223" s="78">
        <f t="shared" si="45"/>
        <v>1964.2042350000002</v>
      </c>
      <c r="BB223" s="52"/>
      <c r="BC223" s="121">
        <f t="shared" si="36"/>
        <v>124</v>
      </c>
      <c r="BD223" s="28" t="s">
        <v>8</v>
      </c>
    </row>
    <row r="224" spans="1:56" s="28" customFormat="1" ht="11.25" customHeight="1">
      <c r="A224" s="52">
        <v>223</v>
      </c>
      <c r="B224" s="52"/>
      <c r="C224" s="28" t="s">
        <v>521</v>
      </c>
      <c r="D224" s="28">
        <v>32</v>
      </c>
      <c r="E224" s="28">
        <f t="shared" si="37"/>
        <v>37</v>
      </c>
      <c r="F224" s="72" t="str">
        <f t="shared" si="34"/>
        <v>Hora Cátedra Enseñanza Superior 32 hs</v>
      </c>
      <c r="G224" s="73">
        <f t="shared" si="35"/>
        <v>3168</v>
      </c>
      <c r="H224" s="74">
        <f>INT((G224*Valores!$C$2*100)+0.5)/100</f>
        <v>21011.44</v>
      </c>
      <c r="I224" s="113">
        <v>0</v>
      </c>
      <c r="J224" s="76">
        <f>INT((I224*Valores!$C$2*100)+0.5)/100</f>
        <v>0</v>
      </c>
      <c r="K224" s="103">
        <v>0</v>
      </c>
      <c r="L224" s="76">
        <f>INT((K224*Valores!$C$2*100)+0.5)/100</f>
        <v>0</v>
      </c>
      <c r="M224" s="101">
        <v>0</v>
      </c>
      <c r="N224" s="76">
        <f>INT((M224*Valores!$C$2*100)+0.5)/100</f>
        <v>0</v>
      </c>
      <c r="O224" s="76">
        <f t="shared" si="38"/>
        <v>3668.2439999999997</v>
      </c>
      <c r="P224" s="76">
        <f t="shared" si="39"/>
        <v>0</v>
      </c>
      <c r="Q224" s="102">
        <f>Valores!$C$14*D224</f>
        <v>5126.08</v>
      </c>
      <c r="R224" s="102">
        <f>IF(D224&lt;15,(Valores!$E$4*D224),Valores!$D$4)</f>
        <v>2966.67</v>
      </c>
      <c r="S224" s="76">
        <v>0</v>
      </c>
      <c r="T224" s="79">
        <f>IF(Valores!$C$45*D224&gt;Valores!$C$43,Valores!$C$43,Valores!$C$45*D224)</f>
        <v>1635.84</v>
      </c>
      <c r="U224" s="102">
        <f>Valores!$C$22*D224</f>
        <v>1807.68</v>
      </c>
      <c r="V224" s="76">
        <f t="shared" si="33"/>
        <v>1807.68</v>
      </c>
      <c r="W224" s="76">
        <v>0</v>
      </c>
      <c r="X224" s="76">
        <v>0</v>
      </c>
      <c r="Y224" s="119">
        <v>0</v>
      </c>
      <c r="Z224" s="76">
        <f>Y224*Valores!$C$2</f>
        <v>0</v>
      </c>
      <c r="AA224" s="76">
        <v>0</v>
      </c>
      <c r="AB224" s="81">
        <f>IF((Valores!$C$32)*D224&gt;Valores!$F$32,Valores!$F$32,(Valores!$C$32)*D224)</f>
        <v>205.44</v>
      </c>
      <c r="AC224" s="76">
        <f t="shared" si="42"/>
        <v>0</v>
      </c>
      <c r="AD224" s="76">
        <f>IF(Valores!$C$33*D224&gt;Valores!$F$33,Valores!$F$33,Valores!$C$33*D224)</f>
        <v>160.21</v>
      </c>
      <c r="AE224" s="80">
        <v>0</v>
      </c>
      <c r="AF224" s="76">
        <f>INT(((AE224*Valores!$C$2)*100)+0.5)/100</f>
        <v>0</v>
      </c>
      <c r="AG224" s="76">
        <f>IF(Valores!$D$58*'Escala Docente'!D224&gt;Valores!$F$58,Valores!$F$58,Valores!$D$58*'Escala Docente'!D224)</f>
        <v>651.78</v>
      </c>
      <c r="AH224" s="76">
        <f>IF(Valores!$D$60*D224&gt;Valores!$F$60,Valores!$F$60,Valores!$D$60*D224)</f>
        <v>186.22</v>
      </c>
      <c r="AI224" s="115">
        <f t="shared" si="43"/>
        <v>37419.60399999999</v>
      </c>
      <c r="AJ224" s="102">
        <f>IF(Valores!$C$36*D224&gt;Valores!$F$36,Valores!$F$36,Valores!$C$36*D224)</f>
        <v>1198.38</v>
      </c>
      <c r="AK224" s="79">
        <f>IF(Valores!$C$11*D224&gt;Valores!$F$11,Valores!$F$11,Valores!$C$11*D224)</f>
        <v>0</v>
      </c>
      <c r="AL224" s="79">
        <f>IF(Valores!$C$84*D224&gt;Valores!$C$83,Valores!$C$83,Valores!$C$84*D224)</f>
        <v>2080</v>
      </c>
      <c r="AM224" s="81">
        <f>IF(Valores!$C$56*D224&gt;Valores!$F$56,Valores!$F$56,Valores!$C$56*D224)</f>
        <v>265.48</v>
      </c>
      <c r="AN224" s="83">
        <f t="shared" si="44"/>
        <v>3278.38</v>
      </c>
      <c r="AO224" s="62">
        <f>AI224*-Valores!$C$65</f>
        <v>-4864.548519999999</v>
      </c>
      <c r="AP224" s="62">
        <f>AI224*-Valores!$C$66</f>
        <v>-187.09801999999996</v>
      </c>
      <c r="AQ224" s="78">
        <f>AI224*-Valores!$C$67</f>
        <v>-1683.8821799999996</v>
      </c>
      <c r="AR224" s="78">
        <f>AI224*-Valores!$C$68</f>
        <v>-1010.3293079999997</v>
      </c>
      <c r="AS224" s="78">
        <f>AI224*-Valores!$C$69</f>
        <v>-112.25881199999998</v>
      </c>
      <c r="AT224" s="82">
        <f t="shared" si="40"/>
        <v>33962.455279999995</v>
      </c>
      <c r="AU224" s="82">
        <f t="shared" si="41"/>
        <v>34523.749339999995</v>
      </c>
      <c r="AV224" s="78">
        <f>AI224*Valores!$C$71</f>
        <v>5987.136639999999</v>
      </c>
      <c r="AW224" s="78">
        <f>AI224*Valores!$C$72</f>
        <v>1683.8821799999996</v>
      </c>
      <c r="AX224" s="78">
        <f>AI224*Valores!$C$73</f>
        <v>374.1960399999999</v>
      </c>
      <c r="AY224" s="78">
        <f>AI224*Valores!$C$75</f>
        <v>1309.6861399999998</v>
      </c>
      <c r="AZ224" s="78">
        <f>AI224*Valores!$C$76</f>
        <v>224.51762399999996</v>
      </c>
      <c r="BA224" s="78">
        <f t="shared" si="45"/>
        <v>2020.6586159999997</v>
      </c>
      <c r="BB224" s="52"/>
      <c r="BC224" s="86">
        <f t="shared" si="36"/>
        <v>128</v>
      </c>
      <c r="BD224" s="28" t="s">
        <v>8</v>
      </c>
    </row>
    <row r="225" spans="1:56" s="28" customFormat="1" ht="11.25" customHeight="1">
      <c r="A225" s="52">
        <v>224</v>
      </c>
      <c r="B225" s="52"/>
      <c r="C225" s="28" t="s">
        <v>521</v>
      </c>
      <c r="D225" s="28">
        <v>33</v>
      </c>
      <c r="E225" s="28">
        <f t="shared" si="37"/>
        <v>37</v>
      </c>
      <c r="F225" s="72" t="str">
        <f t="shared" si="34"/>
        <v>Hora Cátedra Enseñanza Superior 33 hs</v>
      </c>
      <c r="G225" s="73">
        <f t="shared" si="35"/>
        <v>3267</v>
      </c>
      <c r="H225" s="74">
        <f>INT((G225*Valores!$C$2*100)+0.5)/100</f>
        <v>21668.05</v>
      </c>
      <c r="I225" s="113">
        <v>0</v>
      </c>
      <c r="J225" s="76">
        <f>INT((I225*Valores!$C$2*100)+0.5)/100</f>
        <v>0</v>
      </c>
      <c r="K225" s="103">
        <v>0</v>
      </c>
      <c r="L225" s="76">
        <f>INT((K225*Valores!$C$2*100)+0.5)/100</f>
        <v>0</v>
      </c>
      <c r="M225" s="101">
        <v>0</v>
      </c>
      <c r="N225" s="76">
        <f>INT((M225*Valores!$C$2*100)+0.5)/100</f>
        <v>0</v>
      </c>
      <c r="O225" s="76">
        <f t="shared" si="38"/>
        <v>3782.877</v>
      </c>
      <c r="P225" s="76">
        <f t="shared" si="39"/>
        <v>0</v>
      </c>
      <c r="Q225" s="102">
        <f>Valores!$C$14*D225</f>
        <v>5286.2699999999995</v>
      </c>
      <c r="R225" s="102">
        <f>IF(D225&lt;15,(Valores!$E$4*D225),Valores!$D$4)</f>
        <v>2966.67</v>
      </c>
      <c r="S225" s="76">
        <v>0</v>
      </c>
      <c r="T225" s="79">
        <f>IF(Valores!$C$45*D225&gt;Valores!$C$43,Valores!$C$43,Valores!$C$45*D225)</f>
        <v>1686.9599999999998</v>
      </c>
      <c r="U225" s="102">
        <f>Valores!$C$22*D225</f>
        <v>1864.17</v>
      </c>
      <c r="V225" s="76">
        <f t="shared" si="33"/>
        <v>1864.17</v>
      </c>
      <c r="W225" s="76">
        <v>0</v>
      </c>
      <c r="X225" s="76">
        <v>0</v>
      </c>
      <c r="Y225" s="119">
        <v>0</v>
      </c>
      <c r="Z225" s="76">
        <f>Y225*Valores!$C$2</f>
        <v>0</v>
      </c>
      <c r="AA225" s="76">
        <v>0</v>
      </c>
      <c r="AB225" s="81">
        <f>IF((Valores!$C$32)*D225&gt;Valores!$F$32,Valores!$F$32,(Valores!$C$32)*D225)</f>
        <v>211.85999999999999</v>
      </c>
      <c r="AC225" s="76">
        <f t="shared" si="42"/>
        <v>0</v>
      </c>
      <c r="AD225" s="76">
        <f>IF(Valores!$C$33*D225&gt;Valores!$F$33,Valores!$F$33,Valores!$C$33*D225)</f>
        <v>160.21</v>
      </c>
      <c r="AE225" s="80">
        <v>0</v>
      </c>
      <c r="AF225" s="76">
        <f>INT(((AE225*Valores!$C$2)*100)+0.5)/100</f>
        <v>0</v>
      </c>
      <c r="AG225" s="76">
        <f>IF(Valores!$D$58*'Escala Docente'!D225&gt;Valores!$F$58,Valores!$F$58,Valores!$D$58*'Escala Docente'!D225)</f>
        <v>651.78</v>
      </c>
      <c r="AH225" s="76">
        <f>IF(Valores!$D$60*D225&gt;Valores!$F$60,Valores!$F$60,Valores!$D$60*D225)</f>
        <v>186.22</v>
      </c>
      <c r="AI225" s="115">
        <f t="shared" si="43"/>
        <v>38465.066999999995</v>
      </c>
      <c r="AJ225" s="102">
        <f>IF(Valores!$C$36*D225&gt;Valores!$F$36,Valores!$F$36,Valores!$C$36*D225)</f>
        <v>1198.38</v>
      </c>
      <c r="AK225" s="79">
        <f>IF(Valores!$C$11*D225&gt;Valores!$F$11,Valores!$F$11,Valores!$C$11*D225)</f>
        <v>0</v>
      </c>
      <c r="AL225" s="79">
        <f>IF(Valores!$C$84*D225&gt;Valores!$C$83,Valores!$C$83,Valores!$C$84*D225)</f>
        <v>2145</v>
      </c>
      <c r="AM225" s="81">
        <f>IF(Valores!$C$56*D225&gt;Valores!$F$56,Valores!$F$56,Valores!$C$56*D225)</f>
        <v>265.48</v>
      </c>
      <c r="AN225" s="83">
        <f t="shared" si="44"/>
        <v>3343.38</v>
      </c>
      <c r="AO225" s="62">
        <f>AI225*-Valores!$C$65</f>
        <v>-5000.45871</v>
      </c>
      <c r="AP225" s="62">
        <f>AI225*-Valores!$C$66</f>
        <v>-192.325335</v>
      </c>
      <c r="AQ225" s="78">
        <f>AI225*-Valores!$C$67</f>
        <v>-1730.9280149999997</v>
      </c>
      <c r="AR225" s="78">
        <f>AI225*-Valores!$C$68</f>
        <v>-1038.556809</v>
      </c>
      <c r="AS225" s="78">
        <f>AI225*-Valores!$C$69</f>
        <v>-115.39520099999999</v>
      </c>
      <c r="AT225" s="82">
        <f t="shared" si="40"/>
        <v>34884.734939999995</v>
      </c>
      <c r="AU225" s="82">
        <f t="shared" si="41"/>
        <v>35461.71094499999</v>
      </c>
      <c r="AV225" s="78">
        <f>AI225*Valores!$C$71</f>
        <v>6154.41072</v>
      </c>
      <c r="AW225" s="78">
        <f>AI225*Valores!$C$72</f>
        <v>1730.9280149999997</v>
      </c>
      <c r="AX225" s="78">
        <f>AI225*Valores!$C$73</f>
        <v>384.65067</v>
      </c>
      <c r="AY225" s="78">
        <f>AI225*Valores!$C$75</f>
        <v>1346.277345</v>
      </c>
      <c r="AZ225" s="78">
        <f>AI225*Valores!$C$76</f>
        <v>230.79040199999997</v>
      </c>
      <c r="BA225" s="78">
        <f t="shared" si="45"/>
        <v>2077.113618</v>
      </c>
      <c r="BB225" s="52"/>
      <c r="BC225" s="52">
        <f aca="true" t="shared" si="46" ref="BC225:BC256">4*D225</f>
        <v>132</v>
      </c>
      <c r="BD225" s="28" t="s">
        <v>8</v>
      </c>
    </row>
    <row r="226" spans="1:56" s="28" customFormat="1" ht="11.25" customHeight="1">
      <c r="A226" s="86">
        <v>225</v>
      </c>
      <c r="B226" s="86" t="s">
        <v>163</v>
      </c>
      <c r="C226" s="87" t="s">
        <v>521</v>
      </c>
      <c r="D226" s="87">
        <v>34</v>
      </c>
      <c r="E226" s="87">
        <f t="shared" si="37"/>
        <v>37</v>
      </c>
      <c r="F226" s="88" t="str">
        <f t="shared" si="34"/>
        <v>Hora Cátedra Enseñanza Superior 34 hs</v>
      </c>
      <c r="G226" s="89">
        <f t="shared" si="35"/>
        <v>3366</v>
      </c>
      <c r="H226" s="90">
        <f>INT((G226*Valores!$C$2*100)+0.5)/100</f>
        <v>22324.66</v>
      </c>
      <c r="I226" s="104">
        <v>0</v>
      </c>
      <c r="J226" s="92">
        <f>INT((I226*Valores!$C$2*100)+0.5)/100</f>
        <v>0</v>
      </c>
      <c r="K226" s="105">
        <v>0</v>
      </c>
      <c r="L226" s="92">
        <f>INT((K226*Valores!$C$2*100)+0.5)/100</f>
        <v>0</v>
      </c>
      <c r="M226" s="106">
        <v>0</v>
      </c>
      <c r="N226" s="92">
        <f>INT((M226*Valores!$C$2*100)+0.5)/100</f>
        <v>0</v>
      </c>
      <c r="O226" s="92">
        <f t="shared" si="38"/>
        <v>3897.51</v>
      </c>
      <c r="P226" s="92">
        <f t="shared" si="39"/>
        <v>0</v>
      </c>
      <c r="Q226" s="108">
        <f>Valores!$C$14*D226</f>
        <v>5446.46</v>
      </c>
      <c r="R226" s="108">
        <f>IF(D226&lt;15,(Valores!$E$4*D226),Valores!$D$4)</f>
        <v>2966.67</v>
      </c>
      <c r="S226" s="92">
        <v>0</v>
      </c>
      <c r="T226" s="95">
        <f>IF(Valores!$C$45*D226&gt;Valores!$C$43,Valores!$C$43,Valores!$C$45*D226)</f>
        <v>1738.08</v>
      </c>
      <c r="U226" s="108">
        <f>Valores!$C$22*D226</f>
        <v>1920.66</v>
      </c>
      <c r="V226" s="92">
        <f t="shared" si="33"/>
        <v>1920.66</v>
      </c>
      <c r="W226" s="92">
        <v>0</v>
      </c>
      <c r="X226" s="92">
        <v>0</v>
      </c>
      <c r="Y226" s="120">
        <v>0</v>
      </c>
      <c r="Z226" s="92">
        <f>Y226*Valores!$C$2</f>
        <v>0</v>
      </c>
      <c r="AA226" s="92">
        <v>0</v>
      </c>
      <c r="AB226" s="97">
        <f>IF((Valores!$C$32)*D226&gt;Valores!$F$32,Valores!$F$32,(Valores!$C$32)*D226)</f>
        <v>218.28</v>
      </c>
      <c r="AC226" s="92">
        <f t="shared" si="42"/>
        <v>0</v>
      </c>
      <c r="AD226" s="92">
        <f>IF(Valores!$C$33*D226&gt;Valores!$F$33,Valores!$F$33,Valores!$C$33*D226)</f>
        <v>160.21</v>
      </c>
      <c r="AE226" s="96">
        <v>0</v>
      </c>
      <c r="AF226" s="92">
        <f>INT(((AE226*Valores!$C$2)*100)+0.5)/100</f>
        <v>0</v>
      </c>
      <c r="AG226" s="92">
        <f>IF(Valores!$D$58*'Escala Docente'!D226&gt;Valores!$F$58,Valores!$F$58,Valores!$D$58*'Escala Docente'!D226)</f>
        <v>651.78</v>
      </c>
      <c r="AH226" s="92">
        <f>IF(Valores!$D$60*D226&gt;Valores!$F$60,Valores!$F$60,Valores!$D$60*D226)</f>
        <v>186.22</v>
      </c>
      <c r="AI226" s="116">
        <f t="shared" si="43"/>
        <v>39510.53</v>
      </c>
      <c r="AJ226" s="108">
        <f>IF(Valores!$C$36*D226&gt;Valores!$F$36,Valores!$F$36,Valores!$C$36*D226)</f>
        <v>1198.38</v>
      </c>
      <c r="AK226" s="95">
        <f>IF(Valores!$C$11*D226&gt;Valores!$F$11,Valores!$F$11,Valores!$C$11*D226)</f>
        <v>0</v>
      </c>
      <c r="AL226" s="95">
        <f>IF(Valores!$C$84*D226&gt;Valores!$C$83,Valores!$C$83,Valores!$C$84*D226)</f>
        <v>2210</v>
      </c>
      <c r="AM226" s="97">
        <f>IF(Valores!$C$56*D226&gt;Valores!$F$56,Valores!$F$56,Valores!$C$56*D226)</f>
        <v>265.48</v>
      </c>
      <c r="AN226" s="99">
        <f t="shared" si="44"/>
        <v>3408.38</v>
      </c>
      <c r="AO226" s="117">
        <f>AI226*-Valores!$C$65</f>
        <v>-5136.3689</v>
      </c>
      <c r="AP226" s="117">
        <f>AI226*-Valores!$C$66</f>
        <v>-197.55265</v>
      </c>
      <c r="AQ226" s="94">
        <f>AI226*-Valores!$C$67</f>
        <v>-1777.9738499999999</v>
      </c>
      <c r="AR226" s="94">
        <f>AI226*-Valores!$C$68</f>
        <v>-1066.78431</v>
      </c>
      <c r="AS226" s="94">
        <f>AI226*-Valores!$C$69</f>
        <v>-118.53159</v>
      </c>
      <c r="AT226" s="98">
        <f t="shared" si="40"/>
        <v>35807.014599999995</v>
      </c>
      <c r="AU226" s="98">
        <f t="shared" si="41"/>
        <v>36399.672549999996</v>
      </c>
      <c r="AV226" s="94">
        <f>AI226*Valores!$C$71</f>
        <v>6321.6848</v>
      </c>
      <c r="AW226" s="94">
        <f>AI226*Valores!$C$72</f>
        <v>1777.9738499999999</v>
      </c>
      <c r="AX226" s="94">
        <f>AI226*Valores!$C$73</f>
        <v>395.1053</v>
      </c>
      <c r="AY226" s="94">
        <f>AI226*Valores!$C$75</f>
        <v>1382.8685500000001</v>
      </c>
      <c r="AZ226" s="94">
        <f>AI226*Valores!$C$76</f>
        <v>237.06318</v>
      </c>
      <c r="BA226" s="94">
        <f t="shared" si="45"/>
        <v>2133.56862</v>
      </c>
      <c r="BB226" s="86"/>
      <c r="BC226" s="86">
        <f t="shared" si="46"/>
        <v>136</v>
      </c>
      <c r="BD226" s="87" t="s">
        <v>8</v>
      </c>
    </row>
    <row r="227" spans="1:56" s="28" customFormat="1" ht="11.25" customHeight="1">
      <c r="A227" s="52">
        <v>226</v>
      </c>
      <c r="B227" s="52"/>
      <c r="C227" s="28" t="s">
        <v>521</v>
      </c>
      <c r="D227" s="28">
        <v>35</v>
      </c>
      <c r="E227" s="28">
        <f t="shared" si="37"/>
        <v>37</v>
      </c>
      <c r="F227" s="72" t="str">
        <f t="shared" si="34"/>
        <v>Hora Cátedra Enseñanza Superior 35 hs</v>
      </c>
      <c r="G227" s="73">
        <f t="shared" si="35"/>
        <v>3465</v>
      </c>
      <c r="H227" s="74">
        <f>INT((G227*Valores!$C$2*100)+0.5)/100</f>
        <v>22981.27</v>
      </c>
      <c r="I227" s="113">
        <v>0</v>
      </c>
      <c r="J227" s="76">
        <f>INT((I227*Valores!$C$2*100)+0.5)/100</f>
        <v>0</v>
      </c>
      <c r="K227" s="103">
        <v>0</v>
      </c>
      <c r="L227" s="76">
        <f>INT((K227*Valores!$C$2*100)+0.5)/100</f>
        <v>0</v>
      </c>
      <c r="M227" s="101">
        <v>0</v>
      </c>
      <c r="N227" s="76">
        <f>INT((M227*Valores!$C$2*100)+0.5)/100</f>
        <v>0</v>
      </c>
      <c r="O227" s="76">
        <f t="shared" si="38"/>
        <v>4012.143</v>
      </c>
      <c r="P227" s="76">
        <f t="shared" si="39"/>
        <v>0</v>
      </c>
      <c r="Q227" s="102">
        <f>Valores!$C$14*D227</f>
        <v>5606.65</v>
      </c>
      <c r="R227" s="102">
        <f>IF(D227&lt;15,(Valores!$E$4*D227),Valores!$D$4)</f>
        <v>2966.67</v>
      </c>
      <c r="S227" s="76">
        <v>0</v>
      </c>
      <c r="T227" s="79">
        <f>IF(Valores!$C$45*D227&gt;Valores!$C$43,Valores!$C$43,Valores!$C$45*D227)</f>
        <v>1789.1999999999998</v>
      </c>
      <c r="U227" s="102">
        <f>Valores!$C$22*D227</f>
        <v>1977.15</v>
      </c>
      <c r="V227" s="76">
        <f t="shared" si="33"/>
        <v>1977.15</v>
      </c>
      <c r="W227" s="76">
        <v>0</v>
      </c>
      <c r="X227" s="76">
        <v>0</v>
      </c>
      <c r="Y227" s="119">
        <v>0</v>
      </c>
      <c r="Z227" s="76">
        <f>Y227*Valores!$C$2</f>
        <v>0</v>
      </c>
      <c r="AA227" s="76">
        <v>0</v>
      </c>
      <c r="AB227" s="81">
        <f>IF((Valores!$C$32)*D227&gt;Valores!$F$32,Valores!$F$32,(Valores!$C$32)*D227)</f>
        <v>224.7</v>
      </c>
      <c r="AC227" s="76">
        <f t="shared" si="42"/>
        <v>0</v>
      </c>
      <c r="AD227" s="76">
        <f>IF(Valores!$C$33*D227&gt;Valores!$F$33,Valores!$F$33,Valores!$C$33*D227)</f>
        <v>160.21</v>
      </c>
      <c r="AE227" s="80">
        <v>0</v>
      </c>
      <c r="AF227" s="76">
        <f>INT(((AE227*Valores!$C$2)*100)+0.5)/100</f>
        <v>0</v>
      </c>
      <c r="AG227" s="76">
        <f>IF(Valores!$D$58*'Escala Docente'!D227&gt;Valores!$F$58,Valores!$F$58,Valores!$D$58*'Escala Docente'!D227)</f>
        <v>651.78</v>
      </c>
      <c r="AH227" s="76">
        <f>IF(Valores!$D$60*D227&gt;Valores!$F$60,Valores!$F$60,Valores!$D$60*D227)</f>
        <v>186.22</v>
      </c>
      <c r="AI227" s="115">
        <f t="shared" si="43"/>
        <v>40555.992999999995</v>
      </c>
      <c r="AJ227" s="102">
        <f>IF(Valores!$C$36*D227&gt;Valores!$F$36,Valores!$F$36,Valores!$C$36*D227)</f>
        <v>1198.38</v>
      </c>
      <c r="AK227" s="79">
        <f>IF(Valores!$C$11*D227&gt;Valores!$F$11,Valores!$F$11,Valores!$C$11*D227)</f>
        <v>0</v>
      </c>
      <c r="AL227" s="79">
        <f>IF(Valores!$C$84*D227&gt;Valores!$C$83,Valores!$C$83,Valores!$C$84*D227)</f>
        <v>2275</v>
      </c>
      <c r="AM227" s="81">
        <f>IF(Valores!$C$56*D227&gt;Valores!$F$56,Valores!$F$56,Valores!$C$56*D227)</f>
        <v>265.48</v>
      </c>
      <c r="AN227" s="83">
        <f t="shared" si="44"/>
        <v>3473.38</v>
      </c>
      <c r="AO227" s="62">
        <f>AI227*-Valores!$C$65</f>
        <v>-5272.279089999999</v>
      </c>
      <c r="AP227" s="62">
        <f>AI227*-Valores!$C$66</f>
        <v>-202.77996499999998</v>
      </c>
      <c r="AQ227" s="78">
        <f>AI227*-Valores!$C$67</f>
        <v>-1825.0196849999998</v>
      </c>
      <c r="AR227" s="78">
        <f>AI227*-Valores!$C$68</f>
        <v>-1095.0118109999999</v>
      </c>
      <c r="AS227" s="78">
        <f>AI227*-Valores!$C$69</f>
        <v>-121.66797899999999</v>
      </c>
      <c r="AT227" s="82">
        <f t="shared" si="40"/>
        <v>36729.294259999995</v>
      </c>
      <c r="AU227" s="82">
        <f t="shared" si="41"/>
        <v>37337.634155</v>
      </c>
      <c r="AV227" s="78">
        <f>AI227*Valores!$C$71</f>
        <v>6488.958879999999</v>
      </c>
      <c r="AW227" s="78">
        <f>AI227*Valores!$C$72</f>
        <v>1825.0196849999998</v>
      </c>
      <c r="AX227" s="78">
        <f>AI227*Valores!$C$73</f>
        <v>405.55992999999995</v>
      </c>
      <c r="AY227" s="78">
        <f>AI227*Valores!$C$75</f>
        <v>1419.4597549999999</v>
      </c>
      <c r="AZ227" s="78">
        <f>AI227*Valores!$C$76</f>
        <v>243.33595799999998</v>
      </c>
      <c r="BA227" s="78">
        <f t="shared" si="45"/>
        <v>2190.0236219999997</v>
      </c>
      <c r="BB227" s="52"/>
      <c r="BC227" s="52">
        <f t="shared" si="46"/>
        <v>140</v>
      </c>
      <c r="BD227" s="28" t="s">
        <v>8</v>
      </c>
    </row>
    <row r="228" spans="1:56" s="28" customFormat="1" ht="11.25" customHeight="1">
      <c r="A228" s="52">
        <v>227</v>
      </c>
      <c r="B228" s="52"/>
      <c r="C228" s="28" t="s">
        <v>521</v>
      </c>
      <c r="D228" s="28">
        <v>36</v>
      </c>
      <c r="E228" s="28">
        <f t="shared" si="37"/>
        <v>37</v>
      </c>
      <c r="F228" s="72" t="str">
        <f t="shared" si="34"/>
        <v>Hora Cátedra Enseñanza Superior 36 hs</v>
      </c>
      <c r="G228" s="73">
        <f t="shared" si="35"/>
        <v>3564</v>
      </c>
      <c r="H228" s="74">
        <f>INT((G228*Valores!$C$2*100)+0.5)/100</f>
        <v>23637.87</v>
      </c>
      <c r="I228" s="113">
        <v>0</v>
      </c>
      <c r="J228" s="76">
        <f>INT((I228*Valores!$C$2*100)+0.5)/100</f>
        <v>0</v>
      </c>
      <c r="K228" s="103">
        <v>0</v>
      </c>
      <c r="L228" s="76">
        <f>INT((K228*Valores!$C$2*100)+0.5)/100</f>
        <v>0</v>
      </c>
      <c r="M228" s="101">
        <v>0</v>
      </c>
      <c r="N228" s="76">
        <f>INT((M228*Valores!$C$2*100)+0.5)/100</f>
        <v>0</v>
      </c>
      <c r="O228" s="76">
        <f t="shared" si="38"/>
        <v>4126.657499999999</v>
      </c>
      <c r="P228" s="76">
        <f t="shared" si="39"/>
        <v>0</v>
      </c>
      <c r="Q228" s="102">
        <f>Valores!$C$14*D228</f>
        <v>5766.84</v>
      </c>
      <c r="R228" s="102">
        <f>IF(D228&lt;15,(Valores!$E$4*D228),Valores!$D$4)</f>
        <v>2966.67</v>
      </c>
      <c r="S228" s="76">
        <v>0</v>
      </c>
      <c r="T228" s="79">
        <f>IF(Valores!$C$45*D228&gt;Valores!$C$43,Valores!$C$43,Valores!$C$45*D228)</f>
        <v>1839.54</v>
      </c>
      <c r="U228" s="102">
        <f>Valores!$C$22*D228</f>
        <v>2033.64</v>
      </c>
      <c r="V228" s="76">
        <f t="shared" si="33"/>
        <v>2033.64</v>
      </c>
      <c r="W228" s="76">
        <v>0</v>
      </c>
      <c r="X228" s="76">
        <v>0</v>
      </c>
      <c r="Y228" s="119">
        <v>0</v>
      </c>
      <c r="Z228" s="76">
        <f>Y228*Valores!$C$2</f>
        <v>0</v>
      </c>
      <c r="AA228" s="76">
        <v>0</v>
      </c>
      <c r="AB228" s="81">
        <f>IF((Valores!$C$32)*D228&gt;Valores!$F$32,Valores!$F$32,(Valores!$C$32)*D228)</f>
        <v>231.12</v>
      </c>
      <c r="AC228" s="76">
        <f t="shared" si="42"/>
        <v>0</v>
      </c>
      <c r="AD228" s="76">
        <f>IF(Valores!$C$33*D228&gt;Valores!$F$33,Valores!$F$33,Valores!$C$33*D228)</f>
        <v>160.21</v>
      </c>
      <c r="AE228" s="80">
        <v>0</v>
      </c>
      <c r="AF228" s="76">
        <f>INT(((AE228*Valores!$C$2)*100)+0.5)/100</f>
        <v>0</v>
      </c>
      <c r="AG228" s="76">
        <f>IF(Valores!$D$58*'Escala Docente'!D228&gt;Valores!$F$58,Valores!$F$58,Valores!$D$58*'Escala Docente'!D228)</f>
        <v>651.78</v>
      </c>
      <c r="AH228" s="76">
        <f>IF(Valores!$D$60*D228&gt;Valores!$F$60,Valores!$F$60,Valores!$D$60*D228)</f>
        <v>186.22</v>
      </c>
      <c r="AI228" s="115">
        <f t="shared" si="43"/>
        <v>41600.54749999999</v>
      </c>
      <c r="AJ228" s="102">
        <f>IF(Valores!$C$36*D228&gt;Valores!$F$36,Valores!$F$36,Valores!$C$36*D228)</f>
        <v>1198.38</v>
      </c>
      <c r="AK228" s="79">
        <f>IF(Valores!$C$11*D228&gt;Valores!$F$11,Valores!$F$11,Valores!$C$11*D228)</f>
        <v>0</v>
      </c>
      <c r="AL228" s="79">
        <f>IF(Valores!$C$84*D228&gt;Valores!$C$83,Valores!$C$83,Valores!$C$84*D228)</f>
        <v>2340</v>
      </c>
      <c r="AM228" s="81">
        <f>IF(Valores!$C$56*D228&gt;Valores!$F$56,Valores!$F$56,Valores!$C$56*D228)</f>
        <v>265.48</v>
      </c>
      <c r="AN228" s="83">
        <f t="shared" si="44"/>
        <v>3538.38</v>
      </c>
      <c r="AO228" s="62">
        <f>AI228*-Valores!$C$65</f>
        <v>-5408.071174999999</v>
      </c>
      <c r="AP228" s="62">
        <f>AI228*-Valores!$C$66</f>
        <v>-208.00273749999997</v>
      </c>
      <c r="AQ228" s="78">
        <f>AI228*-Valores!$C$67</f>
        <v>-1872.0246374999997</v>
      </c>
      <c r="AR228" s="78">
        <f>AI228*-Valores!$C$68</f>
        <v>-1123.2147824999997</v>
      </c>
      <c r="AS228" s="78">
        <f>AI228*-Valores!$C$69</f>
        <v>-124.80164249999999</v>
      </c>
      <c r="AT228" s="82">
        <f t="shared" si="40"/>
        <v>37650.828949999996</v>
      </c>
      <c r="AU228" s="82">
        <f t="shared" si="41"/>
        <v>38274.83716249999</v>
      </c>
      <c r="AV228" s="78">
        <f>AI228*Valores!$C$71</f>
        <v>6656.087599999999</v>
      </c>
      <c r="AW228" s="78">
        <f>AI228*Valores!$C$72</f>
        <v>1872.0246374999997</v>
      </c>
      <c r="AX228" s="78">
        <f>AI228*Valores!$C$73</f>
        <v>416.00547499999993</v>
      </c>
      <c r="AY228" s="78">
        <f>AI228*Valores!$C$75</f>
        <v>1456.0191625</v>
      </c>
      <c r="AZ228" s="78">
        <f>AI228*Valores!$C$76</f>
        <v>249.60328499999997</v>
      </c>
      <c r="BA228" s="78">
        <f t="shared" si="45"/>
        <v>2246.429565</v>
      </c>
      <c r="BB228" s="52"/>
      <c r="BC228" s="52">
        <f t="shared" si="46"/>
        <v>144</v>
      </c>
      <c r="BD228" s="28" t="s">
        <v>8</v>
      </c>
    </row>
    <row r="229" spans="1:56" s="28" customFormat="1" ht="11.25" customHeight="1">
      <c r="A229" s="52">
        <v>228</v>
      </c>
      <c r="B229" s="52"/>
      <c r="C229" s="28" t="s">
        <v>522</v>
      </c>
      <c r="D229" s="28">
        <v>1</v>
      </c>
      <c r="E229" s="28">
        <f t="shared" si="37"/>
        <v>33</v>
      </c>
      <c r="F229" s="72" t="str">
        <f>CONCATENATE("Hora Cátedra Enseñanza Media ",D229," hs")</f>
        <v>Hora Cátedra Enseñanza Media 1 hs</v>
      </c>
      <c r="G229" s="73">
        <f aca="true" t="shared" si="47" ref="G229:G260">79*D229</f>
        <v>79</v>
      </c>
      <c r="H229" s="74">
        <f>INT((G229*Valores!$C$2*100))/100</f>
        <v>523.95</v>
      </c>
      <c r="I229" s="113">
        <v>0</v>
      </c>
      <c r="J229" s="76">
        <f>INT((I229*Valores!$C$2*100)+0.5)/100</f>
        <v>0</v>
      </c>
      <c r="K229" s="103">
        <v>0</v>
      </c>
      <c r="L229" s="76">
        <f>INT((K229*Valores!$C$2*100)+0.5)/100</f>
        <v>0</v>
      </c>
      <c r="M229" s="101">
        <v>0</v>
      </c>
      <c r="N229" s="76">
        <f>INT((M229*Valores!$C$2*100)+0.5)/100</f>
        <v>0</v>
      </c>
      <c r="O229" s="76">
        <f t="shared" si="38"/>
        <v>94.73400000000001</v>
      </c>
      <c r="P229" s="76">
        <f t="shared" si="39"/>
        <v>0</v>
      </c>
      <c r="Q229" s="102">
        <f>Valores!$C$14*D229</f>
        <v>160.19</v>
      </c>
      <c r="R229" s="102">
        <f>IF(D229&lt;15,(Valores!$E$4*D229),Valores!$D$4)</f>
        <v>197.78</v>
      </c>
      <c r="S229" s="76">
        <v>0</v>
      </c>
      <c r="T229" s="79">
        <f>IF(Valores!$C$45*D229&gt;Valores!$C$43,Valores!$C$43,Valores!$C$45*D229)</f>
        <v>51.12</v>
      </c>
      <c r="U229" s="102">
        <f>Valores!$C$22*D229</f>
        <v>56.49</v>
      </c>
      <c r="V229" s="76">
        <f t="shared" si="33"/>
        <v>56.49</v>
      </c>
      <c r="W229" s="76">
        <v>0</v>
      </c>
      <c r="X229" s="76">
        <v>0</v>
      </c>
      <c r="Y229" s="119">
        <v>0</v>
      </c>
      <c r="Z229" s="76">
        <f>Y229*Valores!$C$2</f>
        <v>0</v>
      </c>
      <c r="AA229" s="76">
        <v>0</v>
      </c>
      <c r="AB229" s="81">
        <f>IF((Valores!$C$32)*D229&gt;Valores!$F$32,Valores!$F$32,(Valores!$C$32)*D229)</f>
        <v>6.42</v>
      </c>
      <c r="AC229" s="76">
        <f t="shared" si="42"/>
        <v>0</v>
      </c>
      <c r="AD229" s="76">
        <f>IF(Valores!$C$33*D229&gt;Valores!$F$33,Valores!$F$33,Valores!$C$33*D229)</f>
        <v>5.34</v>
      </c>
      <c r="AE229" s="80">
        <v>0</v>
      </c>
      <c r="AF229" s="76">
        <f>INT(((AE229*Valores!$C$2)*100)+0.5)/100</f>
        <v>0</v>
      </c>
      <c r="AG229" s="76">
        <f>IF(Valores!$D$58*'Escala Docente'!D229&gt;Valores!$F$58,Valores!$F$58,Valores!$D$58*'Escala Docente'!D229)</f>
        <v>21.73</v>
      </c>
      <c r="AH229" s="76">
        <f>IF(Valores!$D$60*D229&gt;Valores!$F$60,Valores!$F$60,Valores!$D$60*D229)</f>
        <v>6.21</v>
      </c>
      <c r="AI229" s="115">
        <f t="shared" si="43"/>
        <v>1123.964</v>
      </c>
      <c r="AJ229" s="102">
        <f>IF(Valores!$C$36*D229&gt;Valores!$F$36,Valores!$F$36,Valores!$C$36*D229)</f>
        <v>39.95</v>
      </c>
      <c r="AK229" s="79">
        <f>IF(Valores!$C$11*D229&gt;Valores!$F$11,Valores!$F$11,Valores!$C$11*D229)</f>
        <v>0</v>
      </c>
      <c r="AL229" s="79">
        <f>IF(Valores!$C$84*D229&gt;Valores!$C$83,Valores!$C$83,Valores!$C$84*D229)</f>
        <v>65</v>
      </c>
      <c r="AM229" s="81">
        <f>IF(Valores!$C$57*D229&gt;Valores!$F$57,Valores!$F$57,Valores!$C$57*D229)</f>
        <v>9.1</v>
      </c>
      <c r="AN229" s="83">
        <f t="shared" si="44"/>
        <v>104.95</v>
      </c>
      <c r="AO229" s="62">
        <f>AI229*-Valores!$C$65</f>
        <v>-146.11532</v>
      </c>
      <c r="AP229" s="62">
        <f>AI229*-Valores!$C$66</f>
        <v>-5.61982</v>
      </c>
      <c r="AQ229" s="78">
        <f>AI229*-Valores!$C$67</f>
        <v>-50.578379999999996</v>
      </c>
      <c r="AR229" s="78">
        <f>AI229*-Valores!$C$68</f>
        <v>-30.347027999999998</v>
      </c>
      <c r="AS229" s="78">
        <f>AI229*-Valores!$C$69</f>
        <v>-3.371892</v>
      </c>
      <c r="AT229" s="82">
        <f t="shared" si="40"/>
        <v>1026.60048</v>
      </c>
      <c r="AU229" s="82">
        <f t="shared" si="41"/>
        <v>1043.4599400000004</v>
      </c>
      <c r="AV229" s="78">
        <f>AI229*Valores!$C$71</f>
        <v>179.83424</v>
      </c>
      <c r="AW229" s="78">
        <f>AI229*Valores!$C$72</f>
        <v>50.578379999999996</v>
      </c>
      <c r="AX229" s="78">
        <f>AI229*Valores!$C$73</f>
        <v>11.23964</v>
      </c>
      <c r="AY229" s="78">
        <f>AI229*Valores!$C$75</f>
        <v>39.33874</v>
      </c>
      <c r="AZ229" s="78">
        <f>AI229*Valores!$C$76</f>
        <v>6.743784</v>
      </c>
      <c r="BA229" s="78">
        <f t="shared" si="45"/>
        <v>60.694056</v>
      </c>
      <c r="BB229" s="52"/>
      <c r="BC229" s="86">
        <f t="shared" si="46"/>
        <v>4</v>
      </c>
      <c r="BD229" s="28" t="s">
        <v>4</v>
      </c>
    </row>
    <row r="230" spans="1:56" s="28" customFormat="1" ht="11.25" customHeight="1">
      <c r="A230" s="52">
        <v>229</v>
      </c>
      <c r="B230" s="52"/>
      <c r="C230" s="28" t="s">
        <v>522</v>
      </c>
      <c r="D230" s="28">
        <v>1</v>
      </c>
      <c r="E230" s="28">
        <f t="shared" si="37"/>
        <v>41</v>
      </c>
      <c r="F230" s="72" t="str">
        <f>CONCATENATE("Hora Cátedra Enseñanza Media ",D230," hs Esc Esp")</f>
        <v>Hora Cátedra Enseñanza Media 1 hs Esc Esp</v>
      </c>
      <c r="G230" s="73">
        <f t="shared" si="47"/>
        <v>79</v>
      </c>
      <c r="H230" s="74">
        <f>INT((G230*Valores!$C$2*100))/100</f>
        <v>523.95</v>
      </c>
      <c r="I230" s="113">
        <v>0</v>
      </c>
      <c r="J230" s="76">
        <f>INT((I230*Valores!$C$2*100)+0.5)/100</f>
        <v>0</v>
      </c>
      <c r="K230" s="103">
        <v>0</v>
      </c>
      <c r="L230" s="76">
        <f>INT((K230*Valores!$C$2*100)+0.5)/100</f>
        <v>0</v>
      </c>
      <c r="M230" s="101">
        <v>0</v>
      </c>
      <c r="N230" s="76">
        <f>INT((M230*Valores!$C$2*100)+0.5)/100</f>
        <v>0</v>
      </c>
      <c r="O230" s="76">
        <f t="shared" si="38"/>
        <v>94.73400000000001</v>
      </c>
      <c r="P230" s="76">
        <f t="shared" si="39"/>
        <v>0</v>
      </c>
      <c r="Q230" s="102">
        <f>Valores!$C$14*D230</f>
        <v>160.19</v>
      </c>
      <c r="R230" s="102">
        <f>IF(D230&lt;15,(Valores!$E$4*D230),Valores!$D$4)</f>
        <v>197.78</v>
      </c>
      <c r="S230" s="76">
        <v>0</v>
      </c>
      <c r="T230" s="79">
        <f>IF(Valores!$C$45*D230&gt;Valores!$C$43,Valores!$C$43,Valores!$C$45*D230)</f>
        <v>51.12</v>
      </c>
      <c r="U230" s="102">
        <f>Valores!$C$22*D230</f>
        <v>56.49</v>
      </c>
      <c r="V230" s="76">
        <f t="shared" si="33"/>
        <v>56.49</v>
      </c>
      <c r="W230" s="76">
        <v>0</v>
      </c>
      <c r="X230" s="76">
        <v>0</v>
      </c>
      <c r="Y230" s="119">
        <v>0</v>
      </c>
      <c r="Z230" s="76">
        <f>Y230*Valores!$C$2</f>
        <v>0</v>
      </c>
      <c r="AA230" s="76">
        <v>0</v>
      </c>
      <c r="AB230" s="81">
        <f>IF((Valores!$C$32)*D230&gt;Valores!$F$32,Valores!$F$32,(Valores!$C$32)*D230)</f>
        <v>6.42</v>
      </c>
      <c r="AC230" s="76">
        <f t="shared" si="42"/>
        <v>0</v>
      </c>
      <c r="AD230" s="76">
        <f>IF(Valores!$C$33*D230&gt;Valores!$F$33,Valores!$F$33,Valores!$C$33*D230)</f>
        <v>5.34</v>
      </c>
      <c r="AE230" s="80">
        <v>94</v>
      </c>
      <c r="AF230" s="76">
        <f>INT(((AE230*Valores!$C$2)*100)+0.5)/100</f>
        <v>623.45</v>
      </c>
      <c r="AG230" s="76">
        <f>IF(Valores!$D$58*'Escala Docente'!D230&gt;Valores!$F$58,Valores!$F$58,Valores!$D$58*'Escala Docente'!D230)</f>
        <v>21.73</v>
      </c>
      <c r="AH230" s="76">
        <f>IF(Valores!$D$60*D230&gt;Valores!$F$60,Valores!$F$60,Valores!$D$60*D230)</f>
        <v>6.21</v>
      </c>
      <c r="AI230" s="115">
        <f t="shared" si="43"/>
        <v>1747.414</v>
      </c>
      <c r="AJ230" s="102">
        <f>IF(Valores!$C$36*D230&gt;Valores!$F$36,Valores!$F$36,Valores!$C$36*D230)</f>
        <v>39.95</v>
      </c>
      <c r="AK230" s="79">
        <f>IF(Valores!$C$11*D230&gt;Valores!$F$11,Valores!$F$11,Valores!$C$11*D230)</f>
        <v>0</v>
      </c>
      <c r="AL230" s="79">
        <f>IF(Valores!$C$84*D230&gt;Valores!$C$83,Valores!$C$83,Valores!$C$84*D230)</f>
        <v>65</v>
      </c>
      <c r="AM230" s="81">
        <f>IF(Valores!$C$57*D230&gt;Valores!$F$57,Valores!$F$57,Valores!$C$57*D230)</f>
        <v>9.1</v>
      </c>
      <c r="AN230" s="83">
        <f t="shared" si="44"/>
        <v>104.95</v>
      </c>
      <c r="AO230" s="62">
        <f>AI230*-Valores!$C$65</f>
        <v>-227.16382000000002</v>
      </c>
      <c r="AP230" s="62">
        <f>AI230*-Valores!$C$66</f>
        <v>-8.737070000000001</v>
      </c>
      <c r="AQ230" s="78">
        <f>AI230*-Valores!$C$67</f>
        <v>-78.63363</v>
      </c>
      <c r="AR230" s="78">
        <f>AI230*-Valores!$C$68</f>
        <v>-47.180178</v>
      </c>
      <c r="AS230" s="78">
        <f>AI230*-Valores!$C$69</f>
        <v>-5.242242</v>
      </c>
      <c r="AT230" s="82">
        <f t="shared" si="40"/>
        <v>1537.82948</v>
      </c>
      <c r="AU230" s="82">
        <f t="shared" si="41"/>
        <v>1564.04069</v>
      </c>
      <c r="AV230" s="78">
        <f>AI230*Valores!$C$71</f>
        <v>279.58624000000003</v>
      </c>
      <c r="AW230" s="78">
        <f>AI230*Valores!$C$72</f>
        <v>78.63363</v>
      </c>
      <c r="AX230" s="78">
        <f>AI230*Valores!$C$73</f>
        <v>17.474140000000002</v>
      </c>
      <c r="AY230" s="78">
        <f>AI230*Valores!$C$75</f>
        <v>61.159490000000005</v>
      </c>
      <c r="AZ230" s="78">
        <f>AI230*Valores!$C$76</f>
        <v>10.484484</v>
      </c>
      <c r="BA230" s="78">
        <f t="shared" si="45"/>
        <v>94.36035600000001</v>
      </c>
      <c r="BB230" s="52"/>
      <c r="BC230" s="52">
        <f t="shared" si="46"/>
        <v>4</v>
      </c>
      <c r="BD230" s="28" t="s">
        <v>4</v>
      </c>
    </row>
    <row r="231" spans="1:56" s="28" customFormat="1" ht="11.25" customHeight="1">
      <c r="A231" s="86">
        <v>230</v>
      </c>
      <c r="B231" s="86" t="s">
        <v>163</v>
      </c>
      <c r="C231" s="87" t="s">
        <v>522</v>
      </c>
      <c r="D231" s="87">
        <v>2</v>
      </c>
      <c r="E231" s="87">
        <f t="shared" si="37"/>
        <v>33</v>
      </c>
      <c r="F231" s="88" t="str">
        <f>CONCATENATE("Hora Cátedra Enseñanza Media ",D231," hs")</f>
        <v>Hora Cátedra Enseñanza Media 2 hs</v>
      </c>
      <c r="G231" s="89">
        <f t="shared" si="47"/>
        <v>158</v>
      </c>
      <c r="H231" s="90">
        <f>INT((G231*Valores!$C$2*100))/100</f>
        <v>1047.91</v>
      </c>
      <c r="I231" s="104">
        <v>0</v>
      </c>
      <c r="J231" s="92">
        <f>INT((I231*Valores!$C$2*100)+0.5)/100</f>
        <v>0</v>
      </c>
      <c r="K231" s="105">
        <v>0</v>
      </c>
      <c r="L231" s="92">
        <f>INT((K231*Valores!$C$2*100)+0.5)/100</f>
        <v>0</v>
      </c>
      <c r="M231" s="106">
        <v>0</v>
      </c>
      <c r="N231" s="92">
        <f>INT((M231*Valores!$C$2*100)+0.5)/100</f>
        <v>0</v>
      </c>
      <c r="O231" s="92">
        <f t="shared" si="38"/>
        <v>189.4695</v>
      </c>
      <c r="P231" s="92">
        <f t="shared" si="39"/>
        <v>0</v>
      </c>
      <c r="Q231" s="108">
        <f>Valores!$C$14*D231</f>
        <v>320.38</v>
      </c>
      <c r="R231" s="108">
        <f>IF(D231&lt;15,(Valores!$E$4*D231),Valores!$D$4)</f>
        <v>395.56</v>
      </c>
      <c r="S231" s="92">
        <v>0</v>
      </c>
      <c r="T231" s="95">
        <f>IF(Valores!$C$45*D231&gt;Valores!$C$43,Valores!$C$43,Valores!$C$45*D231)</f>
        <v>102.24</v>
      </c>
      <c r="U231" s="108">
        <f>Valores!$C$22*D231</f>
        <v>112.98</v>
      </c>
      <c r="V231" s="92">
        <f t="shared" si="33"/>
        <v>112.98</v>
      </c>
      <c r="W231" s="92">
        <v>0</v>
      </c>
      <c r="X231" s="92">
        <v>0</v>
      </c>
      <c r="Y231" s="120">
        <v>0</v>
      </c>
      <c r="Z231" s="92">
        <f>Y231*Valores!$C$2</f>
        <v>0</v>
      </c>
      <c r="AA231" s="92">
        <v>0</v>
      </c>
      <c r="AB231" s="97">
        <f>IF((Valores!$C$32)*D231&gt;Valores!$F$32,Valores!$F$32,(Valores!$C$32)*D231)</f>
        <v>12.84</v>
      </c>
      <c r="AC231" s="92">
        <f t="shared" si="42"/>
        <v>0</v>
      </c>
      <c r="AD231" s="92">
        <f>IF(Valores!$C$33*D231&gt;Valores!$F$33,Valores!$F$33,Valores!$C$33*D231)</f>
        <v>10.68</v>
      </c>
      <c r="AE231" s="96">
        <v>0</v>
      </c>
      <c r="AF231" s="92">
        <f>INT(((AE231*Valores!$C$2)*100)+0.5)/100</f>
        <v>0</v>
      </c>
      <c r="AG231" s="92">
        <f>IF(Valores!$D$58*'Escala Docente'!D231&gt;Valores!$F$58,Valores!$F$58,Valores!$D$58*'Escala Docente'!D231)</f>
        <v>43.46</v>
      </c>
      <c r="AH231" s="92">
        <f>IF(Valores!$D$60*D231&gt;Valores!$F$60,Valores!$F$60,Valores!$D$60*D231)</f>
        <v>12.42</v>
      </c>
      <c r="AI231" s="116">
        <f t="shared" si="43"/>
        <v>2247.9395</v>
      </c>
      <c r="AJ231" s="108">
        <f>IF(Valores!$C$36*D231&gt;Valores!$F$36,Valores!$F$36,Valores!$C$36*D231)</f>
        <v>79.9</v>
      </c>
      <c r="AK231" s="95">
        <f>IF(Valores!$C$11*D231&gt;Valores!$F$11,Valores!$F$11,Valores!$C$11*D231)</f>
        <v>0</v>
      </c>
      <c r="AL231" s="95">
        <f>IF(Valores!$C$84*D231&gt;Valores!$C$83,Valores!$C$83,Valores!$C$84*D231)</f>
        <v>130</v>
      </c>
      <c r="AM231" s="97">
        <f>IF(Valores!$C$57*D231&gt;Valores!$F$57,Valores!$F$57,Valores!$C$57*D231)</f>
        <v>18.2</v>
      </c>
      <c r="AN231" s="99">
        <f t="shared" si="44"/>
        <v>209.9</v>
      </c>
      <c r="AO231" s="117">
        <f>AI231*-Valores!$C$65</f>
        <v>-292.232135</v>
      </c>
      <c r="AP231" s="117">
        <f>AI231*-Valores!$C$66</f>
        <v>-11.2396975</v>
      </c>
      <c r="AQ231" s="94">
        <f>AI231*-Valores!$C$67</f>
        <v>-101.15727749999999</v>
      </c>
      <c r="AR231" s="94">
        <f>AI231*-Valores!$C$68</f>
        <v>-60.6943665</v>
      </c>
      <c r="AS231" s="94">
        <f>AI231*-Valores!$C$69</f>
        <v>-6.7438185</v>
      </c>
      <c r="AT231" s="98">
        <f t="shared" si="40"/>
        <v>2053.2103899999997</v>
      </c>
      <c r="AU231" s="98">
        <f t="shared" si="41"/>
        <v>2086.9294824999997</v>
      </c>
      <c r="AV231" s="94">
        <f>AI231*Valores!$C$71</f>
        <v>359.67032</v>
      </c>
      <c r="AW231" s="94">
        <f>AI231*Valores!$C$72</f>
        <v>101.15727749999999</v>
      </c>
      <c r="AX231" s="94">
        <f>AI231*Valores!$C$73</f>
        <v>22.479395</v>
      </c>
      <c r="AY231" s="94">
        <f>AI231*Valores!$C$75</f>
        <v>78.67788250000001</v>
      </c>
      <c r="AZ231" s="94">
        <f>AI231*Valores!$C$76</f>
        <v>13.487637</v>
      </c>
      <c r="BA231" s="94">
        <f t="shared" si="45"/>
        <v>121.38873300000002</v>
      </c>
      <c r="BB231" s="86"/>
      <c r="BC231" s="86">
        <f t="shared" si="46"/>
        <v>8</v>
      </c>
      <c r="BD231" s="87" t="s">
        <v>4</v>
      </c>
    </row>
    <row r="232" spans="1:56" s="28" customFormat="1" ht="11.25" customHeight="1">
      <c r="A232" s="52">
        <v>231</v>
      </c>
      <c r="B232" s="52"/>
      <c r="C232" s="28" t="s">
        <v>522</v>
      </c>
      <c r="D232" s="28">
        <v>2</v>
      </c>
      <c r="E232" s="28">
        <f t="shared" si="37"/>
        <v>41</v>
      </c>
      <c r="F232" s="72" t="str">
        <f>CONCATENATE("Hora Cátedra Enseñanza Media ",D232," hs Esc Esp")</f>
        <v>Hora Cátedra Enseñanza Media 2 hs Esc Esp</v>
      </c>
      <c r="G232" s="73">
        <f t="shared" si="47"/>
        <v>158</v>
      </c>
      <c r="H232" s="74">
        <f>INT((G232*Valores!$C$2*100))/100</f>
        <v>1047.91</v>
      </c>
      <c r="I232" s="113">
        <v>0</v>
      </c>
      <c r="J232" s="76">
        <f>INT((I232*Valores!$C$2*100)+0.5)/100</f>
        <v>0</v>
      </c>
      <c r="K232" s="103">
        <v>0</v>
      </c>
      <c r="L232" s="76">
        <f>INT((K232*Valores!$C$2*100)+0.5)/100</f>
        <v>0</v>
      </c>
      <c r="M232" s="101">
        <v>0</v>
      </c>
      <c r="N232" s="76">
        <f>INT((M232*Valores!$C$2*100)+0.5)/100</f>
        <v>0</v>
      </c>
      <c r="O232" s="76">
        <f t="shared" si="38"/>
        <v>189.4695</v>
      </c>
      <c r="P232" s="76">
        <f t="shared" si="39"/>
        <v>0</v>
      </c>
      <c r="Q232" s="102">
        <f>Valores!$C$14*D232</f>
        <v>320.38</v>
      </c>
      <c r="R232" s="102">
        <f>IF(D232&lt;15,(Valores!$E$4*D232),Valores!$D$4)</f>
        <v>395.56</v>
      </c>
      <c r="S232" s="76">
        <v>0</v>
      </c>
      <c r="T232" s="79">
        <f>IF(Valores!$C$45*D232&gt;Valores!$C$43,Valores!$C$43,Valores!$C$45*D232)</f>
        <v>102.24</v>
      </c>
      <c r="U232" s="102">
        <f>Valores!$C$22*D232</f>
        <v>112.98</v>
      </c>
      <c r="V232" s="76">
        <f t="shared" si="33"/>
        <v>112.98</v>
      </c>
      <c r="W232" s="76">
        <v>0</v>
      </c>
      <c r="X232" s="76">
        <v>0</v>
      </c>
      <c r="Y232" s="119">
        <v>0</v>
      </c>
      <c r="Z232" s="76">
        <f>Y232*Valores!$C$2</f>
        <v>0</v>
      </c>
      <c r="AA232" s="76">
        <v>0</v>
      </c>
      <c r="AB232" s="81">
        <f>IF((Valores!$C$32)*D232&gt;Valores!$F$32,Valores!$F$32,(Valores!$C$32)*D232)</f>
        <v>12.84</v>
      </c>
      <c r="AC232" s="76">
        <f t="shared" si="42"/>
        <v>0</v>
      </c>
      <c r="AD232" s="76">
        <f>IF(Valores!$C$33*D232&gt;Valores!$F$33,Valores!$F$33,Valores!$C$33*D232)</f>
        <v>10.68</v>
      </c>
      <c r="AE232" s="80">
        <v>94</v>
      </c>
      <c r="AF232" s="76">
        <f>INT(((AE232*Valores!$C$2)*100)+0.5)/100</f>
        <v>623.45</v>
      </c>
      <c r="AG232" s="76">
        <f>IF(Valores!$D$58*'Escala Docente'!D232&gt;Valores!$F$58,Valores!$F$58,Valores!$D$58*'Escala Docente'!D232)</f>
        <v>43.46</v>
      </c>
      <c r="AH232" s="76">
        <f>IF(Valores!$D$60*D232&gt;Valores!$F$60,Valores!$F$60,Valores!$D$60*D232)</f>
        <v>12.42</v>
      </c>
      <c r="AI232" s="115">
        <f t="shared" si="43"/>
        <v>2871.3895</v>
      </c>
      <c r="AJ232" s="102">
        <f>IF(Valores!$C$36*D232&gt;Valores!$F$36,Valores!$F$36,Valores!$C$36*D232)</f>
        <v>79.9</v>
      </c>
      <c r="AK232" s="79">
        <f>IF(Valores!$C$11*D232&gt;Valores!$F$11,Valores!$F$11,Valores!$C$11*D232)</f>
        <v>0</v>
      </c>
      <c r="AL232" s="79">
        <f>IF(Valores!$C$84*D232&gt;Valores!$C$83,Valores!$C$83,Valores!$C$84*D232)</f>
        <v>130</v>
      </c>
      <c r="AM232" s="81">
        <f>IF(Valores!$C$57*D232&gt;Valores!$F$57,Valores!$F$57,Valores!$C$57*D232)</f>
        <v>18.2</v>
      </c>
      <c r="AN232" s="83">
        <f t="shared" si="44"/>
        <v>209.9</v>
      </c>
      <c r="AO232" s="62">
        <f>AI232*-Valores!$C$65</f>
        <v>-373.280635</v>
      </c>
      <c r="AP232" s="62">
        <f>AI232*-Valores!$C$66</f>
        <v>-14.356947500000002</v>
      </c>
      <c r="AQ232" s="78">
        <f>AI232*-Valores!$C$67</f>
        <v>-129.2125275</v>
      </c>
      <c r="AR232" s="78">
        <f>AI232*-Valores!$C$68</f>
        <v>-77.5275165</v>
      </c>
      <c r="AS232" s="78">
        <f>AI232*-Valores!$C$69</f>
        <v>-8.614168500000002</v>
      </c>
      <c r="AT232" s="82">
        <f t="shared" si="40"/>
        <v>2564.4393900000005</v>
      </c>
      <c r="AU232" s="82">
        <f t="shared" si="41"/>
        <v>2607.5102325000007</v>
      </c>
      <c r="AV232" s="78">
        <f>AI232*Valores!$C$71</f>
        <v>459.42232000000007</v>
      </c>
      <c r="AW232" s="78">
        <f>AI232*Valores!$C$72</f>
        <v>129.2125275</v>
      </c>
      <c r="AX232" s="78">
        <f>AI232*Valores!$C$73</f>
        <v>28.713895000000004</v>
      </c>
      <c r="AY232" s="78">
        <f>AI232*Valores!$C$75</f>
        <v>100.49863250000001</v>
      </c>
      <c r="AZ232" s="78">
        <f>AI232*Valores!$C$76</f>
        <v>17.228337000000003</v>
      </c>
      <c r="BA232" s="78">
        <f t="shared" si="45"/>
        <v>155.055033</v>
      </c>
      <c r="BB232" s="52"/>
      <c r="BC232" s="52">
        <f t="shared" si="46"/>
        <v>8</v>
      </c>
      <c r="BD232" s="28" t="s">
        <v>4</v>
      </c>
    </row>
    <row r="233" spans="1:56" s="28" customFormat="1" ht="11.25" customHeight="1">
      <c r="A233" s="52">
        <v>232</v>
      </c>
      <c r="B233" s="52"/>
      <c r="C233" s="28" t="s">
        <v>522</v>
      </c>
      <c r="D233" s="28">
        <v>3</v>
      </c>
      <c r="E233" s="28">
        <f t="shared" si="37"/>
        <v>33</v>
      </c>
      <c r="F233" s="72" t="str">
        <f>CONCATENATE("Hora Cátedra Enseñanza Media ",D233," hs")</f>
        <v>Hora Cátedra Enseñanza Media 3 hs</v>
      </c>
      <c r="G233" s="73">
        <f t="shared" si="47"/>
        <v>237</v>
      </c>
      <c r="H233" s="74">
        <f>INT((G233*Valores!$C$2*100))/100</f>
        <v>1571.87</v>
      </c>
      <c r="I233" s="113">
        <v>0</v>
      </c>
      <c r="J233" s="76">
        <f>INT((I233*Valores!$C$2*100)+0.5)/100</f>
        <v>0</v>
      </c>
      <c r="K233" s="103">
        <v>0</v>
      </c>
      <c r="L233" s="76">
        <f>INT((K233*Valores!$C$2*100)+0.5)/100</f>
        <v>0</v>
      </c>
      <c r="M233" s="101">
        <v>0</v>
      </c>
      <c r="N233" s="76">
        <f>INT((M233*Valores!$C$2*100)+0.5)/100</f>
        <v>0</v>
      </c>
      <c r="O233" s="76">
        <f t="shared" si="38"/>
        <v>284.205</v>
      </c>
      <c r="P233" s="76">
        <f t="shared" si="39"/>
        <v>0</v>
      </c>
      <c r="Q233" s="102">
        <f>Valores!$C$14*D233</f>
        <v>480.57</v>
      </c>
      <c r="R233" s="102">
        <f>IF(D233&lt;15,(Valores!$E$4*D233),Valores!$D$4)</f>
        <v>593.34</v>
      </c>
      <c r="S233" s="76">
        <v>0</v>
      </c>
      <c r="T233" s="79">
        <f>IF(Valores!$C$45*D233&gt;Valores!$C$43,Valores!$C$43,Valores!$C$45*D233)</f>
        <v>153.35999999999999</v>
      </c>
      <c r="U233" s="102">
        <f>Valores!$C$22*D233</f>
        <v>169.47</v>
      </c>
      <c r="V233" s="76">
        <f t="shared" si="33"/>
        <v>169.47</v>
      </c>
      <c r="W233" s="76">
        <v>0</v>
      </c>
      <c r="X233" s="76">
        <v>0</v>
      </c>
      <c r="Y233" s="119">
        <v>0</v>
      </c>
      <c r="Z233" s="76">
        <f>Y233*Valores!$C$2</f>
        <v>0</v>
      </c>
      <c r="AA233" s="76">
        <v>0</v>
      </c>
      <c r="AB233" s="81">
        <f>IF((Valores!$C$32)*D233&gt;Valores!$F$32,Valores!$F$32,(Valores!$C$32)*D233)</f>
        <v>19.259999999999998</v>
      </c>
      <c r="AC233" s="76">
        <f t="shared" si="42"/>
        <v>0</v>
      </c>
      <c r="AD233" s="76">
        <f>IF(Valores!$C$33*D233&gt;Valores!$F$33,Valores!$F$33,Valores!$C$33*D233)</f>
        <v>16.02</v>
      </c>
      <c r="AE233" s="80">
        <v>0</v>
      </c>
      <c r="AF233" s="76">
        <f>INT(((AE233*Valores!$C$2)*100)+0.5)/100</f>
        <v>0</v>
      </c>
      <c r="AG233" s="76">
        <f>IF(Valores!$D$58*'Escala Docente'!D233&gt;Valores!$F$58,Valores!$F$58,Valores!$D$58*'Escala Docente'!D233)</f>
        <v>65.19</v>
      </c>
      <c r="AH233" s="76">
        <f>IF(Valores!$D$60*D233&gt;Valores!$F$60,Valores!$F$60,Valores!$D$60*D233)</f>
        <v>18.63</v>
      </c>
      <c r="AI233" s="115">
        <f t="shared" si="43"/>
        <v>3371.9150000000004</v>
      </c>
      <c r="AJ233" s="102">
        <f>IF(Valores!$C$36*D233&gt;Valores!$F$36,Valores!$F$36,Valores!$C$36*D233)</f>
        <v>119.85000000000001</v>
      </c>
      <c r="AK233" s="79">
        <f>IF(Valores!$C$11*D233&gt;Valores!$F$11,Valores!$F$11,Valores!$C$11*D233)</f>
        <v>0</v>
      </c>
      <c r="AL233" s="79">
        <f>IF(Valores!$C$84*D233&gt;Valores!$C$83,Valores!$C$83,Valores!$C$84*D233)</f>
        <v>195</v>
      </c>
      <c r="AM233" s="81">
        <f>IF(Valores!$C$57*D233&gt;Valores!$F$57,Valores!$F$57,Valores!$C$57*D233)</f>
        <v>27.299999999999997</v>
      </c>
      <c r="AN233" s="83">
        <f t="shared" si="44"/>
        <v>314.85</v>
      </c>
      <c r="AO233" s="62">
        <f>AI233*-Valores!$C$65</f>
        <v>-438.34895000000006</v>
      </c>
      <c r="AP233" s="62">
        <f>AI233*-Valores!$C$66</f>
        <v>-16.859575000000003</v>
      </c>
      <c r="AQ233" s="78">
        <f>AI233*-Valores!$C$67</f>
        <v>-151.736175</v>
      </c>
      <c r="AR233" s="78">
        <f>AI233*-Valores!$C$68</f>
        <v>-91.04170500000001</v>
      </c>
      <c r="AS233" s="78">
        <f>AI233*-Valores!$C$69</f>
        <v>-10.115745000000002</v>
      </c>
      <c r="AT233" s="82">
        <f t="shared" si="40"/>
        <v>3079.8203000000003</v>
      </c>
      <c r="AU233" s="82">
        <f t="shared" si="41"/>
        <v>3130.399025</v>
      </c>
      <c r="AV233" s="78">
        <f>AI233*Valores!$C$71</f>
        <v>539.5064000000001</v>
      </c>
      <c r="AW233" s="78">
        <f>AI233*Valores!$C$72</f>
        <v>151.736175</v>
      </c>
      <c r="AX233" s="78">
        <f>AI233*Valores!$C$73</f>
        <v>33.719150000000006</v>
      </c>
      <c r="AY233" s="78">
        <f>AI233*Valores!$C$75</f>
        <v>118.01702500000003</v>
      </c>
      <c r="AZ233" s="78">
        <f>AI233*Valores!$C$76</f>
        <v>20.231490000000004</v>
      </c>
      <c r="BA233" s="78">
        <f t="shared" si="45"/>
        <v>182.08341000000004</v>
      </c>
      <c r="BB233" s="52"/>
      <c r="BC233" s="52">
        <f t="shared" si="46"/>
        <v>12</v>
      </c>
      <c r="BD233" s="28" t="s">
        <v>4</v>
      </c>
    </row>
    <row r="234" spans="1:56" s="28" customFormat="1" ht="11.25" customHeight="1">
      <c r="A234" s="52">
        <v>233</v>
      </c>
      <c r="B234" s="52"/>
      <c r="C234" s="28" t="s">
        <v>522</v>
      </c>
      <c r="D234" s="28">
        <v>3</v>
      </c>
      <c r="E234" s="28">
        <f t="shared" si="37"/>
        <v>41</v>
      </c>
      <c r="F234" s="72" t="str">
        <f>CONCATENATE("Hora Cátedra Enseñanza Media ",D234," hs Esc Esp")</f>
        <v>Hora Cátedra Enseñanza Media 3 hs Esc Esp</v>
      </c>
      <c r="G234" s="73">
        <f t="shared" si="47"/>
        <v>237</v>
      </c>
      <c r="H234" s="74">
        <f>INT((G234*Valores!$C$2*100))/100</f>
        <v>1571.87</v>
      </c>
      <c r="I234" s="113">
        <v>0</v>
      </c>
      <c r="J234" s="76">
        <f>INT((I234*Valores!$C$2*100)+0.5)/100</f>
        <v>0</v>
      </c>
      <c r="K234" s="103">
        <v>0</v>
      </c>
      <c r="L234" s="76">
        <f>INT((K234*Valores!$C$2*100)+0.5)/100</f>
        <v>0</v>
      </c>
      <c r="M234" s="101">
        <v>0</v>
      </c>
      <c r="N234" s="76">
        <f>INT((M234*Valores!$C$2*100)+0.5)/100</f>
        <v>0</v>
      </c>
      <c r="O234" s="76">
        <f t="shared" si="38"/>
        <v>284.205</v>
      </c>
      <c r="P234" s="76">
        <f t="shared" si="39"/>
        <v>0</v>
      </c>
      <c r="Q234" s="102">
        <f>Valores!$C$14*D234</f>
        <v>480.57</v>
      </c>
      <c r="R234" s="102">
        <f>IF(D234&lt;15,(Valores!$E$4*D234),Valores!$D$4)</f>
        <v>593.34</v>
      </c>
      <c r="S234" s="76">
        <v>0</v>
      </c>
      <c r="T234" s="79">
        <f>IF(Valores!$C$45*D234&gt;Valores!$C$43,Valores!$C$43,Valores!$C$45*D234)</f>
        <v>153.35999999999999</v>
      </c>
      <c r="U234" s="102">
        <f>Valores!$C$22*D234</f>
        <v>169.47</v>
      </c>
      <c r="V234" s="76">
        <f t="shared" si="33"/>
        <v>169.47</v>
      </c>
      <c r="W234" s="76">
        <v>0</v>
      </c>
      <c r="X234" s="76">
        <v>0</v>
      </c>
      <c r="Y234" s="119">
        <v>0</v>
      </c>
      <c r="Z234" s="76">
        <f>Y234*Valores!$C$2</f>
        <v>0</v>
      </c>
      <c r="AA234" s="76">
        <v>0</v>
      </c>
      <c r="AB234" s="81">
        <f>IF((Valores!$C$32)*D234&gt;Valores!$F$32,Valores!$F$32,(Valores!$C$32)*D234)</f>
        <v>19.259999999999998</v>
      </c>
      <c r="AC234" s="76">
        <f t="shared" si="42"/>
        <v>0</v>
      </c>
      <c r="AD234" s="76">
        <f>IF(Valores!$C$33*D234&gt;Valores!$F$33,Valores!$F$33,Valores!$C$33*D234)</f>
        <v>16.02</v>
      </c>
      <c r="AE234" s="80">
        <v>94</v>
      </c>
      <c r="AF234" s="76">
        <f>INT(((AE234*Valores!$C$2)*100)+0.5)/100</f>
        <v>623.45</v>
      </c>
      <c r="AG234" s="76">
        <f>IF(Valores!$D$58*'Escala Docente'!D234&gt;Valores!$F$58,Valores!$F$58,Valores!$D$58*'Escala Docente'!D234)</f>
        <v>65.19</v>
      </c>
      <c r="AH234" s="76">
        <f>IF(Valores!$D$60*D234&gt;Valores!$F$60,Valores!$F$60,Valores!$D$60*D234)</f>
        <v>18.63</v>
      </c>
      <c r="AI234" s="115">
        <f t="shared" si="43"/>
        <v>3995.3650000000007</v>
      </c>
      <c r="AJ234" s="102">
        <f>IF(Valores!$C$36*D234&gt;Valores!$F$36,Valores!$F$36,Valores!$C$36*D234)</f>
        <v>119.85000000000001</v>
      </c>
      <c r="AK234" s="79">
        <f>IF(Valores!$C$11*D234&gt;Valores!$F$11,Valores!$F$11,Valores!$C$11*D234)</f>
        <v>0</v>
      </c>
      <c r="AL234" s="79">
        <f>IF(Valores!$C$84*D234&gt;Valores!$C$83,Valores!$C$83,Valores!$C$84*D234)</f>
        <v>195</v>
      </c>
      <c r="AM234" s="81">
        <f>IF(Valores!$C$57*D234&gt;Valores!$F$57,Valores!$F$57,Valores!$C$57*D234)</f>
        <v>27.299999999999997</v>
      </c>
      <c r="AN234" s="83">
        <f t="shared" si="44"/>
        <v>314.85</v>
      </c>
      <c r="AO234" s="62">
        <f>AI234*-Valores!$C$65</f>
        <v>-519.3974500000002</v>
      </c>
      <c r="AP234" s="62">
        <f>AI234*-Valores!$C$66</f>
        <v>-19.976825000000005</v>
      </c>
      <c r="AQ234" s="78">
        <f>AI234*-Valores!$C$67</f>
        <v>-179.79142500000003</v>
      </c>
      <c r="AR234" s="78">
        <f>AI234*-Valores!$C$68</f>
        <v>-107.87485500000001</v>
      </c>
      <c r="AS234" s="78">
        <f>AI234*-Valores!$C$69</f>
        <v>-11.986095000000002</v>
      </c>
      <c r="AT234" s="82">
        <f t="shared" si="40"/>
        <v>3591.0493000000006</v>
      </c>
      <c r="AU234" s="82">
        <f t="shared" si="41"/>
        <v>3650.9797750000007</v>
      </c>
      <c r="AV234" s="78">
        <f>AI234*Valores!$C$71</f>
        <v>639.2584000000002</v>
      </c>
      <c r="AW234" s="78">
        <f>AI234*Valores!$C$72</f>
        <v>179.79142500000003</v>
      </c>
      <c r="AX234" s="78">
        <f>AI234*Valores!$C$73</f>
        <v>39.95365000000001</v>
      </c>
      <c r="AY234" s="78">
        <f>AI234*Valores!$C$75</f>
        <v>139.83777500000005</v>
      </c>
      <c r="AZ234" s="78">
        <f>AI234*Valores!$C$76</f>
        <v>23.972190000000005</v>
      </c>
      <c r="BA234" s="78">
        <f t="shared" si="45"/>
        <v>215.74971000000005</v>
      </c>
      <c r="BB234" s="52"/>
      <c r="BC234" s="86">
        <f t="shared" si="46"/>
        <v>12</v>
      </c>
      <c r="BD234" s="28" t="s">
        <v>4</v>
      </c>
    </row>
    <row r="235" spans="1:56" s="28" customFormat="1" ht="11.25" customHeight="1">
      <c r="A235" s="52">
        <v>234</v>
      </c>
      <c r="B235" s="52"/>
      <c r="C235" s="28" t="s">
        <v>522</v>
      </c>
      <c r="D235" s="28">
        <v>4</v>
      </c>
      <c r="E235" s="28">
        <f t="shared" si="37"/>
        <v>33</v>
      </c>
      <c r="F235" s="72" t="str">
        <f>CONCATENATE("Hora Cátedra Enseñanza Media ",D235," hs")</f>
        <v>Hora Cátedra Enseñanza Media 4 hs</v>
      </c>
      <c r="G235" s="73">
        <f t="shared" si="47"/>
        <v>316</v>
      </c>
      <c r="H235" s="74">
        <f>INT((G235*Valores!$C$2*100))/100</f>
        <v>2095.83</v>
      </c>
      <c r="I235" s="113">
        <v>0</v>
      </c>
      <c r="J235" s="76">
        <f>INT((I235*Valores!$C$2*100)+0.5)/100</f>
        <v>0</v>
      </c>
      <c r="K235" s="103">
        <v>0</v>
      </c>
      <c r="L235" s="76">
        <f>INT((K235*Valores!$C$2*100)+0.5)/100</f>
        <v>0</v>
      </c>
      <c r="M235" s="101">
        <v>0</v>
      </c>
      <c r="N235" s="76">
        <f>INT((M235*Valores!$C$2*100)+0.5)/100</f>
        <v>0</v>
      </c>
      <c r="O235" s="76">
        <f t="shared" si="38"/>
        <v>378.9405</v>
      </c>
      <c r="P235" s="76">
        <f t="shared" si="39"/>
        <v>0</v>
      </c>
      <c r="Q235" s="102">
        <f>Valores!$C$14*D235</f>
        <v>640.76</v>
      </c>
      <c r="R235" s="102">
        <f>IF(D235&lt;15,(Valores!$E$4*D235),Valores!$D$4)</f>
        <v>791.12</v>
      </c>
      <c r="S235" s="76">
        <v>0</v>
      </c>
      <c r="T235" s="79">
        <f>IF(Valores!$C$45*D235&gt;Valores!$C$43,Valores!$C$43,Valores!$C$45*D235)</f>
        <v>204.48</v>
      </c>
      <c r="U235" s="102">
        <f>Valores!$C$22*D235</f>
        <v>225.96</v>
      </c>
      <c r="V235" s="76">
        <f t="shared" si="33"/>
        <v>225.96</v>
      </c>
      <c r="W235" s="76">
        <v>0</v>
      </c>
      <c r="X235" s="76">
        <v>0</v>
      </c>
      <c r="Y235" s="119">
        <v>0</v>
      </c>
      <c r="Z235" s="76">
        <f>Y235*Valores!$C$2</f>
        <v>0</v>
      </c>
      <c r="AA235" s="76">
        <v>0</v>
      </c>
      <c r="AB235" s="81">
        <f>IF((Valores!$C$32)*D235&gt;Valores!$F$32,Valores!$F$32,(Valores!$C$32)*D235)</f>
        <v>25.68</v>
      </c>
      <c r="AC235" s="76">
        <f t="shared" si="42"/>
        <v>0</v>
      </c>
      <c r="AD235" s="76">
        <f>IF(Valores!$C$33*D235&gt;Valores!$F$33,Valores!$F$33,Valores!$C$33*D235)</f>
        <v>21.36</v>
      </c>
      <c r="AE235" s="80">
        <v>0</v>
      </c>
      <c r="AF235" s="76">
        <f>INT(((AE235*Valores!$C$2)*100)+0.5)/100</f>
        <v>0</v>
      </c>
      <c r="AG235" s="76">
        <f>IF(Valores!$D$58*'Escala Docente'!D235&gt;Valores!$F$58,Valores!$F$58,Valores!$D$58*'Escala Docente'!D235)</f>
        <v>86.92</v>
      </c>
      <c r="AH235" s="76">
        <f>IF(Valores!$D$60*D235&gt;Valores!$F$60,Valores!$F$60,Valores!$D$60*D235)</f>
        <v>24.84</v>
      </c>
      <c r="AI235" s="115">
        <f t="shared" si="43"/>
        <v>4495.8904999999995</v>
      </c>
      <c r="AJ235" s="102">
        <f>IF(Valores!$C$36*D235&gt;Valores!$F$36,Valores!$F$36,Valores!$C$36*D235)</f>
        <v>159.8</v>
      </c>
      <c r="AK235" s="79">
        <f>IF(Valores!$C$11*D235&gt;Valores!$F$11,Valores!$F$11,Valores!$C$11*D235)</f>
        <v>0</v>
      </c>
      <c r="AL235" s="79">
        <f>IF(Valores!$C$84*D235&gt;Valores!$C$83,Valores!$C$83,Valores!$C$84*D235)</f>
        <v>260</v>
      </c>
      <c r="AM235" s="81">
        <f>IF(Valores!$C$57*D235&gt;Valores!$F$57,Valores!$F$57,Valores!$C$57*D235)</f>
        <v>36.4</v>
      </c>
      <c r="AN235" s="83">
        <f t="shared" si="44"/>
        <v>419.8</v>
      </c>
      <c r="AO235" s="62">
        <f>AI235*-Valores!$C$65</f>
        <v>-584.4657649999999</v>
      </c>
      <c r="AP235" s="62">
        <f>AI235*-Valores!$C$66</f>
        <v>-22.479452499999997</v>
      </c>
      <c r="AQ235" s="78">
        <f>AI235*-Valores!$C$67</f>
        <v>-202.31507249999996</v>
      </c>
      <c r="AR235" s="78">
        <f>AI235*-Valores!$C$68</f>
        <v>-121.38904349999999</v>
      </c>
      <c r="AS235" s="78">
        <f>AI235*-Valores!$C$69</f>
        <v>-13.4876715</v>
      </c>
      <c r="AT235" s="82">
        <f t="shared" si="40"/>
        <v>4106.43021</v>
      </c>
      <c r="AU235" s="82">
        <f t="shared" si="41"/>
        <v>4173.8685675</v>
      </c>
      <c r="AV235" s="78">
        <f>AI235*Valores!$C$71</f>
        <v>719.3424799999999</v>
      </c>
      <c r="AW235" s="78">
        <f>AI235*Valores!$C$72</f>
        <v>202.31507249999996</v>
      </c>
      <c r="AX235" s="78">
        <f>AI235*Valores!$C$73</f>
        <v>44.958904999999994</v>
      </c>
      <c r="AY235" s="78">
        <f>AI235*Valores!$C$75</f>
        <v>157.3561675</v>
      </c>
      <c r="AZ235" s="78">
        <f>AI235*Valores!$C$76</f>
        <v>26.975343</v>
      </c>
      <c r="BA235" s="78">
        <f t="shared" si="45"/>
        <v>242.77808699999997</v>
      </c>
      <c r="BB235" s="52"/>
      <c r="BC235" s="52">
        <f t="shared" si="46"/>
        <v>16</v>
      </c>
      <c r="BD235" s="28" t="s">
        <v>4</v>
      </c>
    </row>
    <row r="236" spans="1:56" s="28" customFormat="1" ht="11.25" customHeight="1">
      <c r="A236" s="86">
        <v>235</v>
      </c>
      <c r="B236" s="86" t="s">
        <v>163</v>
      </c>
      <c r="C236" s="87" t="s">
        <v>522</v>
      </c>
      <c r="D236" s="87">
        <v>4</v>
      </c>
      <c r="E236" s="87">
        <f t="shared" si="37"/>
        <v>41</v>
      </c>
      <c r="F236" s="88" t="str">
        <f>CONCATENATE("Hora Cátedra Enseñanza Media ",D236," hs Esc Esp")</f>
        <v>Hora Cátedra Enseñanza Media 4 hs Esc Esp</v>
      </c>
      <c r="G236" s="89">
        <f t="shared" si="47"/>
        <v>316</v>
      </c>
      <c r="H236" s="90">
        <f>INT((G236*Valores!$C$2*100))/100</f>
        <v>2095.83</v>
      </c>
      <c r="I236" s="104">
        <v>0</v>
      </c>
      <c r="J236" s="92">
        <f>INT((I236*Valores!$C$2*100)+0.5)/100</f>
        <v>0</v>
      </c>
      <c r="K236" s="105">
        <v>0</v>
      </c>
      <c r="L236" s="92">
        <f>INT((K236*Valores!$C$2*100)+0.5)/100</f>
        <v>0</v>
      </c>
      <c r="M236" s="106">
        <v>0</v>
      </c>
      <c r="N236" s="92">
        <f>INT((M236*Valores!$C$2*100)+0.5)/100</f>
        <v>0</v>
      </c>
      <c r="O236" s="92">
        <f t="shared" si="38"/>
        <v>378.9405</v>
      </c>
      <c r="P236" s="92">
        <f t="shared" si="39"/>
        <v>0</v>
      </c>
      <c r="Q236" s="108">
        <f>Valores!$C$14*D236</f>
        <v>640.76</v>
      </c>
      <c r="R236" s="108">
        <f>IF(D236&lt;15,(Valores!$E$4*D236),Valores!$D$4)</f>
        <v>791.12</v>
      </c>
      <c r="S236" s="92">
        <v>0</v>
      </c>
      <c r="T236" s="95">
        <f>IF(Valores!$C$45*D236&gt;Valores!$C$43,Valores!$C$43,Valores!$C$45*D236)</f>
        <v>204.48</v>
      </c>
      <c r="U236" s="108">
        <f>Valores!$C$22*D236</f>
        <v>225.96</v>
      </c>
      <c r="V236" s="92">
        <f t="shared" si="33"/>
        <v>225.96</v>
      </c>
      <c r="W236" s="92">
        <v>0</v>
      </c>
      <c r="X236" s="92">
        <v>0</v>
      </c>
      <c r="Y236" s="120">
        <v>0</v>
      </c>
      <c r="Z236" s="92">
        <f>Y236*Valores!$C$2</f>
        <v>0</v>
      </c>
      <c r="AA236" s="92">
        <v>0</v>
      </c>
      <c r="AB236" s="97">
        <f>IF((Valores!$C$32)*D236&gt;Valores!$F$32,Valores!$F$32,(Valores!$C$32)*D236)</f>
        <v>25.68</v>
      </c>
      <c r="AC236" s="92">
        <f t="shared" si="42"/>
        <v>0</v>
      </c>
      <c r="AD236" s="92">
        <f>IF(Valores!$C$33*D236&gt;Valores!$F$33,Valores!$F$33,Valores!$C$33*D236)</f>
        <v>21.36</v>
      </c>
      <c r="AE236" s="96">
        <v>94</v>
      </c>
      <c r="AF236" s="92">
        <f>INT(((AE236*Valores!$C$2)*100)+0.5)/100</f>
        <v>623.45</v>
      </c>
      <c r="AG236" s="92">
        <f>IF(Valores!$D$58*'Escala Docente'!D236&gt;Valores!$F$58,Valores!$F$58,Valores!$D$58*'Escala Docente'!D236)</f>
        <v>86.92</v>
      </c>
      <c r="AH236" s="92">
        <f>IF(Valores!$D$60*D236&gt;Valores!$F$60,Valores!$F$60,Valores!$D$60*D236)</f>
        <v>24.84</v>
      </c>
      <c r="AI236" s="116">
        <f t="shared" si="43"/>
        <v>5119.340499999999</v>
      </c>
      <c r="AJ236" s="108">
        <f>IF(Valores!$C$36*D236&gt;Valores!$F$36,Valores!$F$36,Valores!$C$36*D236)</f>
        <v>159.8</v>
      </c>
      <c r="AK236" s="95">
        <f>IF(Valores!$C$11*D236&gt;Valores!$F$11,Valores!$F$11,Valores!$C$11*D236)</f>
        <v>0</v>
      </c>
      <c r="AL236" s="95">
        <f>IF(Valores!$C$84*D236&gt;Valores!$C$83,Valores!$C$83,Valores!$C$84*D236)</f>
        <v>260</v>
      </c>
      <c r="AM236" s="97">
        <f>IF(Valores!$C$57*D236&gt;Valores!$F$57,Valores!$F$57,Valores!$C$57*D236)</f>
        <v>36.4</v>
      </c>
      <c r="AN236" s="99">
        <f t="shared" si="44"/>
        <v>419.8</v>
      </c>
      <c r="AO236" s="117">
        <f>AI236*-Valores!$C$65</f>
        <v>-665.5142649999999</v>
      </c>
      <c r="AP236" s="117">
        <f>AI236*-Valores!$C$66</f>
        <v>-25.596702499999996</v>
      </c>
      <c r="AQ236" s="94">
        <f>AI236*-Valores!$C$67</f>
        <v>-230.37032249999996</v>
      </c>
      <c r="AR236" s="94">
        <f>AI236*-Valores!$C$68</f>
        <v>-138.22219349999997</v>
      </c>
      <c r="AS236" s="94">
        <f>AI236*-Valores!$C$69</f>
        <v>-15.358021499999998</v>
      </c>
      <c r="AT236" s="98">
        <f t="shared" si="40"/>
        <v>4617.65921</v>
      </c>
      <c r="AU236" s="98">
        <f t="shared" si="41"/>
        <v>4694.4493175</v>
      </c>
      <c r="AV236" s="94">
        <f>AI236*Valores!$C$71</f>
        <v>819.0944799999999</v>
      </c>
      <c r="AW236" s="94">
        <f>AI236*Valores!$C$72</f>
        <v>230.37032249999996</v>
      </c>
      <c r="AX236" s="94">
        <f>AI236*Valores!$C$73</f>
        <v>51.19340499999999</v>
      </c>
      <c r="AY236" s="94">
        <f>AI236*Valores!$C$75</f>
        <v>179.1769175</v>
      </c>
      <c r="AZ236" s="94">
        <f>AI236*Valores!$C$76</f>
        <v>30.716042999999996</v>
      </c>
      <c r="BA236" s="94">
        <f t="shared" si="45"/>
        <v>276.444387</v>
      </c>
      <c r="BB236" s="86"/>
      <c r="BC236" s="86">
        <f t="shared" si="46"/>
        <v>16</v>
      </c>
      <c r="BD236" s="87" t="s">
        <v>4</v>
      </c>
    </row>
    <row r="237" spans="1:56" s="28" customFormat="1" ht="11.25" customHeight="1">
      <c r="A237" s="52">
        <v>236</v>
      </c>
      <c r="B237" s="52"/>
      <c r="C237" s="28" t="s">
        <v>522</v>
      </c>
      <c r="D237" s="28">
        <v>5</v>
      </c>
      <c r="E237" s="28">
        <f t="shared" si="37"/>
        <v>33</v>
      </c>
      <c r="F237" s="72" t="str">
        <f>CONCATENATE("Hora Cátedra Enseñanza Media ",D237," hs")</f>
        <v>Hora Cátedra Enseñanza Media 5 hs</v>
      </c>
      <c r="G237" s="73">
        <f t="shared" si="47"/>
        <v>395</v>
      </c>
      <c r="H237" s="74">
        <f>INT((G237*Valores!$C$2*100))/100</f>
        <v>2619.79</v>
      </c>
      <c r="I237" s="113">
        <v>0</v>
      </c>
      <c r="J237" s="76">
        <f>INT((I237*Valores!$C$2*100)+0.5)/100</f>
        <v>0</v>
      </c>
      <c r="K237" s="103">
        <v>0</v>
      </c>
      <c r="L237" s="76">
        <f>INT((K237*Valores!$C$2*100)+0.5)/100</f>
        <v>0</v>
      </c>
      <c r="M237" s="101">
        <v>0</v>
      </c>
      <c r="N237" s="76">
        <f>INT((M237*Valores!$C$2*100)+0.5)/100</f>
        <v>0</v>
      </c>
      <c r="O237" s="76">
        <f t="shared" si="38"/>
        <v>473.67599999999993</v>
      </c>
      <c r="P237" s="76">
        <f t="shared" si="39"/>
        <v>0</v>
      </c>
      <c r="Q237" s="102">
        <f>Valores!$C$14*D237</f>
        <v>800.95</v>
      </c>
      <c r="R237" s="102">
        <f>IF(D237&lt;15,(Valores!$E$4*D237),Valores!$D$4)</f>
        <v>988.9</v>
      </c>
      <c r="S237" s="76">
        <v>0</v>
      </c>
      <c r="T237" s="79">
        <f>IF(Valores!$C$45*D237&gt;Valores!$C$43,Valores!$C$43,Valores!$C$45*D237)</f>
        <v>255.6</v>
      </c>
      <c r="U237" s="102">
        <f>Valores!$C$22*D237</f>
        <v>282.45</v>
      </c>
      <c r="V237" s="76">
        <f t="shared" si="33"/>
        <v>282.45</v>
      </c>
      <c r="W237" s="76">
        <v>0</v>
      </c>
      <c r="X237" s="76">
        <v>0</v>
      </c>
      <c r="Y237" s="119">
        <v>0</v>
      </c>
      <c r="Z237" s="76">
        <f>Y237*Valores!$C$2</f>
        <v>0</v>
      </c>
      <c r="AA237" s="76">
        <v>0</v>
      </c>
      <c r="AB237" s="81">
        <f>IF((Valores!$C$32)*D237&gt;Valores!$F$32,Valores!$F$32,(Valores!$C$32)*D237)</f>
        <v>32.1</v>
      </c>
      <c r="AC237" s="76">
        <f t="shared" si="42"/>
        <v>0</v>
      </c>
      <c r="AD237" s="76">
        <f>IF(Valores!$C$33*D237&gt;Valores!$F$33,Valores!$F$33,Valores!$C$33*D237)</f>
        <v>26.7</v>
      </c>
      <c r="AE237" s="80">
        <v>0</v>
      </c>
      <c r="AF237" s="76">
        <f>INT(((AE237*Valores!$C$2)*100)+0.5)/100</f>
        <v>0</v>
      </c>
      <c r="AG237" s="76">
        <f>IF(Valores!$D$58*'Escala Docente'!D237&gt;Valores!$F$58,Valores!$F$58,Valores!$D$58*'Escala Docente'!D237)</f>
        <v>108.65</v>
      </c>
      <c r="AH237" s="76">
        <f>IF(Valores!$D$60*D237&gt;Valores!$F$60,Valores!$F$60,Valores!$D$60*D237)</f>
        <v>31.05</v>
      </c>
      <c r="AI237" s="115">
        <f t="shared" si="43"/>
        <v>5619.866</v>
      </c>
      <c r="AJ237" s="102">
        <f>IF(Valores!$C$36*D237&gt;Valores!$F$36,Valores!$F$36,Valores!$C$36*D237)</f>
        <v>199.75</v>
      </c>
      <c r="AK237" s="79">
        <f>IF(Valores!$C$11*D237&gt;Valores!$F$11,Valores!$F$11,Valores!$C$11*D237)</f>
        <v>0</v>
      </c>
      <c r="AL237" s="79">
        <f>IF(Valores!$C$84*D237&gt;Valores!$C$83,Valores!$C$83,Valores!$C$84*D237)</f>
        <v>325</v>
      </c>
      <c r="AM237" s="81">
        <f>IF(Valores!$C$57*D237&gt;Valores!$F$57,Valores!$F$57,Valores!$C$57*D237)</f>
        <v>45.5</v>
      </c>
      <c r="AN237" s="83">
        <f t="shared" si="44"/>
        <v>524.75</v>
      </c>
      <c r="AO237" s="62">
        <f>AI237*-Valores!$C$65</f>
        <v>-730.58258</v>
      </c>
      <c r="AP237" s="62">
        <f>AI237*-Valores!$C$66</f>
        <v>-28.099330000000002</v>
      </c>
      <c r="AQ237" s="78">
        <f>AI237*-Valores!$C$67</f>
        <v>-252.89397</v>
      </c>
      <c r="AR237" s="78">
        <f>AI237*-Valores!$C$68</f>
        <v>-151.736382</v>
      </c>
      <c r="AS237" s="78">
        <f>AI237*-Valores!$C$69</f>
        <v>-16.859598000000002</v>
      </c>
      <c r="AT237" s="82">
        <f t="shared" si="40"/>
        <v>5133.04012</v>
      </c>
      <c r="AU237" s="82">
        <f t="shared" si="41"/>
        <v>5217.33811</v>
      </c>
      <c r="AV237" s="78">
        <f>AI237*Valores!$C$71</f>
        <v>899.1785600000001</v>
      </c>
      <c r="AW237" s="78">
        <f>AI237*Valores!$C$72</f>
        <v>252.89397</v>
      </c>
      <c r="AX237" s="78">
        <f>AI237*Valores!$C$73</f>
        <v>56.198660000000004</v>
      </c>
      <c r="AY237" s="78">
        <f>AI237*Valores!$C$75</f>
        <v>196.69531</v>
      </c>
      <c r="AZ237" s="78">
        <f>AI237*Valores!$C$76</f>
        <v>33.719196000000004</v>
      </c>
      <c r="BA237" s="78">
        <f t="shared" si="45"/>
        <v>303.47276400000004</v>
      </c>
      <c r="BB237" s="52"/>
      <c r="BC237" s="52">
        <f t="shared" si="46"/>
        <v>20</v>
      </c>
      <c r="BD237" s="28" t="s">
        <v>4</v>
      </c>
    </row>
    <row r="238" spans="1:56" s="28" customFormat="1" ht="11.25" customHeight="1">
      <c r="A238" s="52">
        <v>237</v>
      </c>
      <c r="B238" s="52"/>
      <c r="C238" s="28" t="s">
        <v>522</v>
      </c>
      <c r="D238" s="28">
        <v>5</v>
      </c>
      <c r="E238" s="28">
        <f t="shared" si="37"/>
        <v>41</v>
      </c>
      <c r="F238" s="72" t="str">
        <f>CONCATENATE("Hora Cátedra Enseñanza Media ",D238," hs Esc Esp")</f>
        <v>Hora Cátedra Enseñanza Media 5 hs Esc Esp</v>
      </c>
      <c r="G238" s="73">
        <f t="shared" si="47"/>
        <v>395</v>
      </c>
      <c r="H238" s="74">
        <f>INT((G238*Valores!$C$2*100))/100</f>
        <v>2619.79</v>
      </c>
      <c r="I238" s="113">
        <v>0</v>
      </c>
      <c r="J238" s="76">
        <f>INT((I238*Valores!$C$2*100)+0.5)/100</f>
        <v>0</v>
      </c>
      <c r="K238" s="103">
        <v>0</v>
      </c>
      <c r="L238" s="76">
        <f>INT((K238*Valores!$C$2*100)+0.5)/100</f>
        <v>0</v>
      </c>
      <c r="M238" s="101">
        <v>0</v>
      </c>
      <c r="N238" s="76">
        <f>INT((M238*Valores!$C$2*100)+0.5)/100</f>
        <v>0</v>
      </c>
      <c r="O238" s="76">
        <f t="shared" si="38"/>
        <v>473.67599999999993</v>
      </c>
      <c r="P238" s="76">
        <f t="shared" si="39"/>
        <v>0</v>
      </c>
      <c r="Q238" s="102">
        <f>Valores!$C$14*D238</f>
        <v>800.95</v>
      </c>
      <c r="R238" s="102">
        <f>IF(D238&lt;15,(Valores!$E$4*D238),Valores!$D$4)</f>
        <v>988.9</v>
      </c>
      <c r="S238" s="76">
        <v>0</v>
      </c>
      <c r="T238" s="79">
        <f>IF(Valores!$C$45*D238&gt;Valores!$C$43,Valores!$C$43,Valores!$C$45*D238)</f>
        <v>255.6</v>
      </c>
      <c r="U238" s="102">
        <f>Valores!$C$22*D238</f>
        <v>282.45</v>
      </c>
      <c r="V238" s="76">
        <f aca="true" t="shared" si="48" ref="V238:V301">U238*(1+$J$2)</f>
        <v>282.45</v>
      </c>
      <c r="W238" s="76">
        <v>0</v>
      </c>
      <c r="X238" s="76">
        <v>0</v>
      </c>
      <c r="Y238" s="119">
        <v>0</v>
      </c>
      <c r="Z238" s="76">
        <f>Y238*Valores!$C$2</f>
        <v>0</v>
      </c>
      <c r="AA238" s="76">
        <v>0</v>
      </c>
      <c r="AB238" s="81">
        <f>IF((Valores!$C$32)*D238&gt;Valores!$F$32,Valores!$F$32,(Valores!$C$32)*D238)</f>
        <v>32.1</v>
      </c>
      <c r="AC238" s="76">
        <f t="shared" si="42"/>
        <v>0</v>
      </c>
      <c r="AD238" s="76">
        <f>IF(Valores!$C$33*D238&gt;Valores!$F$33,Valores!$F$33,Valores!$C$33*D238)</f>
        <v>26.7</v>
      </c>
      <c r="AE238" s="80">
        <v>94</v>
      </c>
      <c r="AF238" s="76">
        <f>INT(((AE238*Valores!$C$2)*100)+0.5)/100</f>
        <v>623.45</v>
      </c>
      <c r="AG238" s="76">
        <f>IF(Valores!$D$58*'Escala Docente'!D238&gt;Valores!$F$58,Valores!$F$58,Valores!$D$58*'Escala Docente'!D238)</f>
        <v>108.65</v>
      </c>
      <c r="AH238" s="76">
        <f>IF(Valores!$D$60*D238&gt;Valores!$F$60,Valores!$F$60,Valores!$D$60*D238)</f>
        <v>31.05</v>
      </c>
      <c r="AI238" s="115">
        <f t="shared" si="43"/>
        <v>6243.316</v>
      </c>
      <c r="AJ238" s="102">
        <f>IF(Valores!$C$36*D238&gt;Valores!$F$36,Valores!$F$36,Valores!$C$36*D238)</f>
        <v>199.75</v>
      </c>
      <c r="AK238" s="79">
        <f>IF(Valores!$C$11*D238&gt;Valores!$F$11,Valores!$F$11,Valores!$C$11*D238)</f>
        <v>0</v>
      </c>
      <c r="AL238" s="79">
        <f>IF(Valores!$C$84*D238&gt;Valores!$C$83,Valores!$C$83,Valores!$C$84*D238)</f>
        <v>325</v>
      </c>
      <c r="AM238" s="81">
        <f>IF(Valores!$C$57*D238&gt;Valores!$F$57,Valores!$F$57,Valores!$C$57*D238)</f>
        <v>45.5</v>
      </c>
      <c r="AN238" s="83">
        <f t="shared" si="44"/>
        <v>524.75</v>
      </c>
      <c r="AO238" s="62">
        <f>AI238*-Valores!$C$65</f>
        <v>-811.63108</v>
      </c>
      <c r="AP238" s="62">
        <f>AI238*-Valores!$C$66</f>
        <v>-31.21658</v>
      </c>
      <c r="AQ238" s="78">
        <f>AI238*-Valores!$C$67</f>
        <v>-280.94921999999997</v>
      </c>
      <c r="AR238" s="78">
        <f>AI238*-Valores!$C$68</f>
        <v>-168.56953199999998</v>
      </c>
      <c r="AS238" s="78">
        <f>AI238*-Valores!$C$69</f>
        <v>-18.729948</v>
      </c>
      <c r="AT238" s="82">
        <f t="shared" si="40"/>
        <v>5644.26912</v>
      </c>
      <c r="AU238" s="82">
        <f t="shared" si="41"/>
        <v>5737.918859999999</v>
      </c>
      <c r="AV238" s="78">
        <f>AI238*Valores!$C$71</f>
        <v>998.93056</v>
      </c>
      <c r="AW238" s="78">
        <f>AI238*Valores!$C$72</f>
        <v>280.94921999999997</v>
      </c>
      <c r="AX238" s="78">
        <f>AI238*Valores!$C$73</f>
        <v>62.43316</v>
      </c>
      <c r="AY238" s="78">
        <f>AI238*Valores!$C$75</f>
        <v>218.51606</v>
      </c>
      <c r="AZ238" s="78">
        <f>AI238*Valores!$C$76</f>
        <v>37.459896</v>
      </c>
      <c r="BA238" s="78">
        <f t="shared" si="45"/>
        <v>337.139064</v>
      </c>
      <c r="BB238" s="52"/>
      <c r="BC238" s="52">
        <f t="shared" si="46"/>
        <v>20</v>
      </c>
      <c r="BD238" s="28" t="s">
        <v>4</v>
      </c>
    </row>
    <row r="239" spans="1:56" s="28" customFormat="1" ht="11.25" customHeight="1">
      <c r="A239" s="52">
        <v>238</v>
      </c>
      <c r="B239" s="52"/>
      <c r="C239" s="28" t="s">
        <v>522</v>
      </c>
      <c r="D239" s="28">
        <v>6</v>
      </c>
      <c r="E239" s="28">
        <f t="shared" si="37"/>
        <v>33</v>
      </c>
      <c r="F239" s="72" t="str">
        <f>CONCATENATE("Hora Cátedra Enseñanza Media ",D239," hs")</f>
        <v>Hora Cátedra Enseñanza Media 6 hs</v>
      </c>
      <c r="G239" s="73">
        <f t="shared" si="47"/>
        <v>474</v>
      </c>
      <c r="H239" s="74">
        <f>INT((G239*Valores!$C$2*100))/100</f>
        <v>3143.75</v>
      </c>
      <c r="I239" s="113">
        <v>0</v>
      </c>
      <c r="J239" s="76">
        <f>INT((I239*Valores!$C$2*100)+0.5)/100</f>
        <v>0</v>
      </c>
      <c r="K239" s="103">
        <v>0</v>
      </c>
      <c r="L239" s="76">
        <f>INT((K239*Valores!$C$2*100)+0.5)/100</f>
        <v>0</v>
      </c>
      <c r="M239" s="101">
        <v>0</v>
      </c>
      <c r="N239" s="76">
        <f>INT((M239*Valores!$C$2*100)+0.5)/100</f>
        <v>0</v>
      </c>
      <c r="O239" s="76">
        <f t="shared" si="38"/>
        <v>568.4114999999999</v>
      </c>
      <c r="P239" s="76">
        <f t="shared" si="39"/>
        <v>0</v>
      </c>
      <c r="Q239" s="102">
        <f>Valores!$C$14*D239</f>
        <v>961.14</v>
      </c>
      <c r="R239" s="102">
        <f>IF(D239&lt;15,(Valores!$E$4*D239),Valores!$D$4)</f>
        <v>1186.68</v>
      </c>
      <c r="S239" s="76">
        <v>0</v>
      </c>
      <c r="T239" s="79">
        <f>IF(Valores!$C$45*D239&gt;Valores!$C$43,Valores!$C$43,Valores!$C$45*D239)</f>
        <v>306.71999999999997</v>
      </c>
      <c r="U239" s="102">
        <f>Valores!$C$22*D239</f>
        <v>338.94</v>
      </c>
      <c r="V239" s="76">
        <f t="shared" si="48"/>
        <v>338.94</v>
      </c>
      <c r="W239" s="76">
        <v>0</v>
      </c>
      <c r="X239" s="76">
        <v>0</v>
      </c>
      <c r="Y239" s="119">
        <v>0</v>
      </c>
      <c r="Z239" s="76">
        <f>Y239*Valores!$C$2</f>
        <v>0</v>
      </c>
      <c r="AA239" s="76">
        <v>0</v>
      </c>
      <c r="AB239" s="81">
        <f>IF((Valores!$C$32)*D239&gt;Valores!$F$32,Valores!$F$32,(Valores!$C$32)*D239)</f>
        <v>38.519999999999996</v>
      </c>
      <c r="AC239" s="76">
        <f t="shared" si="42"/>
        <v>0</v>
      </c>
      <c r="AD239" s="76">
        <f>IF(Valores!$C$33*D239&gt;Valores!$F$33,Valores!$F$33,Valores!$C$33*D239)</f>
        <v>32.04</v>
      </c>
      <c r="AE239" s="80">
        <v>0</v>
      </c>
      <c r="AF239" s="76">
        <f>INT(((AE239*Valores!$C$2)*100)+0.5)/100</f>
        <v>0</v>
      </c>
      <c r="AG239" s="76">
        <f>IF(Valores!$D$58*'Escala Docente'!D239&gt;Valores!$F$58,Valores!$F$58,Valores!$D$58*'Escala Docente'!D239)</f>
        <v>130.38</v>
      </c>
      <c r="AH239" s="76">
        <f>IF(Valores!$D$60*D239&gt;Valores!$F$60,Valores!$F$60,Valores!$D$60*D239)</f>
        <v>37.26</v>
      </c>
      <c r="AI239" s="115">
        <f t="shared" si="43"/>
        <v>6743.841500000001</v>
      </c>
      <c r="AJ239" s="102">
        <f>IF(Valores!$C$36*D239&gt;Valores!$F$36,Valores!$F$36,Valores!$C$36*D239)</f>
        <v>239.70000000000002</v>
      </c>
      <c r="AK239" s="79">
        <f>IF(Valores!$C$11*D239&gt;Valores!$F$11,Valores!$F$11,Valores!$C$11*D239)</f>
        <v>0</v>
      </c>
      <c r="AL239" s="79">
        <f>IF(Valores!$C$84*D239&gt;Valores!$C$83,Valores!$C$83,Valores!$C$84*D239)</f>
        <v>390</v>
      </c>
      <c r="AM239" s="81">
        <f>IF(Valores!$C$57*D239&gt;Valores!$F$57,Valores!$F$57,Valores!$C$57*D239)</f>
        <v>54.599999999999994</v>
      </c>
      <c r="AN239" s="83">
        <f t="shared" si="44"/>
        <v>629.7</v>
      </c>
      <c r="AO239" s="62">
        <f>AI239*-Valores!$C$65</f>
        <v>-876.6993950000002</v>
      </c>
      <c r="AP239" s="62">
        <f>AI239*-Valores!$C$66</f>
        <v>-33.71920750000001</v>
      </c>
      <c r="AQ239" s="78">
        <f>AI239*-Valores!$C$67</f>
        <v>-303.47286750000006</v>
      </c>
      <c r="AR239" s="78">
        <f>AI239*-Valores!$C$68</f>
        <v>-182.08372050000003</v>
      </c>
      <c r="AS239" s="78">
        <f>AI239*-Valores!$C$69</f>
        <v>-20.231524500000006</v>
      </c>
      <c r="AT239" s="82">
        <f t="shared" si="40"/>
        <v>6159.650030000001</v>
      </c>
      <c r="AU239" s="82">
        <f t="shared" si="41"/>
        <v>6260.807652500001</v>
      </c>
      <c r="AV239" s="78">
        <f>AI239*Valores!$C$71</f>
        <v>1079.0146400000003</v>
      </c>
      <c r="AW239" s="78">
        <f>AI239*Valores!$C$72</f>
        <v>303.47286750000006</v>
      </c>
      <c r="AX239" s="78">
        <f>AI239*Valores!$C$73</f>
        <v>67.43841500000002</v>
      </c>
      <c r="AY239" s="78">
        <f>AI239*Valores!$C$75</f>
        <v>236.03445250000007</v>
      </c>
      <c r="AZ239" s="78">
        <f>AI239*Valores!$C$76</f>
        <v>40.46304900000001</v>
      </c>
      <c r="BA239" s="78">
        <f t="shared" si="45"/>
        <v>364.1674410000001</v>
      </c>
      <c r="BB239" s="52"/>
      <c r="BC239" s="86">
        <f t="shared" si="46"/>
        <v>24</v>
      </c>
      <c r="BD239" s="28" t="s">
        <v>4</v>
      </c>
    </row>
    <row r="240" spans="1:56" s="28" customFormat="1" ht="11.25" customHeight="1">
      <c r="A240" s="52">
        <v>239</v>
      </c>
      <c r="B240" s="52"/>
      <c r="C240" s="28" t="s">
        <v>522</v>
      </c>
      <c r="D240" s="28">
        <v>6</v>
      </c>
      <c r="E240" s="28">
        <f t="shared" si="37"/>
        <v>41</v>
      </c>
      <c r="F240" s="72" t="str">
        <f>CONCATENATE("Hora Cátedra Enseñanza Media ",D240," hs Esc Esp")</f>
        <v>Hora Cátedra Enseñanza Media 6 hs Esc Esp</v>
      </c>
      <c r="G240" s="73">
        <f t="shared" si="47"/>
        <v>474</v>
      </c>
      <c r="H240" s="74">
        <f>INT((G240*Valores!$C$2*100))/100</f>
        <v>3143.75</v>
      </c>
      <c r="I240" s="113">
        <v>0</v>
      </c>
      <c r="J240" s="76">
        <f>INT((I240*Valores!$C$2*100)+0.5)/100</f>
        <v>0</v>
      </c>
      <c r="K240" s="103">
        <v>0</v>
      </c>
      <c r="L240" s="76">
        <f>INT((K240*Valores!$C$2*100)+0.5)/100</f>
        <v>0</v>
      </c>
      <c r="M240" s="101">
        <v>0</v>
      </c>
      <c r="N240" s="76">
        <f>INT((M240*Valores!$C$2*100)+0.5)/100</f>
        <v>0</v>
      </c>
      <c r="O240" s="76">
        <f t="shared" si="38"/>
        <v>568.4114999999999</v>
      </c>
      <c r="P240" s="76">
        <f t="shared" si="39"/>
        <v>0</v>
      </c>
      <c r="Q240" s="102">
        <f>Valores!$C$14*D240</f>
        <v>961.14</v>
      </c>
      <c r="R240" s="102">
        <f>IF(D240&lt;15,(Valores!$E$4*D240),Valores!$D$4)</f>
        <v>1186.68</v>
      </c>
      <c r="S240" s="76">
        <v>0</v>
      </c>
      <c r="T240" s="79">
        <f>IF(Valores!$C$45*D240&gt;Valores!$C$43,Valores!$C$43,Valores!$C$45*D240)</f>
        <v>306.71999999999997</v>
      </c>
      <c r="U240" s="102">
        <f>Valores!$C$22*D240</f>
        <v>338.94</v>
      </c>
      <c r="V240" s="76">
        <f t="shared" si="48"/>
        <v>338.94</v>
      </c>
      <c r="W240" s="76">
        <v>0</v>
      </c>
      <c r="X240" s="76">
        <v>0</v>
      </c>
      <c r="Y240" s="119">
        <v>0</v>
      </c>
      <c r="Z240" s="76">
        <f>Y240*Valores!$C$2</f>
        <v>0</v>
      </c>
      <c r="AA240" s="76">
        <v>0</v>
      </c>
      <c r="AB240" s="81">
        <f>IF((Valores!$C$32)*D240&gt;Valores!$F$32,Valores!$F$32,(Valores!$C$32)*D240)</f>
        <v>38.519999999999996</v>
      </c>
      <c r="AC240" s="76">
        <f t="shared" si="42"/>
        <v>0</v>
      </c>
      <c r="AD240" s="76">
        <f>IF(Valores!$C$33*D240&gt;Valores!$F$33,Valores!$F$33,Valores!$C$33*D240)</f>
        <v>32.04</v>
      </c>
      <c r="AE240" s="80">
        <v>94</v>
      </c>
      <c r="AF240" s="76">
        <f>INT(((AE240*Valores!$C$2)*100)+0.5)/100</f>
        <v>623.45</v>
      </c>
      <c r="AG240" s="76">
        <f>IF(Valores!$D$58*'Escala Docente'!D240&gt;Valores!$F$58,Valores!$F$58,Valores!$D$58*'Escala Docente'!D240)</f>
        <v>130.38</v>
      </c>
      <c r="AH240" s="76">
        <f>IF(Valores!$D$60*D240&gt;Valores!$F$60,Valores!$F$60,Valores!$D$60*D240)</f>
        <v>37.26</v>
      </c>
      <c r="AI240" s="115">
        <f t="shared" si="43"/>
        <v>7367.291500000001</v>
      </c>
      <c r="AJ240" s="102">
        <f>IF(Valores!$C$36*D240&gt;Valores!$F$36,Valores!$F$36,Valores!$C$36*D240)</f>
        <v>239.70000000000002</v>
      </c>
      <c r="AK240" s="79">
        <f>IF(Valores!$C$11*D240&gt;Valores!$F$11,Valores!$F$11,Valores!$C$11*D240)</f>
        <v>0</v>
      </c>
      <c r="AL240" s="79">
        <f>IF(Valores!$C$84*D240&gt;Valores!$C$83,Valores!$C$83,Valores!$C$84*D240)</f>
        <v>390</v>
      </c>
      <c r="AM240" s="81">
        <f>IF(Valores!$C$57*D240&gt;Valores!$F$57,Valores!$F$57,Valores!$C$57*D240)</f>
        <v>54.599999999999994</v>
      </c>
      <c r="AN240" s="83">
        <f t="shared" si="44"/>
        <v>629.7</v>
      </c>
      <c r="AO240" s="62">
        <f>AI240*-Valores!$C$65</f>
        <v>-957.7478950000002</v>
      </c>
      <c r="AP240" s="62">
        <f>AI240*-Valores!$C$66</f>
        <v>-36.83645750000001</v>
      </c>
      <c r="AQ240" s="78">
        <f>AI240*-Valores!$C$67</f>
        <v>-331.52811750000006</v>
      </c>
      <c r="AR240" s="78">
        <f>AI240*-Valores!$C$68</f>
        <v>-198.91687050000002</v>
      </c>
      <c r="AS240" s="78">
        <f>AI240*-Valores!$C$69</f>
        <v>-22.101874500000005</v>
      </c>
      <c r="AT240" s="82">
        <f t="shared" si="40"/>
        <v>6670.879030000001</v>
      </c>
      <c r="AU240" s="82">
        <f t="shared" si="41"/>
        <v>6781.388402500001</v>
      </c>
      <c r="AV240" s="78">
        <f>AI240*Valores!$C$71</f>
        <v>1178.7666400000003</v>
      </c>
      <c r="AW240" s="78">
        <f>AI240*Valores!$C$72</f>
        <v>331.52811750000006</v>
      </c>
      <c r="AX240" s="78">
        <f>AI240*Valores!$C$73</f>
        <v>73.67291500000002</v>
      </c>
      <c r="AY240" s="78">
        <f>AI240*Valores!$C$75</f>
        <v>257.8552025000001</v>
      </c>
      <c r="AZ240" s="78">
        <f>AI240*Valores!$C$76</f>
        <v>44.20374900000001</v>
      </c>
      <c r="BA240" s="78">
        <f t="shared" si="45"/>
        <v>397.8337410000001</v>
      </c>
      <c r="BB240" s="52"/>
      <c r="BC240" s="52">
        <f t="shared" si="46"/>
        <v>24</v>
      </c>
      <c r="BD240" s="28" t="s">
        <v>4</v>
      </c>
    </row>
    <row r="241" spans="1:56" s="28" customFormat="1" ht="11.25" customHeight="1">
      <c r="A241" s="86">
        <v>240</v>
      </c>
      <c r="B241" s="86" t="s">
        <v>163</v>
      </c>
      <c r="C241" s="87" t="s">
        <v>522</v>
      </c>
      <c r="D241" s="87">
        <v>7</v>
      </c>
      <c r="E241" s="87">
        <f t="shared" si="37"/>
        <v>33</v>
      </c>
      <c r="F241" s="88" t="str">
        <f>CONCATENATE("Hora Cátedra Enseñanza Media ",D241," hs")</f>
        <v>Hora Cátedra Enseñanza Media 7 hs</v>
      </c>
      <c r="G241" s="89">
        <f t="shared" si="47"/>
        <v>553</v>
      </c>
      <c r="H241" s="90">
        <f>INT((G241*Valores!$C$2*100))/100</f>
        <v>3667.71</v>
      </c>
      <c r="I241" s="104">
        <v>0</v>
      </c>
      <c r="J241" s="92">
        <f>INT((I241*Valores!$C$2*100)+0.5)/100</f>
        <v>0</v>
      </c>
      <c r="K241" s="105">
        <v>0</v>
      </c>
      <c r="L241" s="92">
        <f>INT((K241*Valores!$C$2*100)+0.5)/100</f>
        <v>0</v>
      </c>
      <c r="M241" s="106">
        <v>0</v>
      </c>
      <c r="N241" s="92">
        <f>INT((M241*Valores!$C$2*100)+0.5)/100</f>
        <v>0</v>
      </c>
      <c r="O241" s="92">
        <f t="shared" si="38"/>
        <v>663.1469999999999</v>
      </c>
      <c r="P241" s="92">
        <f t="shared" si="39"/>
        <v>0</v>
      </c>
      <c r="Q241" s="108">
        <f>Valores!$C$14*D241</f>
        <v>1121.33</v>
      </c>
      <c r="R241" s="108">
        <f>IF(D241&lt;15,(Valores!$E$4*D241),Valores!$D$4)</f>
        <v>1384.46</v>
      </c>
      <c r="S241" s="92">
        <v>0</v>
      </c>
      <c r="T241" s="95">
        <f>IF(Valores!$C$45*D241&gt;Valores!$C$43,Valores!$C$43,Valores!$C$45*D241)</f>
        <v>357.84</v>
      </c>
      <c r="U241" s="108">
        <f>Valores!$C$22*D241</f>
        <v>395.43</v>
      </c>
      <c r="V241" s="92">
        <f t="shared" si="48"/>
        <v>395.43</v>
      </c>
      <c r="W241" s="92">
        <v>0</v>
      </c>
      <c r="X241" s="92">
        <v>0</v>
      </c>
      <c r="Y241" s="120">
        <v>0</v>
      </c>
      <c r="Z241" s="92">
        <f>Y241*Valores!$C$2</f>
        <v>0</v>
      </c>
      <c r="AA241" s="92">
        <v>0</v>
      </c>
      <c r="AB241" s="97">
        <f>IF((Valores!$C$32)*D241&gt;Valores!$F$32,Valores!$F$32,(Valores!$C$32)*D241)</f>
        <v>44.94</v>
      </c>
      <c r="AC241" s="92">
        <f t="shared" si="42"/>
        <v>0</v>
      </c>
      <c r="AD241" s="92">
        <f>IF(Valores!$C$33*D241&gt;Valores!$F$33,Valores!$F$33,Valores!$C$33*D241)</f>
        <v>37.379999999999995</v>
      </c>
      <c r="AE241" s="96">
        <v>0</v>
      </c>
      <c r="AF241" s="92">
        <f>INT(((AE241*Valores!$C$2)*100)+0.5)/100</f>
        <v>0</v>
      </c>
      <c r="AG241" s="92">
        <f>IF(Valores!$D$58*'Escala Docente'!D241&gt;Valores!$F$58,Valores!$F$58,Valores!$D$58*'Escala Docente'!D241)</f>
        <v>152.11</v>
      </c>
      <c r="AH241" s="92">
        <f>IF(Valores!$D$60*D241&gt;Valores!$F$60,Valores!$F$60,Valores!$D$60*D241)</f>
        <v>43.47</v>
      </c>
      <c r="AI241" s="116">
        <f t="shared" si="43"/>
        <v>7867.817</v>
      </c>
      <c r="AJ241" s="108">
        <f>IF(Valores!$C$36*D241&gt;Valores!$F$36,Valores!$F$36,Valores!$C$36*D241)</f>
        <v>279.65000000000003</v>
      </c>
      <c r="AK241" s="95">
        <f>IF(Valores!$C$11*D241&gt;Valores!$F$11,Valores!$F$11,Valores!$C$11*D241)</f>
        <v>0</v>
      </c>
      <c r="AL241" s="95">
        <f>IF(Valores!$C$84*D241&gt;Valores!$C$83,Valores!$C$83,Valores!$C$84*D241)</f>
        <v>455</v>
      </c>
      <c r="AM241" s="97">
        <f>IF(Valores!$C$57*D241&gt;Valores!$F$57,Valores!$F$57,Valores!$C$57*D241)</f>
        <v>63.699999999999996</v>
      </c>
      <c r="AN241" s="99">
        <f t="shared" si="44"/>
        <v>734.6500000000001</v>
      </c>
      <c r="AO241" s="117">
        <f>AI241*-Valores!$C$65</f>
        <v>-1022.8162100000001</v>
      </c>
      <c r="AP241" s="117">
        <f>AI241*-Valores!$C$66</f>
        <v>-39.339085000000004</v>
      </c>
      <c r="AQ241" s="94">
        <f>AI241*-Valores!$C$67</f>
        <v>-354.051765</v>
      </c>
      <c r="AR241" s="94">
        <f>AI241*-Valores!$C$68</f>
        <v>-212.431059</v>
      </c>
      <c r="AS241" s="94">
        <f>AI241*-Valores!$C$69</f>
        <v>-23.603451</v>
      </c>
      <c r="AT241" s="98">
        <f t="shared" si="40"/>
        <v>7186.259940000001</v>
      </c>
      <c r="AU241" s="98">
        <f t="shared" si="41"/>
        <v>7304.277195000001</v>
      </c>
      <c r="AV241" s="94">
        <f>AI241*Valores!$C$71</f>
        <v>1258.8507200000001</v>
      </c>
      <c r="AW241" s="94">
        <f>AI241*Valores!$C$72</f>
        <v>354.051765</v>
      </c>
      <c r="AX241" s="94">
        <f>AI241*Valores!$C$73</f>
        <v>78.67817000000001</v>
      </c>
      <c r="AY241" s="94">
        <f>AI241*Valores!$C$75</f>
        <v>275.373595</v>
      </c>
      <c r="AZ241" s="94">
        <f>AI241*Valores!$C$76</f>
        <v>47.206902</v>
      </c>
      <c r="BA241" s="94">
        <f t="shared" si="45"/>
        <v>424.86211800000007</v>
      </c>
      <c r="BB241" s="86"/>
      <c r="BC241" s="86">
        <f t="shared" si="46"/>
        <v>28</v>
      </c>
      <c r="BD241" s="87" t="s">
        <v>4</v>
      </c>
    </row>
    <row r="242" spans="1:56" s="28" customFormat="1" ht="11.25" customHeight="1">
      <c r="A242" s="52">
        <v>241</v>
      </c>
      <c r="B242" s="52"/>
      <c r="C242" s="28" t="s">
        <v>522</v>
      </c>
      <c r="D242" s="28">
        <v>7</v>
      </c>
      <c r="E242" s="28">
        <f t="shared" si="37"/>
        <v>41</v>
      </c>
      <c r="F242" s="72" t="str">
        <f>CONCATENATE("Hora Cátedra Enseñanza Media ",D242," hs Esc Esp")</f>
        <v>Hora Cátedra Enseñanza Media 7 hs Esc Esp</v>
      </c>
      <c r="G242" s="73">
        <f t="shared" si="47"/>
        <v>553</v>
      </c>
      <c r="H242" s="74">
        <f>INT((G242*Valores!$C$2*100))/100</f>
        <v>3667.71</v>
      </c>
      <c r="I242" s="113">
        <v>0</v>
      </c>
      <c r="J242" s="76">
        <f>INT((I242*Valores!$C$2*100)+0.5)/100</f>
        <v>0</v>
      </c>
      <c r="K242" s="103">
        <v>0</v>
      </c>
      <c r="L242" s="76">
        <f>INT((K242*Valores!$C$2*100)+0.5)/100</f>
        <v>0</v>
      </c>
      <c r="M242" s="101">
        <v>0</v>
      </c>
      <c r="N242" s="76">
        <f>INT((M242*Valores!$C$2*100)+0.5)/100</f>
        <v>0</v>
      </c>
      <c r="O242" s="76">
        <f t="shared" si="38"/>
        <v>663.1469999999999</v>
      </c>
      <c r="P242" s="76">
        <f t="shared" si="39"/>
        <v>0</v>
      </c>
      <c r="Q242" s="102">
        <f>Valores!$C$14*D242</f>
        <v>1121.33</v>
      </c>
      <c r="R242" s="102">
        <f>IF(D242&lt;15,(Valores!$E$4*D242),Valores!$D$4)</f>
        <v>1384.46</v>
      </c>
      <c r="S242" s="76">
        <v>0</v>
      </c>
      <c r="T242" s="79">
        <f>IF(Valores!$C$45*D242&gt;Valores!$C$43,Valores!$C$43,Valores!$C$45*D242)</f>
        <v>357.84</v>
      </c>
      <c r="U242" s="102">
        <f>Valores!$C$22*D242</f>
        <v>395.43</v>
      </c>
      <c r="V242" s="76">
        <f t="shared" si="48"/>
        <v>395.43</v>
      </c>
      <c r="W242" s="76">
        <v>0</v>
      </c>
      <c r="X242" s="76">
        <v>0</v>
      </c>
      <c r="Y242" s="119">
        <v>0</v>
      </c>
      <c r="Z242" s="76">
        <f>Y242*Valores!$C$2</f>
        <v>0</v>
      </c>
      <c r="AA242" s="76">
        <v>0</v>
      </c>
      <c r="AB242" s="81">
        <f>IF((Valores!$C$32)*D242&gt;Valores!$F$32,Valores!$F$32,(Valores!$C$32)*D242)</f>
        <v>44.94</v>
      </c>
      <c r="AC242" s="76">
        <f t="shared" si="42"/>
        <v>0</v>
      </c>
      <c r="AD242" s="76">
        <f>IF(Valores!$C$33*D242&gt;Valores!$F$33,Valores!$F$33,Valores!$C$33*D242)</f>
        <v>37.379999999999995</v>
      </c>
      <c r="AE242" s="80">
        <v>94</v>
      </c>
      <c r="AF242" s="76">
        <f>INT(((AE242*Valores!$C$2)*100)+0.5)/100</f>
        <v>623.45</v>
      </c>
      <c r="AG242" s="76">
        <f>IF(Valores!$D$58*'Escala Docente'!D242&gt;Valores!$F$58,Valores!$F$58,Valores!$D$58*'Escala Docente'!D242)</f>
        <v>152.11</v>
      </c>
      <c r="AH242" s="76">
        <f>IF(Valores!$D$60*D242&gt;Valores!$F$60,Valores!$F$60,Valores!$D$60*D242)</f>
        <v>43.47</v>
      </c>
      <c r="AI242" s="115">
        <f t="shared" si="43"/>
        <v>8491.267</v>
      </c>
      <c r="AJ242" s="102">
        <f>IF(Valores!$C$36*D242&gt;Valores!$F$36,Valores!$F$36,Valores!$C$36*D242)</f>
        <v>279.65000000000003</v>
      </c>
      <c r="AK242" s="79">
        <f>IF(Valores!$C$11*D242&gt;Valores!$F$11,Valores!$F$11,Valores!$C$11*D242)</f>
        <v>0</v>
      </c>
      <c r="AL242" s="79">
        <f>IF(Valores!$C$84*D242&gt;Valores!$C$83,Valores!$C$83,Valores!$C$84*D242)</f>
        <v>455</v>
      </c>
      <c r="AM242" s="81">
        <f>IF(Valores!$C$57*D242&gt;Valores!$F$57,Valores!$F$57,Valores!$C$57*D242)</f>
        <v>63.699999999999996</v>
      </c>
      <c r="AN242" s="83">
        <f t="shared" si="44"/>
        <v>734.6500000000001</v>
      </c>
      <c r="AO242" s="62">
        <f>AI242*-Valores!$C$65</f>
        <v>-1103.86471</v>
      </c>
      <c r="AP242" s="62">
        <f>AI242*-Valores!$C$66</f>
        <v>-42.456335</v>
      </c>
      <c r="AQ242" s="78">
        <f>AI242*-Valores!$C$67</f>
        <v>-382.107015</v>
      </c>
      <c r="AR242" s="78">
        <f>AI242*-Valores!$C$68</f>
        <v>-229.264209</v>
      </c>
      <c r="AS242" s="78">
        <f>AI242*-Valores!$C$69</f>
        <v>-25.473801</v>
      </c>
      <c r="AT242" s="82">
        <f t="shared" si="40"/>
        <v>7697.488939999999</v>
      </c>
      <c r="AU242" s="82">
        <f t="shared" si="41"/>
        <v>7824.857944999998</v>
      </c>
      <c r="AV242" s="78">
        <f>AI242*Valores!$C$71</f>
        <v>1358.60272</v>
      </c>
      <c r="AW242" s="78">
        <f>AI242*Valores!$C$72</f>
        <v>382.107015</v>
      </c>
      <c r="AX242" s="78">
        <f>AI242*Valores!$C$73</f>
        <v>84.91267</v>
      </c>
      <c r="AY242" s="78">
        <f>AI242*Valores!$C$75</f>
        <v>297.194345</v>
      </c>
      <c r="AZ242" s="78">
        <f>AI242*Valores!$C$76</f>
        <v>50.947602</v>
      </c>
      <c r="BA242" s="78">
        <f t="shared" si="45"/>
        <v>458.52841800000004</v>
      </c>
      <c r="BB242" s="52"/>
      <c r="BC242" s="52">
        <f t="shared" si="46"/>
        <v>28</v>
      </c>
      <c r="BD242" s="28" t="s">
        <v>4</v>
      </c>
    </row>
    <row r="243" spans="1:56" s="28" customFormat="1" ht="11.25" customHeight="1">
      <c r="A243" s="52">
        <v>242</v>
      </c>
      <c r="B243" s="52"/>
      <c r="C243" s="28" t="s">
        <v>522</v>
      </c>
      <c r="D243" s="28">
        <v>8</v>
      </c>
      <c r="E243" s="28">
        <f t="shared" si="37"/>
        <v>33</v>
      </c>
      <c r="F243" s="72" t="str">
        <f>CONCATENATE("Hora Cátedra Enseñanza Media ",D243," hs")</f>
        <v>Hora Cátedra Enseñanza Media 8 hs</v>
      </c>
      <c r="G243" s="73">
        <f t="shared" si="47"/>
        <v>632</v>
      </c>
      <c r="H243" s="74">
        <f>INT((G243*Valores!$C$2*100))/100</f>
        <v>4191.67</v>
      </c>
      <c r="I243" s="113">
        <v>0</v>
      </c>
      <c r="J243" s="76">
        <f>INT((I243*Valores!$C$2*100)+0.5)/100</f>
        <v>0</v>
      </c>
      <c r="K243" s="103">
        <v>0</v>
      </c>
      <c r="L243" s="76">
        <f>INT((K243*Valores!$C$2*100)+0.5)/100</f>
        <v>0</v>
      </c>
      <c r="M243" s="101">
        <v>0</v>
      </c>
      <c r="N243" s="76">
        <f>INT((M243*Valores!$C$2*100)+0.5)/100</f>
        <v>0</v>
      </c>
      <c r="O243" s="76">
        <f t="shared" si="38"/>
        <v>757.8825</v>
      </c>
      <c r="P243" s="76">
        <f t="shared" si="39"/>
        <v>0</v>
      </c>
      <c r="Q243" s="102">
        <f>Valores!$C$14*D243</f>
        <v>1281.52</v>
      </c>
      <c r="R243" s="102">
        <f>IF(D243&lt;15,(Valores!$E$4*D243),Valores!$D$4)</f>
        <v>1582.24</v>
      </c>
      <c r="S243" s="76">
        <v>0</v>
      </c>
      <c r="T243" s="79">
        <f>IF(Valores!$C$45*D243&gt;Valores!$C$43,Valores!$C$43,Valores!$C$45*D243)</f>
        <v>408.96</v>
      </c>
      <c r="U243" s="102">
        <f>Valores!$C$22*D243</f>
        <v>451.92</v>
      </c>
      <c r="V243" s="76">
        <f t="shared" si="48"/>
        <v>451.92</v>
      </c>
      <c r="W243" s="76">
        <v>0</v>
      </c>
      <c r="X243" s="76">
        <v>0</v>
      </c>
      <c r="Y243" s="119">
        <v>0</v>
      </c>
      <c r="Z243" s="76">
        <f>Y243*Valores!$C$2</f>
        <v>0</v>
      </c>
      <c r="AA243" s="76">
        <v>0</v>
      </c>
      <c r="AB243" s="81">
        <f>IF((Valores!$C$32)*D243&gt;Valores!$F$32,Valores!$F$32,(Valores!$C$32)*D243)</f>
        <v>51.36</v>
      </c>
      <c r="AC243" s="76">
        <f t="shared" si="42"/>
        <v>0</v>
      </c>
      <c r="AD243" s="76">
        <f>IF(Valores!$C$33*D243&gt;Valores!$F$33,Valores!$F$33,Valores!$C$33*D243)</f>
        <v>42.72</v>
      </c>
      <c r="AE243" s="80">
        <v>0</v>
      </c>
      <c r="AF243" s="76">
        <f>INT(((AE243*Valores!$C$2)*100)+0.5)/100</f>
        <v>0</v>
      </c>
      <c r="AG243" s="76">
        <f>IF(Valores!$D$58*'Escala Docente'!D243&gt;Valores!$F$58,Valores!$F$58,Valores!$D$58*'Escala Docente'!D243)</f>
        <v>173.84</v>
      </c>
      <c r="AH243" s="76">
        <f>IF(Valores!$D$60*D243&gt;Valores!$F$60,Valores!$F$60,Valores!$D$60*D243)</f>
        <v>49.68</v>
      </c>
      <c r="AI243" s="115">
        <f t="shared" si="43"/>
        <v>8991.7925</v>
      </c>
      <c r="AJ243" s="102">
        <f>IF(Valores!$C$36*D243&gt;Valores!$F$36,Valores!$F$36,Valores!$C$36*D243)</f>
        <v>319.6</v>
      </c>
      <c r="AK243" s="79">
        <f>IF(Valores!$C$11*D243&gt;Valores!$F$11,Valores!$F$11,Valores!$C$11*D243)</f>
        <v>0</v>
      </c>
      <c r="AL243" s="79">
        <f>IF(Valores!$C$84*D243&gt;Valores!$C$83,Valores!$C$83,Valores!$C$84*D243)</f>
        <v>520</v>
      </c>
      <c r="AM243" s="81">
        <f>IF(Valores!$C$57*D243&gt;Valores!$F$57,Valores!$F$57,Valores!$C$57*D243)</f>
        <v>72.8</v>
      </c>
      <c r="AN243" s="83">
        <f t="shared" si="44"/>
        <v>839.6</v>
      </c>
      <c r="AO243" s="62">
        <f>AI243*-Valores!$C$65</f>
        <v>-1168.933025</v>
      </c>
      <c r="AP243" s="62">
        <f>AI243*-Valores!$C$66</f>
        <v>-44.9589625</v>
      </c>
      <c r="AQ243" s="78">
        <f>AI243*-Valores!$C$67</f>
        <v>-404.63066249999997</v>
      </c>
      <c r="AR243" s="78">
        <f>AI243*-Valores!$C$68</f>
        <v>-242.77839749999998</v>
      </c>
      <c r="AS243" s="78">
        <f>AI243*-Valores!$C$69</f>
        <v>-26.9753775</v>
      </c>
      <c r="AT243" s="82">
        <f t="shared" si="40"/>
        <v>8212.86985</v>
      </c>
      <c r="AU243" s="82">
        <f t="shared" si="41"/>
        <v>8347.746737499998</v>
      </c>
      <c r="AV243" s="78">
        <f>AI243*Valores!$C$71</f>
        <v>1438.6868</v>
      </c>
      <c r="AW243" s="78">
        <f>AI243*Valores!$C$72</f>
        <v>404.63066249999997</v>
      </c>
      <c r="AX243" s="78">
        <f>AI243*Valores!$C$73</f>
        <v>89.917925</v>
      </c>
      <c r="AY243" s="78">
        <f>AI243*Valores!$C$75</f>
        <v>314.7127375</v>
      </c>
      <c r="AZ243" s="78">
        <f>AI243*Valores!$C$76</f>
        <v>53.950755</v>
      </c>
      <c r="BA243" s="78">
        <f t="shared" si="45"/>
        <v>485.55679499999997</v>
      </c>
      <c r="BB243" s="52"/>
      <c r="BC243" s="52">
        <f t="shared" si="46"/>
        <v>32</v>
      </c>
      <c r="BD243" s="28" t="s">
        <v>4</v>
      </c>
    </row>
    <row r="244" spans="1:56" s="28" customFormat="1" ht="11.25" customHeight="1">
      <c r="A244" s="52">
        <v>243</v>
      </c>
      <c r="B244" s="52"/>
      <c r="C244" s="28" t="s">
        <v>522</v>
      </c>
      <c r="D244" s="28">
        <v>8</v>
      </c>
      <c r="E244" s="28">
        <f t="shared" si="37"/>
        <v>41</v>
      </c>
      <c r="F244" s="72" t="str">
        <f>CONCATENATE("Hora Cátedra Enseñanza Media ",D244," hs Esc Esp")</f>
        <v>Hora Cátedra Enseñanza Media 8 hs Esc Esp</v>
      </c>
      <c r="G244" s="73">
        <f t="shared" si="47"/>
        <v>632</v>
      </c>
      <c r="H244" s="74">
        <f>INT((G244*Valores!$C$2*100))/100</f>
        <v>4191.67</v>
      </c>
      <c r="I244" s="113">
        <v>0</v>
      </c>
      <c r="J244" s="76">
        <f>INT((I244*Valores!$C$2*100)+0.5)/100</f>
        <v>0</v>
      </c>
      <c r="K244" s="103">
        <v>0</v>
      </c>
      <c r="L244" s="76">
        <f>INT((K244*Valores!$C$2*100)+0.5)/100</f>
        <v>0</v>
      </c>
      <c r="M244" s="101">
        <v>0</v>
      </c>
      <c r="N244" s="76">
        <f>INT((M244*Valores!$C$2*100)+0.5)/100</f>
        <v>0</v>
      </c>
      <c r="O244" s="76">
        <f t="shared" si="38"/>
        <v>757.8825</v>
      </c>
      <c r="P244" s="76">
        <f t="shared" si="39"/>
        <v>0</v>
      </c>
      <c r="Q244" s="102">
        <f>Valores!$C$14*D244</f>
        <v>1281.52</v>
      </c>
      <c r="R244" s="102">
        <f>IF(D244&lt;15,(Valores!$E$4*D244),Valores!$D$4)</f>
        <v>1582.24</v>
      </c>
      <c r="S244" s="76">
        <v>0</v>
      </c>
      <c r="T244" s="79">
        <f>IF(Valores!$C$45*D244&gt;Valores!$C$43,Valores!$C$43,Valores!$C$45*D244)</f>
        <v>408.96</v>
      </c>
      <c r="U244" s="102">
        <f>Valores!$C$22*D244</f>
        <v>451.92</v>
      </c>
      <c r="V244" s="76">
        <f t="shared" si="48"/>
        <v>451.92</v>
      </c>
      <c r="W244" s="76">
        <v>0</v>
      </c>
      <c r="X244" s="76">
        <v>0</v>
      </c>
      <c r="Y244" s="119">
        <v>0</v>
      </c>
      <c r="Z244" s="76">
        <f>Y244*Valores!$C$2</f>
        <v>0</v>
      </c>
      <c r="AA244" s="76">
        <v>0</v>
      </c>
      <c r="AB244" s="81">
        <f>IF((Valores!$C$32)*D244&gt;Valores!$F$32,Valores!$F$32,(Valores!$C$32)*D244)</f>
        <v>51.36</v>
      </c>
      <c r="AC244" s="76">
        <f t="shared" si="42"/>
        <v>0</v>
      </c>
      <c r="AD244" s="76">
        <f>IF(Valores!$C$33*D244&gt;Valores!$F$33,Valores!$F$33,Valores!$C$33*D244)</f>
        <v>42.72</v>
      </c>
      <c r="AE244" s="80">
        <v>94</v>
      </c>
      <c r="AF244" s="76">
        <f>INT(((AE244*Valores!$C$2)*100)+0.5)/100</f>
        <v>623.45</v>
      </c>
      <c r="AG244" s="76">
        <f>IF(Valores!$D$58*'Escala Docente'!D244&gt;Valores!$F$58,Valores!$F$58,Valores!$D$58*'Escala Docente'!D244)</f>
        <v>173.84</v>
      </c>
      <c r="AH244" s="76">
        <f>IF(Valores!$D$60*D244&gt;Valores!$F$60,Valores!$F$60,Valores!$D$60*D244)</f>
        <v>49.68</v>
      </c>
      <c r="AI244" s="115">
        <f t="shared" si="43"/>
        <v>9615.2425</v>
      </c>
      <c r="AJ244" s="102">
        <f>IF(Valores!$C$36*D244&gt;Valores!$F$36,Valores!$F$36,Valores!$C$36*D244)</f>
        <v>319.6</v>
      </c>
      <c r="AK244" s="79">
        <f>IF(Valores!$C$11*D244&gt;Valores!$F$11,Valores!$F$11,Valores!$C$11*D244)</f>
        <v>0</v>
      </c>
      <c r="AL244" s="79">
        <f>IF(Valores!$C$84*D244&gt;Valores!$C$83,Valores!$C$83,Valores!$C$84*D244)</f>
        <v>520</v>
      </c>
      <c r="AM244" s="81">
        <f>IF(Valores!$C$57*D244&gt;Valores!$F$57,Valores!$F$57,Valores!$C$57*D244)</f>
        <v>72.8</v>
      </c>
      <c r="AN244" s="83">
        <f t="shared" si="44"/>
        <v>839.6</v>
      </c>
      <c r="AO244" s="62">
        <f>AI244*-Valores!$C$65</f>
        <v>-1249.9815250000001</v>
      </c>
      <c r="AP244" s="62">
        <f>AI244*-Valores!$C$66</f>
        <v>-48.076212500000004</v>
      </c>
      <c r="AQ244" s="78">
        <f>AI244*-Valores!$C$67</f>
        <v>-432.6859125</v>
      </c>
      <c r="AR244" s="78">
        <f>AI244*-Valores!$C$68</f>
        <v>-259.61154750000003</v>
      </c>
      <c r="AS244" s="78">
        <f>AI244*-Valores!$C$69</f>
        <v>-28.845727500000002</v>
      </c>
      <c r="AT244" s="82">
        <f t="shared" si="40"/>
        <v>8724.098850000002</v>
      </c>
      <c r="AU244" s="82">
        <f t="shared" si="41"/>
        <v>8868.327487499999</v>
      </c>
      <c r="AV244" s="78">
        <f>AI244*Valores!$C$71</f>
        <v>1538.4388000000001</v>
      </c>
      <c r="AW244" s="78">
        <f>AI244*Valores!$C$72</f>
        <v>432.6859125</v>
      </c>
      <c r="AX244" s="78">
        <f>AI244*Valores!$C$73</f>
        <v>96.15242500000001</v>
      </c>
      <c r="AY244" s="78">
        <f>AI244*Valores!$C$75</f>
        <v>336.53348750000004</v>
      </c>
      <c r="AZ244" s="78">
        <f>AI244*Valores!$C$76</f>
        <v>57.691455000000005</v>
      </c>
      <c r="BA244" s="78">
        <f t="shared" si="45"/>
        <v>519.2230950000001</v>
      </c>
      <c r="BB244" s="52"/>
      <c r="BC244" s="86">
        <f t="shared" si="46"/>
        <v>32</v>
      </c>
      <c r="BD244" s="28" t="s">
        <v>4</v>
      </c>
    </row>
    <row r="245" spans="1:56" s="28" customFormat="1" ht="11.25" customHeight="1">
      <c r="A245" s="52">
        <v>244</v>
      </c>
      <c r="B245" s="52"/>
      <c r="C245" s="28" t="s">
        <v>522</v>
      </c>
      <c r="D245" s="28">
        <v>9</v>
      </c>
      <c r="E245" s="28">
        <f t="shared" si="37"/>
        <v>33</v>
      </c>
      <c r="F245" s="72" t="str">
        <f>CONCATENATE("Hora Cátedra Enseñanza Media ",D245," hs")</f>
        <v>Hora Cátedra Enseñanza Media 9 hs</v>
      </c>
      <c r="G245" s="73">
        <f t="shared" si="47"/>
        <v>711</v>
      </c>
      <c r="H245" s="74">
        <f>INT((G245*Valores!$C$2*100))/100</f>
        <v>4715.63</v>
      </c>
      <c r="I245" s="113">
        <v>0</v>
      </c>
      <c r="J245" s="76">
        <f>INT((I245*Valores!$C$2*100)+0.5)/100</f>
        <v>0</v>
      </c>
      <c r="K245" s="103">
        <v>0</v>
      </c>
      <c r="L245" s="76">
        <f>INT((K245*Valores!$C$2*100)+0.5)/100</f>
        <v>0</v>
      </c>
      <c r="M245" s="101">
        <v>0</v>
      </c>
      <c r="N245" s="76">
        <f>INT((M245*Valores!$C$2*100)+0.5)/100</f>
        <v>0</v>
      </c>
      <c r="O245" s="76">
        <f t="shared" si="38"/>
        <v>852.6179999999999</v>
      </c>
      <c r="P245" s="76">
        <f t="shared" si="39"/>
        <v>0</v>
      </c>
      <c r="Q245" s="102">
        <f>Valores!$C$14*D245</f>
        <v>1441.71</v>
      </c>
      <c r="R245" s="102">
        <f>IF(D245&lt;15,(Valores!$E$4*D245),Valores!$D$4)</f>
        <v>1780.02</v>
      </c>
      <c r="S245" s="76">
        <v>0</v>
      </c>
      <c r="T245" s="79">
        <f>IF(Valores!$C$45*D245&gt;Valores!$C$43,Valores!$C$43,Valores!$C$45*D245)</f>
        <v>460.08</v>
      </c>
      <c r="U245" s="102">
        <f>Valores!$C$22*D245</f>
        <v>508.41</v>
      </c>
      <c r="V245" s="76">
        <f t="shared" si="48"/>
        <v>508.41</v>
      </c>
      <c r="W245" s="76">
        <v>0</v>
      </c>
      <c r="X245" s="76">
        <v>0</v>
      </c>
      <c r="Y245" s="119">
        <v>0</v>
      </c>
      <c r="Z245" s="76">
        <f>Y245*Valores!$C$2</f>
        <v>0</v>
      </c>
      <c r="AA245" s="76">
        <v>0</v>
      </c>
      <c r="AB245" s="81">
        <f>IF((Valores!$C$32)*D245&gt;Valores!$F$32,Valores!$F$32,(Valores!$C$32)*D245)</f>
        <v>57.78</v>
      </c>
      <c r="AC245" s="76">
        <f t="shared" si="42"/>
        <v>0</v>
      </c>
      <c r="AD245" s="76">
        <f>IF(Valores!$C$33*D245&gt;Valores!$F$33,Valores!$F$33,Valores!$C$33*D245)</f>
        <v>48.06</v>
      </c>
      <c r="AE245" s="80">
        <v>0</v>
      </c>
      <c r="AF245" s="76">
        <f>INT(((AE245*Valores!$C$2)*100)+0.5)/100</f>
        <v>0</v>
      </c>
      <c r="AG245" s="76">
        <f>IF(Valores!$D$58*'Escala Docente'!D245&gt;Valores!$F$58,Valores!$F$58,Valores!$D$58*'Escala Docente'!D245)</f>
        <v>195.57</v>
      </c>
      <c r="AH245" s="76">
        <f>IF(Valores!$D$60*D245&gt;Valores!$F$60,Valores!$F$60,Valores!$D$60*D245)</f>
        <v>55.89</v>
      </c>
      <c r="AI245" s="115">
        <f t="shared" si="43"/>
        <v>10115.767999999998</v>
      </c>
      <c r="AJ245" s="102">
        <f>IF(Valores!$C$36*D245&gt;Valores!$F$36,Valores!$F$36,Valores!$C$36*D245)</f>
        <v>359.55</v>
      </c>
      <c r="AK245" s="79">
        <f>IF(Valores!$C$11*D245&gt;Valores!$F$11,Valores!$F$11,Valores!$C$11*D245)</f>
        <v>0</v>
      </c>
      <c r="AL245" s="79">
        <f>IF(Valores!$C$84*D245&gt;Valores!$C$83,Valores!$C$83,Valores!$C$84*D245)</f>
        <v>585</v>
      </c>
      <c r="AM245" s="81">
        <f>IF(Valores!$C$57*D245&gt;Valores!$F$57,Valores!$F$57,Valores!$C$57*D245)</f>
        <v>81.89999999999999</v>
      </c>
      <c r="AN245" s="83">
        <f t="shared" si="44"/>
        <v>944.55</v>
      </c>
      <c r="AO245" s="62">
        <f>AI245*-Valores!$C$65</f>
        <v>-1315.04984</v>
      </c>
      <c r="AP245" s="62">
        <f>AI245*-Valores!$C$66</f>
        <v>-50.57883999999999</v>
      </c>
      <c r="AQ245" s="78">
        <f>AI245*-Valores!$C$67</f>
        <v>-455.2095599999999</v>
      </c>
      <c r="AR245" s="78">
        <f>AI245*-Valores!$C$68</f>
        <v>-273.12573599999996</v>
      </c>
      <c r="AS245" s="78">
        <f>AI245*-Valores!$C$69</f>
        <v>-30.347303999999994</v>
      </c>
      <c r="AT245" s="82">
        <f t="shared" si="40"/>
        <v>9239.479759999998</v>
      </c>
      <c r="AU245" s="82">
        <f t="shared" si="41"/>
        <v>9391.216279999997</v>
      </c>
      <c r="AV245" s="78">
        <f>AI245*Valores!$C$71</f>
        <v>1618.5228799999998</v>
      </c>
      <c r="AW245" s="78">
        <f>AI245*Valores!$C$72</f>
        <v>455.2095599999999</v>
      </c>
      <c r="AX245" s="78">
        <f>AI245*Valores!$C$73</f>
        <v>101.15767999999998</v>
      </c>
      <c r="AY245" s="78">
        <f>AI245*Valores!$C$75</f>
        <v>354.05188</v>
      </c>
      <c r="AZ245" s="78">
        <f>AI245*Valores!$C$76</f>
        <v>60.69460799999999</v>
      </c>
      <c r="BA245" s="78">
        <f t="shared" si="45"/>
        <v>546.2514719999999</v>
      </c>
      <c r="BB245" s="52"/>
      <c r="BC245" s="52">
        <f t="shared" si="46"/>
        <v>36</v>
      </c>
      <c r="BD245" s="28" t="s">
        <v>4</v>
      </c>
    </row>
    <row r="246" spans="1:56" s="28" customFormat="1" ht="11.25" customHeight="1">
      <c r="A246" s="86">
        <v>245</v>
      </c>
      <c r="B246" s="86" t="s">
        <v>163</v>
      </c>
      <c r="C246" s="87" t="s">
        <v>522</v>
      </c>
      <c r="D246" s="87">
        <v>9</v>
      </c>
      <c r="E246" s="87">
        <f t="shared" si="37"/>
        <v>41</v>
      </c>
      <c r="F246" s="88" t="str">
        <f>CONCATENATE("Hora Cátedra Enseñanza Media ",D246," hs Esc Esp")</f>
        <v>Hora Cátedra Enseñanza Media 9 hs Esc Esp</v>
      </c>
      <c r="G246" s="89">
        <f t="shared" si="47"/>
        <v>711</v>
      </c>
      <c r="H246" s="90">
        <f>INT((G246*Valores!$C$2*100))/100</f>
        <v>4715.63</v>
      </c>
      <c r="I246" s="104">
        <v>0</v>
      </c>
      <c r="J246" s="92">
        <f>INT((I246*Valores!$C$2*100)+0.5)/100</f>
        <v>0</v>
      </c>
      <c r="K246" s="105">
        <v>0</v>
      </c>
      <c r="L246" s="92">
        <f>INT((K246*Valores!$C$2*100)+0.5)/100</f>
        <v>0</v>
      </c>
      <c r="M246" s="106">
        <v>0</v>
      </c>
      <c r="N246" s="92">
        <f>INT((M246*Valores!$C$2*100)+0.5)/100</f>
        <v>0</v>
      </c>
      <c r="O246" s="92">
        <f t="shared" si="38"/>
        <v>852.6179999999999</v>
      </c>
      <c r="P246" s="92">
        <f t="shared" si="39"/>
        <v>0</v>
      </c>
      <c r="Q246" s="108">
        <f>Valores!$C$14*D246</f>
        <v>1441.71</v>
      </c>
      <c r="R246" s="108">
        <f>IF(D246&lt;15,(Valores!$E$4*D246),Valores!$D$4)</f>
        <v>1780.02</v>
      </c>
      <c r="S246" s="92">
        <v>0</v>
      </c>
      <c r="T246" s="95">
        <f>IF(Valores!$C$45*D246&gt;Valores!$C$43,Valores!$C$43,Valores!$C$45*D246)</f>
        <v>460.08</v>
      </c>
      <c r="U246" s="108">
        <f>Valores!$C$22*D246</f>
        <v>508.41</v>
      </c>
      <c r="V246" s="92">
        <f t="shared" si="48"/>
        <v>508.41</v>
      </c>
      <c r="W246" s="92">
        <v>0</v>
      </c>
      <c r="X246" s="92">
        <v>0</v>
      </c>
      <c r="Y246" s="120">
        <v>0</v>
      </c>
      <c r="Z246" s="92">
        <f>Y246*Valores!$C$2</f>
        <v>0</v>
      </c>
      <c r="AA246" s="92">
        <v>0</v>
      </c>
      <c r="AB246" s="97">
        <f>IF((Valores!$C$32)*D246&gt;Valores!$F$32,Valores!$F$32,(Valores!$C$32)*D246)</f>
        <v>57.78</v>
      </c>
      <c r="AC246" s="92">
        <f t="shared" si="42"/>
        <v>0</v>
      </c>
      <c r="AD246" s="92">
        <f>IF(Valores!$C$33*D246&gt;Valores!$F$33,Valores!$F$33,Valores!$C$33*D246)</f>
        <v>48.06</v>
      </c>
      <c r="AE246" s="96">
        <v>94</v>
      </c>
      <c r="AF246" s="92">
        <f>INT(((AE246*Valores!$C$2)*100)+0.5)/100</f>
        <v>623.45</v>
      </c>
      <c r="AG246" s="92">
        <f>IF(Valores!$D$58*'Escala Docente'!D246&gt;Valores!$F$58,Valores!$F$58,Valores!$D$58*'Escala Docente'!D246)</f>
        <v>195.57</v>
      </c>
      <c r="AH246" s="92">
        <f>IF(Valores!$D$60*D246&gt;Valores!$F$60,Valores!$F$60,Valores!$D$60*D246)</f>
        <v>55.89</v>
      </c>
      <c r="AI246" s="116">
        <f t="shared" si="43"/>
        <v>10739.217999999999</v>
      </c>
      <c r="AJ246" s="108">
        <f>IF(Valores!$C$36*D246&gt;Valores!$F$36,Valores!$F$36,Valores!$C$36*D246)</f>
        <v>359.55</v>
      </c>
      <c r="AK246" s="95">
        <f>IF(Valores!$C$11*D246&gt;Valores!$F$11,Valores!$F$11,Valores!$C$11*D246)</f>
        <v>0</v>
      </c>
      <c r="AL246" s="95">
        <f>IF(Valores!$C$84*D246&gt;Valores!$C$83,Valores!$C$83,Valores!$C$84*D246)</f>
        <v>585</v>
      </c>
      <c r="AM246" s="97">
        <f>IF(Valores!$C$57*D246&gt;Valores!$F$57,Valores!$F$57,Valores!$C$57*D246)</f>
        <v>81.89999999999999</v>
      </c>
      <c r="AN246" s="99">
        <f t="shared" si="44"/>
        <v>944.55</v>
      </c>
      <c r="AO246" s="117">
        <f>AI246*-Valores!$C$65</f>
        <v>-1396.09834</v>
      </c>
      <c r="AP246" s="117">
        <f>AI246*-Valores!$C$66</f>
        <v>-53.69609</v>
      </c>
      <c r="AQ246" s="94">
        <f>AI246*-Valores!$C$67</f>
        <v>-483.26480999999995</v>
      </c>
      <c r="AR246" s="94">
        <f>AI246*-Valores!$C$68</f>
        <v>-289.95888599999995</v>
      </c>
      <c r="AS246" s="94">
        <f>AI246*-Valores!$C$69</f>
        <v>-32.217653999999996</v>
      </c>
      <c r="AT246" s="98">
        <f t="shared" si="40"/>
        <v>9750.708759999998</v>
      </c>
      <c r="AU246" s="98">
        <f t="shared" si="41"/>
        <v>9911.797029999998</v>
      </c>
      <c r="AV246" s="94">
        <f>AI246*Valores!$C$71</f>
        <v>1718.27488</v>
      </c>
      <c r="AW246" s="94">
        <f>AI246*Valores!$C$72</f>
        <v>483.26480999999995</v>
      </c>
      <c r="AX246" s="94">
        <f>AI246*Valores!$C$73</f>
        <v>107.39218</v>
      </c>
      <c r="AY246" s="94">
        <f>AI246*Valores!$C$75</f>
        <v>375.87263</v>
      </c>
      <c r="AZ246" s="94">
        <f>AI246*Valores!$C$76</f>
        <v>64.43530799999999</v>
      </c>
      <c r="BA246" s="94">
        <f t="shared" si="45"/>
        <v>579.917772</v>
      </c>
      <c r="BB246" s="86"/>
      <c r="BC246" s="86">
        <f t="shared" si="46"/>
        <v>36</v>
      </c>
      <c r="BD246" s="87" t="s">
        <v>4</v>
      </c>
    </row>
    <row r="247" spans="1:56" s="28" customFormat="1" ht="11.25" customHeight="1">
      <c r="A247" s="52">
        <v>246</v>
      </c>
      <c r="B247" s="52"/>
      <c r="C247" s="28" t="s">
        <v>522</v>
      </c>
      <c r="D247" s="28">
        <v>10</v>
      </c>
      <c r="E247" s="28">
        <f t="shared" si="37"/>
        <v>34</v>
      </c>
      <c r="F247" s="72" t="str">
        <f>CONCATENATE("Hora Cátedra Enseñanza Media ",D247," hs")</f>
        <v>Hora Cátedra Enseñanza Media 10 hs</v>
      </c>
      <c r="G247" s="73">
        <f t="shared" si="47"/>
        <v>790</v>
      </c>
      <c r="H247" s="74">
        <f>INT((G247*Valores!$C$2*100))/100</f>
        <v>5239.59</v>
      </c>
      <c r="I247" s="113">
        <v>0</v>
      </c>
      <c r="J247" s="76">
        <f>INT((I247*Valores!$C$2*100)+0.5)/100</f>
        <v>0</v>
      </c>
      <c r="K247" s="103">
        <v>0</v>
      </c>
      <c r="L247" s="76">
        <f>INT((K247*Valores!$C$2*100)+0.5)/100</f>
        <v>0</v>
      </c>
      <c r="M247" s="101">
        <v>0</v>
      </c>
      <c r="N247" s="76">
        <f>INT((M247*Valores!$C$2*100)+0.5)/100</f>
        <v>0</v>
      </c>
      <c r="O247" s="76">
        <f t="shared" si="38"/>
        <v>947.3534999999999</v>
      </c>
      <c r="P247" s="76">
        <f t="shared" si="39"/>
        <v>0</v>
      </c>
      <c r="Q247" s="102">
        <f>Valores!$C$14*D247</f>
        <v>1601.9</v>
      </c>
      <c r="R247" s="102">
        <f>IF(D247&lt;15,(Valores!$E$4*D247),Valores!$D$4)</f>
        <v>1977.8</v>
      </c>
      <c r="S247" s="76">
        <v>0</v>
      </c>
      <c r="T247" s="79">
        <f>IF(Valores!$C$45*D247&gt;Valores!$C$43,Valores!$C$43,Valores!$C$45*D247)</f>
        <v>511.2</v>
      </c>
      <c r="U247" s="102">
        <f>Valores!$C$22*D247</f>
        <v>564.9</v>
      </c>
      <c r="V247" s="76">
        <f t="shared" si="48"/>
        <v>564.9</v>
      </c>
      <c r="W247" s="76">
        <v>0</v>
      </c>
      <c r="X247" s="76">
        <v>0</v>
      </c>
      <c r="Y247" s="119">
        <v>0</v>
      </c>
      <c r="Z247" s="76">
        <f>Y247*Valores!$C$2</f>
        <v>0</v>
      </c>
      <c r="AA247" s="76">
        <v>0</v>
      </c>
      <c r="AB247" s="81">
        <f>IF((Valores!$C$32)*D247&gt;Valores!$F$32,Valores!$F$32,(Valores!$C$32)*D247)</f>
        <v>64.2</v>
      </c>
      <c r="AC247" s="76">
        <f t="shared" si="42"/>
        <v>0</v>
      </c>
      <c r="AD247" s="76">
        <f>IF(Valores!$C$33*D247&gt;Valores!$F$33,Valores!$F$33,Valores!$C$33*D247)</f>
        <v>53.4</v>
      </c>
      <c r="AE247" s="80">
        <v>0</v>
      </c>
      <c r="AF247" s="76">
        <f>INT(((AE247*Valores!$C$2)*100)+0.5)/100</f>
        <v>0</v>
      </c>
      <c r="AG247" s="76">
        <f>IF(Valores!$D$58*'Escala Docente'!D247&gt;Valores!$F$58,Valores!$F$58,Valores!$D$58*'Escala Docente'!D247)</f>
        <v>217.3</v>
      </c>
      <c r="AH247" s="76">
        <f>IF(Valores!$D$60*D247&gt;Valores!$F$60,Valores!$F$60,Valores!$D$60*D247)</f>
        <v>62.1</v>
      </c>
      <c r="AI247" s="115">
        <f t="shared" si="43"/>
        <v>11239.7435</v>
      </c>
      <c r="AJ247" s="102">
        <f>IF(Valores!$C$36*D247&gt;Valores!$F$36,Valores!$F$36,Valores!$C$36*D247)</f>
        <v>399.5</v>
      </c>
      <c r="AK247" s="79">
        <f>IF(Valores!$C$11*D247&gt;Valores!$F$11,Valores!$F$11,Valores!$C$11*D247)</f>
        <v>0</v>
      </c>
      <c r="AL247" s="79">
        <f>IF(Valores!$C$84*D247&gt;Valores!$C$83,Valores!$C$83,Valores!$C$84*D247)</f>
        <v>650</v>
      </c>
      <c r="AM247" s="81">
        <f>IF(Valores!$C$57*D247&gt;Valores!$F$57,Valores!$F$57,Valores!$C$57*D247)</f>
        <v>91</v>
      </c>
      <c r="AN247" s="83">
        <f t="shared" si="44"/>
        <v>1049.5</v>
      </c>
      <c r="AO247" s="62">
        <f>AI247*-Valores!$C$65</f>
        <v>-1461.1666550000002</v>
      </c>
      <c r="AP247" s="62">
        <f>AI247*-Valores!$C$66</f>
        <v>-56.1987175</v>
      </c>
      <c r="AQ247" s="78">
        <f>AI247*-Valores!$C$67</f>
        <v>-505.7884575</v>
      </c>
      <c r="AR247" s="78">
        <f>AI247*-Valores!$C$68</f>
        <v>-303.4730745</v>
      </c>
      <c r="AS247" s="78">
        <f>AI247*-Valores!$C$69</f>
        <v>-33.7192305</v>
      </c>
      <c r="AT247" s="82">
        <f t="shared" si="40"/>
        <v>10266.08967</v>
      </c>
      <c r="AU247" s="82">
        <f t="shared" si="41"/>
        <v>10434.6858225</v>
      </c>
      <c r="AV247" s="78">
        <f>AI247*Valores!$C$71</f>
        <v>1798.35896</v>
      </c>
      <c r="AW247" s="78">
        <f>AI247*Valores!$C$72</f>
        <v>505.7884575</v>
      </c>
      <c r="AX247" s="78">
        <f>AI247*Valores!$C$73</f>
        <v>112.397435</v>
      </c>
      <c r="AY247" s="78">
        <f>AI247*Valores!$C$75</f>
        <v>393.3910225000001</v>
      </c>
      <c r="AZ247" s="78">
        <f>AI247*Valores!$C$76</f>
        <v>67.438461</v>
      </c>
      <c r="BA247" s="78">
        <f t="shared" si="45"/>
        <v>606.9461490000001</v>
      </c>
      <c r="BB247" s="52"/>
      <c r="BC247" s="52">
        <f t="shared" si="46"/>
        <v>40</v>
      </c>
      <c r="BD247" s="28" t="s">
        <v>4</v>
      </c>
    </row>
    <row r="248" spans="1:56" s="28" customFormat="1" ht="11.25" customHeight="1">
      <c r="A248" s="52">
        <v>247</v>
      </c>
      <c r="B248" s="52"/>
      <c r="C248" s="28" t="s">
        <v>522</v>
      </c>
      <c r="D248" s="28">
        <v>10</v>
      </c>
      <c r="E248" s="28">
        <f t="shared" si="37"/>
        <v>42</v>
      </c>
      <c r="F248" s="72" t="str">
        <f>CONCATENATE("Hora Cátedra Enseñanza Media ",D248," hs Esc Esp")</f>
        <v>Hora Cátedra Enseñanza Media 10 hs Esc Esp</v>
      </c>
      <c r="G248" s="73">
        <f t="shared" si="47"/>
        <v>790</v>
      </c>
      <c r="H248" s="74">
        <f>INT((G248*Valores!$C$2*100))/100</f>
        <v>5239.59</v>
      </c>
      <c r="I248" s="113">
        <v>0</v>
      </c>
      <c r="J248" s="76">
        <f>INT((I248*Valores!$C$2*100)+0.5)/100</f>
        <v>0</v>
      </c>
      <c r="K248" s="103">
        <v>0</v>
      </c>
      <c r="L248" s="76">
        <f>INT((K248*Valores!$C$2*100)+0.5)/100</f>
        <v>0</v>
      </c>
      <c r="M248" s="101">
        <v>0</v>
      </c>
      <c r="N248" s="76">
        <f>INT((M248*Valores!$C$2*100)+0.5)/100</f>
        <v>0</v>
      </c>
      <c r="O248" s="76">
        <f t="shared" si="38"/>
        <v>947.3534999999999</v>
      </c>
      <c r="P248" s="76">
        <f t="shared" si="39"/>
        <v>0</v>
      </c>
      <c r="Q248" s="102">
        <f>Valores!$C$14*D248</f>
        <v>1601.9</v>
      </c>
      <c r="R248" s="102">
        <f>IF(D248&lt;15,(Valores!$E$4*D248),Valores!$D$4)</f>
        <v>1977.8</v>
      </c>
      <c r="S248" s="76">
        <v>0</v>
      </c>
      <c r="T248" s="79">
        <f>IF(Valores!$C$45*D248&gt;Valores!$C$43,Valores!$C$43,Valores!$C$45*D248)</f>
        <v>511.2</v>
      </c>
      <c r="U248" s="102">
        <f>Valores!$C$22*D248</f>
        <v>564.9</v>
      </c>
      <c r="V248" s="76">
        <f t="shared" si="48"/>
        <v>564.9</v>
      </c>
      <c r="W248" s="76">
        <v>0</v>
      </c>
      <c r="X248" s="76">
        <v>0</v>
      </c>
      <c r="Y248" s="119">
        <v>0</v>
      </c>
      <c r="Z248" s="76">
        <f>Y248*Valores!$C$2</f>
        <v>0</v>
      </c>
      <c r="AA248" s="76">
        <v>0</v>
      </c>
      <c r="AB248" s="81">
        <f>IF((Valores!$C$32)*D248&gt;Valores!$F$32,Valores!$F$32,(Valores!$C$32)*D248)</f>
        <v>64.2</v>
      </c>
      <c r="AC248" s="76">
        <f t="shared" si="42"/>
        <v>0</v>
      </c>
      <c r="AD248" s="76">
        <f>IF(Valores!$C$33*D248&gt;Valores!$F$33,Valores!$F$33,Valores!$C$33*D248)</f>
        <v>53.4</v>
      </c>
      <c r="AE248" s="80">
        <v>94</v>
      </c>
      <c r="AF248" s="76">
        <f>INT(((AE248*Valores!$C$2)*100)+0.5)/100</f>
        <v>623.45</v>
      </c>
      <c r="AG248" s="76">
        <f>IF(Valores!$D$58*'Escala Docente'!D248&gt;Valores!$F$58,Valores!$F$58,Valores!$D$58*'Escala Docente'!D248)</f>
        <v>217.3</v>
      </c>
      <c r="AH248" s="76">
        <f>IF(Valores!$D$60*D248&gt;Valores!$F$60,Valores!$F$60,Valores!$D$60*D248)</f>
        <v>62.1</v>
      </c>
      <c r="AI248" s="115">
        <f t="shared" si="43"/>
        <v>11863.193500000001</v>
      </c>
      <c r="AJ248" s="102">
        <f>IF(Valores!$C$36*D248&gt;Valores!$F$36,Valores!$F$36,Valores!$C$36*D248)</f>
        <v>399.5</v>
      </c>
      <c r="AK248" s="79">
        <f>IF(Valores!$C$11*D248&gt;Valores!$F$11,Valores!$F$11,Valores!$C$11*D248)</f>
        <v>0</v>
      </c>
      <c r="AL248" s="79">
        <f>IF(Valores!$C$84*D248&gt;Valores!$C$83,Valores!$C$83,Valores!$C$84*D248)</f>
        <v>650</v>
      </c>
      <c r="AM248" s="81">
        <f>IF(Valores!$C$57*D248&gt;Valores!$F$57,Valores!$F$57,Valores!$C$57*D248)</f>
        <v>91</v>
      </c>
      <c r="AN248" s="83">
        <f t="shared" si="44"/>
        <v>1049.5</v>
      </c>
      <c r="AO248" s="62">
        <f>AI248*-Valores!$C$65</f>
        <v>-1542.2151550000003</v>
      </c>
      <c r="AP248" s="62">
        <f>AI248*-Valores!$C$66</f>
        <v>-59.315967500000006</v>
      </c>
      <c r="AQ248" s="78">
        <f>AI248*-Valores!$C$67</f>
        <v>-533.8437075</v>
      </c>
      <c r="AR248" s="78">
        <f>AI248*-Valores!$C$68</f>
        <v>-320.30622450000004</v>
      </c>
      <c r="AS248" s="78">
        <f>AI248*-Valores!$C$69</f>
        <v>-35.589580500000004</v>
      </c>
      <c r="AT248" s="82">
        <f t="shared" si="40"/>
        <v>10777.31867</v>
      </c>
      <c r="AU248" s="82">
        <f t="shared" si="41"/>
        <v>10955.2665725</v>
      </c>
      <c r="AV248" s="78">
        <f>AI248*Valores!$C$71</f>
        <v>1898.1109600000002</v>
      </c>
      <c r="AW248" s="78">
        <f>AI248*Valores!$C$72</f>
        <v>533.8437075</v>
      </c>
      <c r="AX248" s="78">
        <f>AI248*Valores!$C$73</f>
        <v>118.63193500000001</v>
      </c>
      <c r="AY248" s="78">
        <f>AI248*Valores!$C$75</f>
        <v>415.2117725000001</v>
      </c>
      <c r="AZ248" s="78">
        <f>AI248*Valores!$C$76</f>
        <v>71.17916100000001</v>
      </c>
      <c r="BA248" s="78">
        <f t="shared" si="45"/>
        <v>640.6124490000001</v>
      </c>
      <c r="BB248" s="52"/>
      <c r="BC248" s="52">
        <f t="shared" si="46"/>
        <v>40</v>
      </c>
      <c r="BD248" s="28" t="s">
        <v>4</v>
      </c>
    </row>
    <row r="249" spans="1:56" s="28" customFormat="1" ht="11.25" customHeight="1">
      <c r="A249" s="52">
        <v>248</v>
      </c>
      <c r="B249" s="52"/>
      <c r="C249" s="28" t="s">
        <v>522</v>
      </c>
      <c r="D249" s="28">
        <v>11</v>
      </c>
      <c r="E249" s="28">
        <f t="shared" si="37"/>
        <v>34</v>
      </c>
      <c r="F249" s="72" t="str">
        <f>CONCATENATE("Hora Cátedra Enseñanza Media ",D249," hs")</f>
        <v>Hora Cátedra Enseñanza Media 11 hs</v>
      </c>
      <c r="G249" s="73">
        <f t="shared" si="47"/>
        <v>869</v>
      </c>
      <c r="H249" s="74">
        <f>INT((G249*Valores!$C$2*100))/100</f>
        <v>5763.55</v>
      </c>
      <c r="I249" s="113">
        <v>0</v>
      </c>
      <c r="J249" s="76">
        <f>INT((I249*Valores!$C$2*100)+0.5)/100</f>
        <v>0</v>
      </c>
      <c r="K249" s="103">
        <v>0</v>
      </c>
      <c r="L249" s="76">
        <f>INT((K249*Valores!$C$2*100)+0.5)/100</f>
        <v>0</v>
      </c>
      <c r="M249" s="101">
        <v>0</v>
      </c>
      <c r="N249" s="76">
        <f>INT((M249*Valores!$C$2*100)+0.5)/100</f>
        <v>0</v>
      </c>
      <c r="O249" s="76">
        <f t="shared" si="38"/>
        <v>1042.089</v>
      </c>
      <c r="P249" s="76">
        <f t="shared" si="39"/>
        <v>0</v>
      </c>
      <c r="Q249" s="102">
        <f>Valores!$C$14*D249</f>
        <v>1762.09</v>
      </c>
      <c r="R249" s="102">
        <f>IF(D249&lt;15,(Valores!$E$4*D249),Valores!$D$4)</f>
        <v>2175.58</v>
      </c>
      <c r="S249" s="76">
        <v>0</v>
      </c>
      <c r="T249" s="79">
        <f>IF(Valores!$C$45*D249&gt;Valores!$C$43,Valores!$C$43,Valores!$C$45*D249)</f>
        <v>562.3199999999999</v>
      </c>
      <c r="U249" s="102">
        <f>Valores!$C$22*D249</f>
        <v>621.39</v>
      </c>
      <c r="V249" s="76">
        <f t="shared" si="48"/>
        <v>621.39</v>
      </c>
      <c r="W249" s="76">
        <v>0</v>
      </c>
      <c r="X249" s="76">
        <v>0</v>
      </c>
      <c r="Y249" s="119">
        <v>0</v>
      </c>
      <c r="Z249" s="76">
        <f>Y249*Valores!$C$2</f>
        <v>0</v>
      </c>
      <c r="AA249" s="76">
        <v>0</v>
      </c>
      <c r="AB249" s="81">
        <f>IF((Valores!$C$32)*D249&gt;Valores!$F$32,Valores!$F$32,(Valores!$C$32)*D249)</f>
        <v>70.62</v>
      </c>
      <c r="AC249" s="76">
        <f t="shared" si="42"/>
        <v>0</v>
      </c>
      <c r="AD249" s="76">
        <f>IF(Valores!$C$33*D249&gt;Valores!$F$33,Valores!$F$33,Valores!$C$33*D249)</f>
        <v>58.739999999999995</v>
      </c>
      <c r="AE249" s="80">
        <v>0</v>
      </c>
      <c r="AF249" s="76">
        <f>INT(((AE249*Valores!$C$2)*100)+0.5)/100</f>
        <v>0</v>
      </c>
      <c r="AG249" s="76">
        <f>IF(Valores!$D$58*'Escala Docente'!D249&gt;Valores!$F$58,Valores!$F$58,Valores!$D$58*'Escala Docente'!D249)</f>
        <v>239.03</v>
      </c>
      <c r="AH249" s="76">
        <f>IF(Valores!$D$60*D249&gt;Valores!$F$60,Valores!$F$60,Valores!$D$60*D249)</f>
        <v>68.31</v>
      </c>
      <c r="AI249" s="115">
        <f t="shared" si="43"/>
        <v>12363.719</v>
      </c>
      <c r="AJ249" s="102">
        <f>IF(Valores!$C$36*D249&gt;Valores!$F$36,Valores!$F$36,Valores!$C$36*D249)</f>
        <v>439.45000000000005</v>
      </c>
      <c r="AK249" s="79">
        <f>IF(Valores!$C$11*D249&gt;Valores!$F$11,Valores!$F$11,Valores!$C$11*D249)</f>
        <v>0</v>
      </c>
      <c r="AL249" s="79">
        <f>IF(Valores!$C$84*D249&gt;Valores!$C$83,Valores!$C$83,Valores!$C$84*D249)</f>
        <v>715</v>
      </c>
      <c r="AM249" s="81">
        <f>IF(Valores!$C$57*D249&gt;Valores!$F$57,Valores!$F$57,Valores!$C$57*D249)</f>
        <v>100.1</v>
      </c>
      <c r="AN249" s="83">
        <f t="shared" si="44"/>
        <v>1154.45</v>
      </c>
      <c r="AO249" s="62">
        <f>AI249*-Valores!$C$65</f>
        <v>-1607.2834699999999</v>
      </c>
      <c r="AP249" s="62">
        <f>AI249*-Valores!$C$66</f>
        <v>-61.818594999999995</v>
      </c>
      <c r="AQ249" s="78">
        <f>AI249*-Valores!$C$67</f>
        <v>-556.367355</v>
      </c>
      <c r="AR249" s="78">
        <f>AI249*-Valores!$C$68</f>
        <v>-333.820413</v>
      </c>
      <c r="AS249" s="78">
        <f>AI249*-Valores!$C$69</f>
        <v>-37.091156999999995</v>
      </c>
      <c r="AT249" s="82">
        <f t="shared" si="40"/>
        <v>11292.699579999999</v>
      </c>
      <c r="AU249" s="82">
        <f t="shared" si="41"/>
        <v>11478.155364999999</v>
      </c>
      <c r="AV249" s="78">
        <f>AI249*Valores!$C$71</f>
        <v>1978.1950399999998</v>
      </c>
      <c r="AW249" s="78">
        <f>AI249*Valores!$C$72</f>
        <v>556.367355</v>
      </c>
      <c r="AX249" s="78">
        <f>AI249*Valores!$C$73</f>
        <v>123.63718999999999</v>
      </c>
      <c r="AY249" s="78">
        <f>AI249*Valores!$C$75</f>
        <v>432.730165</v>
      </c>
      <c r="AZ249" s="78">
        <f>AI249*Valores!$C$76</f>
        <v>74.18231399999999</v>
      </c>
      <c r="BA249" s="78">
        <f t="shared" si="45"/>
        <v>667.640826</v>
      </c>
      <c r="BB249" s="52"/>
      <c r="BC249" s="86">
        <f t="shared" si="46"/>
        <v>44</v>
      </c>
      <c r="BD249" s="28" t="s">
        <v>4</v>
      </c>
    </row>
    <row r="250" spans="1:56" s="28" customFormat="1" ht="11.25" customHeight="1">
      <c r="A250" s="52">
        <v>249</v>
      </c>
      <c r="B250" s="52"/>
      <c r="C250" s="28" t="s">
        <v>522</v>
      </c>
      <c r="D250" s="28">
        <v>11</v>
      </c>
      <c r="E250" s="28">
        <f t="shared" si="37"/>
        <v>42</v>
      </c>
      <c r="F250" s="72" t="str">
        <f>CONCATENATE("Hora Cátedra Enseñanza Media ",D250," hs Esc Esp")</f>
        <v>Hora Cátedra Enseñanza Media 11 hs Esc Esp</v>
      </c>
      <c r="G250" s="73">
        <f t="shared" si="47"/>
        <v>869</v>
      </c>
      <c r="H250" s="74">
        <f>INT((G250*Valores!$C$2*100))/100</f>
        <v>5763.55</v>
      </c>
      <c r="I250" s="113">
        <v>0</v>
      </c>
      <c r="J250" s="76">
        <f>INT((I250*Valores!$C$2*100)+0.5)/100</f>
        <v>0</v>
      </c>
      <c r="K250" s="103">
        <v>0</v>
      </c>
      <c r="L250" s="76">
        <f>INT((K250*Valores!$C$2*100)+0.5)/100</f>
        <v>0</v>
      </c>
      <c r="M250" s="101">
        <v>0</v>
      </c>
      <c r="N250" s="76">
        <f>INT((M250*Valores!$C$2*100)+0.5)/100</f>
        <v>0</v>
      </c>
      <c r="O250" s="76">
        <f t="shared" si="38"/>
        <v>1042.089</v>
      </c>
      <c r="P250" s="76">
        <f t="shared" si="39"/>
        <v>0</v>
      </c>
      <c r="Q250" s="102">
        <f>Valores!$C$14*D250</f>
        <v>1762.09</v>
      </c>
      <c r="R250" s="102">
        <f>IF(D250&lt;15,(Valores!$E$4*D250),Valores!$D$4)</f>
        <v>2175.58</v>
      </c>
      <c r="S250" s="76">
        <v>0</v>
      </c>
      <c r="T250" s="79">
        <f>IF(Valores!$C$45*D250&gt;Valores!$C$43,Valores!$C$43,Valores!$C$45*D250)</f>
        <v>562.3199999999999</v>
      </c>
      <c r="U250" s="102">
        <f>Valores!$C$22*D250</f>
        <v>621.39</v>
      </c>
      <c r="V250" s="76">
        <f t="shared" si="48"/>
        <v>621.39</v>
      </c>
      <c r="W250" s="76">
        <v>0</v>
      </c>
      <c r="X250" s="76">
        <v>0</v>
      </c>
      <c r="Y250" s="119">
        <v>0</v>
      </c>
      <c r="Z250" s="76">
        <f>Y250*Valores!$C$2</f>
        <v>0</v>
      </c>
      <c r="AA250" s="76">
        <v>0</v>
      </c>
      <c r="AB250" s="81">
        <f>IF((Valores!$C$32)*D250&gt;Valores!$F$32,Valores!$F$32,(Valores!$C$32)*D250)</f>
        <v>70.62</v>
      </c>
      <c r="AC250" s="76">
        <f t="shared" si="42"/>
        <v>0</v>
      </c>
      <c r="AD250" s="76">
        <f>IF(Valores!$C$33*D250&gt;Valores!$F$33,Valores!$F$33,Valores!$C$33*D250)</f>
        <v>58.739999999999995</v>
      </c>
      <c r="AE250" s="80">
        <v>94</v>
      </c>
      <c r="AF250" s="76">
        <f>INT(((AE250*Valores!$C$2)*100)+0.5)/100</f>
        <v>623.45</v>
      </c>
      <c r="AG250" s="76">
        <f>IF(Valores!$D$58*'Escala Docente'!D250&gt;Valores!$F$58,Valores!$F$58,Valores!$D$58*'Escala Docente'!D250)</f>
        <v>239.03</v>
      </c>
      <c r="AH250" s="76">
        <f>IF(Valores!$D$60*D250&gt;Valores!$F$60,Valores!$F$60,Valores!$D$60*D250)</f>
        <v>68.31</v>
      </c>
      <c r="AI250" s="115">
        <f t="shared" si="43"/>
        <v>12987.169</v>
      </c>
      <c r="AJ250" s="102">
        <f>IF(Valores!$C$36*D250&gt;Valores!$F$36,Valores!$F$36,Valores!$C$36*D250)</f>
        <v>439.45000000000005</v>
      </c>
      <c r="AK250" s="79">
        <f>IF(Valores!$C$11*D250&gt;Valores!$F$11,Valores!$F$11,Valores!$C$11*D250)</f>
        <v>0</v>
      </c>
      <c r="AL250" s="79">
        <f>IF(Valores!$C$84*D250&gt;Valores!$C$83,Valores!$C$83,Valores!$C$84*D250)</f>
        <v>715</v>
      </c>
      <c r="AM250" s="81">
        <f>IF(Valores!$C$57*D250&gt;Valores!$F$57,Valores!$F$57,Valores!$C$57*D250)</f>
        <v>100.1</v>
      </c>
      <c r="AN250" s="83">
        <f t="shared" si="44"/>
        <v>1154.45</v>
      </c>
      <c r="AO250" s="62">
        <f>AI250*-Valores!$C$65</f>
        <v>-1688.33197</v>
      </c>
      <c r="AP250" s="62">
        <f>AI250*-Valores!$C$66</f>
        <v>-64.935845</v>
      </c>
      <c r="AQ250" s="78">
        <f>AI250*-Valores!$C$67</f>
        <v>-584.422605</v>
      </c>
      <c r="AR250" s="78">
        <f>AI250*-Valores!$C$68</f>
        <v>-350.653563</v>
      </c>
      <c r="AS250" s="78">
        <f>AI250*-Valores!$C$69</f>
        <v>-38.961507</v>
      </c>
      <c r="AT250" s="82">
        <f t="shared" si="40"/>
        <v>11803.928580000002</v>
      </c>
      <c r="AU250" s="82">
        <f t="shared" si="41"/>
        <v>11998.736115000002</v>
      </c>
      <c r="AV250" s="78">
        <f>AI250*Valores!$C$71</f>
        <v>2077.94704</v>
      </c>
      <c r="AW250" s="78">
        <f>AI250*Valores!$C$72</f>
        <v>584.422605</v>
      </c>
      <c r="AX250" s="78">
        <f>AI250*Valores!$C$73</f>
        <v>129.87169</v>
      </c>
      <c r="AY250" s="78">
        <f>AI250*Valores!$C$75</f>
        <v>454.55091500000003</v>
      </c>
      <c r="AZ250" s="78">
        <f>AI250*Valores!$C$76</f>
        <v>77.923014</v>
      </c>
      <c r="BA250" s="78">
        <f t="shared" si="45"/>
        <v>701.307126</v>
      </c>
      <c r="BB250" s="52"/>
      <c r="BC250" s="52">
        <f t="shared" si="46"/>
        <v>44</v>
      </c>
      <c r="BD250" s="28" t="s">
        <v>4</v>
      </c>
    </row>
    <row r="251" spans="1:56" s="28" customFormat="1" ht="11.25" customHeight="1">
      <c r="A251" s="86">
        <v>250</v>
      </c>
      <c r="B251" s="86" t="s">
        <v>163</v>
      </c>
      <c r="C251" s="87" t="s">
        <v>522</v>
      </c>
      <c r="D251" s="87">
        <v>12</v>
      </c>
      <c r="E251" s="87">
        <f t="shared" si="37"/>
        <v>34</v>
      </c>
      <c r="F251" s="88" t="str">
        <f>CONCATENATE("Hora Cátedra Enseñanza Media ",D251," hs")</f>
        <v>Hora Cátedra Enseñanza Media 12 hs</v>
      </c>
      <c r="G251" s="89">
        <f t="shared" si="47"/>
        <v>948</v>
      </c>
      <c r="H251" s="90">
        <f>INT((G251*Valores!$C$2*100))/100</f>
        <v>6287.51</v>
      </c>
      <c r="I251" s="104">
        <v>0</v>
      </c>
      <c r="J251" s="92">
        <f>INT((I251*Valores!$C$2*100)+0.5)/100</f>
        <v>0</v>
      </c>
      <c r="K251" s="105">
        <v>0</v>
      </c>
      <c r="L251" s="92">
        <f>INT((K251*Valores!$C$2*100)+0.5)/100</f>
        <v>0</v>
      </c>
      <c r="M251" s="106">
        <v>0</v>
      </c>
      <c r="N251" s="92">
        <f>INT((M251*Valores!$C$2*100)+0.5)/100</f>
        <v>0</v>
      </c>
      <c r="O251" s="92">
        <f t="shared" si="38"/>
        <v>1136.8245</v>
      </c>
      <c r="P251" s="92">
        <f t="shared" si="39"/>
        <v>0</v>
      </c>
      <c r="Q251" s="108">
        <f>Valores!$C$14*D251</f>
        <v>1922.28</v>
      </c>
      <c r="R251" s="108">
        <f>IF(D251&lt;15,(Valores!$E$4*D251),Valores!$D$4)</f>
        <v>2373.36</v>
      </c>
      <c r="S251" s="92">
        <v>0</v>
      </c>
      <c r="T251" s="95">
        <f>IF(Valores!$C$45*D251&gt;Valores!$C$43,Valores!$C$43,Valores!$C$45*D251)</f>
        <v>613.4399999999999</v>
      </c>
      <c r="U251" s="108">
        <f>Valores!$C$22*D251</f>
        <v>677.88</v>
      </c>
      <c r="V251" s="92">
        <f t="shared" si="48"/>
        <v>677.88</v>
      </c>
      <c r="W251" s="92">
        <v>0</v>
      </c>
      <c r="X251" s="92">
        <v>0</v>
      </c>
      <c r="Y251" s="120">
        <v>0</v>
      </c>
      <c r="Z251" s="92">
        <f>Y251*Valores!$C$2</f>
        <v>0</v>
      </c>
      <c r="AA251" s="92">
        <v>0</v>
      </c>
      <c r="AB251" s="97">
        <f>IF((Valores!$C$32)*D251&gt;Valores!$F$32,Valores!$F$32,(Valores!$C$32)*D251)</f>
        <v>77.03999999999999</v>
      </c>
      <c r="AC251" s="92">
        <f t="shared" si="42"/>
        <v>0</v>
      </c>
      <c r="AD251" s="92">
        <f>IF(Valores!$C$33*D251&gt;Valores!$F$33,Valores!$F$33,Valores!$C$33*D251)</f>
        <v>64.08</v>
      </c>
      <c r="AE251" s="96">
        <v>0</v>
      </c>
      <c r="AF251" s="92">
        <f>INT(((AE251*Valores!$C$2)*100)+0.5)/100</f>
        <v>0</v>
      </c>
      <c r="AG251" s="92">
        <f>IF(Valores!$D$58*'Escala Docente'!D251&gt;Valores!$F$58,Valores!$F$58,Valores!$D$58*'Escala Docente'!D251)</f>
        <v>260.76</v>
      </c>
      <c r="AH251" s="92">
        <f>IF(Valores!$D$60*D251&gt;Valores!$F$60,Valores!$F$60,Valores!$D$60*D251)</f>
        <v>74.52</v>
      </c>
      <c r="AI251" s="116">
        <f t="shared" si="43"/>
        <v>13487.694500000001</v>
      </c>
      <c r="AJ251" s="108">
        <f>IF(Valores!$C$36*D251&gt;Valores!$F$36,Valores!$F$36,Valores!$C$36*D251)</f>
        <v>479.40000000000003</v>
      </c>
      <c r="AK251" s="95">
        <f>IF(Valores!$C$11*D251&gt;Valores!$F$11,Valores!$F$11,Valores!$C$11*D251)</f>
        <v>0</v>
      </c>
      <c r="AL251" s="95">
        <f>IF(Valores!$C$84*D251&gt;Valores!$C$83,Valores!$C$83,Valores!$C$84*D251)</f>
        <v>780</v>
      </c>
      <c r="AM251" s="97">
        <f>IF(Valores!$C$57*D251&gt;Valores!$F$57,Valores!$F$57,Valores!$C$57*D251)</f>
        <v>109.19999999999999</v>
      </c>
      <c r="AN251" s="99">
        <f t="shared" si="44"/>
        <v>1259.4</v>
      </c>
      <c r="AO251" s="117">
        <f>AI251*-Valores!$C$65</f>
        <v>-1753.4002850000002</v>
      </c>
      <c r="AP251" s="117">
        <f>AI251*-Valores!$C$66</f>
        <v>-67.4384725</v>
      </c>
      <c r="AQ251" s="94">
        <f>AI251*-Valores!$C$67</f>
        <v>-606.9462525</v>
      </c>
      <c r="AR251" s="94">
        <f>AI251*-Valores!$C$68</f>
        <v>-364.1677515</v>
      </c>
      <c r="AS251" s="94">
        <f>AI251*-Valores!$C$69</f>
        <v>-40.4630835</v>
      </c>
      <c r="AT251" s="98">
        <f t="shared" si="40"/>
        <v>12319.309490000001</v>
      </c>
      <c r="AU251" s="98">
        <f t="shared" si="41"/>
        <v>12521.624907500001</v>
      </c>
      <c r="AV251" s="94">
        <f>AI251*Valores!$C$71</f>
        <v>2158.03112</v>
      </c>
      <c r="AW251" s="94">
        <f>AI251*Valores!$C$72</f>
        <v>606.9462525</v>
      </c>
      <c r="AX251" s="94">
        <f>AI251*Valores!$C$73</f>
        <v>134.876945</v>
      </c>
      <c r="AY251" s="94">
        <f>AI251*Valores!$C$75</f>
        <v>472.0693075000001</v>
      </c>
      <c r="AZ251" s="94">
        <f>AI251*Valores!$C$76</f>
        <v>80.926167</v>
      </c>
      <c r="BA251" s="94">
        <f t="shared" si="45"/>
        <v>728.3355030000001</v>
      </c>
      <c r="BB251" s="86"/>
      <c r="BC251" s="86">
        <f t="shared" si="46"/>
        <v>48</v>
      </c>
      <c r="BD251" s="87" t="s">
        <v>4</v>
      </c>
    </row>
    <row r="252" spans="1:56" s="28" customFormat="1" ht="11.25" customHeight="1">
      <c r="A252" s="52">
        <v>251</v>
      </c>
      <c r="B252" s="52"/>
      <c r="C252" s="28" t="s">
        <v>522</v>
      </c>
      <c r="D252" s="28">
        <v>12</v>
      </c>
      <c r="E252" s="28">
        <f t="shared" si="37"/>
        <v>42</v>
      </c>
      <c r="F252" s="72" t="str">
        <f>CONCATENATE("Hora Cátedra Enseñanza Media ",D252," hs Esc Esp")</f>
        <v>Hora Cátedra Enseñanza Media 12 hs Esc Esp</v>
      </c>
      <c r="G252" s="73">
        <f t="shared" si="47"/>
        <v>948</v>
      </c>
      <c r="H252" s="74">
        <f>INT((G252*Valores!$C$2*100))/100</f>
        <v>6287.51</v>
      </c>
      <c r="I252" s="113">
        <v>0</v>
      </c>
      <c r="J252" s="76">
        <f>INT((I252*Valores!$C$2*100)+0.5)/100</f>
        <v>0</v>
      </c>
      <c r="K252" s="103">
        <v>0</v>
      </c>
      <c r="L252" s="76">
        <f>INT((K252*Valores!$C$2*100)+0.5)/100</f>
        <v>0</v>
      </c>
      <c r="M252" s="101">
        <v>0</v>
      </c>
      <c r="N252" s="76">
        <f>INT((M252*Valores!$C$2*100)+0.5)/100</f>
        <v>0</v>
      </c>
      <c r="O252" s="76">
        <f t="shared" si="38"/>
        <v>1136.8245</v>
      </c>
      <c r="P252" s="76">
        <f t="shared" si="39"/>
        <v>0</v>
      </c>
      <c r="Q252" s="102">
        <f>Valores!$C$14*D252</f>
        <v>1922.28</v>
      </c>
      <c r="R252" s="102">
        <f>IF(D252&lt;15,(Valores!$E$4*D252),Valores!$D$4)</f>
        <v>2373.36</v>
      </c>
      <c r="S252" s="76">
        <v>0</v>
      </c>
      <c r="T252" s="79">
        <f>IF(Valores!$C$45*D252&gt;Valores!$C$43,Valores!$C$43,Valores!$C$45*D252)</f>
        <v>613.4399999999999</v>
      </c>
      <c r="U252" s="102">
        <f>Valores!$C$22*D252</f>
        <v>677.88</v>
      </c>
      <c r="V252" s="76">
        <f t="shared" si="48"/>
        <v>677.88</v>
      </c>
      <c r="W252" s="76">
        <v>0</v>
      </c>
      <c r="X252" s="76">
        <v>0</v>
      </c>
      <c r="Y252" s="119">
        <v>0</v>
      </c>
      <c r="Z252" s="76">
        <f>Y252*Valores!$C$2</f>
        <v>0</v>
      </c>
      <c r="AA252" s="76">
        <v>0</v>
      </c>
      <c r="AB252" s="81">
        <f>IF((Valores!$C$32)*D252&gt;Valores!$F$32,Valores!$F$32,(Valores!$C$32)*D252)</f>
        <v>77.03999999999999</v>
      </c>
      <c r="AC252" s="76">
        <f t="shared" si="42"/>
        <v>0</v>
      </c>
      <c r="AD252" s="76">
        <f>IF(Valores!$C$33*D252&gt;Valores!$F$33,Valores!$F$33,Valores!$C$33*D252)</f>
        <v>64.08</v>
      </c>
      <c r="AE252" s="80">
        <v>94</v>
      </c>
      <c r="AF252" s="76">
        <f>INT(((AE252*Valores!$C$2)*100)+0.5)/100</f>
        <v>623.45</v>
      </c>
      <c r="AG252" s="76">
        <f>IF(Valores!$D$58*'Escala Docente'!D252&gt;Valores!$F$58,Valores!$F$58,Valores!$D$58*'Escala Docente'!D252)</f>
        <v>260.76</v>
      </c>
      <c r="AH252" s="76">
        <f>IF(Valores!$D$60*D252&gt;Valores!$F$60,Valores!$F$60,Valores!$D$60*D252)</f>
        <v>74.52</v>
      </c>
      <c r="AI252" s="115">
        <f t="shared" si="43"/>
        <v>14111.144500000002</v>
      </c>
      <c r="AJ252" s="102">
        <f>IF(Valores!$C$36*D252&gt;Valores!$F$36,Valores!$F$36,Valores!$C$36*D252)</f>
        <v>479.40000000000003</v>
      </c>
      <c r="AK252" s="79">
        <f>IF(Valores!$C$11*D252&gt;Valores!$F$11,Valores!$F$11,Valores!$C$11*D252)</f>
        <v>0</v>
      </c>
      <c r="AL252" s="79">
        <f>IF(Valores!$C$84*D252&gt;Valores!$C$83,Valores!$C$83,Valores!$C$84*D252)</f>
        <v>780</v>
      </c>
      <c r="AM252" s="81">
        <f>IF(Valores!$C$57*D252&gt;Valores!$F$57,Valores!$F$57,Valores!$C$57*D252)</f>
        <v>109.19999999999999</v>
      </c>
      <c r="AN252" s="83">
        <f t="shared" si="44"/>
        <v>1259.4</v>
      </c>
      <c r="AO252" s="62">
        <f>AI252*-Valores!$C$65</f>
        <v>-1834.4487850000003</v>
      </c>
      <c r="AP252" s="62">
        <f>AI252*-Valores!$C$66</f>
        <v>-70.55572250000002</v>
      </c>
      <c r="AQ252" s="78">
        <f>AI252*-Valores!$C$67</f>
        <v>-635.0015025000001</v>
      </c>
      <c r="AR252" s="78">
        <f>AI252*-Valores!$C$68</f>
        <v>-381.00090150000005</v>
      </c>
      <c r="AS252" s="78">
        <f>AI252*-Valores!$C$69</f>
        <v>-42.333433500000005</v>
      </c>
      <c r="AT252" s="82">
        <f t="shared" si="40"/>
        <v>12830.538490000003</v>
      </c>
      <c r="AU252" s="82">
        <f t="shared" si="41"/>
        <v>13042.205657500002</v>
      </c>
      <c r="AV252" s="78">
        <f>AI252*Valores!$C$71</f>
        <v>2257.7831200000005</v>
      </c>
      <c r="AW252" s="78">
        <f>AI252*Valores!$C$72</f>
        <v>635.0015025000001</v>
      </c>
      <c r="AX252" s="78">
        <f>AI252*Valores!$C$73</f>
        <v>141.11144500000003</v>
      </c>
      <c r="AY252" s="78">
        <f>AI252*Valores!$C$75</f>
        <v>493.8900575000001</v>
      </c>
      <c r="AZ252" s="78">
        <f>AI252*Valores!$C$76</f>
        <v>84.66686700000001</v>
      </c>
      <c r="BA252" s="78">
        <f t="shared" si="45"/>
        <v>762.0018030000002</v>
      </c>
      <c r="BB252" s="52"/>
      <c r="BC252" s="52">
        <f t="shared" si="46"/>
        <v>48</v>
      </c>
      <c r="BD252" s="28" t="s">
        <v>4</v>
      </c>
    </row>
    <row r="253" spans="1:56" s="28" customFormat="1" ht="11.25" customHeight="1">
      <c r="A253" s="52">
        <v>252</v>
      </c>
      <c r="B253" s="52"/>
      <c r="C253" s="28" t="s">
        <v>522</v>
      </c>
      <c r="D253" s="28">
        <v>13</v>
      </c>
      <c r="E253" s="28">
        <f t="shared" si="37"/>
        <v>34</v>
      </c>
      <c r="F253" s="72" t="str">
        <f>CONCATENATE("Hora Cátedra Enseñanza Media ",D253," hs")</f>
        <v>Hora Cátedra Enseñanza Media 13 hs</v>
      </c>
      <c r="G253" s="73">
        <f t="shared" si="47"/>
        <v>1027</v>
      </c>
      <c r="H253" s="74">
        <f>INT((G253*Valores!$C$2*100))/100</f>
        <v>6811.47</v>
      </c>
      <c r="I253" s="113">
        <v>0</v>
      </c>
      <c r="J253" s="76">
        <f>INT((I253*Valores!$C$2*100)+0.5)/100</f>
        <v>0</v>
      </c>
      <c r="K253" s="103">
        <v>0</v>
      </c>
      <c r="L253" s="76">
        <f>INT((K253*Valores!$C$2*100)+0.5)/100</f>
        <v>0</v>
      </c>
      <c r="M253" s="101">
        <v>0</v>
      </c>
      <c r="N253" s="76">
        <f>INT((M253*Valores!$C$2*100)+0.5)/100</f>
        <v>0</v>
      </c>
      <c r="O253" s="76">
        <f t="shared" si="38"/>
        <v>1231.56</v>
      </c>
      <c r="P253" s="76">
        <f t="shared" si="39"/>
        <v>0</v>
      </c>
      <c r="Q253" s="102">
        <f>Valores!$C$14*D253</f>
        <v>2082.47</v>
      </c>
      <c r="R253" s="102">
        <f>IF(D253&lt;15,(Valores!$E$4*D253),Valores!$D$4)</f>
        <v>2571.14</v>
      </c>
      <c r="S253" s="76">
        <v>0</v>
      </c>
      <c r="T253" s="79">
        <f>IF(Valores!$C$45*D253&gt;Valores!$C$43,Valores!$C$43,Valores!$C$45*D253)</f>
        <v>664.56</v>
      </c>
      <c r="U253" s="102">
        <f>Valores!$C$22*D253</f>
        <v>734.37</v>
      </c>
      <c r="V253" s="76">
        <f t="shared" si="48"/>
        <v>734.37</v>
      </c>
      <c r="W253" s="76">
        <v>0</v>
      </c>
      <c r="X253" s="76">
        <v>0</v>
      </c>
      <c r="Y253" s="119">
        <v>0</v>
      </c>
      <c r="Z253" s="76">
        <f>Y253*Valores!$C$2</f>
        <v>0</v>
      </c>
      <c r="AA253" s="76">
        <v>0</v>
      </c>
      <c r="AB253" s="81">
        <f>IF((Valores!$C$32)*D253&gt;Valores!$F$32,Valores!$F$32,(Valores!$C$32)*D253)</f>
        <v>83.46</v>
      </c>
      <c r="AC253" s="76">
        <f t="shared" si="42"/>
        <v>0</v>
      </c>
      <c r="AD253" s="76">
        <f>IF(Valores!$C$33*D253&gt;Valores!$F$33,Valores!$F$33,Valores!$C$33*D253)</f>
        <v>69.42</v>
      </c>
      <c r="AE253" s="80">
        <v>0</v>
      </c>
      <c r="AF253" s="76">
        <f>INT(((AE253*Valores!$C$2)*100)+0.5)/100</f>
        <v>0</v>
      </c>
      <c r="AG253" s="76">
        <f>IF(Valores!$D$58*'Escala Docente'!D253&gt;Valores!$F$58,Valores!$F$58,Valores!$D$58*'Escala Docente'!D253)</f>
        <v>282.49</v>
      </c>
      <c r="AH253" s="76">
        <f>IF(Valores!$D$60*D253&gt;Valores!$F$60,Valores!$F$60,Valores!$D$60*D253)</f>
        <v>80.73</v>
      </c>
      <c r="AI253" s="115">
        <f t="shared" si="43"/>
        <v>14611.669999999998</v>
      </c>
      <c r="AJ253" s="102">
        <f>IF(Valores!$C$36*D253&gt;Valores!$F$36,Valores!$F$36,Valores!$C$36*D253)</f>
        <v>519.35</v>
      </c>
      <c r="AK253" s="79">
        <f>IF(Valores!$C$11*D253&gt;Valores!$F$11,Valores!$F$11,Valores!$C$11*D253)</f>
        <v>0</v>
      </c>
      <c r="AL253" s="79">
        <f>IF(Valores!$C$84*D253&gt;Valores!$C$83,Valores!$C$83,Valores!$C$84*D253)</f>
        <v>845</v>
      </c>
      <c r="AM253" s="81">
        <f>IF(Valores!$C$57*D253&gt;Valores!$F$57,Valores!$F$57,Valores!$C$57*D253)</f>
        <v>118.3</v>
      </c>
      <c r="AN253" s="83">
        <f t="shared" si="44"/>
        <v>1364.35</v>
      </c>
      <c r="AO253" s="62">
        <f>AI253*-Valores!$C$65</f>
        <v>-1899.5170999999998</v>
      </c>
      <c r="AP253" s="62">
        <f>AI253*-Valores!$C$66</f>
        <v>-73.05834999999999</v>
      </c>
      <c r="AQ253" s="78">
        <f>AI253*-Valores!$C$67</f>
        <v>-657.5251499999999</v>
      </c>
      <c r="AR253" s="78">
        <f>AI253*-Valores!$C$68</f>
        <v>-394.51508999999993</v>
      </c>
      <c r="AS253" s="78">
        <f>AI253*-Valores!$C$69</f>
        <v>-43.83501</v>
      </c>
      <c r="AT253" s="82">
        <f t="shared" si="40"/>
        <v>13345.9194</v>
      </c>
      <c r="AU253" s="82">
        <f t="shared" si="41"/>
        <v>13565.094449999999</v>
      </c>
      <c r="AV253" s="78">
        <f>AI253*Valores!$C$71</f>
        <v>2337.8671999999997</v>
      </c>
      <c r="AW253" s="78">
        <f>AI253*Valores!$C$72</f>
        <v>657.5251499999999</v>
      </c>
      <c r="AX253" s="78">
        <f>AI253*Valores!$C$73</f>
        <v>146.11669999999998</v>
      </c>
      <c r="AY253" s="78">
        <f>AI253*Valores!$C$75</f>
        <v>511.40844999999996</v>
      </c>
      <c r="AZ253" s="78">
        <f>AI253*Valores!$C$76</f>
        <v>87.67002</v>
      </c>
      <c r="BA253" s="78">
        <f t="shared" si="45"/>
        <v>789.03018</v>
      </c>
      <c r="BB253" s="52"/>
      <c r="BC253" s="52">
        <f t="shared" si="46"/>
        <v>52</v>
      </c>
      <c r="BD253" s="28" t="s">
        <v>4</v>
      </c>
    </row>
    <row r="254" spans="1:56" s="28" customFormat="1" ht="11.25" customHeight="1">
      <c r="A254" s="52">
        <v>253</v>
      </c>
      <c r="B254" s="52"/>
      <c r="C254" s="28" t="s">
        <v>522</v>
      </c>
      <c r="D254" s="28">
        <v>13</v>
      </c>
      <c r="E254" s="28">
        <f t="shared" si="37"/>
        <v>42</v>
      </c>
      <c r="F254" s="72" t="str">
        <f>CONCATENATE("Hora Cátedra Enseñanza Media ",D254," hs Esc Esp")</f>
        <v>Hora Cátedra Enseñanza Media 13 hs Esc Esp</v>
      </c>
      <c r="G254" s="73">
        <f t="shared" si="47"/>
        <v>1027</v>
      </c>
      <c r="H254" s="74">
        <f>INT((G254*Valores!$C$2*100))/100</f>
        <v>6811.47</v>
      </c>
      <c r="I254" s="113">
        <v>0</v>
      </c>
      <c r="J254" s="76">
        <f>INT((I254*Valores!$C$2*100)+0.5)/100</f>
        <v>0</v>
      </c>
      <c r="K254" s="103">
        <v>0</v>
      </c>
      <c r="L254" s="76">
        <f>INT((K254*Valores!$C$2*100)+0.5)/100</f>
        <v>0</v>
      </c>
      <c r="M254" s="101">
        <v>0</v>
      </c>
      <c r="N254" s="76">
        <f>INT((M254*Valores!$C$2*100)+0.5)/100</f>
        <v>0</v>
      </c>
      <c r="O254" s="76">
        <f t="shared" si="38"/>
        <v>1231.56</v>
      </c>
      <c r="P254" s="76">
        <f t="shared" si="39"/>
        <v>0</v>
      </c>
      <c r="Q254" s="102">
        <f>Valores!$C$14*D254</f>
        <v>2082.47</v>
      </c>
      <c r="R254" s="102">
        <f>IF(D254&lt;15,(Valores!$E$4*D254),Valores!$D$4)</f>
        <v>2571.14</v>
      </c>
      <c r="S254" s="76">
        <v>0</v>
      </c>
      <c r="T254" s="79">
        <f>IF(Valores!$C$45*D254&gt;Valores!$C$43,Valores!$C$43,Valores!$C$45*D254)</f>
        <v>664.56</v>
      </c>
      <c r="U254" s="102">
        <f>Valores!$C$22*D254</f>
        <v>734.37</v>
      </c>
      <c r="V254" s="76">
        <f t="shared" si="48"/>
        <v>734.37</v>
      </c>
      <c r="W254" s="76">
        <v>0</v>
      </c>
      <c r="X254" s="76">
        <v>0</v>
      </c>
      <c r="Y254" s="119">
        <v>0</v>
      </c>
      <c r="Z254" s="76">
        <f>Y254*Valores!$C$2</f>
        <v>0</v>
      </c>
      <c r="AA254" s="76">
        <v>0</v>
      </c>
      <c r="AB254" s="81">
        <f>IF((Valores!$C$32)*D254&gt;Valores!$F$32,Valores!$F$32,(Valores!$C$32)*D254)</f>
        <v>83.46</v>
      </c>
      <c r="AC254" s="76">
        <f t="shared" si="42"/>
        <v>0</v>
      </c>
      <c r="AD254" s="76">
        <f>IF(Valores!$C$33*D254&gt;Valores!$F$33,Valores!$F$33,Valores!$C$33*D254)</f>
        <v>69.42</v>
      </c>
      <c r="AE254" s="80">
        <v>94</v>
      </c>
      <c r="AF254" s="76">
        <f>INT(((AE254*Valores!$C$2)*100)+0.5)/100</f>
        <v>623.45</v>
      </c>
      <c r="AG254" s="76">
        <f>IF(Valores!$D$58*'Escala Docente'!D254&gt;Valores!$F$58,Valores!$F$58,Valores!$D$58*'Escala Docente'!D254)</f>
        <v>282.49</v>
      </c>
      <c r="AH254" s="76">
        <f>IF(Valores!$D$60*D254&gt;Valores!$F$60,Valores!$F$60,Valores!$D$60*D254)</f>
        <v>80.73</v>
      </c>
      <c r="AI254" s="115">
        <f t="shared" si="43"/>
        <v>15235.119999999999</v>
      </c>
      <c r="AJ254" s="102">
        <f>IF(Valores!$C$36*D254&gt;Valores!$F$36,Valores!$F$36,Valores!$C$36*D254)</f>
        <v>519.35</v>
      </c>
      <c r="AK254" s="79">
        <f>IF(Valores!$C$11*D254&gt;Valores!$F$11,Valores!$F$11,Valores!$C$11*D254)</f>
        <v>0</v>
      </c>
      <c r="AL254" s="79">
        <f>IF(Valores!$C$84*D254&gt;Valores!$C$83,Valores!$C$83,Valores!$C$84*D254)</f>
        <v>845</v>
      </c>
      <c r="AM254" s="81">
        <f>IF(Valores!$C$57*D254&gt;Valores!$F$57,Valores!$F$57,Valores!$C$57*D254)</f>
        <v>118.3</v>
      </c>
      <c r="AN254" s="83">
        <f t="shared" si="44"/>
        <v>1364.35</v>
      </c>
      <c r="AO254" s="62">
        <f>AI254*-Valores!$C$65</f>
        <v>-1980.5656</v>
      </c>
      <c r="AP254" s="62">
        <f>AI254*-Valores!$C$66</f>
        <v>-76.1756</v>
      </c>
      <c r="AQ254" s="78">
        <f>AI254*-Valores!$C$67</f>
        <v>-685.5803999999999</v>
      </c>
      <c r="AR254" s="78">
        <f>AI254*-Valores!$C$68</f>
        <v>-411.34824</v>
      </c>
      <c r="AS254" s="78">
        <f>AI254*-Valores!$C$69</f>
        <v>-45.70536</v>
      </c>
      <c r="AT254" s="82">
        <f t="shared" si="40"/>
        <v>13857.148399999998</v>
      </c>
      <c r="AU254" s="82">
        <f t="shared" si="41"/>
        <v>14085.6752</v>
      </c>
      <c r="AV254" s="78">
        <f>AI254*Valores!$C$71</f>
        <v>2437.6192</v>
      </c>
      <c r="AW254" s="78">
        <f>AI254*Valores!$C$72</f>
        <v>685.5803999999999</v>
      </c>
      <c r="AX254" s="78">
        <f>AI254*Valores!$C$73</f>
        <v>152.3512</v>
      </c>
      <c r="AY254" s="78">
        <f>AI254*Valores!$C$75</f>
        <v>533.2292</v>
      </c>
      <c r="AZ254" s="78">
        <f>AI254*Valores!$C$76</f>
        <v>91.41072</v>
      </c>
      <c r="BA254" s="78">
        <f t="shared" si="45"/>
        <v>822.6964800000001</v>
      </c>
      <c r="BB254" s="52"/>
      <c r="BC254" s="86">
        <f t="shared" si="46"/>
        <v>52</v>
      </c>
      <c r="BD254" s="28" t="s">
        <v>4</v>
      </c>
    </row>
    <row r="255" spans="1:56" s="28" customFormat="1" ht="11.25" customHeight="1">
      <c r="A255" s="52">
        <v>254</v>
      </c>
      <c r="B255" s="52"/>
      <c r="C255" s="28" t="s">
        <v>522</v>
      </c>
      <c r="D255" s="28">
        <v>14</v>
      </c>
      <c r="E255" s="28">
        <f t="shared" si="37"/>
        <v>34</v>
      </c>
      <c r="F255" s="72" t="str">
        <f>CONCATENATE("Hora Cátedra Enseñanza Media ",D255," hs")</f>
        <v>Hora Cátedra Enseñanza Media 14 hs</v>
      </c>
      <c r="G255" s="73">
        <f t="shared" si="47"/>
        <v>1106</v>
      </c>
      <c r="H255" s="74">
        <f>INT((G255*Valores!$C$2*100))/100</f>
        <v>7335.43</v>
      </c>
      <c r="I255" s="113">
        <v>0</v>
      </c>
      <c r="J255" s="76">
        <f>INT((I255*Valores!$C$2*100)+0.5)/100</f>
        <v>0</v>
      </c>
      <c r="K255" s="103">
        <v>0</v>
      </c>
      <c r="L255" s="76">
        <f>INT((K255*Valores!$C$2*100)+0.5)/100</f>
        <v>0</v>
      </c>
      <c r="M255" s="101">
        <v>0</v>
      </c>
      <c r="N255" s="76">
        <f>INT((M255*Valores!$C$2*100)+0.5)/100</f>
        <v>0</v>
      </c>
      <c r="O255" s="76">
        <f t="shared" si="38"/>
        <v>1326.2955</v>
      </c>
      <c r="P255" s="76">
        <f t="shared" si="39"/>
        <v>0</v>
      </c>
      <c r="Q255" s="102">
        <f>Valores!$C$14*D255</f>
        <v>2242.66</v>
      </c>
      <c r="R255" s="102">
        <f>IF(D255&lt;15,(Valores!$E$4*D255),Valores!$D$4)</f>
        <v>2768.92</v>
      </c>
      <c r="S255" s="76">
        <v>0</v>
      </c>
      <c r="T255" s="79">
        <f>IF(Valores!$C$45*D255&gt;Valores!$C$43,Valores!$C$43,Valores!$C$45*D255)</f>
        <v>715.68</v>
      </c>
      <c r="U255" s="102">
        <f>Valores!$C$22*D255</f>
        <v>790.86</v>
      </c>
      <c r="V255" s="76">
        <f t="shared" si="48"/>
        <v>790.86</v>
      </c>
      <c r="W255" s="76">
        <v>0</v>
      </c>
      <c r="X255" s="76">
        <v>0</v>
      </c>
      <c r="Y255" s="119">
        <v>0</v>
      </c>
      <c r="Z255" s="76">
        <f>Y255*Valores!$C$2</f>
        <v>0</v>
      </c>
      <c r="AA255" s="76">
        <v>0</v>
      </c>
      <c r="AB255" s="81">
        <f>IF((Valores!$C$32)*D255&gt;Valores!$F$32,Valores!$F$32,(Valores!$C$32)*D255)</f>
        <v>89.88</v>
      </c>
      <c r="AC255" s="76">
        <f t="shared" si="42"/>
        <v>0</v>
      </c>
      <c r="AD255" s="76">
        <f>IF(Valores!$C$33*D255&gt;Valores!$F$33,Valores!$F$33,Valores!$C$33*D255)</f>
        <v>74.75999999999999</v>
      </c>
      <c r="AE255" s="80">
        <v>0</v>
      </c>
      <c r="AF255" s="76">
        <f>INT(((AE255*Valores!$C$2)*100)+0.5)/100</f>
        <v>0</v>
      </c>
      <c r="AG255" s="76">
        <f>IF(Valores!$D$58*'Escala Docente'!D255&gt;Valores!$F$58,Valores!$F$58,Valores!$D$58*'Escala Docente'!D255)</f>
        <v>304.22</v>
      </c>
      <c r="AH255" s="76">
        <f>IF(Valores!$D$60*D255&gt;Valores!$F$60,Valores!$F$60,Valores!$D$60*D255)</f>
        <v>86.94</v>
      </c>
      <c r="AI255" s="115">
        <f t="shared" si="43"/>
        <v>15735.6455</v>
      </c>
      <c r="AJ255" s="102">
        <f>IF(Valores!$C$36*D255&gt;Valores!$F$36,Valores!$F$36,Valores!$C$36*D255)</f>
        <v>559.3000000000001</v>
      </c>
      <c r="AK255" s="79">
        <f>IF(Valores!$C$11*D255&gt;Valores!$F$11,Valores!$F$11,Valores!$C$11*D255)</f>
        <v>0</v>
      </c>
      <c r="AL255" s="79">
        <f>IF(Valores!$C$84*D255&gt;Valores!$C$83,Valores!$C$83,Valores!$C$84*D255)</f>
        <v>910</v>
      </c>
      <c r="AM255" s="81">
        <f>IF(Valores!$C$57*D255&gt;Valores!$F$57,Valores!$F$57,Valores!$C$57*D255)</f>
        <v>127.39999999999999</v>
      </c>
      <c r="AN255" s="83">
        <f t="shared" si="44"/>
        <v>1469.3000000000002</v>
      </c>
      <c r="AO255" s="62">
        <f>AI255*-Valores!$C$65</f>
        <v>-2045.6339150000001</v>
      </c>
      <c r="AP255" s="62">
        <f>AI255*-Valores!$C$66</f>
        <v>-78.6782275</v>
      </c>
      <c r="AQ255" s="78">
        <f>AI255*-Valores!$C$67</f>
        <v>-708.1040475</v>
      </c>
      <c r="AR255" s="78">
        <f>AI255*-Valores!$C$68</f>
        <v>-424.8624285</v>
      </c>
      <c r="AS255" s="78">
        <f>AI255*-Valores!$C$69</f>
        <v>-47.206936500000005</v>
      </c>
      <c r="AT255" s="82">
        <f t="shared" si="40"/>
        <v>14372.52931</v>
      </c>
      <c r="AU255" s="82">
        <f t="shared" si="41"/>
        <v>14608.5639925</v>
      </c>
      <c r="AV255" s="78">
        <f>AI255*Valores!$C$71</f>
        <v>2517.70328</v>
      </c>
      <c r="AW255" s="78">
        <f>AI255*Valores!$C$72</f>
        <v>708.1040475</v>
      </c>
      <c r="AX255" s="78">
        <f>AI255*Valores!$C$73</f>
        <v>157.356455</v>
      </c>
      <c r="AY255" s="78">
        <f>AI255*Valores!$C$75</f>
        <v>550.7475925000001</v>
      </c>
      <c r="AZ255" s="78">
        <f>AI255*Valores!$C$76</f>
        <v>94.41387300000001</v>
      </c>
      <c r="BA255" s="78">
        <f t="shared" si="45"/>
        <v>849.724857</v>
      </c>
      <c r="BB255" s="52"/>
      <c r="BC255" s="52">
        <f t="shared" si="46"/>
        <v>56</v>
      </c>
      <c r="BD255" s="28" t="s">
        <v>4</v>
      </c>
    </row>
    <row r="256" spans="1:56" s="28" customFormat="1" ht="11.25" customHeight="1">
      <c r="A256" s="86">
        <v>255</v>
      </c>
      <c r="B256" s="86" t="s">
        <v>163</v>
      </c>
      <c r="C256" s="87" t="s">
        <v>522</v>
      </c>
      <c r="D256" s="87">
        <v>14</v>
      </c>
      <c r="E256" s="87">
        <f t="shared" si="37"/>
        <v>42</v>
      </c>
      <c r="F256" s="88" t="str">
        <f>CONCATENATE("Hora Cátedra Enseñanza Media ",D256," hs Esc Esp")</f>
        <v>Hora Cátedra Enseñanza Media 14 hs Esc Esp</v>
      </c>
      <c r="G256" s="89">
        <f t="shared" si="47"/>
        <v>1106</v>
      </c>
      <c r="H256" s="90">
        <f>INT((G256*Valores!$C$2*100))/100</f>
        <v>7335.43</v>
      </c>
      <c r="I256" s="104">
        <v>0</v>
      </c>
      <c r="J256" s="92">
        <f>INT((I256*Valores!$C$2*100)+0.5)/100</f>
        <v>0</v>
      </c>
      <c r="K256" s="105">
        <v>0</v>
      </c>
      <c r="L256" s="92">
        <f>INT((K256*Valores!$C$2*100)+0.5)/100</f>
        <v>0</v>
      </c>
      <c r="M256" s="106">
        <v>0</v>
      </c>
      <c r="N256" s="92">
        <f>INT((M256*Valores!$C$2*100)+0.5)/100</f>
        <v>0</v>
      </c>
      <c r="O256" s="92">
        <f t="shared" si="38"/>
        <v>1326.2955</v>
      </c>
      <c r="P256" s="92">
        <f t="shared" si="39"/>
        <v>0</v>
      </c>
      <c r="Q256" s="108">
        <f>Valores!$C$14*D256</f>
        <v>2242.66</v>
      </c>
      <c r="R256" s="108">
        <f>IF(D256&lt;15,(Valores!$E$4*D256),Valores!$D$4)</f>
        <v>2768.92</v>
      </c>
      <c r="S256" s="92">
        <v>0</v>
      </c>
      <c r="T256" s="95">
        <f>IF(Valores!$C$45*D256&gt;Valores!$C$43,Valores!$C$43,Valores!$C$45*D256)</f>
        <v>715.68</v>
      </c>
      <c r="U256" s="108">
        <f>Valores!$C$22*D256</f>
        <v>790.86</v>
      </c>
      <c r="V256" s="92">
        <f t="shared" si="48"/>
        <v>790.86</v>
      </c>
      <c r="W256" s="92">
        <v>0</v>
      </c>
      <c r="X256" s="92">
        <v>0</v>
      </c>
      <c r="Y256" s="120">
        <v>0</v>
      </c>
      <c r="Z256" s="92">
        <f>Y256*Valores!$C$2</f>
        <v>0</v>
      </c>
      <c r="AA256" s="92">
        <v>0</v>
      </c>
      <c r="AB256" s="97">
        <f>IF((Valores!$C$32)*D256&gt;Valores!$F$32,Valores!$F$32,(Valores!$C$32)*D256)</f>
        <v>89.88</v>
      </c>
      <c r="AC256" s="92">
        <f t="shared" si="42"/>
        <v>0</v>
      </c>
      <c r="AD256" s="92">
        <f>IF(Valores!$C$33*D256&gt;Valores!$F$33,Valores!$F$33,Valores!$C$33*D256)</f>
        <v>74.75999999999999</v>
      </c>
      <c r="AE256" s="96">
        <v>94</v>
      </c>
      <c r="AF256" s="92">
        <f>INT(((AE256*Valores!$C$2)*100)+0.5)/100</f>
        <v>623.45</v>
      </c>
      <c r="AG256" s="92">
        <f>IF(Valores!$D$58*'Escala Docente'!D256&gt;Valores!$F$58,Valores!$F$58,Valores!$D$58*'Escala Docente'!D256)</f>
        <v>304.22</v>
      </c>
      <c r="AH256" s="92">
        <f>IF(Valores!$D$60*D256&gt;Valores!$F$60,Valores!$F$60,Valores!$D$60*D256)</f>
        <v>86.94</v>
      </c>
      <c r="AI256" s="116">
        <f t="shared" si="43"/>
        <v>16359.095500000001</v>
      </c>
      <c r="AJ256" s="108">
        <f>IF(Valores!$C$36*D256&gt;Valores!$F$36,Valores!$F$36,Valores!$C$36*D256)</f>
        <v>559.3000000000001</v>
      </c>
      <c r="AK256" s="95">
        <f>IF(Valores!$C$11*D256&gt;Valores!$F$11,Valores!$F$11,Valores!$C$11*D256)</f>
        <v>0</v>
      </c>
      <c r="AL256" s="95">
        <f>IF(Valores!$C$84*D256&gt;Valores!$C$83,Valores!$C$83,Valores!$C$84*D256)</f>
        <v>910</v>
      </c>
      <c r="AM256" s="97">
        <f>IF(Valores!$C$57*D256&gt;Valores!$F$57,Valores!$F$57,Valores!$C$57*D256)</f>
        <v>127.39999999999999</v>
      </c>
      <c r="AN256" s="99">
        <f t="shared" si="44"/>
        <v>1469.3000000000002</v>
      </c>
      <c r="AO256" s="117">
        <f>AI256*-Valores!$C$65</f>
        <v>-2126.682415</v>
      </c>
      <c r="AP256" s="117">
        <f>AI256*-Valores!$C$66</f>
        <v>-81.7954775</v>
      </c>
      <c r="AQ256" s="94">
        <f>AI256*-Valores!$C$67</f>
        <v>-736.1592975</v>
      </c>
      <c r="AR256" s="94">
        <f>AI256*-Valores!$C$68</f>
        <v>-441.6955785</v>
      </c>
      <c r="AS256" s="94">
        <f>AI256*-Valores!$C$69</f>
        <v>-49.07728650000001</v>
      </c>
      <c r="AT256" s="98">
        <f t="shared" si="40"/>
        <v>14883.758310000005</v>
      </c>
      <c r="AU256" s="98">
        <f t="shared" si="41"/>
        <v>15129.144742500004</v>
      </c>
      <c r="AV256" s="94">
        <f>AI256*Valores!$C$71</f>
        <v>2617.45528</v>
      </c>
      <c r="AW256" s="94">
        <f>AI256*Valores!$C$72</f>
        <v>736.1592975</v>
      </c>
      <c r="AX256" s="94">
        <f>AI256*Valores!$C$73</f>
        <v>163.590955</v>
      </c>
      <c r="AY256" s="94">
        <f>AI256*Valores!$C$75</f>
        <v>572.5683425000001</v>
      </c>
      <c r="AZ256" s="94">
        <f>AI256*Valores!$C$76</f>
        <v>98.15457300000001</v>
      </c>
      <c r="BA256" s="94">
        <f t="shared" si="45"/>
        <v>883.3911570000001</v>
      </c>
      <c r="BB256" s="86"/>
      <c r="BC256" s="86">
        <f t="shared" si="46"/>
        <v>56</v>
      </c>
      <c r="BD256" s="87" t="s">
        <v>4</v>
      </c>
    </row>
    <row r="257" spans="1:56" s="28" customFormat="1" ht="11.25" customHeight="1">
      <c r="A257" s="52">
        <v>256</v>
      </c>
      <c r="B257" s="52"/>
      <c r="C257" s="28" t="s">
        <v>522</v>
      </c>
      <c r="D257" s="28">
        <v>15</v>
      </c>
      <c r="E257" s="28">
        <f t="shared" si="37"/>
        <v>34</v>
      </c>
      <c r="F257" s="72" t="str">
        <f>CONCATENATE("Hora Cátedra Enseñanza Media ",D257," hs")</f>
        <v>Hora Cátedra Enseñanza Media 15 hs</v>
      </c>
      <c r="G257" s="73">
        <f t="shared" si="47"/>
        <v>1185</v>
      </c>
      <c r="H257" s="74">
        <f>INT((G257*Valores!$C$2*100))/100</f>
        <v>7859.39</v>
      </c>
      <c r="I257" s="113">
        <v>0</v>
      </c>
      <c r="J257" s="76">
        <f>INT((I257*Valores!$C$2*100)+0.5)/100</f>
        <v>0</v>
      </c>
      <c r="K257" s="103">
        <v>0</v>
      </c>
      <c r="L257" s="76">
        <f>INT((K257*Valores!$C$2*100)+0.5)/100</f>
        <v>0</v>
      </c>
      <c r="M257" s="101">
        <v>0</v>
      </c>
      <c r="N257" s="76">
        <f>INT((M257*Valores!$C$2*100)+0.5)/100</f>
        <v>0</v>
      </c>
      <c r="O257" s="76">
        <f t="shared" si="38"/>
        <v>1421.0309999999997</v>
      </c>
      <c r="P257" s="76">
        <f t="shared" si="39"/>
        <v>0</v>
      </c>
      <c r="Q257" s="102">
        <f>Valores!$C$14*D257</f>
        <v>2402.85</v>
      </c>
      <c r="R257" s="102">
        <f>IF(D257&lt;15,(Valores!$E$4*D257),Valores!$D$4)</f>
        <v>2966.67</v>
      </c>
      <c r="S257" s="76">
        <v>0</v>
      </c>
      <c r="T257" s="79">
        <f>IF(Valores!$C$45*D257&gt;Valores!$C$43,Valores!$C$43,Valores!$C$45*D257)</f>
        <v>766.8</v>
      </c>
      <c r="U257" s="102">
        <f>Valores!$C$22*D257</f>
        <v>847.35</v>
      </c>
      <c r="V257" s="76">
        <f t="shared" si="48"/>
        <v>847.35</v>
      </c>
      <c r="W257" s="76">
        <v>0</v>
      </c>
      <c r="X257" s="76">
        <v>0</v>
      </c>
      <c r="Y257" s="119">
        <v>0</v>
      </c>
      <c r="Z257" s="76">
        <f>Y257*Valores!$C$2</f>
        <v>0</v>
      </c>
      <c r="AA257" s="76">
        <v>0</v>
      </c>
      <c r="AB257" s="81">
        <f>IF((Valores!$C$32)*D257&gt;Valores!$F$32,Valores!$F$32,(Valores!$C$32)*D257)</f>
        <v>96.3</v>
      </c>
      <c r="AC257" s="76">
        <f t="shared" si="42"/>
        <v>0</v>
      </c>
      <c r="AD257" s="76">
        <f>IF(Valores!$C$33*D257&gt;Valores!$F$33,Valores!$F$33,Valores!$C$33*D257)</f>
        <v>80.1</v>
      </c>
      <c r="AE257" s="80">
        <v>0</v>
      </c>
      <c r="AF257" s="76">
        <f>INT(((AE257*Valores!$C$2)*100)+0.5)/100</f>
        <v>0</v>
      </c>
      <c r="AG257" s="76">
        <f>IF(Valores!$D$58*'Escala Docente'!D257&gt;Valores!$F$58,Valores!$F$58,Valores!$D$58*'Escala Docente'!D257)</f>
        <v>325.95</v>
      </c>
      <c r="AH257" s="76">
        <f>IF(Valores!$D$60*D257&gt;Valores!$F$60,Valores!$F$60,Valores!$D$60*D257)</f>
        <v>93.15</v>
      </c>
      <c r="AI257" s="115">
        <f t="shared" si="43"/>
        <v>16859.591000000004</v>
      </c>
      <c r="AJ257" s="102">
        <f>IF(Valores!$C$36*D257&gt;Valores!$F$36,Valores!$F$36,Valores!$C$36*D257)</f>
        <v>599.25</v>
      </c>
      <c r="AK257" s="79">
        <f>IF(Valores!$C$11*D257&gt;Valores!$F$11,Valores!$F$11,Valores!$C$11*D257)</f>
        <v>0</v>
      </c>
      <c r="AL257" s="79">
        <f>IF(Valores!$C$84*D257&gt;Valores!$C$83,Valores!$C$83,Valores!$C$84*D257)</f>
        <v>975</v>
      </c>
      <c r="AM257" s="81">
        <f>IF(Valores!$C$57*D257&gt;Valores!$F$57,Valores!$F$57,Valores!$C$57*D257)</f>
        <v>136.5</v>
      </c>
      <c r="AN257" s="83">
        <f t="shared" si="44"/>
        <v>1574.25</v>
      </c>
      <c r="AO257" s="62">
        <f>AI257*-Valores!$C$65</f>
        <v>-2191.7468300000005</v>
      </c>
      <c r="AP257" s="62">
        <f>AI257*-Valores!$C$66</f>
        <v>-84.29795500000002</v>
      </c>
      <c r="AQ257" s="78">
        <f>AI257*-Valores!$C$67</f>
        <v>-758.6815950000001</v>
      </c>
      <c r="AR257" s="78">
        <f>AI257*-Valores!$C$68</f>
        <v>-455.2089570000001</v>
      </c>
      <c r="AS257" s="78">
        <f>AI257*-Valores!$C$69</f>
        <v>-50.57877300000001</v>
      </c>
      <c r="AT257" s="82">
        <f t="shared" si="40"/>
        <v>15399.11462</v>
      </c>
      <c r="AU257" s="82">
        <f t="shared" si="41"/>
        <v>15652.008485000004</v>
      </c>
      <c r="AV257" s="78">
        <f>AI257*Valores!$C$71</f>
        <v>2697.5345600000005</v>
      </c>
      <c r="AW257" s="78">
        <f>AI257*Valores!$C$72</f>
        <v>758.6815950000001</v>
      </c>
      <c r="AX257" s="78">
        <f>AI257*Valores!$C$73</f>
        <v>168.59591000000003</v>
      </c>
      <c r="AY257" s="78">
        <f>AI257*Valores!$C$75</f>
        <v>590.0856850000002</v>
      </c>
      <c r="AZ257" s="78">
        <f>AI257*Valores!$C$76</f>
        <v>101.15754600000002</v>
      </c>
      <c r="BA257" s="78">
        <f t="shared" si="45"/>
        <v>910.4179140000003</v>
      </c>
      <c r="BB257" s="52"/>
      <c r="BC257" s="52">
        <f aca="true" t="shared" si="49" ref="BC257:BC288">4*D257</f>
        <v>60</v>
      </c>
      <c r="BD257" s="28" t="s">
        <v>4</v>
      </c>
    </row>
    <row r="258" spans="1:56" s="28" customFormat="1" ht="11.25" customHeight="1">
      <c r="A258" s="52">
        <v>257</v>
      </c>
      <c r="B258" s="52"/>
      <c r="C258" s="28" t="s">
        <v>522</v>
      </c>
      <c r="D258" s="28">
        <v>15</v>
      </c>
      <c r="E258" s="28">
        <f t="shared" si="37"/>
        <v>42</v>
      </c>
      <c r="F258" s="72" t="str">
        <f>CONCATENATE("Hora Cátedra Enseñanza Media ",D258," hs Esc Esp")</f>
        <v>Hora Cátedra Enseñanza Media 15 hs Esc Esp</v>
      </c>
      <c r="G258" s="73">
        <f t="shared" si="47"/>
        <v>1185</v>
      </c>
      <c r="H258" s="74">
        <f>INT((G258*Valores!$C$2*100))/100</f>
        <v>7859.39</v>
      </c>
      <c r="I258" s="113">
        <v>0</v>
      </c>
      <c r="J258" s="76">
        <f>INT((I258*Valores!$C$2*100)+0.5)/100</f>
        <v>0</v>
      </c>
      <c r="K258" s="103">
        <v>0</v>
      </c>
      <c r="L258" s="76">
        <f>INT((K258*Valores!$C$2*100)+0.5)/100</f>
        <v>0</v>
      </c>
      <c r="M258" s="101">
        <v>0</v>
      </c>
      <c r="N258" s="76">
        <f>INT((M258*Valores!$C$2*100)+0.5)/100</f>
        <v>0</v>
      </c>
      <c r="O258" s="76">
        <f t="shared" si="38"/>
        <v>1421.0309999999997</v>
      </c>
      <c r="P258" s="76">
        <f t="shared" si="39"/>
        <v>0</v>
      </c>
      <c r="Q258" s="102">
        <f>Valores!$C$14*D258</f>
        <v>2402.85</v>
      </c>
      <c r="R258" s="102">
        <f>IF(D258&lt;15,(Valores!$E$4*D258),Valores!$D$4)</f>
        <v>2966.67</v>
      </c>
      <c r="S258" s="76">
        <v>0</v>
      </c>
      <c r="T258" s="79">
        <f>IF(Valores!$C$45*D258&gt;Valores!$C$43,Valores!$C$43,Valores!$C$45*D258)</f>
        <v>766.8</v>
      </c>
      <c r="U258" s="102">
        <f>Valores!$C$22*D258</f>
        <v>847.35</v>
      </c>
      <c r="V258" s="76">
        <f t="shared" si="48"/>
        <v>847.35</v>
      </c>
      <c r="W258" s="76">
        <v>0</v>
      </c>
      <c r="X258" s="76">
        <v>0</v>
      </c>
      <c r="Y258" s="119">
        <v>0</v>
      </c>
      <c r="Z258" s="76">
        <f>Y258*Valores!$C$2</f>
        <v>0</v>
      </c>
      <c r="AA258" s="76">
        <v>0</v>
      </c>
      <c r="AB258" s="81">
        <f>IF((Valores!$C$32)*D258&gt;Valores!$F$32,Valores!$F$32,(Valores!$C$32)*D258)</f>
        <v>96.3</v>
      </c>
      <c r="AC258" s="76">
        <f t="shared" si="42"/>
        <v>0</v>
      </c>
      <c r="AD258" s="76">
        <f>IF(Valores!$C$33*D258&gt;Valores!$F$33,Valores!$F$33,Valores!$C$33*D258)</f>
        <v>80.1</v>
      </c>
      <c r="AE258" s="80">
        <v>94</v>
      </c>
      <c r="AF258" s="76">
        <f>INT(((AE258*Valores!$C$2)*100)+0.5)/100</f>
        <v>623.45</v>
      </c>
      <c r="AG258" s="76">
        <f>IF(Valores!$D$58*'Escala Docente'!D258&gt;Valores!$F$58,Valores!$F$58,Valores!$D$58*'Escala Docente'!D258)</f>
        <v>325.95</v>
      </c>
      <c r="AH258" s="76">
        <f>IF(Valores!$D$60*D258&gt;Valores!$F$60,Valores!$F$60,Valores!$D$60*D258)</f>
        <v>93.15</v>
      </c>
      <c r="AI258" s="115">
        <f t="shared" si="43"/>
        <v>17483.041000000005</v>
      </c>
      <c r="AJ258" s="102">
        <f>IF(Valores!$C$36*D258&gt;Valores!$F$36,Valores!$F$36,Valores!$C$36*D258)</f>
        <v>599.25</v>
      </c>
      <c r="AK258" s="79">
        <f>IF(Valores!$C$11*D258&gt;Valores!$F$11,Valores!$F$11,Valores!$C$11*D258)</f>
        <v>0</v>
      </c>
      <c r="AL258" s="79">
        <f>IF(Valores!$C$84*D258&gt;Valores!$C$83,Valores!$C$83,Valores!$C$84*D258)</f>
        <v>975</v>
      </c>
      <c r="AM258" s="81">
        <f>IF(Valores!$C$57*D258&gt;Valores!$F$57,Valores!$F$57,Valores!$C$57*D258)</f>
        <v>136.5</v>
      </c>
      <c r="AN258" s="83">
        <f t="shared" si="44"/>
        <v>1574.25</v>
      </c>
      <c r="AO258" s="62">
        <f>AI258*-Valores!$C$65</f>
        <v>-2272.795330000001</v>
      </c>
      <c r="AP258" s="62">
        <f>AI258*-Valores!$C$66</f>
        <v>-87.41520500000003</v>
      </c>
      <c r="AQ258" s="78">
        <f>AI258*-Valores!$C$67</f>
        <v>-786.7368450000001</v>
      </c>
      <c r="AR258" s="78">
        <f>AI258*-Valores!$C$68</f>
        <v>-472.0421070000001</v>
      </c>
      <c r="AS258" s="78">
        <f>AI258*-Valores!$C$69</f>
        <v>-52.449123000000014</v>
      </c>
      <c r="AT258" s="82">
        <f t="shared" si="40"/>
        <v>15910.343620000003</v>
      </c>
      <c r="AU258" s="82">
        <f t="shared" si="41"/>
        <v>16172.589235000001</v>
      </c>
      <c r="AV258" s="78">
        <f>AI258*Valores!$C$71</f>
        <v>2797.286560000001</v>
      </c>
      <c r="AW258" s="78">
        <f>AI258*Valores!$C$72</f>
        <v>786.7368450000001</v>
      </c>
      <c r="AX258" s="78">
        <f>AI258*Valores!$C$73</f>
        <v>174.83041000000006</v>
      </c>
      <c r="AY258" s="78">
        <f>AI258*Valores!$C$75</f>
        <v>611.9064350000002</v>
      </c>
      <c r="AZ258" s="78">
        <f>AI258*Valores!$C$76</f>
        <v>104.89824600000003</v>
      </c>
      <c r="BA258" s="78">
        <f t="shared" si="45"/>
        <v>944.0842140000003</v>
      </c>
      <c r="BB258" s="52"/>
      <c r="BC258" s="52">
        <f t="shared" si="49"/>
        <v>60</v>
      </c>
      <c r="BD258" s="28" t="s">
        <v>4</v>
      </c>
    </row>
    <row r="259" spans="1:56" s="28" customFormat="1" ht="11.25" customHeight="1">
      <c r="A259" s="52">
        <v>258</v>
      </c>
      <c r="B259" s="52"/>
      <c r="C259" s="28" t="s">
        <v>522</v>
      </c>
      <c r="D259" s="28">
        <v>16</v>
      </c>
      <c r="E259" s="28">
        <f t="shared" si="37"/>
        <v>34</v>
      </c>
      <c r="F259" s="72" t="str">
        <f>CONCATENATE("Hora Cátedra Enseñanza Media ",D259," hs")</f>
        <v>Hora Cátedra Enseñanza Media 16 hs</v>
      </c>
      <c r="G259" s="73">
        <f t="shared" si="47"/>
        <v>1264</v>
      </c>
      <c r="H259" s="74">
        <f>INT((G259*Valores!$C$2*100))/100</f>
        <v>8383.35</v>
      </c>
      <c r="I259" s="113">
        <v>0</v>
      </c>
      <c r="J259" s="76">
        <f>INT((I259*Valores!$C$2*100)+0.5)/100</f>
        <v>0</v>
      </c>
      <c r="K259" s="103">
        <v>0</v>
      </c>
      <c r="L259" s="76">
        <f>INT((K259*Valores!$C$2*100)+0.5)/100</f>
        <v>0</v>
      </c>
      <c r="M259" s="101">
        <v>0</v>
      </c>
      <c r="N259" s="76">
        <f>INT((M259*Valores!$C$2*100)+0.5)/100</f>
        <v>0</v>
      </c>
      <c r="O259" s="76">
        <f t="shared" si="38"/>
        <v>1515.7665</v>
      </c>
      <c r="P259" s="76">
        <f t="shared" si="39"/>
        <v>0</v>
      </c>
      <c r="Q259" s="102">
        <f>Valores!$C$14*D259</f>
        <v>2563.04</v>
      </c>
      <c r="R259" s="102">
        <f>IF(D259&lt;15,(Valores!$E$4*D259),Valores!$D$4)</f>
        <v>2966.67</v>
      </c>
      <c r="S259" s="76">
        <v>0</v>
      </c>
      <c r="T259" s="79">
        <f>IF(Valores!$C$45*D259&gt;Valores!$C$43,Valores!$C$43,Valores!$C$45*D259)</f>
        <v>817.92</v>
      </c>
      <c r="U259" s="102">
        <f>Valores!$C$22*D259</f>
        <v>903.84</v>
      </c>
      <c r="V259" s="76">
        <f t="shared" si="48"/>
        <v>903.84</v>
      </c>
      <c r="W259" s="76">
        <v>0</v>
      </c>
      <c r="X259" s="76">
        <v>0</v>
      </c>
      <c r="Y259" s="119">
        <v>0</v>
      </c>
      <c r="Z259" s="76">
        <f>Y259*Valores!$C$2</f>
        <v>0</v>
      </c>
      <c r="AA259" s="76">
        <v>0</v>
      </c>
      <c r="AB259" s="81">
        <f>IF((Valores!$C$32)*D259&gt;Valores!$F$32,Valores!$F$32,(Valores!$C$32)*D259)</f>
        <v>102.72</v>
      </c>
      <c r="AC259" s="76">
        <f t="shared" si="42"/>
        <v>0</v>
      </c>
      <c r="AD259" s="76">
        <f>IF(Valores!$C$33*D259&gt;Valores!$F$33,Valores!$F$33,Valores!$C$33*D259)</f>
        <v>85.44</v>
      </c>
      <c r="AE259" s="80">
        <v>0</v>
      </c>
      <c r="AF259" s="76">
        <f>INT(((AE259*Valores!$C$2)*100)+0.5)/100</f>
        <v>0</v>
      </c>
      <c r="AG259" s="76">
        <f>IF(Valores!$D$58*'Escala Docente'!D259&gt;Valores!$F$58,Valores!$F$58,Valores!$D$58*'Escala Docente'!D259)</f>
        <v>347.68</v>
      </c>
      <c r="AH259" s="76">
        <f>IF(Valores!$D$60*D259&gt;Valores!$F$60,Valores!$F$60,Valores!$D$60*D259)</f>
        <v>99.36</v>
      </c>
      <c r="AI259" s="115">
        <f t="shared" si="43"/>
        <v>17785.7865</v>
      </c>
      <c r="AJ259" s="102">
        <f>IF(Valores!$C$36*D259&gt;Valores!$F$36,Valores!$F$36,Valores!$C$36*D259)</f>
        <v>639.2</v>
      </c>
      <c r="AK259" s="79">
        <f>IF(Valores!$C$11*D259&gt;Valores!$F$11,Valores!$F$11,Valores!$C$11*D259)</f>
        <v>0</v>
      </c>
      <c r="AL259" s="79">
        <f>IF(Valores!$C$84*D259&gt;Valores!$C$83,Valores!$C$83,Valores!$C$84*D259)</f>
        <v>1040</v>
      </c>
      <c r="AM259" s="81">
        <f>IF(Valores!$C$57*D259&gt;Valores!$F$57,Valores!$F$57,Valores!$C$57*D259)</f>
        <v>145.6</v>
      </c>
      <c r="AN259" s="83">
        <f t="shared" si="44"/>
        <v>1679.2</v>
      </c>
      <c r="AO259" s="62">
        <f>AI259*-Valores!$C$65</f>
        <v>-2312.1522449999998</v>
      </c>
      <c r="AP259" s="62">
        <f>AI259*-Valores!$C$66</f>
        <v>-88.92893249999999</v>
      </c>
      <c r="AQ259" s="78">
        <f>AI259*-Valores!$C$67</f>
        <v>-800.3603924999999</v>
      </c>
      <c r="AR259" s="78">
        <f>AI259*-Valores!$C$68</f>
        <v>-480.2162354999999</v>
      </c>
      <c r="AS259" s="78">
        <f>AI259*-Valores!$C$69</f>
        <v>-53.357359499999994</v>
      </c>
      <c r="AT259" s="82">
        <f t="shared" si="40"/>
        <v>16263.544930000002</v>
      </c>
      <c r="AU259" s="82">
        <f t="shared" si="41"/>
        <v>16530.331727499997</v>
      </c>
      <c r="AV259" s="78">
        <f>AI259*Valores!$C$71</f>
        <v>2845.7258399999996</v>
      </c>
      <c r="AW259" s="78">
        <f>AI259*Valores!$C$72</f>
        <v>800.3603924999999</v>
      </c>
      <c r="AX259" s="78">
        <f>AI259*Valores!$C$73</f>
        <v>177.85786499999998</v>
      </c>
      <c r="AY259" s="78">
        <f>AI259*Valores!$C$75</f>
        <v>622.5025275</v>
      </c>
      <c r="AZ259" s="78">
        <f>AI259*Valores!$C$76</f>
        <v>106.71471899999999</v>
      </c>
      <c r="BA259" s="78">
        <f t="shared" si="45"/>
        <v>960.432471</v>
      </c>
      <c r="BB259" s="52"/>
      <c r="BC259" s="86">
        <f t="shared" si="49"/>
        <v>64</v>
      </c>
      <c r="BD259" s="28" t="s">
        <v>4</v>
      </c>
    </row>
    <row r="260" spans="1:56" s="28" customFormat="1" ht="11.25" customHeight="1">
      <c r="A260" s="52">
        <v>259</v>
      </c>
      <c r="B260" s="52"/>
      <c r="C260" s="28" t="s">
        <v>522</v>
      </c>
      <c r="D260" s="28">
        <v>16</v>
      </c>
      <c r="E260" s="28">
        <f t="shared" si="37"/>
        <v>42</v>
      </c>
      <c r="F260" s="72" t="str">
        <f>CONCATENATE("Hora Cátedra Enseñanza Media ",D260," hs Esc Esp")</f>
        <v>Hora Cátedra Enseñanza Media 16 hs Esc Esp</v>
      </c>
      <c r="G260" s="73">
        <f t="shared" si="47"/>
        <v>1264</v>
      </c>
      <c r="H260" s="74">
        <f>INT((G260*Valores!$C$2*100))/100</f>
        <v>8383.35</v>
      </c>
      <c r="I260" s="113">
        <v>0</v>
      </c>
      <c r="J260" s="76">
        <f>INT((I260*Valores!$C$2*100)+0.5)/100</f>
        <v>0</v>
      </c>
      <c r="K260" s="103">
        <v>0</v>
      </c>
      <c r="L260" s="76">
        <f>INT((K260*Valores!$C$2*100)+0.5)/100</f>
        <v>0</v>
      </c>
      <c r="M260" s="101">
        <v>0</v>
      </c>
      <c r="N260" s="76">
        <f>INT((M260*Valores!$C$2*100)+0.5)/100</f>
        <v>0</v>
      </c>
      <c r="O260" s="76">
        <f t="shared" si="38"/>
        <v>1515.7665</v>
      </c>
      <c r="P260" s="76">
        <f t="shared" si="39"/>
        <v>0</v>
      </c>
      <c r="Q260" s="102">
        <f>Valores!$C$14*D260</f>
        <v>2563.04</v>
      </c>
      <c r="R260" s="102">
        <f>IF(D260&lt;15,(Valores!$E$4*D260),Valores!$D$4)</f>
        <v>2966.67</v>
      </c>
      <c r="S260" s="76">
        <v>0</v>
      </c>
      <c r="T260" s="79">
        <f>IF(Valores!$C$45*D260&gt;Valores!$C$43,Valores!$C$43,Valores!$C$45*D260)</f>
        <v>817.92</v>
      </c>
      <c r="U260" s="102">
        <f>Valores!$C$22*D260</f>
        <v>903.84</v>
      </c>
      <c r="V260" s="76">
        <f t="shared" si="48"/>
        <v>903.84</v>
      </c>
      <c r="W260" s="76">
        <v>0</v>
      </c>
      <c r="X260" s="76">
        <v>0</v>
      </c>
      <c r="Y260" s="119">
        <v>0</v>
      </c>
      <c r="Z260" s="76">
        <f>Y260*Valores!$C$2</f>
        <v>0</v>
      </c>
      <c r="AA260" s="76">
        <v>0</v>
      </c>
      <c r="AB260" s="81">
        <f>IF((Valores!$C$32)*D260&gt;Valores!$F$32,Valores!$F$32,(Valores!$C$32)*D260)</f>
        <v>102.72</v>
      </c>
      <c r="AC260" s="76">
        <f t="shared" si="42"/>
        <v>0</v>
      </c>
      <c r="AD260" s="76">
        <f>IF(Valores!$C$33*D260&gt;Valores!$F$33,Valores!$F$33,Valores!$C$33*D260)</f>
        <v>85.44</v>
      </c>
      <c r="AE260" s="80">
        <v>94</v>
      </c>
      <c r="AF260" s="76">
        <f>INT(((AE260*Valores!$C$2)*100)+0.5)/100</f>
        <v>623.45</v>
      </c>
      <c r="AG260" s="76">
        <f>IF(Valores!$D$58*'Escala Docente'!D260&gt;Valores!$F$58,Valores!$F$58,Valores!$D$58*'Escala Docente'!D260)</f>
        <v>347.68</v>
      </c>
      <c r="AH260" s="76">
        <f>IF(Valores!$D$60*D260&gt;Valores!$F$60,Valores!$F$60,Valores!$D$60*D260)</f>
        <v>99.36</v>
      </c>
      <c r="AI260" s="115">
        <f t="shared" si="43"/>
        <v>18409.2365</v>
      </c>
      <c r="AJ260" s="102">
        <f>IF(Valores!$C$36*D260&gt;Valores!$F$36,Valores!$F$36,Valores!$C$36*D260)</f>
        <v>639.2</v>
      </c>
      <c r="AK260" s="79">
        <f>IF(Valores!$C$11*D260&gt;Valores!$F$11,Valores!$F$11,Valores!$C$11*D260)</f>
        <v>0</v>
      </c>
      <c r="AL260" s="79">
        <f>IF(Valores!$C$84*D260&gt;Valores!$C$83,Valores!$C$83,Valores!$C$84*D260)</f>
        <v>1040</v>
      </c>
      <c r="AM260" s="81">
        <f>IF(Valores!$C$57*D260&gt;Valores!$F$57,Valores!$F$57,Valores!$C$57*D260)</f>
        <v>145.6</v>
      </c>
      <c r="AN260" s="83">
        <f t="shared" si="44"/>
        <v>1679.2</v>
      </c>
      <c r="AO260" s="62">
        <f>AI260*-Valores!$C$65</f>
        <v>-2393.200745</v>
      </c>
      <c r="AP260" s="62">
        <f>AI260*-Valores!$C$66</f>
        <v>-92.0461825</v>
      </c>
      <c r="AQ260" s="78">
        <f>AI260*-Valores!$C$67</f>
        <v>-828.4156424999999</v>
      </c>
      <c r="AR260" s="78">
        <f>AI260*-Valores!$C$68</f>
        <v>-497.04938549999997</v>
      </c>
      <c r="AS260" s="78">
        <f>AI260*-Valores!$C$69</f>
        <v>-55.227709499999996</v>
      </c>
      <c r="AT260" s="82">
        <f t="shared" si="40"/>
        <v>16774.773930000003</v>
      </c>
      <c r="AU260" s="82">
        <f t="shared" si="41"/>
        <v>17050.912477500005</v>
      </c>
      <c r="AV260" s="78">
        <f>AI260*Valores!$C$71</f>
        <v>2945.47784</v>
      </c>
      <c r="AW260" s="78">
        <f>AI260*Valores!$C$72</f>
        <v>828.4156424999999</v>
      </c>
      <c r="AX260" s="78">
        <f>AI260*Valores!$C$73</f>
        <v>184.092365</v>
      </c>
      <c r="AY260" s="78">
        <f>AI260*Valores!$C$75</f>
        <v>644.3232775</v>
      </c>
      <c r="AZ260" s="78">
        <f>AI260*Valores!$C$76</f>
        <v>110.45541899999999</v>
      </c>
      <c r="BA260" s="78">
        <f t="shared" si="45"/>
        <v>994.0987709999999</v>
      </c>
      <c r="BB260" s="52"/>
      <c r="BC260" s="52">
        <f t="shared" si="49"/>
        <v>64</v>
      </c>
      <c r="BD260" s="28" t="s">
        <v>4</v>
      </c>
    </row>
    <row r="261" spans="1:56" s="28" customFormat="1" ht="11.25" customHeight="1">
      <c r="A261" s="86">
        <v>260</v>
      </c>
      <c r="B261" s="86" t="s">
        <v>163</v>
      </c>
      <c r="C261" s="87" t="s">
        <v>522</v>
      </c>
      <c r="D261" s="87">
        <v>17</v>
      </c>
      <c r="E261" s="87">
        <f t="shared" si="37"/>
        <v>34</v>
      </c>
      <c r="F261" s="88" t="str">
        <f>CONCATENATE("Hora Cátedra Enseñanza Media ",D261," hs")</f>
        <v>Hora Cátedra Enseñanza Media 17 hs</v>
      </c>
      <c r="G261" s="89">
        <f aca="true" t="shared" si="50" ref="G261:G292">79*D261</f>
        <v>1343</v>
      </c>
      <c r="H261" s="90">
        <f>INT((G261*Valores!$C$2*100))/100</f>
        <v>8907.31</v>
      </c>
      <c r="I261" s="104">
        <v>0</v>
      </c>
      <c r="J261" s="92">
        <f>INT((I261*Valores!$C$2*100)+0.5)/100</f>
        <v>0</v>
      </c>
      <c r="K261" s="105">
        <v>0</v>
      </c>
      <c r="L261" s="92">
        <f>INT((K261*Valores!$C$2*100)+0.5)/100</f>
        <v>0</v>
      </c>
      <c r="M261" s="106">
        <v>0</v>
      </c>
      <c r="N261" s="92">
        <f>INT((M261*Valores!$C$2*100)+0.5)/100</f>
        <v>0</v>
      </c>
      <c r="O261" s="92">
        <f t="shared" si="38"/>
        <v>1610.502</v>
      </c>
      <c r="P261" s="92">
        <f t="shared" si="39"/>
        <v>0</v>
      </c>
      <c r="Q261" s="108">
        <f>Valores!$C$14*D261</f>
        <v>2723.23</v>
      </c>
      <c r="R261" s="108">
        <f>IF(D261&lt;15,(Valores!$E$4*D261),Valores!$D$4)</f>
        <v>2966.67</v>
      </c>
      <c r="S261" s="92">
        <v>0</v>
      </c>
      <c r="T261" s="95">
        <f>IF(Valores!$C$45*D261&gt;Valores!$C$43,Valores!$C$43,Valores!$C$45*D261)</f>
        <v>869.04</v>
      </c>
      <c r="U261" s="108">
        <f>Valores!$C$22*D261</f>
        <v>960.33</v>
      </c>
      <c r="V261" s="92">
        <f t="shared" si="48"/>
        <v>960.33</v>
      </c>
      <c r="W261" s="92">
        <v>0</v>
      </c>
      <c r="X261" s="92">
        <v>0</v>
      </c>
      <c r="Y261" s="120">
        <v>0</v>
      </c>
      <c r="Z261" s="92">
        <f>Y261*Valores!$C$2</f>
        <v>0</v>
      </c>
      <c r="AA261" s="92">
        <v>0</v>
      </c>
      <c r="AB261" s="97">
        <f>IF((Valores!$C$32)*D261&gt;Valores!$F$32,Valores!$F$32,(Valores!$C$32)*D261)</f>
        <v>109.14</v>
      </c>
      <c r="AC261" s="92">
        <f t="shared" si="42"/>
        <v>0</v>
      </c>
      <c r="AD261" s="92">
        <f>IF(Valores!$C$33*D261&gt;Valores!$F$33,Valores!$F$33,Valores!$C$33*D261)</f>
        <v>90.78</v>
      </c>
      <c r="AE261" s="96">
        <v>0</v>
      </c>
      <c r="AF261" s="92">
        <f>INT(((AE261*Valores!$C$2)*100)+0.5)/100</f>
        <v>0</v>
      </c>
      <c r="AG261" s="92">
        <f>IF(Valores!$D$58*'Escala Docente'!D261&gt;Valores!$F$58,Valores!$F$58,Valores!$D$58*'Escala Docente'!D261)</f>
        <v>369.41</v>
      </c>
      <c r="AH261" s="92">
        <f>IF(Valores!$D$60*D261&gt;Valores!$F$60,Valores!$F$60,Valores!$D$60*D261)</f>
        <v>105.57</v>
      </c>
      <c r="AI261" s="116">
        <f t="shared" si="43"/>
        <v>18711.982</v>
      </c>
      <c r="AJ261" s="108">
        <f>IF(Valores!$C$36*D261&gt;Valores!$F$36,Valores!$F$36,Valores!$C$36*D261)</f>
        <v>679.1500000000001</v>
      </c>
      <c r="AK261" s="95">
        <f>IF(Valores!$C$11*D261&gt;Valores!$F$11,Valores!$F$11,Valores!$C$11*D261)</f>
        <v>0</v>
      </c>
      <c r="AL261" s="95">
        <f>IF(Valores!$C$84*D261&gt;Valores!$C$83,Valores!$C$83,Valores!$C$84*D261)</f>
        <v>1105</v>
      </c>
      <c r="AM261" s="97">
        <f>IF(Valores!$C$57*D261&gt;Valores!$F$57,Valores!$F$57,Valores!$C$57*D261)</f>
        <v>154.7</v>
      </c>
      <c r="AN261" s="99">
        <f t="shared" si="44"/>
        <v>1784.15</v>
      </c>
      <c r="AO261" s="117">
        <f>AI261*-Valores!$C$65</f>
        <v>-2432.55766</v>
      </c>
      <c r="AP261" s="117">
        <f>AI261*-Valores!$C$66</f>
        <v>-93.55991</v>
      </c>
      <c r="AQ261" s="94">
        <f>AI261*-Valores!$C$67</f>
        <v>-842.03919</v>
      </c>
      <c r="AR261" s="94">
        <f>AI261*-Valores!$C$68</f>
        <v>-505.22351399999997</v>
      </c>
      <c r="AS261" s="94">
        <f>AI261*-Valores!$C$69</f>
        <v>-56.135946000000004</v>
      </c>
      <c r="AT261" s="98">
        <f t="shared" si="40"/>
        <v>17127.975240000003</v>
      </c>
      <c r="AU261" s="98">
        <f t="shared" si="41"/>
        <v>17408.654970000003</v>
      </c>
      <c r="AV261" s="94">
        <f>AI261*Valores!$C$71</f>
        <v>2993.91712</v>
      </c>
      <c r="AW261" s="94">
        <f>AI261*Valores!$C$72</f>
        <v>842.03919</v>
      </c>
      <c r="AX261" s="94">
        <f>AI261*Valores!$C$73</f>
        <v>187.11982</v>
      </c>
      <c r="AY261" s="94">
        <f>AI261*Valores!$C$75</f>
        <v>654.9193700000001</v>
      </c>
      <c r="AZ261" s="94">
        <f>AI261*Valores!$C$76</f>
        <v>112.27189200000001</v>
      </c>
      <c r="BA261" s="94">
        <f t="shared" si="45"/>
        <v>1010.4470280000002</v>
      </c>
      <c r="BB261" s="86"/>
      <c r="BC261" s="86">
        <f t="shared" si="49"/>
        <v>68</v>
      </c>
      <c r="BD261" s="87" t="s">
        <v>4</v>
      </c>
    </row>
    <row r="262" spans="1:56" s="28" customFormat="1" ht="11.25" customHeight="1">
      <c r="A262" s="52">
        <v>261</v>
      </c>
      <c r="B262" s="52"/>
      <c r="C262" s="28" t="s">
        <v>522</v>
      </c>
      <c r="D262" s="28">
        <v>17</v>
      </c>
      <c r="E262" s="28">
        <f t="shared" si="37"/>
        <v>42</v>
      </c>
      <c r="F262" s="72" t="str">
        <f>CONCATENATE("Hora Cátedra Enseñanza Media ",D262," hs Esc Esp")</f>
        <v>Hora Cátedra Enseñanza Media 17 hs Esc Esp</v>
      </c>
      <c r="G262" s="73">
        <f t="shared" si="50"/>
        <v>1343</v>
      </c>
      <c r="H262" s="74">
        <f>INT((G262*Valores!$C$2*100))/100</f>
        <v>8907.31</v>
      </c>
      <c r="I262" s="113">
        <v>0</v>
      </c>
      <c r="J262" s="76">
        <f>INT((I262*Valores!$C$2*100)+0.5)/100</f>
        <v>0</v>
      </c>
      <c r="K262" s="103">
        <v>0</v>
      </c>
      <c r="L262" s="76">
        <f>INT((K262*Valores!$C$2*100)+0.5)/100</f>
        <v>0</v>
      </c>
      <c r="M262" s="101">
        <v>0</v>
      </c>
      <c r="N262" s="76">
        <f>INT((M262*Valores!$C$2*100)+0.5)/100</f>
        <v>0</v>
      </c>
      <c r="O262" s="76">
        <f t="shared" si="38"/>
        <v>1610.502</v>
      </c>
      <c r="P262" s="76">
        <f t="shared" si="39"/>
        <v>0</v>
      </c>
      <c r="Q262" s="102">
        <f>Valores!$C$14*D262</f>
        <v>2723.23</v>
      </c>
      <c r="R262" s="102">
        <f>IF(D262&lt;15,(Valores!$E$4*D262),Valores!$D$4)</f>
        <v>2966.67</v>
      </c>
      <c r="S262" s="76">
        <v>0</v>
      </c>
      <c r="T262" s="79">
        <f>IF(Valores!$C$45*D262&gt;Valores!$C$43,Valores!$C$43,Valores!$C$45*D262)</f>
        <v>869.04</v>
      </c>
      <c r="U262" s="102">
        <f>Valores!$C$22*D262</f>
        <v>960.33</v>
      </c>
      <c r="V262" s="76">
        <f t="shared" si="48"/>
        <v>960.33</v>
      </c>
      <c r="W262" s="76">
        <v>0</v>
      </c>
      <c r="X262" s="76">
        <v>0</v>
      </c>
      <c r="Y262" s="119">
        <v>0</v>
      </c>
      <c r="Z262" s="76">
        <f>Y262*Valores!$C$2</f>
        <v>0</v>
      </c>
      <c r="AA262" s="76">
        <v>0</v>
      </c>
      <c r="AB262" s="81">
        <f>IF((Valores!$C$32)*D262&gt;Valores!$F$32,Valores!$F$32,(Valores!$C$32)*D262)</f>
        <v>109.14</v>
      </c>
      <c r="AC262" s="76">
        <f t="shared" si="42"/>
        <v>0</v>
      </c>
      <c r="AD262" s="76">
        <f>IF(Valores!$C$33*D262&gt;Valores!$F$33,Valores!$F$33,Valores!$C$33*D262)</f>
        <v>90.78</v>
      </c>
      <c r="AE262" s="80">
        <v>94</v>
      </c>
      <c r="AF262" s="76">
        <f>INT(((AE262*Valores!$C$2)*100)+0.5)/100</f>
        <v>623.45</v>
      </c>
      <c r="AG262" s="76">
        <f>IF(Valores!$D$58*'Escala Docente'!D262&gt;Valores!$F$58,Valores!$F$58,Valores!$D$58*'Escala Docente'!D262)</f>
        <v>369.41</v>
      </c>
      <c r="AH262" s="76">
        <f>IF(Valores!$D$60*D262&gt;Valores!$F$60,Valores!$F$60,Valores!$D$60*D262)</f>
        <v>105.57</v>
      </c>
      <c r="AI262" s="115">
        <f t="shared" si="43"/>
        <v>19335.432</v>
      </c>
      <c r="AJ262" s="102">
        <f>IF(Valores!$C$36*D262&gt;Valores!$F$36,Valores!$F$36,Valores!$C$36*D262)</f>
        <v>679.1500000000001</v>
      </c>
      <c r="AK262" s="79">
        <f>IF(Valores!$C$11*D262&gt;Valores!$F$11,Valores!$F$11,Valores!$C$11*D262)</f>
        <v>0</v>
      </c>
      <c r="AL262" s="79">
        <f>IF(Valores!$C$84*D262&gt;Valores!$C$83,Valores!$C$83,Valores!$C$84*D262)</f>
        <v>1105</v>
      </c>
      <c r="AM262" s="81">
        <f>IF(Valores!$C$57*D262&gt;Valores!$F$57,Valores!$F$57,Valores!$C$57*D262)</f>
        <v>154.7</v>
      </c>
      <c r="AN262" s="83">
        <f t="shared" si="44"/>
        <v>1784.15</v>
      </c>
      <c r="AO262" s="62">
        <f>AI262*-Valores!$C$65</f>
        <v>-2513.6061600000003</v>
      </c>
      <c r="AP262" s="62">
        <f>AI262*-Valores!$C$66</f>
        <v>-96.67716</v>
      </c>
      <c r="AQ262" s="78">
        <f>AI262*-Valores!$C$67</f>
        <v>-870.09444</v>
      </c>
      <c r="AR262" s="78">
        <f>AI262*-Valores!$C$68</f>
        <v>-522.0566640000001</v>
      </c>
      <c r="AS262" s="78">
        <f>AI262*-Valores!$C$69</f>
        <v>-58.006296000000006</v>
      </c>
      <c r="AT262" s="82">
        <f t="shared" si="40"/>
        <v>17639.204240000003</v>
      </c>
      <c r="AU262" s="82">
        <f t="shared" si="41"/>
        <v>17929.235720000004</v>
      </c>
      <c r="AV262" s="78">
        <f>AI262*Valores!$C$71</f>
        <v>3093.66912</v>
      </c>
      <c r="AW262" s="78">
        <f>AI262*Valores!$C$72</f>
        <v>870.09444</v>
      </c>
      <c r="AX262" s="78">
        <f>AI262*Valores!$C$73</f>
        <v>193.35432</v>
      </c>
      <c r="AY262" s="78">
        <f>AI262*Valores!$C$75</f>
        <v>676.74012</v>
      </c>
      <c r="AZ262" s="78">
        <f>AI262*Valores!$C$76</f>
        <v>116.01259200000001</v>
      </c>
      <c r="BA262" s="78">
        <f t="shared" si="45"/>
        <v>1044.1133280000001</v>
      </c>
      <c r="BB262" s="52"/>
      <c r="BC262" s="52">
        <f t="shared" si="49"/>
        <v>68</v>
      </c>
      <c r="BD262" s="28" t="s">
        <v>4</v>
      </c>
    </row>
    <row r="263" spans="1:56" s="28" customFormat="1" ht="11.25" customHeight="1">
      <c r="A263" s="52">
        <v>262</v>
      </c>
      <c r="B263" s="52"/>
      <c r="C263" s="28" t="s">
        <v>522</v>
      </c>
      <c r="D263" s="28">
        <v>18</v>
      </c>
      <c r="E263" s="28">
        <f aca="true" t="shared" si="51" ref="E263:E326">LEN(F263)</f>
        <v>34</v>
      </c>
      <c r="F263" s="72" t="str">
        <f>CONCATENATE("Hora Cátedra Enseñanza Media ",D263," hs")</f>
        <v>Hora Cátedra Enseñanza Media 18 hs</v>
      </c>
      <c r="G263" s="73">
        <f t="shared" si="50"/>
        <v>1422</v>
      </c>
      <c r="H263" s="74">
        <f>INT((G263*Valores!$C$2*100))/100</f>
        <v>9431.27</v>
      </c>
      <c r="I263" s="113">
        <v>0</v>
      </c>
      <c r="J263" s="76">
        <f>INT((I263*Valores!$C$2*100)+0.5)/100</f>
        <v>0</v>
      </c>
      <c r="K263" s="103">
        <v>0</v>
      </c>
      <c r="L263" s="76">
        <f>INT((K263*Valores!$C$2*100)+0.5)/100</f>
        <v>0</v>
      </c>
      <c r="M263" s="101">
        <v>0</v>
      </c>
      <c r="N263" s="76">
        <f>INT((M263*Valores!$C$2*100)+0.5)/100</f>
        <v>0</v>
      </c>
      <c r="O263" s="76">
        <f aca="true" t="shared" si="52" ref="O263:O326">IF($J$2=0,IF(C263&lt;&gt;"13-930",(SUM(H263,J263,L263,N263,Z263,U263,T263)*$O$2),0),0)</f>
        <v>1705.2375</v>
      </c>
      <c r="P263" s="76">
        <f aca="true" t="shared" si="53" ref="P263:P327">SUM(H263,J263,L263,N263,Z263,T263)*$J$2</f>
        <v>0</v>
      </c>
      <c r="Q263" s="102">
        <f>Valores!$C$14*D263</f>
        <v>2883.42</v>
      </c>
      <c r="R263" s="102">
        <f>IF(D263&lt;15,(Valores!$E$4*D263),Valores!$D$4)</f>
        <v>2966.67</v>
      </c>
      <c r="S263" s="76">
        <v>0</v>
      </c>
      <c r="T263" s="79">
        <f>IF(Valores!$C$45*D263&gt;Valores!$C$43,Valores!$C$43,Valores!$C$45*D263)</f>
        <v>920.16</v>
      </c>
      <c r="U263" s="102">
        <f>Valores!$C$22*D263</f>
        <v>1016.82</v>
      </c>
      <c r="V263" s="76">
        <f t="shared" si="48"/>
        <v>1016.82</v>
      </c>
      <c r="W263" s="76">
        <v>0</v>
      </c>
      <c r="X263" s="76">
        <v>0</v>
      </c>
      <c r="Y263" s="119">
        <v>0</v>
      </c>
      <c r="Z263" s="76">
        <f>Y263*Valores!$C$2</f>
        <v>0</v>
      </c>
      <c r="AA263" s="76">
        <v>0</v>
      </c>
      <c r="AB263" s="81">
        <f>IF((Valores!$C$32)*D263&gt;Valores!$F$32,Valores!$F$32,(Valores!$C$32)*D263)</f>
        <v>115.56</v>
      </c>
      <c r="AC263" s="76">
        <f t="shared" si="42"/>
        <v>0</v>
      </c>
      <c r="AD263" s="76">
        <f>IF(Valores!$C$33*D263&gt;Valores!$F$33,Valores!$F$33,Valores!$C$33*D263)</f>
        <v>96.12</v>
      </c>
      <c r="AE263" s="80">
        <v>0</v>
      </c>
      <c r="AF263" s="76">
        <f>INT(((AE263*Valores!$C$2)*100)+0.5)/100</f>
        <v>0</v>
      </c>
      <c r="AG263" s="76">
        <f>IF(Valores!$D$58*'Escala Docente'!D263&gt;Valores!$F$58,Valores!$F$58,Valores!$D$58*'Escala Docente'!D263)</f>
        <v>391.14</v>
      </c>
      <c r="AH263" s="76">
        <f>IF(Valores!$D$60*D263&gt;Valores!$F$60,Valores!$F$60,Valores!$D$60*D263)</f>
        <v>111.78</v>
      </c>
      <c r="AI263" s="115">
        <f t="shared" si="43"/>
        <v>19638.177499999998</v>
      </c>
      <c r="AJ263" s="102">
        <f>IF(Valores!$C$36*D263&gt;Valores!$F$36,Valores!$F$36,Valores!$C$36*D263)</f>
        <v>719.1</v>
      </c>
      <c r="AK263" s="79">
        <f>IF(Valores!$C$11*D263&gt;Valores!$F$11,Valores!$F$11,Valores!$C$11*D263)</f>
        <v>0</v>
      </c>
      <c r="AL263" s="79">
        <f>IF(Valores!$C$84*D263&gt;Valores!$C$83,Valores!$C$83,Valores!$C$84*D263)</f>
        <v>1170</v>
      </c>
      <c r="AM263" s="81">
        <f>IF(Valores!$C$57*D263&gt;Valores!$F$57,Valores!$F$57,Valores!$C$57*D263)</f>
        <v>163.79999999999998</v>
      </c>
      <c r="AN263" s="83">
        <f t="shared" si="44"/>
        <v>1889.1</v>
      </c>
      <c r="AO263" s="62">
        <f>AI263*-Valores!$C$65</f>
        <v>-2552.9630749999997</v>
      </c>
      <c r="AP263" s="62">
        <f>AI263*-Valores!$C$66</f>
        <v>-98.19088749999999</v>
      </c>
      <c r="AQ263" s="78">
        <f>AI263*-Valores!$C$67</f>
        <v>-883.7179874999998</v>
      </c>
      <c r="AR263" s="78">
        <f>AI263*-Valores!$C$68</f>
        <v>-530.2307924999999</v>
      </c>
      <c r="AS263" s="78">
        <f>AI263*-Valores!$C$69</f>
        <v>-58.91453249999999</v>
      </c>
      <c r="AT263" s="82">
        <f aca="true" t="shared" si="54" ref="AT263:AT327">AI263+AN263+AP263+AQ263+AO263</f>
        <v>17992.405549999996</v>
      </c>
      <c r="AU263" s="82">
        <f aca="true" t="shared" si="55" ref="AU263:AU327">AI263+AN263+AP263+AR263+AO263+AS263</f>
        <v>18286.9782125</v>
      </c>
      <c r="AV263" s="78">
        <f>AI263*Valores!$C$71</f>
        <v>3142.1083999999996</v>
      </c>
      <c r="AW263" s="78">
        <f>AI263*Valores!$C$72</f>
        <v>883.7179874999998</v>
      </c>
      <c r="AX263" s="78">
        <f>AI263*Valores!$C$73</f>
        <v>196.38177499999998</v>
      </c>
      <c r="AY263" s="78">
        <f>AI263*Valores!$C$75</f>
        <v>687.3362125</v>
      </c>
      <c r="AZ263" s="78">
        <f>AI263*Valores!$C$76</f>
        <v>117.82906499999999</v>
      </c>
      <c r="BA263" s="78">
        <f t="shared" si="45"/>
        <v>1060.461585</v>
      </c>
      <c r="BB263" s="52"/>
      <c r="BC263" s="52">
        <f t="shared" si="49"/>
        <v>72</v>
      </c>
      <c r="BD263" s="28" t="s">
        <v>4</v>
      </c>
    </row>
    <row r="264" spans="1:56" s="28" customFormat="1" ht="11.25" customHeight="1">
      <c r="A264" s="52">
        <v>263</v>
      </c>
      <c r="B264" s="52"/>
      <c r="C264" s="28" t="s">
        <v>522</v>
      </c>
      <c r="D264" s="28">
        <v>18</v>
      </c>
      <c r="E264" s="28">
        <f t="shared" si="51"/>
        <v>42</v>
      </c>
      <c r="F264" s="72" t="str">
        <f>CONCATENATE("Hora Cátedra Enseñanza Media ",D264," hs Esc Esp")</f>
        <v>Hora Cátedra Enseñanza Media 18 hs Esc Esp</v>
      </c>
      <c r="G264" s="73">
        <f t="shared" si="50"/>
        <v>1422</v>
      </c>
      <c r="H264" s="74">
        <f>INT((G264*Valores!$C$2*100))/100</f>
        <v>9431.27</v>
      </c>
      <c r="I264" s="113">
        <v>0</v>
      </c>
      <c r="J264" s="76">
        <f>INT((I264*Valores!$C$2*100)+0.5)/100</f>
        <v>0</v>
      </c>
      <c r="K264" s="103">
        <v>0</v>
      </c>
      <c r="L264" s="76">
        <f>INT((K264*Valores!$C$2*100)+0.5)/100</f>
        <v>0</v>
      </c>
      <c r="M264" s="101">
        <v>0</v>
      </c>
      <c r="N264" s="76">
        <f>INT((M264*Valores!$C$2*100)+0.5)/100</f>
        <v>0</v>
      </c>
      <c r="O264" s="76">
        <f t="shared" si="52"/>
        <v>1705.2375</v>
      </c>
      <c r="P264" s="76">
        <f t="shared" si="53"/>
        <v>0</v>
      </c>
      <c r="Q264" s="102">
        <f>Valores!$C$14*D264</f>
        <v>2883.42</v>
      </c>
      <c r="R264" s="102">
        <f>IF(D264&lt;15,(Valores!$E$4*D264),Valores!$D$4)</f>
        <v>2966.67</v>
      </c>
      <c r="S264" s="76">
        <v>0</v>
      </c>
      <c r="T264" s="79">
        <f>IF(Valores!$C$45*D264&gt;Valores!$C$43,Valores!$C$43,Valores!$C$45*D264)</f>
        <v>920.16</v>
      </c>
      <c r="U264" s="102">
        <f>Valores!$C$22*D264</f>
        <v>1016.82</v>
      </c>
      <c r="V264" s="76">
        <f t="shared" si="48"/>
        <v>1016.82</v>
      </c>
      <c r="W264" s="76">
        <v>0</v>
      </c>
      <c r="X264" s="76">
        <v>0</v>
      </c>
      <c r="Y264" s="119">
        <v>0</v>
      </c>
      <c r="Z264" s="76">
        <f>Y264*Valores!$C$2</f>
        <v>0</v>
      </c>
      <c r="AA264" s="76">
        <v>0</v>
      </c>
      <c r="AB264" s="81">
        <f>IF((Valores!$C$32)*D264&gt;Valores!$F$32,Valores!$F$32,(Valores!$C$32)*D264)</f>
        <v>115.56</v>
      </c>
      <c r="AC264" s="76">
        <f aca="true" t="shared" si="56" ref="AC264:AC327">SUM(H264,J264,L264,Z264,T264)*$H$3/100</f>
        <v>0</v>
      </c>
      <c r="AD264" s="76">
        <f>IF(Valores!$C$33*D264&gt;Valores!$F$33,Valores!$F$33,Valores!$C$33*D264)</f>
        <v>96.12</v>
      </c>
      <c r="AE264" s="80">
        <v>94</v>
      </c>
      <c r="AF264" s="76">
        <f>INT(((AE264*Valores!$C$2)*100)+0.5)/100</f>
        <v>623.45</v>
      </c>
      <c r="AG264" s="76">
        <f>IF(Valores!$D$58*'Escala Docente'!D264&gt;Valores!$F$58,Valores!$F$58,Valores!$D$58*'Escala Docente'!D264)</f>
        <v>391.14</v>
      </c>
      <c r="AH264" s="76">
        <f>IF(Valores!$D$60*D264&gt;Valores!$F$60,Valores!$F$60,Valores!$D$60*D264)</f>
        <v>111.78</v>
      </c>
      <c r="AI264" s="115">
        <f aca="true" t="shared" si="57" ref="AI264:AI327">SUM(H264,J264,L264,N264,O264,P264,Q264,R264,S264,V264,W264,X264,Z264,AA264,AB264,AC264,AD264,AF264,T264,AG264,AH264)</f>
        <v>20261.6275</v>
      </c>
      <c r="AJ264" s="102">
        <f>IF(Valores!$C$36*D264&gt;Valores!$F$36,Valores!$F$36,Valores!$C$36*D264)</f>
        <v>719.1</v>
      </c>
      <c r="AK264" s="79">
        <f>IF(Valores!$C$11*D264&gt;Valores!$F$11,Valores!$F$11,Valores!$C$11*D264)</f>
        <v>0</v>
      </c>
      <c r="AL264" s="79">
        <f>IF(Valores!$C$84*D264&gt;Valores!$C$83,Valores!$C$83,Valores!$C$84*D264)</f>
        <v>1170</v>
      </c>
      <c r="AM264" s="81">
        <f>IF(Valores!$C$57*D264&gt;Valores!$F$57,Valores!$F$57,Valores!$C$57*D264)</f>
        <v>163.79999999999998</v>
      </c>
      <c r="AN264" s="83">
        <f aca="true" t="shared" si="58" ref="AN264:AN327">IF($H$4="SI",SUM(AJ264:AL264,AM264),SUM(AJ264:AL264))</f>
        <v>1889.1</v>
      </c>
      <c r="AO264" s="62">
        <f>AI264*-Valores!$C$65</f>
        <v>-2634.011575</v>
      </c>
      <c r="AP264" s="62">
        <f>AI264*-Valores!$C$66</f>
        <v>-101.3081375</v>
      </c>
      <c r="AQ264" s="78">
        <f>AI264*-Valores!$C$67</f>
        <v>-911.7732374999999</v>
      </c>
      <c r="AR264" s="78">
        <f>AI264*-Valores!$C$68</f>
        <v>-547.0639424999999</v>
      </c>
      <c r="AS264" s="78">
        <f>AI264*-Valores!$C$69</f>
        <v>-60.784882499999995</v>
      </c>
      <c r="AT264" s="82">
        <f t="shared" si="54"/>
        <v>18503.634549999995</v>
      </c>
      <c r="AU264" s="82">
        <f t="shared" si="55"/>
        <v>18807.558962499996</v>
      </c>
      <c r="AV264" s="78">
        <f>AI264*Valores!$C$71</f>
        <v>3241.8604</v>
      </c>
      <c r="AW264" s="78">
        <f>AI264*Valores!$C$72</f>
        <v>911.7732374999999</v>
      </c>
      <c r="AX264" s="78">
        <f>AI264*Valores!$C$73</f>
        <v>202.616275</v>
      </c>
      <c r="AY264" s="78">
        <f>AI264*Valores!$C$75</f>
        <v>709.1569625000001</v>
      </c>
      <c r="AZ264" s="78">
        <f>AI264*Valores!$C$76</f>
        <v>121.56976499999999</v>
      </c>
      <c r="BA264" s="78">
        <f t="shared" si="45"/>
        <v>1094.1278849999999</v>
      </c>
      <c r="BB264" s="52"/>
      <c r="BC264" s="86">
        <f t="shared" si="49"/>
        <v>72</v>
      </c>
      <c r="BD264" s="28" t="s">
        <v>4</v>
      </c>
    </row>
    <row r="265" spans="1:56" s="28" customFormat="1" ht="11.25" customHeight="1">
      <c r="A265" s="52">
        <v>264</v>
      </c>
      <c r="B265" s="52"/>
      <c r="C265" s="28" t="s">
        <v>522</v>
      </c>
      <c r="D265" s="28">
        <v>19</v>
      </c>
      <c r="E265" s="28">
        <f t="shared" si="51"/>
        <v>34</v>
      </c>
      <c r="F265" s="72" t="str">
        <f>CONCATENATE("Hora Cátedra Enseñanza Media ",D265," hs")</f>
        <v>Hora Cátedra Enseñanza Media 19 hs</v>
      </c>
      <c r="G265" s="73">
        <f t="shared" si="50"/>
        <v>1501</v>
      </c>
      <c r="H265" s="74">
        <f>INT((G265*Valores!$C$2*100))/100</f>
        <v>9955.23</v>
      </c>
      <c r="I265" s="113">
        <v>0</v>
      </c>
      <c r="J265" s="76">
        <f>INT((I265*Valores!$C$2*100)+0.5)/100</f>
        <v>0</v>
      </c>
      <c r="K265" s="103">
        <v>0</v>
      </c>
      <c r="L265" s="76">
        <f>INT((K265*Valores!$C$2*100)+0.5)/100</f>
        <v>0</v>
      </c>
      <c r="M265" s="101">
        <v>0</v>
      </c>
      <c r="N265" s="76">
        <f>INT((M265*Valores!$C$2*100)+0.5)/100</f>
        <v>0</v>
      </c>
      <c r="O265" s="76">
        <f t="shared" si="52"/>
        <v>1799.973</v>
      </c>
      <c r="P265" s="76">
        <f t="shared" si="53"/>
        <v>0</v>
      </c>
      <c r="Q265" s="102">
        <f>Valores!$C$14*D265</f>
        <v>3043.61</v>
      </c>
      <c r="R265" s="102">
        <f>IF(D265&lt;15,(Valores!$E$4*D265),Valores!$D$4)</f>
        <v>2966.67</v>
      </c>
      <c r="S265" s="76">
        <v>0</v>
      </c>
      <c r="T265" s="79">
        <f>IF(Valores!$C$45*D265&gt;Valores!$C$43,Valores!$C$43,Valores!$C$45*D265)</f>
        <v>971.28</v>
      </c>
      <c r="U265" s="102">
        <f>Valores!$C$22*D265</f>
        <v>1073.31</v>
      </c>
      <c r="V265" s="76">
        <f t="shared" si="48"/>
        <v>1073.31</v>
      </c>
      <c r="W265" s="76">
        <v>0</v>
      </c>
      <c r="X265" s="76">
        <v>0</v>
      </c>
      <c r="Y265" s="119">
        <v>0</v>
      </c>
      <c r="Z265" s="76">
        <f>Y265*Valores!$C$2</f>
        <v>0</v>
      </c>
      <c r="AA265" s="76">
        <v>0</v>
      </c>
      <c r="AB265" s="81">
        <f>IF((Valores!$C$32)*D265&gt;Valores!$F$32,Valores!$F$32,(Valores!$C$32)*D265)</f>
        <v>121.98</v>
      </c>
      <c r="AC265" s="76">
        <f t="shared" si="56"/>
        <v>0</v>
      </c>
      <c r="AD265" s="76">
        <f>IF(Valores!$C$33*D265&gt;Valores!$F$33,Valores!$F$33,Valores!$C$33*D265)</f>
        <v>101.46</v>
      </c>
      <c r="AE265" s="80">
        <v>0</v>
      </c>
      <c r="AF265" s="76">
        <f>INT(((AE265*Valores!$C$2)*100)+0.5)/100</f>
        <v>0</v>
      </c>
      <c r="AG265" s="76">
        <f>IF(Valores!$D$58*'Escala Docente'!D265&gt;Valores!$F$58,Valores!$F$58,Valores!$D$58*'Escala Docente'!D265)</f>
        <v>412.87</v>
      </c>
      <c r="AH265" s="76">
        <f>IF(Valores!$D$60*D265&gt;Valores!$F$60,Valores!$F$60,Valores!$D$60*D265)</f>
        <v>117.99</v>
      </c>
      <c r="AI265" s="115">
        <f t="shared" si="57"/>
        <v>20564.373</v>
      </c>
      <c r="AJ265" s="102">
        <f>IF(Valores!$C$36*D265&gt;Valores!$F$36,Valores!$F$36,Valores!$C$36*D265)</f>
        <v>759.0500000000001</v>
      </c>
      <c r="AK265" s="79">
        <f>IF(Valores!$C$11*D265&gt;Valores!$F$11,Valores!$F$11,Valores!$C$11*D265)</f>
        <v>0</v>
      </c>
      <c r="AL265" s="79">
        <f>IF(Valores!$C$84*D265&gt;Valores!$C$83,Valores!$C$83,Valores!$C$84*D265)</f>
        <v>1235</v>
      </c>
      <c r="AM265" s="81">
        <f>IF(Valores!$C$57*D265&gt;Valores!$F$57,Valores!$F$57,Valores!$C$57*D265)</f>
        <v>172.9</v>
      </c>
      <c r="AN265" s="83">
        <f t="shared" si="58"/>
        <v>1994.0500000000002</v>
      </c>
      <c r="AO265" s="62">
        <f>AI265*-Valores!$C$65</f>
        <v>-2673.36849</v>
      </c>
      <c r="AP265" s="62">
        <f>AI265*-Valores!$C$66</f>
        <v>-102.821865</v>
      </c>
      <c r="AQ265" s="78">
        <f>AI265*-Valores!$C$67</f>
        <v>-925.3967849999999</v>
      </c>
      <c r="AR265" s="78">
        <f>AI265*-Valores!$C$68</f>
        <v>-555.238071</v>
      </c>
      <c r="AS265" s="78">
        <f>AI265*-Valores!$C$69</f>
        <v>-61.693119</v>
      </c>
      <c r="AT265" s="82">
        <f t="shared" si="54"/>
        <v>18856.835859999996</v>
      </c>
      <c r="AU265" s="82">
        <f t="shared" si="55"/>
        <v>19165.301454999997</v>
      </c>
      <c r="AV265" s="78">
        <f>AI265*Valores!$C$71</f>
        <v>3290.29968</v>
      </c>
      <c r="AW265" s="78">
        <f>AI265*Valores!$C$72</f>
        <v>925.3967849999999</v>
      </c>
      <c r="AX265" s="78">
        <f>AI265*Valores!$C$73</f>
        <v>205.64373</v>
      </c>
      <c r="AY265" s="78">
        <f>AI265*Valores!$C$75</f>
        <v>719.753055</v>
      </c>
      <c r="AZ265" s="78">
        <f>AI265*Valores!$C$76</f>
        <v>123.386238</v>
      </c>
      <c r="BA265" s="78">
        <f aca="true" t="shared" si="59" ref="BA265:BA327">AI265*5.4/100</f>
        <v>1110.4761420000002</v>
      </c>
      <c r="BB265" s="52"/>
      <c r="BC265" s="52">
        <f t="shared" si="49"/>
        <v>76</v>
      </c>
      <c r="BD265" s="28" t="s">
        <v>4</v>
      </c>
    </row>
    <row r="266" spans="1:56" s="28" customFormat="1" ht="11.25" customHeight="1">
      <c r="A266" s="86">
        <v>265</v>
      </c>
      <c r="B266" s="86" t="s">
        <v>163</v>
      </c>
      <c r="C266" s="87" t="s">
        <v>522</v>
      </c>
      <c r="D266" s="87">
        <v>19</v>
      </c>
      <c r="E266" s="87">
        <f t="shared" si="51"/>
        <v>42</v>
      </c>
      <c r="F266" s="88" t="str">
        <f>CONCATENATE("Hora Cátedra Enseñanza Media ",D266," hs Esc Esp")</f>
        <v>Hora Cátedra Enseñanza Media 19 hs Esc Esp</v>
      </c>
      <c r="G266" s="89">
        <f t="shared" si="50"/>
        <v>1501</v>
      </c>
      <c r="H266" s="90">
        <f>INT((G266*Valores!$C$2*100))/100</f>
        <v>9955.23</v>
      </c>
      <c r="I266" s="104">
        <v>0</v>
      </c>
      <c r="J266" s="92">
        <f>INT((I266*Valores!$C$2*100)+0.5)/100</f>
        <v>0</v>
      </c>
      <c r="K266" s="105">
        <v>0</v>
      </c>
      <c r="L266" s="92">
        <f>INT((K266*Valores!$C$2*100)+0.5)/100</f>
        <v>0</v>
      </c>
      <c r="M266" s="106">
        <v>0</v>
      </c>
      <c r="N266" s="92">
        <f>INT((M266*Valores!$C$2*100)+0.5)/100</f>
        <v>0</v>
      </c>
      <c r="O266" s="92">
        <f t="shared" si="52"/>
        <v>1799.973</v>
      </c>
      <c r="P266" s="92">
        <f t="shared" si="53"/>
        <v>0</v>
      </c>
      <c r="Q266" s="108">
        <f>Valores!$C$14*D266</f>
        <v>3043.61</v>
      </c>
      <c r="R266" s="108">
        <f>IF(D266&lt;15,(Valores!$E$4*D266),Valores!$D$4)</f>
        <v>2966.67</v>
      </c>
      <c r="S266" s="92">
        <v>0</v>
      </c>
      <c r="T266" s="95">
        <f>IF(Valores!$C$45*D266&gt;Valores!$C$43,Valores!$C$43,Valores!$C$45*D266)</f>
        <v>971.28</v>
      </c>
      <c r="U266" s="108">
        <f>Valores!$C$22*D266</f>
        <v>1073.31</v>
      </c>
      <c r="V266" s="92">
        <f t="shared" si="48"/>
        <v>1073.31</v>
      </c>
      <c r="W266" s="92">
        <v>0</v>
      </c>
      <c r="X266" s="92">
        <v>0</v>
      </c>
      <c r="Y266" s="120">
        <v>0</v>
      </c>
      <c r="Z266" s="92">
        <f>Y266*Valores!$C$2</f>
        <v>0</v>
      </c>
      <c r="AA266" s="92">
        <v>0</v>
      </c>
      <c r="AB266" s="97">
        <f>IF((Valores!$C$32)*D266&gt;Valores!$F$32,Valores!$F$32,(Valores!$C$32)*D266)</f>
        <v>121.98</v>
      </c>
      <c r="AC266" s="92">
        <f t="shared" si="56"/>
        <v>0</v>
      </c>
      <c r="AD266" s="92">
        <f>IF(Valores!$C$33*D266&gt;Valores!$F$33,Valores!$F$33,Valores!$C$33*D266)</f>
        <v>101.46</v>
      </c>
      <c r="AE266" s="96">
        <v>94</v>
      </c>
      <c r="AF266" s="92">
        <f>INT(((AE266*Valores!$C$2)*100)+0.5)/100</f>
        <v>623.45</v>
      </c>
      <c r="AG266" s="92">
        <f>IF(Valores!$D$58*'Escala Docente'!D266&gt;Valores!$F$58,Valores!$F$58,Valores!$D$58*'Escala Docente'!D266)</f>
        <v>412.87</v>
      </c>
      <c r="AH266" s="92">
        <f>IF(Valores!$D$60*D266&gt;Valores!$F$60,Valores!$F$60,Valores!$D$60*D266)</f>
        <v>117.99</v>
      </c>
      <c r="AI266" s="116">
        <f t="shared" si="57"/>
        <v>21187.823</v>
      </c>
      <c r="AJ266" s="108">
        <f>IF(Valores!$C$36*D266&gt;Valores!$F$36,Valores!$F$36,Valores!$C$36*D266)</f>
        <v>759.0500000000001</v>
      </c>
      <c r="AK266" s="95">
        <f>IF(Valores!$C$11*D266&gt;Valores!$F$11,Valores!$F$11,Valores!$C$11*D266)</f>
        <v>0</v>
      </c>
      <c r="AL266" s="95">
        <f>IF(Valores!$C$84*D266&gt;Valores!$C$83,Valores!$C$83,Valores!$C$84*D266)</f>
        <v>1235</v>
      </c>
      <c r="AM266" s="97">
        <f>IF(Valores!$C$57*D266&gt;Valores!$F$57,Valores!$F$57,Valores!$C$57*D266)</f>
        <v>172.9</v>
      </c>
      <c r="AN266" s="99">
        <f t="shared" si="58"/>
        <v>1994.0500000000002</v>
      </c>
      <c r="AO266" s="117">
        <f>AI266*-Valores!$C$65</f>
        <v>-2754.41699</v>
      </c>
      <c r="AP266" s="117">
        <f>AI266*-Valores!$C$66</f>
        <v>-105.939115</v>
      </c>
      <c r="AQ266" s="94">
        <f>AI266*-Valores!$C$67</f>
        <v>-953.452035</v>
      </c>
      <c r="AR266" s="94">
        <f>AI266*-Valores!$C$68</f>
        <v>-572.071221</v>
      </c>
      <c r="AS266" s="94">
        <f>AI266*-Valores!$C$69</f>
        <v>-63.563469000000005</v>
      </c>
      <c r="AT266" s="98">
        <f t="shared" si="54"/>
        <v>19368.06486</v>
      </c>
      <c r="AU266" s="98">
        <f t="shared" si="55"/>
        <v>19685.882204999998</v>
      </c>
      <c r="AV266" s="94">
        <f>AI266*Valores!$C$71</f>
        <v>3390.05168</v>
      </c>
      <c r="AW266" s="94">
        <f>AI266*Valores!$C$72</f>
        <v>953.452035</v>
      </c>
      <c r="AX266" s="94">
        <f>AI266*Valores!$C$73</f>
        <v>211.87823</v>
      </c>
      <c r="AY266" s="94">
        <f>AI266*Valores!$C$75</f>
        <v>741.5738050000001</v>
      </c>
      <c r="AZ266" s="94">
        <f>AI266*Valores!$C$76</f>
        <v>127.12693800000001</v>
      </c>
      <c r="BA266" s="94">
        <f t="shared" si="59"/>
        <v>1144.142442</v>
      </c>
      <c r="BB266" s="86"/>
      <c r="BC266" s="86">
        <f t="shared" si="49"/>
        <v>76</v>
      </c>
      <c r="BD266" s="87" t="s">
        <v>4</v>
      </c>
    </row>
    <row r="267" spans="1:56" s="28" customFormat="1" ht="11.25" customHeight="1">
      <c r="A267" s="52">
        <v>266</v>
      </c>
      <c r="B267" s="52"/>
      <c r="C267" s="28" t="s">
        <v>522</v>
      </c>
      <c r="D267" s="28">
        <v>20</v>
      </c>
      <c r="E267" s="28">
        <f t="shared" si="51"/>
        <v>34</v>
      </c>
      <c r="F267" s="72" t="str">
        <f>CONCATENATE("Hora Cátedra Enseñanza Media ",D267," hs")</f>
        <v>Hora Cátedra Enseñanza Media 20 hs</v>
      </c>
      <c r="G267" s="73">
        <f t="shared" si="50"/>
        <v>1580</v>
      </c>
      <c r="H267" s="74">
        <f>INT((G267*Valores!$C$2*100))/100</f>
        <v>10479.19</v>
      </c>
      <c r="I267" s="113">
        <v>0</v>
      </c>
      <c r="J267" s="76">
        <f>INT((I267*Valores!$C$2*100)+0.5)/100</f>
        <v>0</v>
      </c>
      <c r="K267" s="103">
        <v>0</v>
      </c>
      <c r="L267" s="76">
        <f>INT((K267*Valores!$C$2*100)+0.5)/100</f>
        <v>0</v>
      </c>
      <c r="M267" s="101">
        <v>0</v>
      </c>
      <c r="N267" s="76">
        <f>INT((M267*Valores!$C$2*100)+0.5)/100</f>
        <v>0</v>
      </c>
      <c r="O267" s="76">
        <f t="shared" si="52"/>
        <v>1894.7084999999997</v>
      </c>
      <c r="P267" s="76">
        <f t="shared" si="53"/>
        <v>0</v>
      </c>
      <c r="Q267" s="102">
        <f>Valores!$C$14*D267</f>
        <v>3203.8</v>
      </c>
      <c r="R267" s="102">
        <f>IF(D267&lt;15,(Valores!$E$4*D267),Valores!$D$4)</f>
        <v>2966.67</v>
      </c>
      <c r="S267" s="76">
        <v>0</v>
      </c>
      <c r="T267" s="79">
        <f>IF(Valores!$C$45*D267&gt;Valores!$C$43,Valores!$C$43,Valores!$C$45*D267)</f>
        <v>1022.4</v>
      </c>
      <c r="U267" s="102">
        <f>Valores!$C$22*D267</f>
        <v>1129.8</v>
      </c>
      <c r="V267" s="76">
        <f t="shared" si="48"/>
        <v>1129.8</v>
      </c>
      <c r="W267" s="76">
        <v>0</v>
      </c>
      <c r="X267" s="76">
        <v>0</v>
      </c>
      <c r="Y267" s="119">
        <v>0</v>
      </c>
      <c r="Z267" s="76">
        <f>Y267*Valores!$C$2</f>
        <v>0</v>
      </c>
      <c r="AA267" s="76">
        <v>0</v>
      </c>
      <c r="AB267" s="81">
        <f>IF((Valores!$C$32)*D267&gt;Valores!$F$32,Valores!$F$32,(Valores!$C$32)*D267)</f>
        <v>128.4</v>
      </c>
      <c r="AC267" s="76">
        <f t="shared" si="56"/>
        <v>0</v>
      </c>
      <c r="AD267" s="76">
        <f>IF(Valores!$C$33*D267&gt;Valores!$F$33,Valores!$F$33,Valores!$C$33*D267)</f>
        <v>106.8</v>
      </c>
      <c r="AE267" s="80">
        <v>0</v>
      </c>
      <c r="AF267" s="76">
        <f>INT(((AE267*Valores!$C$2)*100)+0.5)/100</f>
        <v>0</v>
      </c>
      <c r="AG267" s="76">
        <f>IF(Valores!$D$58*'Escala Docente'!D267&gt;Valores!$F$58,Valores!$F$58,Valores!$D$58*'Escala Docente'!D267)</f>
        <v>434.6</v>
      </c>
      <c r="AH267" s="76">
        <f>IF(Valores!$D$60*D267&gt;Valores!$F$60,Valores!$F$60,Valores!$D$60*D267)</f>
        <v>124.2</v>
      </c>
      <c r="AI267" s="115">
        <f t="shared" si="57"/>
        <v>21490.568499999998</v>
      </c>
      <c r="AJ267" s="102">
        <f>IF(Valores!$C$36*D267&gt;Valores!$F$36,Valores!$F$36,Valores!$C$36*D267)</f>
        <v>799</v>
      </c>
      <c r="AK267" s="79">
        <f>IF(Valores!$C$11*D267&gt;Valores!$F$11,Valores!$F$11,Valores!$C$11*D267)</f>
        <v>0</v>
      </c>
      <c r="AL267" s="79">
        <f>IF(Valores!$C$84*D267&gt;Valores!$C$83,Valores!$C$83,Valores!$C$84*D267)</f>
        <v>1300</v>
      </c>
      <c r="AM267" s="81">
        <f>IF(Valores!$C$57*D267&gt;Valores!$F$57,Valores!$F$57,Valores!$C$57*D267)</f>
        <v>182</v>
      </c>
      <c r="AN267" s="83">
        <f t="shared" si="58"/>
        <v>2099</v>
      </c>
      <c r="AO267" s="62">
        <f>AI267*-Valores!$C$65</f>
        <v>-2793.7739049999996</v>
      </c>
      <c r="AP267" s="62">
        <f>AI267*-Valores!$C$66</f>
        <v>-107.45284249999999</v>
      </c>
      <c r="AQ267" s="78">
        <f>AI267*-Valores!$C$67</f>
        <v>-967.0755824999999</v>
      </c>
      <c r="AR267" s="78">
        <f>AI267*-Valores!$C$68</f>
        <v>-580.2453495</v>
      </c>
      <c r="AS267" s="78">
        <f>AI267*-Valores!$C$69</f>
        <v>-64.4717055</v>
      </c>
      <c r="AT267" s="82">
        <f t="shared" si="54"/>
        <v>19721.26617</v>
      </c>
      <c r="AU267" s="82">
        <f t="shared" si="55"/>
        <v>20043.6246975</v>
      </c>
      <c r="AV267" s="78">
        <f>AI267*Valores!$C$71</f>
        <v>3438.4909599999996</v>
      </c>
      <c r="AW267" s="78">
        <f>AI267*Valores!$C$72</f>
        <v>967.0755824999999</v>
      </c>
      <c r="AX267" s="78">
        <f>AI267*Valores!$C$73</f>
        <v>214.90568499999998</v>
      </c>
      <c r="AY267" s="78">
        <f>AI267*Valores!$C$75</f>
        <v>752.1698974999999</v>
      </c>
      <c r="AZ267" s="78">
        <f>AI267*Valores!$C$76</f>
        <v>128.943411</v>
      </c>
      <c r="BA267" s="78">
        <f t="shared" si="59"/>
        <v>1160.490699</v>
      </c>
      <c r="BB267" s="52"/>
      <c r="BC267" s="52">
        <f t="shared" si="49"/>
        <v>80</v>
      </c>
      <c r="BD267" s="28" t="s">
        <v>4</v>
      </c>
    </row>
    <row r="268" spans="1:56" s="28" customFormat="1" ht="11.25" customHeight="1">
      <c r="A268" s="52">
        <v>267</v>
      </c>
      <c r="B268" s="52"/>
      <c r="C268" s="28" t="s">
        <v>522</v>
      </c>
      <c r="D268" s="28">
        <v>20</v>
      </c>
      <c r="E268" s="28">
        <f t="shared" si="51"/>
        <v>42</v>
      </c>
      <c r="F268" s="72" t="str">
        <f>CONCATENATE("Hora Cátedra Enseñanza Media ",D268," hs Esc Esp")</f>
        <v>Hora Cátedra Enseñanza Media 20 hs Esc Esp</v>
      </c>
      <c r="G268" s="73">
        <f t="shared" si="50"/>
        <v>1580</v>
      </c>
      <c r="H268" s="74">
        <f>INT((G268*Valores!$C$2*100))/100</f>
        <v>10479.19</v>
      </c>
      <c r="I268" s="113">
        <v>0</v>
      </c>
      <c r="J268" s="76">
        <f>INT((I268*Valores!$C$2*100)+0.5)/100</f>
        <v>0</v>
      </c>
      <c r="K268" s="103">
        <v>0</v>
      </c>
      <c r="L268" s="76">
        <f>INT((K268*Valores!$C$2*100)+0.5)/100</f>
        <v>0</v>
      </c>
      <c r="M268" s="101">
        <v>0</v>
      </c>
      <c r="N268" s="76">
        <f>INT((M268*Valores!$C$2*100)+0.5)/100</f>
        <v>0</v>
      </c>
      <c r="O268" s="76">
        <f t="shared" si="52"/>
        <v>1894.7084999999997</v>
      </c>
      <c r="P268" s="76">
        <f t="shared" si="53"/>
        <v>0</v>
      </c>
      <c r="Q268" s="102">
        <f>Valores!$C$14*D268</f>
        <v>3203.8</v>
      </c>
      <c r="R268" s="102">
        <f>IF(D268&lt;15,(Valores!$E$4*D268),Valores!$D$4)</f>
        <v>2966.67</v>
      </c>
      <c r="S268" s="76">
        <v>0</v>
      </c>
      <c r="T268" s="79">
        <f>IF(Valores!$C$45*D268&gt;Valores!$C$43,Valores!$C$43,Valores!$C$45*D268)</f>
        <v>1022.4</v>
      </c>
      <c r="U268" s="102">
        <f>Valores!$C$22*D268</f>
        <v>1129.8</v>
      </c>
      <c r="V268" s="76">
        <f t="shared" si="48"/>
        <v>1129.8</v>
      </c>
      <c r="W268" s="76">
        <v>0</v>
      </c>
      <c r="X268" s="76">
        <v>0</v>
      </c>
      <c r="Y268" s="119">
        <v>0</v>
      </c>
      <c r="Z268" s="76">
        <f>Y268*Valores!$C$2</f>
        <v>0</v>
      </c>
      <c r="AA268" s="76">
        <v>0</v>
      </c>
      <c r="AB268" s="81">
        <f>IF((Valores!$C$32)*D268&gt;Valores!$F$32,Valores!$F$32,(Valores!$C$32)*D268)</f>
        <v>128.4</v>
      </c>
      <c r="AC268" s="76">
        <f t="shared" si="56"/>
        <v>0</v>
      </c>
      <c r="AD268" s="76">
        <f>IF(Valores!$C$33*D268&gt;Valores!$F$33,Valores!$F$33,Valores!$C$33*D268)</f>
        <v>106.8</v>
      </c>
      <c r="AE268" s="80">
        <v>94</v>
      </c>
      <c r="AF268" s="76">
        <f>INT(((AE268*Valores!$C$2)*100)+0.5)/100</f>
        <v>623.45</v>
      </c>
      <c r="AG268" s="76">
        <f>IF(Valores!$D$58*'Escala Docente'!D268&gt;Valores!$F$58,Valores!$F$58,Valores!$D$58*'Escala Docente'!D268)</f>
        <v>434.6</v>
      </c>
      <c r="AH268" s="76">
        <f>IF(Valores!$D$60*D268&gt;Valores!$F$60,Valores!$F$60,Valores!$D$60*D268)</f>
        <v>124.2</v>
      </c>
      <c r="AI268" s="115">
        <f t="shared" si="57"/>
        <v>22114.0185</v>
      </c>
      <c r="AJ268" s="102">
        <f>IF(Valores!$C$36*D268&gt;Valores!$F$36,Valores!$F$36,Valores!$C$36*D268)</f>
        <v>799</v>
      </c>
      <c r="AK268" s="79">
        <f>IF(Valores!$C$11*D268&gt;Valores!$F$11,Valores!$F$11,Valores!$C$11*D268)</f>
        <v>0</v>
      </c>
      <c r="AL268" s="79">
        <f>IF(Valores!$C$84*D268&gt;Valores!$C$83,Valores!$C$83,Valores!$C$84*D268)</f>
        <v>1300</v>
      </c>
      <c r="AM268" s="81">
        <f>IF(Valores!$C$57*D268&gt;Valores!$F$57,Valores!$F$57,Valores!$C$57*D268)</f>
        <v>182</v>
      </c>
      <c r="AN268" s="83">
        <f t="shared" si="58"/>
        <v>2099</v>
      </c>
      <c r="AO268" s="62">
        <f>AI268*-Valores!$C$65</f>
        <v>-2874.822405</v>
      </c>
      <c r="AP268" s="62">
        <f>AI268*-Valores!$C$66</f>
        <v>-110.57009249999999</v>
      </c>
      <c r="AQ268" s="78">
        <f>AI268*-Valores!$C$67</f>
        <v>-995.1308324999999</v>
      </c>
      <c r="AR268" s="78">
        <f>AI268*-Valores!$C$68</f>
        <v>-597.0784994999999</v>
      </c>
      <c r="AS268" s="78">
        <f>AI268*-Valores!$C$69</f>
        <v>-66.3420555</v>
      </c>
      <c r="AT268" s="82">
        <f t="shared" si="54"/>
        <v>20232.495170000002</v>
      </c>
      <c r="AU268" s="82">
        <f t="shared" si="55"/>
        <v>20564.2054475</v>
      </c>
      <c r="AV268" s="78">
        <f>AI268*Valores!$C$71</f>
        <v>3538.2429599999996</v>
      </c>
      <c r="AW268" s="78">
        <f>AI268*Valores!$C$72</f>
        <v>995.1308324999999</v>
      </c>
      <c r="AX268" s="78">
        <f>AI268*Valores!$C$73</f>
        <v>221.14018499999997</v>
      </c>
      <c r="AY268" s="78">
        <f>AI268*Valores!$C$75</f>
        <v>773.9906475</v>
      </c>
      <c r="AZ268" s="78">
        <f>AI268*Valores!$C$76</f>
        <v>132.684111</v>
      </c>
      <c r="BA268" s="78">
        <f t="shared" si="59"/>
        <v>1194.1569989999998</v>
      </c>
      <c r="BB268" s="52"/>
      <c r="BC268" s="52">
        <f t="shared" si="49"/>
        <v>80</v>
      </c>
      <c r="BD268" s="28" t="s">
        <v>4</v>
      </c>
    </row>
    <row r="269" spans="1:56" s="28" customFormat="1" ht="11.25" customHeight="1">
      <c r="A269" s="52">
        <v>268</v>
      </c>
      <c r="B269" s="52"/>
      <c r="C269" s="28" t="s">
        <v>522</v>
      </c>
      <c r="D269" s="28">
        <v>21</v>
      </c>
      <c r="E269" s="28">
        <f t="shared" si="51"/>
        <v>34</v>
      </c>
      <c r="F269" s="72" t="str">
        <f>CONCATENATE("Hora Cátedra Enseñanza Media ",D269," hs")</f>
        <v>Hora Cátedra Enseñanza Media 21 hs</v>
      </c>
      <c r="G269" s="73">
        <f t="shared" si="50"/>
        <v>1659</v>
      </c>
      <c r="H269" s="74">
        <f>INT((G269*Valores!$C$2*100))/100</f>
        <v>11003.15</v>
      </c>
      <c r="I269" s="113">
        <v>0</v>
      </c>
      <c r="J269" s="76">
        <f>INT((I269*Valores!$C$2*100)+0.5)/100</f>
        <v>0</v>
      </c>
      <c r="K269" s="103">
        <v>0</v>
      </c>
      <c r="L269" s="76">
        <f>INT((K269*Valores!$C$2*100)+0.5)/100</f>
        <v>0</v>
      </c>
      <c r="M269" s="101">
        <v>0</v>
      </c>
      <c r="N269" s="76">
        <f>INT((M269*Valores!$C$2*100)+0.5)/100</f>
        <v>0</v>
      </c>
      <c r="O269" s="76">
        <f t="shared" si="52"/>
        <v>1989.4439999999997</v>
      </c>
      <c r="P269" s="76">
        <f t="shared" si="53"/>
        <v>0</v>
      </c>
      <c r="Q269" s="102">
        <f>Valores!$C$14*D269</f>
        <v>3363.99</v>
      </c>
      <c r="R269" s="102">
        <f>IF(D269&lt;15,(Valores!$E$4*D269),Valores!$D$4)</f>
        <v>2966.67</v>
      </c>
      <c r="S269" s="76">
        <v>0</v>
      </c>
      <c r="T269" s="79">
        <f>IF(Valores!$C$45*D269&gt;Valores!$C$43,Valores!$C$43,Valores!$C$45*D269)</f>
        <v>1073.52</v>
      </c>
      <c r="U269" s="102">
        <f>Valores!$C$22*D269</f>
        <v>1186.29</v>
      </c>
      <c r="V269" s="76">
        <f t="shared" si="48"/>
        <v>1186.29</v>
      </c>
      <c r="W269" s="76">
        <v>0</v>
      </c>
      <c r="X269" s="76">
        <v>0</v>
      </c>
      <c r="Y269" s="119">
        <v>0</v>
      </c>
      <c r="Z269" s="76">
        <f>Y269*Valores!$C$2</f>
        <v>0</v>
      </c>
      <c r="AA269" s="76">
        <v>0</v>
      </c>
      <c r="AB269" s="81">
        <f>IF((Valores!$C$32)*D269&gt;Valores!$F$32,Valores!$F$32,(Valores!$C$32)*D269)</f>
        <v>134.82</v>
      </c>
      <c r="AC269" s="76">
        <f t="shared" si="56"/>
        <v>0</v>
      </c>
      <c r="AD269" s="76">
        <f>IF(Valores!$C$33*D269&gt;Valores!$F$33,Valores!$F$33,Valores!$C$33*D269)</f>
        <v>112.14</v>
      </c>
      <c r="AE269" s="80">
        <v>0</v>
      </c>
      <c r="AF269" s="76">
        <f>INT(((AE269*Valores!$C$2)*100)+0.5)/100</f>
        <v>0</v>
      </c>
      <c r="AG269" s="76">
        <f>IF(Valores!$D$58*'Escala Docente'!D269&gt;Valores!$F$58,Valores!$F$58,Valores!$D$58*'Escala Docente'!D269)</f>
        <v>456.33</v>
      </c>
      <c r="AH269" s="76">
        <f>IF(Valores!$D$60*D269&gt;Valores!$F$60,Valores!$F$60,Valores!$D$60*D269)</f>
        <v>130.41</v>
      </c>
      <c r="AI269" s="115">
        <f t="shared" si="57"/>
        <v>22416.764000000003</v>
      </c>
      <c r="AJ269" s="102">
        <f>IF(Valores!$C$36*D269&gt;Valores!$F$36,Valores!$F$36,Valores!$C$36*D269)</f>
        <v>838.95</v>
      </c>
      <c r="AK269" s="79">
        <f>IF(Valores!$C$11*D269&gt;Valores!$F$11,Valores!$F$11,Valores!$C$11*D269)</f>
        <v>0</v>
      </c>
      <c r="AL269" s="79">
        <f>IF(Valores!$C$84*D269&gt;Valores!$C$83,Valores!$C$83,Valores!$C$84*D269)</f>
        <v>1365</v>
      </c>
      <c r="AM269" s="81">
        <f>IF(Valores!$C$57*D269&gt;Valores!$F$57,Valores!$F$57,Valores!$C$57*D269)</f>
        <v>191.1</v>
      </c>
      <c r="AN269" s="83">
        <f t="shared" si="58"/>
        <v>2203.95</v>
      </c>
      <c r="AO269" s="62">
        <f>AI269*-Valores!$C$65</f>
        <v>-2914.1793200000006</v>
      </c>
      <c r="AP269" s="62">
        <f>AI269*-Valores!$C$66</f>
        <v>-112.08382000000002</v>
      </c>
      <c r="AQ269" s="78">
        <f>AI269*-Valores!$C$67</f>
        <v>-1008.7543800000001</v>
      </c>
      <c r="AR269" s="78">
        <f>AI269*-Valores!$C$68</f>
        <v>-605.2526280000001</v>
      </c>
      <c r="AS269" s="78">
        <f>AI269*-Valores!$C$69</f>
        <v>-67.25029200000002</v>
      </c>
      <c r="AT269" s="82">
        <f t="shared" si="54"/>
        <v>20585.696480000006</v>
      </c>
      <c r="AU269" s="82">
        <f t="shared" si="55"/>
        <v>20921.947940000005</v>
      </c>
      <c r="AV269" s="78">
        <f>AI269*Valores!$C$71</f>
        <v>3586.6822400000005</v>
      </c>
      <c r="AW269" s="78">
        <f>AI269*Valores!$C$72</f>
        <v>1008.7543800000001</v>
      </c>
      <c r="AX269" s="78">
        <f>AI269*Valores!$C$73</f>
        <v>224.16764000000003</v>
      </c>
      <c r="AY269" s="78">
        <f>AI269*Valores!$C$75</f>
        <v>784.5867400000002</v>
      </c>
      <c r="AZ269" s="78">
        <f>AI269*Valores!$C$76</f>
        <v>134.50058400000003</v>
      </c>
      <c r="BA269" s="78">
        <f t="shared" si="59"/>
        <v>1210.5052560000001</v>
      </c>
      <c r="BB269" s="52"/>
      <c r="BC269" s="86">
        <f t="shared" si="49"/>
        <v>84</v>
      </c>
      <c r="BD269" s="28" t="s">
        <v>4</v>
      </c>
    </row>
    <row r="270" spans="1:56" s="28" customFormat="1" ht="11.25" customHeight="1">
      <c r="A270" s="52">
        <v>269</v>
      </c>
      <c r="B270" s="52"/>
      <c r="C270" s="28" t="s">
        <v>522</v>
      </c>
      <c r="D270" s="28">
        <v>21</v>
      </c>
      <c r="E270" s="28">
        <f t="shared" si="51"/>
        <v>42</v>
      </c>
      <c r="F270" s="72" t="str">
        <f>CONCATENATE("Hora Cátedra Enseñanza Media ",D270," hs Esc Esp")</f>
        <v>Hora Cátedra Enseñanza Media 21 hs Esc Esp</v>
      </c>
      <c r="G270" s="73">
        <f t="shared" si="50"/>
        <v>1659</v>
      </c>
      <c r="H270" s="74">
        <f>INT((G270*Valores!$C$2*100))/100</f>
        <v>11003.15</v>
      </c>
      <c r="I270" s="113">
        <v>0</v>
      </c>
      <c r="J270" s="76">
        <f>INT((I270*Valores!$C$2*100)+0.5)/100</f>
        <v>0</v>
      </c>
      <c r="K270" s="103">
        <v>0</v>
      </c>
      <c r="L270" s="76">
        <f>INT((K270*Valores!$C$2*100)+0.5)/100</f>
        <v>0</v>
      </c>
      <c r="M270" s="101">
        <v>0</v>
      </c>
      <c r="N270" s="76">
        <f>INT((M270*Valores!$C$2*100)+0.5)/100</f>
        <v>0</v>
      </c>
      <c r="O270" s="76">
        <f t="shared" si="52"/>
        <v>1989.4439999999997</v>
      </c>
      <c r="P270" s="76">
        <f t="shared" si="53"/>
        <v>0</v>
      </c>
      <c r="Q270" s="102">
        <f>Valores!$C$14*D270</f>
        <v>3363.99</v>
      </c>
      <c r="R270" s="102">
        <f>IF(D270&lt;15,(Valores!$E$4*D270),Valores!$D$4)</f>
        <v>2966.67</v>
      </c>
      <c r="S270" s="76">
        <v>0</v>
      </c>
      <c r="T270" s="79">
        <f>IF(Valores!$C$45*D270&gt;Valores!$C$43,Valores!$C$43,Valores!$C$45*D270)</f>
        <v>1073.52</v>
      </c>
      <c r="U270" s="102">
        <f>Valores!$C$22*D270</f>
        <v>1186.29</v>
      </c>
      <c r="V270" s="76">
        <f t="shared" si="48"/>
        <v>1186.29</v>
      </c>
      <c r="W270" s="76">
        <v>0</v>
      </c>
      <c r="X270" s="76">
        <v>0</v>
      </c>
      <c r="Y270" s="119">
        <v>0</v>
      </c>
      <c r="Z270" s="76">
        <f>Y270*Valores!$C$2</f>
        <v>0</v>
      </c>
      <c r="AA270" s="76">
        <v>0</v>
      </c>
      <c r="AB270" s="81">
        <f>IF((Valores!$C$32)*D270&gt;Valores!$F$32,Valores!$F$32,(Valores!$C$32)*D270)</f>
        <v>134.82</v>
      </c>
      <c r="AC270" s="76">
        <f t="shared" si="56"/>
        <v>0</v>
      </c>
      <c r="AD270" s="76">
        <f>IF(Valores!$C$33*D270&gt;Valores!$F$33,Valores!$F$33,Valores!$C$33*D270)</f>
        <v>112.14</v>
      </c>
      <c r="AE270" s="80">
        <v>94</v>
      </c>
      <c r="AF270" s="76">
        <f>INT(((AE270*Valores!$C$2)*100)+0.5)/100</f>
        <v>623.45</v>
      </c>
      <c r="AG270" s="76">
        <f>IF(Valores!$D$58*'Escala Docente'!D270&gt;Valores!$F$58,Valores!$F$58,Valores!$D$58*'Escala Docente'!D270)</f>
        <v>456.33</v>
      </c>
      <c r="AH270" s="76">
        <f>IF(Valores!$D$60*D270&gt;Valores!$F$60,Valores!$F$60,Valores!$D$60*D270)</f>
        <v>130.41</v>
      </c>
      <c r="AI270" s="115">
        <f t="shared" si="57"/>
        <v>23040.214000000004</v>
      </c>
      <c r="AJ270" s="102">
        <f>IF(Valores!$C$36*D270&gt;Valores!$F$36,Valores!$F$36,Valores!$C$36*D270)</f>
        <v>838.95</v>
      </c>
      <c r="AK270" s="79">
        <f>IF(Valores!$C$11*D270&gt;Valores!$F$11,Valores!$F$11,Valores!$C$11*D270)</f>
        <v>0</v>
      </c>
      <c r="AL270" s="79">
        <f>IF(Valores!$C$84*D270&gt;Valores!$C$83,Valores!$C$83,Valores!$C$84*D270)</f>
        <v>1365</v>
      </c>
      <c r="AM270" s="81">
        <f>IF(Valores!$C$57*D270&gt;Valores!$F$57,Valores!$F$57,Valores!$C$57*D270)</f>
        <v>191.1</v>
      </c>
      <c r="AN270" s="83">
        <f t="shared" si="58"/>
        <v>2203.95</v>
      </c>
      <c r="AO270" s="62">
        <f>AI270*-Valores!$C$65</f>
        <v>-2995.2278200000005</v>
      </c>
      <c r="AP270" s="62">
        <f>AI270*-Valores!$C$66</f>
        <v>-115.20107000000002</v>
      </c>
      <c r="AQ270" s="78">
        <f>AI270*-Valores!$C$67</f>
        <v>-1036.8096300000002</v>
      </c>
      <c r="AR270" s="78">
        <f>AI270*-Valores!$C$68</f>
        <v>-622.0857780000001</v>
      </c>
      <c r="AS270" s="78">
        <f>AI270*-Valores!$C$69</f>
        <v>-69.12064200000002</v>
      </c>
      <c r="AT270" s="82">
        <f t="shared" si="54"/>
        <v>21096.925480000005</v>
      </c>
      <c r="AU270" s="82">
        <f t="shared" si="55"/>
        <v>21442.528690000003</v>
      </c>
      <c r="AV270" s="78">
        <f>AI270*Valores!$C$71</f>
        <v>3686.4342400000005</v>
      </c>
      <c r="AW270" s="78">
        <f>AI270*Valores!$C$72</f>
        <v>1036.8096300000002</v>
      </c>
      <c r="AX270" s="78">
        <f>AI270*Valores!$C$73</f>
        <v>230.40214000000003</v>
      </c>
      <c r="AY270" s="78">
        <f>AI270*Valores!$C$75</f>
        <v>806.4074900000002</v>
      </c>
      <c r="AZ270" s="78">
        <f>AI270*Valores!$C$76</f>
        <v>138.24128400000004</v>
      </c>
      <c r="BA270" s="78">
        <f t="shared" si="59"/>
        <v>1244.1715560000002</v>
      </c>
      <c r="BB270" s="52"/>
      <c r="BC270" s="52">
        <f t="shared" si="49"/>
        <v>84</v>
      </c>
      <c r="BD270" s="28" t="s">
        <v>4</v>
      </c>
    </row>
    <row r="271" spans="1:56" s="28" customFormat="1" ht="11.25" customHeight="1">
      <c r="A271" s="86">
        <v>270</v>
      </c>
      <c r="B271" s="86" t="s">
        <v>163</v>
      </c>
      <c r="C271" s="87" t="s">
        <v>522</v>
      </c>
      <c r="D271" s="87">
        <v>22</v>
      </c>
      <c r="E271" s="87">
        <f t="shared" si="51"/>
        <v>34</v>
      </c>
      <c r="F271" s="88" t="str">
        <f>CONCATENATE("Hora Cátedra Enseñanza Media ",D271," hs")</f>
        <v>Hora Cátedra Enseñanza Media 22 hs</v>
      </c>
      <c r="G271" s="89">
        <f t="shared" si="50"/>
        <v>1738</v>
      </c>
      <c r="H271" s="90">
        <f>INT((G271*Valores!$C$2*100))/100</f>
        <v>11527.11</v>
      </c>
      <c r="I271" s="104">
        <v>0</v>
      </c>
      <c r="J271" s="92">
        <f>INT((I271*Valores!$C$2*100)+0.5)/100</f>
        <v>0</v>
      </c>
      <c r="K271" s="105">
        <v>0</v>
      </c>
      <c r="L271" s="92">
        <f>INT((K271*Valores!$C$2*100)+0.5)/100</f>
        <v>0</v>
      </c>
      <c r="M271" s="106">
        <v>0</v>
      </c>
      <c r="N271" s="92">
        <f>INT((M271*Valores!$C$2*100)+0.5)/100</f>
        <v>0</v>
      </c>
      <c r="O271" s="92">
        <f t="shared" si="52"/>
        <v>2084.1795</v>
      </c>
      <c r="P271" s="92">
        <f t="shared" si="53"/>
        <v>0</v>
      </c>
      <c r="Q271" s="108">
        <f>Valores!$C$14*D271</f>
        <v>3524.18</v>
      </c>
      <c r="R271" s="108">
        <f>IF(D271&lt;15,(Valores!$E$4*D271),Valores!$D$4)</f>
        <v>2966.67</v>
      </c>
      <c r="S271" s="92">
        <v>0</v>
      </c>
      <c r="T271" s="95">
        <f>IF(Valores!$C$45*D271&gt;Valores!$C$43,Valores!$C$43,Valores!$C$45*D271)</f>
        <v>1124.6399999999999</v>
      </c>
      <c r="U271" s="108">
        <f>Valores!$C$22*D271</f>
        <v>1242.78</v>
      </c>
      <c r="V271" s="92">
        <f t="shared" si="48"/>
        <v>1242.78</v>
      </c>
      <c r="W271" s="92">
        <v>0</v>
      </c>
      <c r="X271" s="92">
        <v>0</v>
      </c>
      <c r="Y271" s="120">
        <v>0</v>
      </c>
      <c r="Z271" s="92">
        <f>Y271*Valores!$C$2</f>
        <v>0</v>
      </c>
      <c r="AA271" s="92">
        <v>0</v>
      </c>
      <c r="AB271" s="97">
        <f>IF((Valores!$C$32)*D271&gt;Valores!$F$32,Valores!$F$32,(Valores!$C$32)*D271)</f>
        <v>141.24</v>
      </c>
      <c r="AC271" s="92">
        <f t="shared" si="56"/>
        <v>0</v>
      </c>
      <c r="AD271" s="92">
        <f>IF(Valores!$C$33*D271&gt;Valores!$F$33,Valores!$F$33,Valores!$C$33*D271)</f>
        <v>117.47999999999999</v>
      </c>
      <c r="AE271" s="96">
        <v>0</v>
      </c>
      <c r="AF271" s="92">
        <f>INT(((AE271*Valores!$C$2)*100)+0.5)/100</f>
        <v>0</v>
      </c>
      <c r="AG271" s="92">
        <f>IF(Valores!$D$58*'Escala Docente'!D271&gt;Valores!$F$58,Valores!$F$58,Valores!$D$58*'Escala Docente'!D271)</f>
        <v>478.06</v>
      </c>
      <c r="AH271" s="92">
        <f>IF(Valores!$D$60*D271&gt;Valores!$F$60,Valores!$F$60,Valores!$D$60*D271)</f>
        <v>136.62</v>
      </c>
      <c r="AI271" s="116">
        <f t="shared" si="57"/>
        <v>23342.959499999997</v>
      </c>
      <c r="AJ271" s="108">
        <f>IF(Valores!$C$36*D271&gt;Valores!$F$36,Valores!$F$36,Valores!$C$36*D271)</f>
        <v>878.9000000000001</v>
      </c>
      <c r="AK271" s="95">
        <f>IF(Valores!$C$11*D271&gt;Valores!$F$11,Valores!$F$11,Valores!$C$11*D271)</f>
        <v>0</v>
      </c>
      <c r="AL271" s="95">
        <f>IF(Valores!$C$84*D271&gt;Valores!$C$83,Valores!$C$83,Valores!$C$84*D271)</f>
        <v>1430</v>
      </c>
      <c r="AM271" s="97">
        <f>IF(Valores!$C$57*D271&gt;Valores!$F$57,Valores!$F$57,Valores!$C$57*D271)</f>
        <v>200.2</v>
      </c>
      <c r="AN271" s="99">
        <f t="shared" si="58"/>
        <v>2308.9</v>
      </c>
      <c r="AO271" s="117">
        <f>AI271*-Valores!$C$65</f>
        <v>-3034.584735</v>
      </c>
      <c r="AP271" s="117">
        <f>AI271*-Valores!$C$66</f>
        <v>-116.71479749999999</v>
      </c>
      <c r="AQ271" s="94">
        <f>AI271*-Valores!$C$67</f>
        <v>-1050.4331774999998</v>
      </c>
      <c r="AR271" s="94">
        <f>AI271*-Valores!$C$68</f>
        <v>-630.2599064999999</v>
      </c>
      <c r="AS271" s="94">
        <f>AI271*-Valores!$C$69</f>
        <v>-70.02887849999999</v>
      </c>
      <c r="AT271" s="98">
        <f t="shared" si="54"/>
        <v>21450.12679</v>
      </c>
      <c r="AU271" s="98">
        <f t="shared" si="55"/>
        <v>21800.271182499997</v>
      </c>
      <c r="AV271" s="94">
        <f>AI271*Valores!$C$71</f>
        <v>3734.8735199999996</v>
      </c>
      <c r="AW271" s="94">
        <f>AI271*Valores!$C$72</f>
        <v>1050.4331774999998</v>
      </c>
      <c r="AX271" s="94">
        <f>AI271*Valores!$C$73</f>
        <v>233.42959499999998</v>
      </c>
      <c r="AY271" s="94">
        <f>AI271*Valores!$C$75</f>
        <v>817.0035825</v>
      </c>
      <c r="AZ271" s="94">
        <f>AI271*Valores!$C$76</f>
        <v>140.05775699999998</v>
      </c>
      <c r="BA271" s="94">
        <f t="shared" si="59"/>
        <v>1260.5198129999999</v>
      </c>
      <c r="BB271" s="86"/>
      <c r="BC271" s="86">
        <f t="shared" si="49"/>
        <v>88</v>
      </c>
      <c r="BD271" s="87" t="s">
        <v>4</v>
      </c>
    </row>
    <row r="272" spans="1:56" s="28" customFormat="1" ht="11.25" customHeight="1">
      <c r="A272" s="52">
        <v>271</v>
      </c>
      <c r="B272" s="52"/>
      <c r="C272" s="28" t="s">
        <v>522</v>
      </c>
      <c r="D272" s="28">
        <v>22</v>
      </c>
      <c r="E272" s="28">
        <f t="shared" si="51"/>
        <v>42</v>
      </c>
      <c r="F272" s="72" t="str">
        <f>CONCATENATE("Hora Cátedra Enseñanza Media ",D272," hs Esc Esp")</f>
        <v>Hora Cátedra Enseñanza Media 22 hs Esc Esp</v>
      </c>
      <c r="G272" s="73">
        <f t="shared" si="50"/>
        <v>1738</v>
      </c>
      <c r="H272" s="74">
        <f>INT((G272*Valores!$C$2*100))/100</f>
        <v>11527.11</v>
      </c>
      <c r="I272" s="113">
        <v>0</v>
      </c>
      <c r="J272" s="76">
        <f>INT((I272*Valores!$C$2*100)+0.5)/100</f>
        <v>0</v>
      </c>
      <c r="K272" s="103">
        <v>0</v>
      </c>
      <c r="L272" s="76">
        <f>INT((K272*Valores!$C$2*100)+0.5)/100</f>
        <v>0</v>
      </c>
      <c r="M272" s="101">
        <v>0</v>
      </c>
      <c r="N272" s="76">
        <f>INT((M272*Valores!$C$2*100)+0.5)/100</f>
        <v>0</v>
      </c>
      <c r="O272" s="76">
        <f t="shared" si="52"/>
        <v>2084.1795</v>
      </c>
      <c r="P272" s="76">
        <f t="shared" si="53"/>
        <v>0</v>
      </c>
      <c r="Q272" s="102">
        <f>Valores!$C$14*D272</f>
        <v>3524.18</v>
      </c>
      <c r="R272" s="102">
        <f>IF(D272&lt;15,(Valores!$E$4*D272),Valores!$D$4)</f>
        <v>2966.67</v>
      </c>
      <c r="S272" s="76">
        <v>0</v>
      </c>
      <c r="T272" s="79">
        <f>IF(Valores!$C$45*D272&gt;Valores!$C$43,Valores!$C$43,Valores!$C$45*D272)</f>
        <v>1124.6399999999999</v>
      </c>
      <c r="U272" s="102">
        <f>Valores!$C$22*D272</f>
        <v>1242.78</v>
      </c>
      <c r="V272" s="76">
        <f t="shared" si="48"/>
        <v>1242.78</v>
      </c>
      <c r="W272" s="76">
        <v>0</v>
      </c>
      <c r="X272" s="76">
        <v>0</v>
      </c>
      <c r="Y272" s="119">
        <v>0</v>
      </c>
      <c r="Z272" s="76">
        <f>Y272*Valores!$C$2</f>
        <v>0</v>
      </c>
      <c r="AA272" s="76">
        <v>0</v>
      </c>
      <c r="AB272" s="81">
        <f>IF((Valores!$C$32)*D272&gt;Valores!$F$32,Valores!$F$32,(Valores!$C$32)*D272)</f>
        <v>141.24</v>
      </c>
      <c r="AC272" s="76">
        <f t="shared" si="56"/>
        <v>0</v>
      </c>
      <c r="AD272" s="76">
        <f>IF(Valores!$C$33*D272&gt;Valores!$F$33,Valores!$F$33,Valores!$C$33*D272)</f>
        <v>117.47999999999999</v>
      </c>
      <c r="AE272" s="80">
        <v>94</v>
      </c>
      <c r="AF272" s="76">
        <f>INT(((AE272*Valores!$C$2)*100)+0.5)/100</f>
        <v>623.45</v>
      </c>
      <c r="AG272" s="76">
        <f>IF(Valores!$D$58*'Escala Docente'!D272&gt;Valores!$F$58,Valores!$F$58,Valores!$D$58*'Escala Docente'!D272)</f>
        <v>478.06</v>
      </c>
      <c r="AH272" s="76">
        <f>IF(Valores!$D$60*D272&gt;Valores!$F$60,Valores!$F$60,Valores!$D$60*D272)</f>
        <v>136.62</v>
      </c>
      <c r="AI272" s="115">
        <f t="shared" si="57"/>
        <v>23966.409499999998</v>
      </c>
      <c r="AJ272" s="102">
        <f>IF(Valores!$C$36*D272&gt;Valores!$F$36,Valores!$F$36,Valores!$C$36*D272)</f>
        <v>878.9000000000001</v>
      </c>
      <c r="AK272" s="79">
        <f>IF(Valores!$C$11*D272&gt;Valores!$F$11,Valores!$F$11,Valores!$C$11*D272)</f>
        <v>0</v>
      </c>
      <c r="AL272" s="79">
        <f>IF(Valores!$C$84*D272&gt;Valores!$C$83,Valores!$C$83,Valores!$C$84*D272)</f>
        <v>1430</v>
      </c>
      <c r="AM272" s="81">
        <f>IF(Valores!$C$57*D272&gt;Valores!$F$57,Valores!$F$57,Valores!$C$57*D272)</f>
        <v>200.2</v>
      </c>
      <c r="AN272" s="83">
        <f t="shared" si="58"/>
        <v>2308.9</v>
      </c>
      <c r="AO272" s="62">
        <f>AI272*-Valores!$C$65</f>
        <v>-3115.633235</v>
      </c>
      <c r="AP272" s="62">
        <f>AI272*-Valores!$C$66</f>
        <v>-119.83204749999999</v>
      </c>
      <c r="AQ272" s="78">
        <f>AI272*-Valores!$C$67</f>
        <v>-1078.4884275</v>
      </c>
      <c r="AR272" s="78">
        <f>AI272*-Valores!$C$68</f>
        <v>-647.0930565</v>
      </c>
      <c r="AS272" s="78">
        <f>AI272*-Valores!$C$69</f>
        <v>-71.89922849999999</v>
      </c>
      <c r="AT272" s="82">
        <f t="shared" si="54"/>
        <v>21961.355789999998</v>
      </c>
      <c r="AU272" s="82">
        <f t="shared" si="55"/>
        <v>22320.851932499998</v>
      </c>
      <c r="AV272" s="78">
        <f>AI272*Valores!$C$71</f>
        <v>3834.6255199999996</v>
      </c>
      <c r="AW272" s="78">
        <f>AI272*Valores!$C$72</f>
        <v>1078.4884275</v>
      </c>
      <c r="AX272" s="78">
        <f>AI272*Valores!$C$73</f>
        <v>239.66409499999997</v>
      </c>
      <c r="AY272" s="78">
        <f>AI272*Valores!$C$75</f>
        <v>838.8243325</v>
      </c>
      <c r="AZ272" s="78">
        <f>AI272*Valores!$C$76</f>
        <v>143.79845699999998</v>
      </c>
      <c r="BA272" s="78">
        <f t="shared" si="59"/>
        <v>1294.186113</v>
      </c>
      <c r="BB272" s="52"/>
      <c r="BC272" s="52">
        <f t="shared" si="49"/>
        <v>88</v>
      </c>
      <c r="BD272" s="28" t="s">
        <v>4</v>
      </c>
    </row>
    <row r="273" spans="1:56" s="28" customFormat="1" ht="11.25" customHeight="1">
      <c r="A273" s="52">
        <v>272</v>
      </c>
      <c r="B273" s="52"/>
      <c r="C273" s="28" t="s">
        <v>522</v>
      </c>
      <c r="D273" s="28">
        <v>23</v>
      </c>
      <c r="E273" s="28">
        <f t="shared" si="51"/>
        <v>34</v>
      </c>
      <c r="F273" s="72" t="str">
        <f>CONCATENATE("Hora Cátedra Enseñanza Media ",D273," hs")</f>
        <v>Hora Cátedra Enseñanza Media 23 hs</v>
      </c>
      <c r="G273" s="73">
        <f t="shared" si="50"/>
        <v>1817</v>
      </c>
      <c r="H273" s="74">
        <f>INT((G273*Valores!$C$2*100))/100</f>
        <v>12051.07</v>
      </c>
      <c r="I273" s="113">
        <v>0</v>
      </c>
      <c r="J273" s="76">
        <f>INT((I273*Valores!$C$2*100)+0.5)/100</f>
        <v>0</v>
      </c>
      <c r="K273" s="103">
        <v>0</v>
      </c>
      <c r="L273" s="76">
        <f>INT((K273*Valores!$C$2*100)+0.5)/100</f>
        <v>0</v>
      </c>
      <c r="M273" s="101">
        <v>0</v>
      </c>
      <c r="N273" s="76">
        <f>INT((M273*Valores!$C$2*100)+0.5)/100</f>
        <v>0</v>
      </c>
      <c r="O273" s="76">
        <f t="shared" si="52"/>
        <v>2178.915</v>
      </c>
      <c r="P273" s="76">
        <f t="shared" si="53"/>
        <v>0</v>
      </c>
      <c r="Q273" s="102">
        <f>Valores!$C$14*D273</f>
        <v>3684.37</v>
      </c>
      <c r="R273" s="102">
        <f>IF(D273&lt;15,(Valores!$E$4*D273),Valores!$D$4)</f>
        <v>2966.67</v>
      </c>
      <c r="S273" s="76">
        <v>0</v>
      </c>
      <c r="T273" s="79">
        <f>IF(Valores!$C$45*D273&gt;Valores!$C$43,Valores!$C$43,Valores!$C$45*D273)</f>
        <v>1175.76</v>
      </c>
      <c r="U273" s="102">
        <f>Valores!$C$22*D273</f>
        <v>1299.27</v>
      </c>
      <c r="V273" s="76">
        <f t="shared" si="48"/>
        <v>1299.27</v>
      </c>
      <c r="W273" s="76">
        <v>0</v>
      </c>
      <c r="X273" s="76">
        <v>0</v>
      </c>
      <c r="Y273" s="119">
        <v>0</v>
      </c>
      <c r="Z273" s="76">
        <f>Y273*Valores!$C$2</f>
        <v>0</v>
      </c>
      <c r="AA273" s="76">
        <v>0</v>
      </c>
      <c r="AB273" s="81">
        <f>IF((Valores!$C$32)*D273&gt;Valores!$F$32,Valores!$F$32,(Valores!$C$32)*D273)</f>
        <v>147.66</v>
      </c>
      <c r="AC273" s="76">
        <f t="shared" si="56"/>
        <v>0</v>
      </c>
      <c r="AD273" s="76">
        <f>IF(Valores!$C$33*D273&gt;Valores!$F$33,Valores!$F$33,Valores!$C$33*D273)</f>
        <v>122.82</v>
      </c>
      <c r="AE273" s="80">
        <v>0</v>
      </c>
      <c r="AF273" s="76">
        <f>INT(((AE273*Valores!$C$2)*100)+0.5)/100</f>
        <v>0</v>
      </c>
      <c r="AG273" s="76">
        <f>IF(Valores!$D$58*'Escala Docente'!D273&gt;Valores!$F$58,Valores!$F$58,Valores!$D$58*'Escala Docente'!D273)</f>
        <v>499.79</v>
      </c>
      <c r="AH273" s="76">
        <f>IF(Valores!$D$60*D273&gt;Valores!$F$60,Valores!$F$60,Valores!$D$60*D273)</f>
        <v>142.83</v>
      </c>
      <c r="AI273" s="115">
        <f t="shared" si="57"/>
        <v>24269.155000000002</v>
      </c>
      <c r="AJ273" s="102">
        <f>IF(Valores!$C$36*D273&gt;Valores!$F$36,Valores!$F$36,Valores!$C$36*D273)</f>
        <v>918.85</v>
      </c>
      <c r="AK273" s="79">
        <f>IF(Valores!$C$11*D273&gt;Valores!$F$11,Valores!$F$11,Valores!$C$11*D273)</f>
        <v>0</v>
      </c>
      <c r="AL273" s="79">
        <f>IF(Valores!$C$84*D273&gt;Valores!$C$83,Valores!$C$83,Valores!$C$84*D273)</f>
        <v>1495</v>
      </c>
      <c r="AM273" s="81">
        <f>IF(Valores!$C$57*D273&gt;Valores!$F$57,Valores!$F$57,Valores!$C$57*D273)</f>
        <v>209.29999999999998</v>
      </c>
      <c r="AN273" s="83">
        <f t="shared" si="58"/>
        <v>2413.85</v>
      </c>
      <c r="AO273" s="62">
        <f>AI273*-Valores!$C$65</f>
        <v>-3154.9901500000005</v>
      </c>
      <c r="AP273" s="62">
        <f>AI273*-Valores!$C$66</f>
        <v>-121.34577500000002</v>
      </c>
      <c r="AQ273" s="78">
        <f>AI273*-Valores!$C$67</f>
        <v>-1092.111975</v>
      </c>
      <c r="AR273" s="78">
        <f>AI273*-Valores!$C$68</f>
        <v>-655.267185</v>
      </c>
      <c r="AS273" s="78">
        <f>AI273*-Valores!$C$69</f>
        <v>-72.80746500000001</v>
      </c>
      <c r="AT273" s="82">
        <f t="shared" si="54"/>
        <v>22314.557099999998</v>
      </c>
      <c r="AU273" s="82">
        <f t="shared" si="55"/>
        <v>22678.594424999996</v>
      </c>
      <c r="AV273" s="78">
        <f>AI273*Valores!$C$71</f>
        <v>3883.0648000000006</v>
      </c>
      <c r="AW273" s="78">
        <f>AI273*Valores!$C$72</f>
        <v>1092.111975</v>
      </c>
      <c r="AX273" s="78">
        <f>AI273*Valores!$C$73</f>
        <v>242.69155000000003</v>
      </c>
      <c r="AY273" s="78">
        <f>AI273*Valores!$C$75</f>
        <v>849.4204250000001</v>
      </c>
      <c r="AZ273" s="78">
        <f>AI273*Valores!$C$76</f>
        <v>145.61493000000002</v>
      </c>
      <c r="BA273" s="78">
        <f t="shared" si="59"/>
        <v>1310.5343700000003</v>
      </c>
      <c r="BB273" s="52"/>
      <c r="BC273" s="52">
        <f t="shared" si="49"/>
        <v>92</v>
      </c>
      <c r="BD273" s="28" t="s">
        <v>4</v>
      </c>
    </row>
    <row r="274" spans="1:56" s="28" customFormat="1" ht="11.25" customHeight="1">
      <c r="A274" s="52">
        <v>273</v>
      </c>
      <c r="B274" s="52"/>
      <c r="C274" s="28" t="s">
        <v>522</v>
      </c>
      <c r="D274" s="28">
        <v>23</v>
      </c>
      <c r="E274" s="28">
        <f t="shared" si="51"/>
        <v>42</v>
      </c>
      <c r="F274" s="72" t="str">
        <f>CONCATENATE("Hora Cátedra Enseñanza Media ",D274," hs Esc Esp")</f>
        <v>Hora Cátedra Enseñanza Media 23 hs Esc Esp</v>
      </c>
      <c r="G274" s="73">
        <f t="shared" si="50"/>
        <v>1817</v>
      </c>
      <c r="H274" s="74">
        <f>INT((G274*Valores!$C$2*100))/100</f>
        <v>12051.07</v>
      </c>
      <c r="I274" s="113">
        <v>0</v>
      </c>
      <c r="J274" s="76">
        <f>INT((I274*Valores!$C$2*100)+0.5)/100</f>
        <v>0</v>
      </c>
      <c r="K274" s="103">
        <v>0</v>
      </c>
      <c r="L274" s="76">
        <f>INT((K274*Valores!$C$2*100)+0.5)/100</f>
        <v>0</v>
      </c>
      <c r="M274" s="101">
        <v>0</v>
      </c>
      <c r="N274" s="76">
        <f>INT((M274*Valores!$C$2*100)+0.5)/100</f>
        <v>0</v>
      </c>
      <c r="O274" s="76">
        <f t="shared" si="52"/>
        <v>2178.915</v>
      </c>
      <c r="P274" s="76">
        <f t="shared" si="53"/>
        <v>0</v>
      </c>
      <c r="Q274" s="102">
        <f>Valores!$C$14*D274</f>
        <v>3684.37</v>
      </c>
      <c r="R274" s="102">
        <f>IF(D274&lt;15,(Valores!$E$4*D274),Valores!$D$4)</f>
        <v>2966.67</v>
      </c>
      <c r="S274" s="76">
        <v>0</v>
      </c>
      <c r="T274" s="79">
        <f>IF(Valores!$C$45*D274&gt;Valores!$C$43,Valores!$C$43,Valores!$C$45*D274)</f>
        <v>1175.76</v>
      </c>
      <c r="U274" s="102">
        <f>Valores!$C$22*D274</f>
        <v>1299.27</v>
      </c>
      <c r="V274" s="76">
        <f t="shared" si="48"/>
        <v>1299.27</v>
      </c>
      <c r="W274" s="76">
        <v>0</v>
      </c>
      <c r="X274" s="76">
        <v>0</v>
      </c>
      <c r="Y274" s="119">
        <v>0</v>
      </c>
      <c r="Z274" s="76">
        <f>Y274*Valores!$C$2</f>
        <v>0</v>
      </c>
      <c r="AA274" s="76">
        <v>0</v>
      </c>
      <c r="AB274" s="81">
        <f>IF((Valores!$C$32)*D274&gt;Valores!$F$32,Valores!$F$32,(Valores!$C$32)*D274)</f>
        <v>147.66</v>
      </c>
      <c r="AC274" s="76">
        <f t="shared" si="56"/>
        <v>0</v>
      </c>
      <c r="AD274" s="76">
        <f>IF(Valores!$C$33*D274&gt;Valores!$F$33,Valores!$F$33,Valores!$C$33*D274)</f>
        <v>122.82</v>
      </c>
      <c r="AE274" s="80">
        <v>94</v>
      </c>
      <c r="AF274" s="76">
        <f>INT(((AE274*Valores!$C$2)*100)+0.5)/100</f>
        <v>623.45</v>
      </c>
      <c r="AG274" s="76">
        <f>IF(Valores!$D$58*'Escala Docente'!D274&gt;Valores!$F$58,Valores!$F$58,Valores!$D$58*'Escala Docente'!D274)</f>
        <v>499.79</v>
      </c>
      <c r="AH274" s="76">
        <f>IF(Valores!$D$60*D274&gt;Valores!$F$60,Valores!$F$60,Valores!$D$60*D274)</f>
        <v>142.83</v>
      </c>
      <c r="AI274" s="115">
        <f t="shared" si="57"/>
        <v>24892.605000000003</v>
      </c>
      <c r="AJ274" s="102">
        <f>IF(Valores!$C$36*D274&gt;Valores!$F$36,Valores!$F$36,Valores!$C$36*D274)</f>
        <v>918.85</v>
      </c>
      <c r="AK274" s="79">
        <f>IF(Valores!$C$11*D274&gt;Valores!$F$11,Valores!$F$11,Valores!$C$11*D274)</f>
        <v>0</v>
      </c>
      <c r="AL274" s="79">
        <f>IF(Valores!$C$84*D274&gt;Valores!$C$83,Valores!$C$83,Valores!$C$84*D274)</f>
        <v>1495</v>
      </c>
      <c r="AM274" s="81">
        <f>IF(Valores!$C$57*D274&gt;Valores!$F$57,Valores!$F$57,Valores!$C$57*D274)</f>
        <v>209.29999999999998</v>
      </c>
      <c r="AN274" s="83">
        <f t="shared" si="58"/>
        <v>2413.85</v>
      </c>
      <c r="AO274" s="62">
        <f>AI274*-Valores!$C$65</f>
        <v>-3236.0386500000004</v>
      </c>
      <c r="AP274" s="62">
        <f>AI274*-Valores!$C$66</f>
        <v>-124.46302500000002</v>
      </c>
      <c r="AQ274" s="78">
        <f>AI274*-Valores!$C$67</f>
        <v>-1120.1672250000001</v>
      </c>
      <c r="AR274" s="78">
        <f>AI274*-Valores!$C$68</f>
        <v>-672.1003350000001</v>
      </c>
      <c r="AS274" s="78">
        <f>AI274*-Valores!$C$69</f>
        <v>-74.67781500000001</v>
      </c>
      <c r="AT274" s="82">
        <f t="shared" si="54"/>
        <v>22825.786099999998</v>
      </c>
      <c r="AU274" s="82">
        <f t="shared" si="55"/>
        <v>23199.175175</v>
      </c>
      <c r="AV274" s="78">
        <f>AI274*Valores!$C$71</f>
        <v>3982.8168000000005</v>
      </c>
      <c r="AW274" s="78">
        <f>AI274*Valores!$C$72</f>
        <v>1120.1672250000001</v>
      </c>
      <c r="AX274" s="78">
        <f>AI274*Valores!$C$73</f>
        <v>248.92605000000003</v>
      </c>
      <c r="AY274" s="78">
        <f>AI274*Valores!$C$75</f>
        <v>871.2411750000002</v>
      </c>
      <c r="AZ274" s="78">
        <f>AI274*Valores!$C$76</f>
        <v>149.35563000000002</v>
      </c>
      <c r="BA274" s="78">
        <f t="shared" si="59"/>
        <v>1344.2006700000004</v>
      </c>
      <c r="BB274" s="52"/>
      <c r="BC274" s="86">
        <f t="shared" si="49"/>
        <v>92</v>
      </c>
      <c r="BD274" s="28" t="s">
        <v>4</v>
      </c>
    </row>
    <row r="275" spans="1:56" s="28" customFormat="1" ht="11.25" customHeight="1">
      <c r="A275" s="52">
        <v>274</v>
      </c>
      <c r="B275" s="52"/>
      <c r="C275" s="28" t="s">
        <v>522</v>
      </c>
      <c r="D275" s="28">
        <v>24</v>
      </c>
      <c r="E275" s="28">
        <f t="shared" si="51"/>
        <v>34</v>
      </c>
      <c r="F275" s="72" t="str">
        <f>CONCATENATE("Hora Cátedra Enseñanza Media ",D275," hs")</f>
        <v>Hora Cátedra Enseñanza Media 24 hs</v>
      </c>
      <c r="G275" s="73">
        <f t="shared" si="50"/>
        <v>1896</v>
      </c>
      <c r="H275" s="74">
        <f>INT((G275*Valores!$C$2*100))/100</f>
        <v>12575.03</v>
      </c>
      <c r="I275" s="113">
        <v>0</v>
      </c>
      <c r="J275" s="76">
        <f>INT((I275*Valores!$C$2*100)+0.5)/100</f>
        <v>0</v>
      </c>
      <c r="K275" s="103">
        <v>0</v>
      </c>
      <c r="L275" s="76">
        <f>INT((K275*Valores!$C$2*100)+0.5)/100</f>
        <v>0</v>
      </c>
      <c r="M275" s="101">
        <v>0</v>
      </c>
      <c r="N275" s="76">
        <f>INT((M275*Valores!$C$2*100)+0.5)/100</f>
        <v>0</v>
      </c>
      <c r="O275" s="76">
        <f t="shared" si="52"/>
        <v>2273.6504999999997</v>
      </c>
      <c r="P275" s="76">
        <f t="shared" si="53"/>
        <v>0</v>
      </c>
      <c r="Q275" s="102">
        <f>Valores!$C$14*D275</f>
        <v>3844.56</v>
      </c>
      <c r="R275" s="102">
        <f>IF(D275&lt;15,(Valores!$E$4*D275),Valores!$D$4)</f>
        <v>2966.67</v>
      </c>
      <c r="S275" s="76">
        <v>0</v>
      </c>
      <c r="T275" s="79">
        <f>IF(Valores!$C$45*D275&gt;Valores!$C$43,Valores!$C$43,Valores!$C$45*D275)</f>
        <v>1226.8799999999999</v>
      </c>
      <c r="U275" s="102">
        <f>Valores!$C$22*D275</f>
        <v>1355.76</v>
      </c>
      <c r="V275" s="76">
        <f t="shared" si="48"/>
        <v>1355.76</v>
      </c>
      <c r="W275" s="76">
        <v>0</v>
      </c>
      <c r="X275" s="76">
        <v>0</v>
      </c>
      <c r="Y275" s="119">
        <v>0</v>
      </c>
      <c r="Z275" s="76">
        <f>Y275*Valores!$C$2</f>
        <v>0</v>
      </c>
      <c r="AA275" s="76">
        <v>0</v>
      </c>
      <c r="AB275" s="81">
        <f>IF((Valores!$C$32)*D275&gt;Valores!$F$32,Valores!$F$32,(Valores!$C$32)*D275)</f>
        <v>154.07999999999998</v>
      </c>
      <c r="AC275" s="76">
        <f t="shared" si="56"/>
        <v>0</v>
      </c>
      <c r="AD275" s="76">
        <f>IF(Valores!$C$33*D275&gt;Valores!$F$33,Valores!$F$33,Valores!$C$33*D275)</f>
        <v>128.16</v>
      </c>
      <c r="AE275" s="80">
        <v>0</v>
      </c>
      <c r="AF275" s="76">
        <f>INT(((AE275*Valores!$C$2)*100)+0.5)/100</f>
        <v>0</v>
      </c>
      <c r="AG275" s="76">
        <f>IF(Valores!$D$58*'Escala Docente'!D275&gt;Valores!$F$58,Valores!$F$58,Valores!$D$58*'Escala Docente'!D275)</f>
        <v>521.52</v>
      </c>
      <c r="AH275" s="76">
        <f>IF(Valores!$D$60*D275&gt;Valores!$F$60,Valores!$F$60,Valores!$D$60*D275)</f>
        <v>149.04</v>
      </c>
      <c r="AI275" s="115">
        <f t="shared" si="57"/>
        <v>25195.3505</v>
      </c>
      <c r="AJ275" s="102">
        <f>IF(Valores!$C$36*D275&gt;Valores!$F$36,Valores!$F$36,Valores!$C$36*D275)</f>
        <v>958.8000000000001</v>
      </c>
      <c r="AK275" s="79">
        <f>IF(Valores!$C$11*D275&gt;Valores!$F$11,Valores!$F$11,Valores!$C$11*D275)</f>
        <v>0</v>
      </c>
      <c r="AL275" s="79">
        <f>IF(Valores!$C$84*D275&gt;Valores!$C$83,Valores!$C$83,Valores!$C$84*D275)</f>
        <v>1560</v>
      </c>
      <c r="AM275" s="81">
        <f>IF(Valores!$C$57*D275&gt;Valores!$F$57,Valores!$F$57,Valores!$C$57*D275)</f>
        <v>218.39999999999998</v>
      </c>
      <c r="AN275" s="83">
        <f t="shared" si="58"/>
        <v>2518.8</v>
      </c>
      <c r="AO275" s="62">
        <f>AI275*-Valores!$C$65</f>
        <v>-3275.3955650000003</v>
      </c>
      <c r="AP275" s="62">
        <f>AI275*-Valores!$C$66</f>
        <v>-125.9767525</v>
      </c>
      <c r="AQ275" s="78">
        <f>AI275*-Valores!$C$67</f>
        <v>-1133.7907725</v>
      </c>
      <c r="AR275" s="78">
        <f>AI275*-Valores!$C$68</f>
        <v>-680.2744635</v>
      </c>
      <c r="AS275" s="78">
        <f>AI275*-Valores!$C$69</f>
        <v>-75.5860515</v>
      </c>
      <c r="AT275" s="82">
        <f t="shared" si="54"/>
        <v>23178.98741</v>
      </c>
      <c r="AU275" s="82">
        <f t="shared" si="55"/>
        <v>23556.9176675</v>
      </c>
      <c r="AV275" s="78">
        <f>AI275*Valores!$C$71</f>
        <v>4031.25608</v>
      </c>
      <c r="AW275" s="78">
        <f>AI275*Valores!$C$72</f>
        <v>1133.7907725</v>
      </c>
      <c r="AX275" s="78">
        <f>AI275*Valores!$C$73</f>
        <v>251.953505</v>
      </c>
      <c r="AY275" s="78">
        <f>AI275*Valores!$C$75</f>
        <v>881.8372675</v>
      </c>
      <c r="AZ275" s="78">
        <f>AI275*Valores!$C$76</f>
        <v>151.172103</v>
      </c>
      <c r="BA275" s="78">
        <f t="shared" si="59"/>
        <v>1360.5489270000003</v>
      </c>
      <c r="BB275" s="52"/>
      <c r="BC275" s="52">
        <f t="shared" si="49"/>
        <v>96</v>
      </c>
      <c r="BD275" s="28" t="s">
        <v>4</v>
      </c>
    </row>
    <row r="276" spans="1:56" s="28" customFormat="1" ht="11.25" customHeight="1">
      <c r="A276" s="86">
        <v>275</v>
      </c>
      <c r="B276" s="86" t="s">
        <v>163</v>
      </c>
      <c r="C276" s="87" t="s">
        <v>522</v>
      </c>
      <c r="D276" s="87">
        <v>24</v>
      </c>
      <c r="E276" s="87">
        <f t="shared" si="51"/>
        <v>42</v>
      </c>
      <c r="F276" s="88" t="str">
        <f>CONCATENATE("Hora Cátedra Enseñanza Media ",D276," hs Esc Esp")</f>
        <v>Hora Cátedra Enseñanza Media 24 hs Esc Esp</v>
      </c>
      <c r="G276" s="89">
        <f t="shared" si="50"/>
        <v>1896</v>
      </c>
      <c r="H276" s="90">
        <f>INT((G276*Valores!$C$2*100))/100</f>
        <v>12575.03</v>
      </c>
      <c r="I276" s="104">
        <v>0</v>
      </c>
      <c r="J276" s="92">
        <f>INT((I276*Valores!$C$2*100)+0.5)/100</f>
        <v>0</v>
      </c>
      <c r="K276" s="105">
        <v>0</v>
      </c>
      <c r="L276" s="92">
        <f>INT((K276*Valores!$C$2*100)+0.5)/100</f>
        <v>0</v>
      </c>
      <c r="M276" s="106">
        <v>0</v>
      </c>
      <c r="N276" s="92">
        <f>INT((M276*Valores!$C$2*100)+0.5)/100</f>
        <v>0</v>
      </c>
      <c r="O276" s="92">
        <f t="shared" si="52"/>
        <v>2273.6504999999997</v>
      </c>
      <c r="P276" s="92">
        <f t="shared" si="53"/>
        <v>0</v>
      </c>
      <c r="Q276" s="108">
        <f>Valores!$C$14*D276</f>
        <v>3844.56</v>
      </c>
      <c r="R276" s="108">
        <f>IF(D276&lt;15,(Valores!$E$4*D276),Valores!$D$4)</f>
        <v>2966.67</v>
      </c>
      <c r="S276" s="92">
        <v>0</v>
      </c>
      <c r="T276" s="95">
        <f>IF(Valores!$C$45*D276&gt;Valores!$C$43,Valores!$C$43,Valores!$C$45*D276)</f>
        <v>1226.8799999999999</v>
      </c>
      <c r="U276" s="108">
        <f>Valores!$C$22*D276</f>
        <v>1355.76</v>
      </c>
      <c r="V276" s="92">
        <f t="shared" si="48"/>
        <v>1355.76</v>
      </c>
      <c r="W276" s="92">
        <v>0</v>
      </c>
      <c r="X276" s="92">
        <v>0</v>
      </c>
      <c r="Y276" s="120">
        <v>0</v>
      </c>
      <c r="Z276" s="92">
        <f>Y276*Valores!$C$2</f>
        <v>0</v>
      </c>
      <c r="AA276" s="92">
        <v>0</v>
      </c>
      <c r="AB276" s="97">
        <f>IF((Valores!$C$32)*D276&gt;Valores!$F$32,Valores!$F$32,(Valores!$C$32)*D276)</f>
        <v>154.07999999999998</v>
      </c>
      <c r="AC276" s="92">
        <f t="shared" si="56"/>
        <v>0</v>
      </c>
      <c r="AD276" s="92">
        <f>IF(Valores!$C$33*D276&gt;Valores!$F$33,Valores!$F$33,Valores!$C$33*D276)</f>
        <v>128.16</v>
      </c>
      <c r="AE276" s="96">
        <v>94</v>
      </c>
      <c r="AF276" s="92">
        <f>INT(((AE276*Valores!$C$2)*100)+0.5)/100</f>
        <v>623.45</v>
      </c>
      <c r="AG276" s="92">
        <f>IF(Valores!$D$58*'Escala Docente'!D276&gt;Valores!$F$58,Valores!$F$58,Valores!$D$58*'Escala Docente'!D276)</f>
        <v>521.52</v>
      </c>
      <c r="AH276" s="92">
        <f>IF(Valores!$D$60*D276&gt;Valores!$F$60,Valores!$F$60,Valores!$D$60*D276)</f>
        <v>149.04</v>
      </c>
      <c r="AI276" s="116">
        <f t="shared" si="57"/>
        <v>25818.8005</v>
      </c>
      <c r="AJ276" s="108">
        <f>IF(Valores!$C$36*D276&gt;Valores!$F$36,Valores!$F$36,Valores!$C$36*D276)</f>
        <v>958.8000000000001</v>
      </c>
      <c r="AK276" s="95">
        <f>IF(Valores!$C$11*D276&gt;Valores!$F$11,Valores!$F$11,Valores!$C$11*D276)</f>
        <v>0</v>
      </c>
      <c r="AL276" s="95">
        <f>IF(Valores!$C$84*D276&gt;Valores!$C$83,Valores!$C$83,Valores!$C$84*D276)</f>
        <v>1560</v>
      </c>
      <c r="AM276" s="97">
        <f>IF(Valores!$C$57*D276&gt;Valores!$F$57,Valores!$F$57,Valores!$C$57*D276)</f>
        <v>218.39999999999998</v>
      </c>
      <c r="AN276" s="99">
        <f t="shared" si="58"/>
        <v>2518.8</v>
      </c>
      <c r="AO276" s="117">
        <f>AI276*-Valores!$C$65</f>
        <v>-3356.444065</v>
      </c>
      <c r="AP276" s="117">
        <f>AI276*-Valores!$C$66</f>
        <v>-129.09400250000002</v>
      </c>
      <c r="AQ276" s="94">
        <f>AI276*-Valores!$C$67</f>
        <v>-1161.8460225000001</v>
      </c>
      <c r="AR276" s="94">
        <f>AI276*-Valores!$C$68</f>
        <v>-697.1076135000001</v>
      </c>
      <c r="AS276" s="94">
        <f>AI276*-Valores!$C$69</f>
        <v>-77.4564015</v>
      </c>
      <c r="AT276" s="98">
        <f t="shared" si="54"/>
        <v>23690.216409999997</v>
      </c>
      <c r="AU276" s="98">
        <f t="shared" si="55"/>
        <v>24077.4984175</v>
      </c>
      <c r="AV276" s="94">
        <f>AI276*Valores!$C$71</f>
        <v>4131.0080800000005</v>
      </c>
      <c r="AW276" s="94">
        <f>AI276*Valores!$C$72</f>
        <v>1161.8460225000001</v>
      </c>
      <c r="AX276" s="94">
        <f>AI276*Valores!$C$73</f>
        <v>258.18800500000003</v>
      </c>
      <c r="AY276" s="94">
        <f>AI276*Valores!$C$75</f>
        <v>903.6580175000001</v>
      </c>
      <c r="AZ276" s="94">
        <f>AI276*Valores!$C$76</f>
        <v>154.912803</v>
      </c>
      <c r="BA276" s="94">
        <f t="shared" si="59"/>
        <v>1394.215227</v>
      </c>
      <c r="BB276" s="86"/>
      <c r="BC276" s="86">
        <f t="shared" si="49"/>
        <v>96</v>
      </c>
      <c r="BD276" s="87" t="s">
        <v>4</v>
      </c>
    </row>
    <row r="277" spans="1:56" s="28" customFormat="1" ht="11.25" customHeight="1">
      <c r="A277" s="52">
        <v>276</v>
      </c>
      <c r="B277" s="52"/>
      <c r="C277" s="28" t="s">
        <v>522</v>
      </c>
      <c r="D277" s="28">
        <v>25</v>
      </c>
      <c r="E277" s="28">
        <f t="shared" si="51"/>
        <v>34</v>
      </c>
      <c r="F277" s="72" t="str">
        <f>CONCATENATE("Hora Cátedra Enseñanza Media ",D277," hs")</f>
        <v>Hora Cátedra Enseñanza Media 25 hs</v>
      </c>
      <c r="G277" s="73">
        <f t="shared" si="50"/>
        <v>1975</v>
      </c>
      <c r="H277" s="74">
        <f>INT((G277*Valores!$C$2*100))/100</f>
        <v>13098.99</v>
      </c>
      <c r="I277" s="113">
        <v>0</v>
      </c>
      <c r="J277" s="76">
        <f>INT((I277*Valores!$C$2*100)+0.5)/100</f>
        <v>0</v>
      </c>
      <c r="K277" s="103">
        <v>0</v>
      </c>
      <c r="L277" s="76">
        <f>INT((K277*Valores!$C$2*100)+0.5)/100</f>
        <v>0</v>
      </c>
      <c r="M277" s="101">
        <v>0</v>
      </c>
      <c r="N277" s="76">
        <f>INT((M277*Valores!$C$2*100)+0.5)/100</f>
        <v>0</v>
      </c>
      <c r="O277" s="76">
        <f t="shared" si="52"/>
        <v>2368.386</v>
      </c>
      <c r="P277" s="76">
        <f t="shared" si="53"/>
        <v>0</v>
      </c>
      <c r="Q277" s="102">
        <f>Valores!$C$14*D277</f>
        <v>4004.75</v>
      </c>
      <c r="R277" s="102">
        <f>IF(D277&lt;15,(Valores!$E$4*D277),Valores!$D$4)</f>
        <v>2966.67</v>
      </c>
      <c r="S277" s="76">
        <v>0</v>
      </c>
      <c r="T277" s="79">
        <f>IF(Valores!$C$45*D277&gt;Valores!$C$43,Valores!$C$43,Valores!$C$45*D277)</f>
        <v>1278</v>
      </c>
      <c r="U277" s="102">
        <f>Valores!$C$22*D277</f>
        <v>1412.25</v>
      </c>
      <c r="V277" s="76">
        <f t="shared" si="48"/>
        <v>1412.25</v>
      </c>
      <c r="W277" s="76">
        <v>0</v>
      </c>
      <c r="X277" s="76">
        <v>0</v>
      </c>
      <c r="Y277" s="119">
        <v>0</v>
      </c>
      <c r="Z277" s="76">
        <f>Y277*Valores!$C$2</f>
        <v>0</v>
      </c>
      <c r="AA277" s="76">
        <v>0</v>
      </c>
      <c r="AB277" s="81">
        <f>IF((Valores!$C$32)*D277&gt;Valores!$F$32,Valores!$F$32,(Valores!$C$32)*D277)</f>
        <v>160.5</v>
      </c>
      <c r="AC277" s="76">
        <f t="shared" si="56"/>
        <v>0</v>
      </c>
      <c r="AD277" s="76">
        <f>IF(Valores!$C$33*D277&gt;Valores!$F$33,Valores!$F$33,Valores!$C$33*D277)</f>
        <v>133.5</v>
      </c>
      <c r="AE277" s="80">
        <v>0</v>
      </c>
      <c r="AF277" s="76">
        <f>INT(((AE277*Valores!$C$2)*100)+0.5)/100</f>
        <v>0</v>
      </c>
      <c r="AG277" s="76">
        <f>IF(Valores!$D$58*'Escala Docente'!D277&gt;Valores!$F$58,Valores!$F$58,Valores!$D$58*'Escala Docente'!D277)</f>
        <v>543.25</v>
      </c>
      <c r="AH277" s="76">
        <f>IF(Valores!$D$60*D277&gt;Valores!$F$60,Valores!$F$60,Valores!$D$60*D277)</f>
        <v>155.25</v>
      </c>
      <c r="AI277" s="115">
        <f t="shared" si="57"/>
        <v>26121.546000000002</v>
      </c>
      <c r="AJ277" s="102">
        <f>IF(Valores!$C$36*D277&gt;Valores!$F$36,Valores!$F$36,Valores!$C$36*D277)</f>
        <v>998.7500000000001</v>
      </c>
      <c r="AK277" s="79">
        <f>IF(Valores!$C$11*D277&gt;Valores!$F$11,Valores!$F$11,Valores!$C$11*D277)</f>
        <v>0</v>
      </c>
      <c r="AL277" s="79">
        <f>IF(Valores!$C$84*D277&gt;Valores!$C$83,Valores!$C$83,Valores!$C$84*D277)</f>
        <v>1625</v>
      </c>
      <c r="AM277" s="81">
        <f>IF(Valores!$C$57*D277&gt;Valores!$F$57,Valores!$F$57,Valores!$C$57*D277)</f>
        <v>227.5</v>
      </c>
      <c r="AN277" s="83">
        <f t="shared" si="58"/>
        <v>2623.75</v>
      </c>
      <c r="AO277" s="62">
        <f>AI277*-Valores!$C$65</f>
        <v>-3395.8009800000004</v>
      </c>
      <c r="AP277" s="62">
        <f>AI277*-Valores!$C$66</f>
        <v>-130.60773</v>
      </c>
      <c r="AQ277" s="78">
        <f>AI277*-Valores!$C$67</f>
        <v>-1175.46957</v>
      </c>
      <c r="AR277" s="78">
        <f>AI277*-Valores!$C$68</f>
        <v>-705.281742</v>
      </c>
      <c r="AS277" s="78">
        <f>AI277*-Valores!$C$69</f>
        <v>-78.36463800000001</v>
      </c>
      <c r="AT277" s="82">
        <f t="shared" si="54"/>
        <v>24043.41772</v>
      </c>
      <c r="AU277" s="82">
        <f t="shared" si="55"/>
        <v>24435.240910000004</v>
      </c>
      <c r="AV277" s="78">
        <f>AI277*Valores!$C$71</f>
        <v>4179.44736</v>
      </c>
      <c r="AW277" s="78">
        <f>AI277*Valores!$C$72</f>
        <v>1175.46957</v>
      </c>
      <c r="AX277" s="78">
        <f>AI277*Valores!$C$73</f>
        <v>261.21546</v>
      </c>
      <c r="AY277" s="78">
        <f>AI277*Valores!$C$75</f>
        <v>914.2541100000002</v>
      </c>
      <c r="AZ277" s="78">
        <f>AI277*Valores!$C$76</f>
        <v>156.72927600000003</v>
      </c>
      <c r="BA277" s="78">
        <f t="shared" si="59"/>
        <v>1410.5634840000002</v>
      </c>
      <c r="BB277" s="52"/>
      <c r="BC277" s="52">
        <f t="shared" si="49"/>
        <v>100</v>
      </c>
      <c r="BD277" s="28" t="s">
        <v>4</v>
      </c>
    </row>
    <row r="278" spans="1:56" s="28" customFormat="1" ht="11.25" customHeight="1">
      <c r="A278" s="52">
        <v>277</v>
      </c>
      <c r="B278" s="52"/>
      <c r="C278" s="28" t="s">
        <v>522</v>
      </c>
      <c r="D278" s="28">
        <v>25</v>
      </c>
      <c r="E278" s="28">
        <f t="shared" si="51"/>
        <v>42</v>
      </c>
      <c r="F278" s="72" t="str">
        <f>CONCATENATE("Hora Cátedra Enseñanza Media ",D278," hs Esc Esp")</f>
        <v>Hora Cátedra Enseñanza Media 25 hs Esc Esp</v>
      </c>
      <c r="G278" s="73">
        <f t="shared" si="50"/>
        <v>1975</v>
      </c>
      <c r="H278" s="74">
        <f>INT((G278*Valores!$C$2*100))/100</f>
        <v>13098.99</v>
      </c>
      <c r="I278" s="113">
        <v>0</v>
      </c>
      <c r="J278" s="76">
        <f>INT((I278*Valores!$C$2*100)+0.5)/100</f>
        <v>0</v>
      </c>
      <c r="K278" s="103">
        <v>0</v>
      </c>
      <c r="L278" s="76">
        <f>INT((K278*Valores!$C$2*100)+0.5)/100</f>
        <v>0</v>
      </c>
      <c r="M278" s="101">
        <v>0</v>
      </c>
      <c r="N278" s="76">
        <f>INT((M278*Valores!$C$2*100)+0.5)/100</f>
        <v>0</v>
      </c>
      <c r="O278" s="76">
        <f t="shared" si="52"/>
        <v>2368.386</v>
      </c>
      <c r="P278" s="76">
        <f t="shared" si="53"/>
        <v>0</v>
      </c>
      <c r="Q278" s="102">
        <f>Valores!$C$14*D278</f>
        <v>4004.75</v>
      </c>
      <c r="R278" s="102">
        <f>IF(D278&lt;15,(Valores!$E$4*D278),Valores!$D$4)</f>
        <v>2966.67</v>
      </c>
      <c r="S278" s="76">
        <v>0</v>
      </c>
      <c r="T278" s="79">
        <f>IF(Valores!$C$45*D278&gt;Valores!$C$43,Valores!$C$43,Valores!$C$45*D278)</f>
        <v>1278</v>
      </c>
      <c r="U278" s="102">
        <f>Valores!$C$22*D278</f>
        <v>1412.25</v>
      </c>
      <c r="V278" s="76">
        <f t="shared" si="48"/>
        <v>1412.25</v>
      </c>
      <c r="W278" s="76">
        <v>0</v>
      </c>
      <c r="X278" s="76">
        <v>0</v>
      </c>
      <c r="Y278" s="119">
        <v>0</v>
      </c>
      <c r="Z278" s="76">
        <f>Y278*Valores!$C$2</f>
        <v>0</v>
      </c>
      <c r="AA278" s="76">
        <v>0</v>
      </c>
      <c r="AB278" s="81">
        <f>IF((Valores!$C$32)*D278&gt;Valores!$F$32,Valores!$F$32,(Valores!$C$32)*D278)</f>
        <v>160.5</v>
      </c>
      <c r="AC278" s="76">
        <f t="shared" si="56"/>
        <v>0</v>
      </c>
      <c r="AD278" s="76">
        <f>IF(Valores!$C$33*D278&gt;Valores!$F$33,Valores!$F$33,Valores!$C$33*D278)</f>
        <v>133.5</v>
      </c>
      <c r="AE278" s="80">
        <v>94</v>
      </c>
      <c r="AF278" s="76">
        <f>INT(((AE278*Valores!$C$2)*100)+0.5)/100</f>
        <v>623.45</v>
      </c>
      <c r="AG278" s="76">
        <f>IF(Valores!$D$58*'Escala Docente'!D278&gt;Valores!$F$58,Valores!$F$58,Valores!$D$58*'Escala Docente'!D278)</f>
        <v>543.25</v>
      </c>
      <c r="AH278" s="76">
        <f>IF(Valores!$D$60*D278&gt;Valores!$F$60,Valores!$F$60,Valores!$D$60*D278)</f>
        <v>155.25</v>
      </c>
      <c r="AI278" s="115">
        <f t="shared" si="57"/>
        <v>26744.996000000003</v>
      </c>
      <c r="AJ278" s="102">
        <f>IF(Valores!$C$36*D278&gt;Valores!$F$36,Valores!$F$36,Valores!$C$36*D278)</f>
        <v>998.7500000000001</v>
      </c>
      <c r="AK278" s="79">
        <f>IF(Valores!$C$11*D278&gt;Valores!$F$11,Valores!$F$11,Valores!$C$11*D278)</f>
        <v>0</v>
      </c>
      <c r="AL278" s="79">
        <f>IF(Valores!$C$84*D278&gt;Valores!$C$83,Valores!$C$83,Valores!$C$84*D278)</f>
        <v>1625</v>
      </c>
      <c r="AM278" s="81">
        <f>IF(Valores!$C$57*D278&gt;Valores!$F$57,Valores!$F$57,Valores!$C$57*D278)</f>
        <v>227.5</v>
      </c>
      <c r="AN278" s="83">
        <f t="shared" si="58"/>
        <v>2623.75</v>
      </c>
      <c r="AO278" s="62">
        <f>AI278*-Valores!$C$65</f>
        <v>-3476.8494800000003</v>
      </c>
      <c r="AP278" s="62">
        <f>AI278*-Valores!$C$66</f>
        <v>-133.72498000000002</v>
      </c>
      <c r="AQ278" s="78">
        <f>AI278*-Valores!$C$67</f>
        <v>-1203.52482</v>
      </c>
      <c r="AR278" s="78">
        <f>AI278*-Valores!$C$68</f>
        <v>-722.114892</v>
      </c>
      <c r="AS278" s="78">
        <f>AI278*-Valores!$C$69</f>
        <v>-80.23498800000002</v>
      </c>
      <c r="AT278" s="82">
        <f t="shared" si="54"/>
        <v>24554.646720000004</v>
      </c>
      <c r="AU278" s="82">
        <f t="shared" si="55"/>
        <v>24955.82166</v>
      </c>
      <c r="AV278" s="78">
        <f>AI278*Valores!$C$71</f>
        <v>4279.1993600000005</v>
      </c>
      <c r="AW278" s="78">
        <f>AI278*Valores!$C$72</f>
        <v>1203.52482</v>
      </c>
      <c r="AX278" s="78">
        <f>AI278*Valores!$C$73</f>
        <v>267.44996000000003</v>
      </c>
      <c r="AY278" s="78">
        <f>AI278*Valores!$C$75</f>
        <v>936.0748600000002</v>
      </c>
      <c r="AZ278" s="78">
        <f>AI278*Valores!$C$76</f>
        <v>160.46997600000003</v>
      </c>
      <c r="BA278" s="78">
        <f t="shared" si="59"/>
        <v>1444.229784</v>
      </c>
      <c r="BB278" s="52"/>
      <c r="BC278" s="52">
        <f t="shared" si="49"/>
        <v>100</v>
      </c>
      <c r="BD278" s="28" t="s">
        <v>4</v>
      </c>
    </row>
    <row r="279" spans="1:56" s="28" customFormat="1" ht="11.25" customHeight="1">
      <c r="A279" s="52">
        <v>278</v>
      </c>
      <c r="B279" s="52"/>
      <c r="C279" s="28" t="s">
        <v>522</v>
      </c>
      <c r="D279" s="28">
        <v>26</v>
      </c>
      <c r="E279" s="28">
        <f t="shared" si="51"/>
        <v>34</v>
      </c>
      <c r="F279" s="72" t="str">
        <f>CONCATENATE("Hora Cátedra Enseñanza Media ",D279," hs")</f>
        <v>Hora Cátedra Enseñanza Media 26 hs</v>
      </c>
      <c r="G279" s="73">
        <f t="shared" si="50"/>
        <v>2054</v>
      </c>
      <c r="H279" s="74">
        <f>INT((G279*Valores!$C$2*100))/100</f>
        <v>13622.94</v>
      </c>
      <c r="I279" s="113">
        <v>0</v>
      </c>
      <c r="J279" s="76">
        <f>INT((I279*Valores!$C$2*100)+0.5)/100</f>
        <v>0</v>
      </c>
      <c r="K279" s="103">
        <v>0</v>
      </c>
      <c r="L279" s="76">
        <f>INT((K279*Valores!$C$2*100)+0.5)/100</f>
        <v>0</v>
      </c>
      <c r="M279" s="101">
        <v>0</v>
      </c>
      <c r="N279" s="76">
        <f>INT((M279*Valores!$C$2*100)+0.5)/100</f>
        <v>0</v>
      </c>
      <c r="O279" s="76">
        <f t="shared" si="52"/>
        <v>2463.12</v>
      </c>
      <c r="P279" s="76">
        <f t="shared" si="53"/>
        <v>0</v>
      </c>
      <c r="Q279" s="102">
        <f>Valores!$C$14*D279</f>
        <v>4164.94</v>
      </c>
      <c r="R279" s="102">
        <f>IF(D279&lt;15,(Valores!$E$4*D279),Valores!$D$4)</f>
        <v>2966.67</v>
      </c>
      <c r="S279" s="76">
        <v>0</v>
      </c>
      <c r="T279" s="79">
        <f>IF(Valores!$C$45*D279&gt;Valores!$C$43,Valores!$C$43,Valores!$C$45*D279)</f>
        <v>1329.12</v>
      </c>
      <c r="U279" s="102">
        <f>Valores!$C$22*D279</f>
        <v>1468.74</v>
      </c>
      <c r="V279" s="76">
        <f t="shared" si="48"/>
        <v>1468.74</v>
      </c>
      <c r="W279" s="76">
        <v>0</v>
      </c>
      <c r="X279" s="76">
        <v>0</v>
      </c>
      <c r="Y279" s="119">
        <v>0</v>
      </c>
      <c r="Z279" s="76">
        <f>Y279*Valores!$C$2</f>
        <v>0</v>
      </c>
      <c r="AA279" s="76">
        <v>0</v>
      </c>
      <c r="AB279" s="81">
        <f>IF((Valores!$C$32)*D279&gt;Valores!$F$32,Valores!$F$32,(Valores!$C$32)*D279)</f>
        <v>166.92</v>
      </c>
      <c r="AC279" s="76">
        <f t="shared" si="56"/>
        <v>0</v>
      </c>
      <c r="AD279" s="76">
        <f>IF(Valores!$C$33*D279&gt;Valores!$F$33,Valores!$F$33,Valores!$C$33*D279)</f>
        <v>138.84</v>
      </c>
      <c r="AE279" s="80">
        <v>0</v>
      </c>
      <c r="AF279" s="76">
        <f>INT(((AE279*Valores!$C$2)*100)+0.5)/100</f>
        <v>0</v>
      </c>
      <c r="AG279" s="76">
        <f>IF(Valores!$D$58*'Escala Docente'!D279&gt;Valores!$F$58,Valores!$F$58,Valores!$D$58*'Escala Docente'!D279)</f>
        <v>564.98</v>
      </c>
      <c r="AH279" s="76">
        <f>IF(Valores!$D$60*D279&gt;Valores!$F$60,Valores!$F$60,Valores!$D$60*D279)</f>
        <v>161.46</v>
      </c>
      <c r="AI279" s="115">
        <f t="shared" si="57"/>
        <v>27047.729999999996</v>
      </c>
      <c r="AJ279" s="102">
        <f>IF(Valores!$C$36*D279&gt;Valores!$F$36,Valores!$F$36,Valores!$C$36*D279)</f>
        <v>1038.7</v>
      </c>
      <c r="AK279" s="79">
        <f>IF(Valores!$C$11*D279&gt;Valores!$F$11,Valores!$F$11,Valores!$C$11*D279)</f>
        <v>0</v>
      </c>
      <c r="AL279" s="79">
        <f>IF(Valores!$C$84*D279&gt;Valores!$C$83,Valores!$C$83,Valores!$C$84*D279)</f>
        <v>1690</v>
      </c>
      <c r="AM279" s="81">
        <f>IF(Valores!$C$57*D279&gt;Valores!$F$57,Valores!$F$57,Valores!$C$57*D279)</f>
        <v>236.6</v>
      </c>
      <c r="AN279" s="83">
        <f t="shared" si="58"/>
        <v>2728.7</v>
      </c>
      <c r="AO279" s="62">
        <f>AI279*-Valores!$C$65</f>
        <v>-3516.2048999999997</v>
      </c>
      <c r="AP279" s="62">
        <f>AI279*-Valores!$C$66</f>
        <v>-135.23864999999998</v>
      </c>
      <c r="AQ279" s="78">
        <f>AI279*-Valores!$C$67</f>
        <v>-1217.1478499999998</v>
      </c>
      <c r="AR279" s="78">
        <f>AI279*-Valores!$C$68</f>
        <v>-730.2887099999999</v>
      </c>
      <c r="AS279" s="78">
        <f>AI279*-Valores!$C$69</f>
        <v>-81.14318999999999</v>
      </c>
      <c r="AT279" s="82">
        <f t="shared" si="54"/>
        <v>24907.838599999995</v>
      </c>
      <c r="AU279" s="82">
        <f t="shared" si="55"/>
        <v>25313.554549999997</v>
      </c>
      <c r="AV279" s="78">
        <f>AI279*Valores!$C$71</f>
        <v>4327.636799999999</v>
      </c>
      <c r="AW279" s="78">
        <f>AI279*Valores!$C$72</f>
        <v>1217.1478499999998</v>
      </c>
      <c r="AX279" s="78">
        <f>AI279*Valores!$C$73</f>
        <v>270.47729999999996</v>
      </c>
      <c r="AY279" s="78">
        <f>AI279*Valores!$C$75</f>
        <v>946.6705499999999</v>
      </c>
      <c r="AZ279" s="78">
        <f>AI279*Valores!$C$76</f>
        <v>162.28637999999998</v>
      </c>
      <c r="BA279" s="78">
        <f t="shared" si="59"/>
        <v>1460.57742</v>
      </c>
      <c r="BB279" s="52"/>
      <c r="BC279" s="86">
        <f t="shared" si="49"/>
        <v>104</v>
      </c>
      <c r="BD279" s="28" t="s">
        <v>4</v>
      </c>
    </row>
    <row r="280" spans="1:56" s="28" customFormat="1" ht="11.25" customHeight="1">
      <c r="A280" s="52">
        <v>279</v>
      </c>
      <c r="B280" s="52"/>
      <c r="C280" s="28" t="s">
        <v>522</v>
      </c>
      <c r="D280" s="28">
        <v>26</v>
      </c>
      <c r="E280" s="28">
        <f t="shared" si="51"/>
        <v>42</v>
      </c>
      <c r="F280" s="72" t="str">
        <f>CONCATENATE("Hora Cátedra Enseñanza Media ",D280," hs Esc Esp")</f>
        <v>Hora Cátedra Enseñanza Media 26 hs Esc Esp</v>
      </c>
      <c r="G280" s="73">
        <f t="shared" si="50"/>
        <v>2054</v>
      </c>
      <c r="H280" s="74">
        <f>INT((G280*Valores!$C$2*100))/100</f>
        <v>13622.94</v>
      </c>
      <c r="I280" s="113">
        <v>0</v>
      </c>
      <c r="J280" s="76">
        <f>INT((I280*Valores!$C$2*100)+0.5)/100</f>
        <v>0</v>
      </c>
      <c r="K280" s="103">
        <v>0</v>
      </c>
      <c r="L280" s="76">
        <f>INT((K280*Valores!$C$2*100)+0.5)/100</f>
        <v>0</v>
      </c>
      <c r="M280" s="101">
        <v>0</v>
      </c>
      <c r="N280" s="76">
        <f>INT((M280*Valores!$C$2*100)+0.5)/100</f>
        <v>0</v>
      </c>
      <c r="O280" s="76">
        <f t="shared" si="52"/>
        <v>2463.12</v>
      </c>
      <c r="P280" s="76">
        <f t="shared" si="53"/>
        <v>0</v>
      </c>
      <c r="Q280" s="102">
        <f>Valores!$C$14*D280</f>
        <v>4164.94</v>
      </c>
      <c r="R280" s="102">
        <f>IF(D280&lt;15,(Valores!$E$4*D280),Valores!$D$4)</f>
        <v>2966.67</v>
      </c>
      <c r="S280" s="76">
        <v>0</v>
      </c>
      <c r="T280" s="79">
        <f>IF(Valores!$C$45*D280&gt;Valores!$C$43,Valores!$C$43,Valores!$C$45*D280)</f>
        <v>1329.12</v>
      </c>
      <c r="U280" s="102">
        <f>Valores!$C$22*D280</f>
        <v>1468.74</v>
      </c>
      <c r="V280" s="76">
        <f t="shared" si="48"/>
        <v>1468.74</v>
      </c>
      <c r="W280" s="76">
        <v>0</v>
      </c>
      <c r="X280" s="76">
        <v>0</v>
      </c>
      <c r="Y280" s="119">
        <v>0</v>
      </c>
      <c r="Z280" s="76">
        <f>Y280*Valores!$C$2</f>
        <v>0</v>
      </c>
      <c r="AA280" s="76">
        <v>0</v>
      </c>
      <c r="AB280" s="81">
        <f>IF((Valores!$C$32)*D280&gt;Valores!$F$32,Valores!$F$32,(Valores!$C$32)*D280)</f>
        <v>166.92</v>
      </c>
      <c r="AC280" s="76">
        <f t="shared" si="56"/>
        <v>0</v>
      </c>
      <c r="AD280" s="76">
        <f>IF(Valores!$C$33*D280&gt;Valores!$F$33,Valores!$F$33,Valores!$C$33*D280)</f>
        <v>138.84</v>
      </c>
      <c r="AE280" s="80">
        <v>94</v>
      </c>
      <c r="AF280" s="76">
        <f>INT(((AE280*Valores!$C$2)*100)+0.5)/100</f>
        <v>623.45</v>
      </c>
      <c r="AG280" s="76">
        <f>IF(Valores!$D$58*'Escala Docente'!D280&gt;Valores!$F$58,Valores!$F$58,Valores!$D$58*'Escala Docente'!D280)</f>
        <v>564.98</v>
      </c>
      <c r="AH280" s="76">
        <f>IF(Valores!$D$60*D280&gt;Valores!$F$60,Valores!$F$60,Valores!$D$60*D280)</f>
        <v>161.46</v>
      </c>
      <c r="AI280" s="115">
        <f t="shared" si="57"/>
        <v>27671.179999999997</v>
      </c>
      <c r="AJ280" s="102">
        <f>IF(Valores!$C$36*D280&gt;Valores!$F$36,Valores!$F$36,Valores!$C$36*D280)</f>
        <v>1038.7</v>
      </c>
      <c r="AK280" s="79">
        <f>IF(Valores!$C$11*D280&gt;Valores!$F$11,Valores!$F$11,Valores!$C$11*D280)</f>
        <v>0</v>
      </c>
      <c r="AL280" s="79">
        <f>IF(Valores!$C$84*D280&gt;Valores!$C$83,Valores!$C$83,Valores!$C$84*D280)</f>
        <v>1690</v>
      </c>
      <c r="AM280" s="81">
        <f>IF(Valores!$C$57*D280&gt;Valores!$F$57,Valores!$F$57,Valores!$C$57*D280)</f>
        <v>236.6</v>
      </c>
      <c r="AN280" s="83">
        <f t="shared" si="58"/>
        <v>2728.7</v>
      </c>
      <c r="AO280" s="62">
        <f>AI280*-Valores!$C$65</f>
        <v>-3597.2533999999996</v>
      </c>
      <c r="AP280" s="62">
        <f>AI280*-Valores!$C$66</f>
        <v>-138.3559</v>
      </c>
      <c r="AQ280" s="78">
        <f>AI280*-Valores!$C$67</f>
        <v>-1245.2030999999997</v>
      </c>
      <c r="AR280" s="78">
        <f>AI280*-Valores!$C$68</f>
        <v>-747.1218599999999</v>
      </c>
      <c r="AS280" s="78">
        <f>AI280*-Valores!$C$69</f>
        <v>-83.01353999999999</v>
      </c>
      <c r="AT280" s="82">
        <f t="shared" si="54"/>
        <v>25419.067600000002</v>
      </c>
      <c r="AU280" s="82">
        <f t="shared" si="55"/>
        <v>25834.1353</v>
      </c>
      <c r="AV280" s="78">
        <f>AI280*Valores!$C$71</f>
        <v>4427.3888</v>
      </c>
      <c r="AW280" s="78">
        <f>AI280*Valores!$C$72</f>
        <v>1245.2030999999997</v>
      </c>
      <c r="AX280" s="78">
        <f>AI280*Valores!$C$73</f>
        <v>276.7118</v>
      </c>
      <c r="AY280" s="78">
        <f>AI280*Valores!$C$75</f>
        <v>968.4913</v>
      </c>
      <c r="AZ280" s="78">
        <f>AI280*Valores!$C$76</f>
        <v>166.02707999999998</v>
      </c>
      <c r="BA280" s="78">
        <f t="shared" si="59"/>
        <v>1494.24372</v>
      </c>
      <c r="BB280" s="52"/>
      <c r="BC280" s="52">
        <f t="shared" si="49"/>
        <v>104</v>
      </c>
      <c r="BD280" s="28" t="s">
        <v>4</v>
      </c>
    </row>
    <row r="281" spans="1:56" s="28" customFormat="1" ht="11.25" customHeight="1">
      <c r="A281" s="86">
        <v>280</v>
      </c>
      <c r="B281" s="86" t="s">
        <v>163</v>
      </c>
      <c r="C281" s="87" t="s">
        <v>522</v>
      </c>
      <c r="D281" s="87">
        <v>27</v>
      </c>
      <c r="E281" s="87">
        <f t="shared" si="51"/>
        <v>34</v>
      </c>
      <c r="F281" s="88" t="str">
        <f>CONCATENATE("Hora Cátedra Enseñanza Media ",D281," hs")</f>
        <v>Hora Cátedra Enseñanza Media 27 hs</v>
      </c>
      <c r="G281" s="89">
        <f t="shared" si="50"/>
        <v>2133</v>
      </c>
      <c r="H281" s="90">
        <f>INT((G281*Valores!$C$2*100))/100</f>
        <v>14146.9</v>
      </c>
      <c r="I281" s="104">
        <v>0</v>
      </c>
      <c r="J281" s="92">
        <f>INT((I281*Valores!$C$2*100)+0.5)/100</f>
        <v>0</v>
      </c>
      <c r="K281" s="105">
        <v>0</v>
      </c>
      <c r="L281" s="92">
        <f>INT((K281*Valores!$C$2*100)+0.5)/100</f>
        <v>0</v>
      </c>
      <c r="M281" s="106">
        <v>0</v>
      </c>
      <c r="N281" s="92">
        <f>INT((M281*Valores!$C$2*100)+0.5)/100</f>
        <v>0</v>
      </c>
      <c r="O281" s="92">
        <f t="shared" si="52"/>
        <v>2557.8554999999997</v>
      </c>
      <c r="P281" s="92">
        <f t="shared" si="53"/>
        <v>0</v>
      </c>
      <c r="Q281" s="108">
        <f>Valores!$C$14*D281</f>
        <v>4325.13</v>
      </c>
      <c r="R281" s="108">
        <f>IF(D281&lt;15,(Valores!$E$4*D281),Valores!$D$4)</f>
        <v>2966.67</v>
      </c>
      <c r="S281" s="92">
        <v>0</v>
      </c>
      <c r="T281" s="95">
        <f>IF(Valores!$C$45*D281&gt;Valores!$C$43,Valores!$C$43,Valores!$C$45*D281)</f>
        <v>1380.24</v>
      </c>
      <c r="U281" s="108">
        <f>Valores!$C$22*D281</f>
        <v>1525.23</v>
      </c>
      <c r="V281" s="92">
        <f t="shared" si="48"/>
        <v>1525.23</v>
      </c>
      <c r="W281" s="92">
        <v>0</v>
      </c>
      <c r="X281" s="92">
        <v>0</v>
      </c>
      <c r="Y281" s="120">
        <v>0</v>
      </c>
      <c r="Z281" s="92">
        <f>Y281*Valores!$C$2</f>
        <v>0</v>
      </c>
      <c r="AA281" s="92">
        <v>0</v>
      </c>
      <c r="AB281" s="97">
        <f>IF((Valores!$C$32)*D281&gt;Valores!$F$32,Valores!$F$32,(Valores!$C$32)*D281)</f>
        <v>173.34</v>
      </c>
      <c r="AC281" s="92">
        <f t="shared" si="56"/>
        <v>0</v>
      </c>
      <c r="AD281" s="92">
        <f>IF(Valores!$C$33*D281&gt;Valores!$F$33,Valores!$F$33,Valores!$C$33*D281)</f>
        <v>144.18</v>
      </c>
      <c r="AE281" s="96">
        <v>0</v>
      </c>
      <c r="AF281" s="92">
        <f>INT(((AE281*Valores!$C$2)*100)+0.5)/100</f>
        <v>0</v>
      </c>
      <c r="AG281" s="92">
        <f>IF(Valores!$D$58*'Escala Docente'!D281&gt;Valores!$F$58,Valores!$F$58,Valores!$D$58*'Escala Docente'!D281)</f>
        <v>586.71</v>
      </c>
      <c r="AH281" s="92">
        <f>IF(Valores!$D$60*D281&gt;Valores!$F$60,Valores!$F$60,Valores!$D$60*D281)</f>
        <v>167.67</v>
      </c>
      <c r="AI281" s="116">
        <f t="shared" si="57"/>
        <v>27973.9255</v>
      </c>
      <c r="AJ281" s="108">
        <f>IF(Valores!$C$36*D281&gt;Valores!$F$36,Valores!$F$36,Valores!$C$36*D281)</f>
        <v>1078.65</v>
      </c>
      <c r="AK281" s="95">
        <f>IF(Valores!$C$11*D281&gt;Valores!$F$11,Valores!$F$11,Valores!$C$11*D281)</f>
        <v>0</v>
      </c>
      <c r="AL281" s="95">
        <f>IF(Valores!$C$84*D281&gt;Valores!$C$83,Valores!$C$83,Valores!$C$84*D281)</f>
        <v>1755</v>
      </c>
      <c r="AM281" s="97">
        <f>IF(Valores!$C$57*D281&gt;Valores!$F$57,Valores!$F$57,Valores!$C$57*D281)</f>
        <v>245.7</v>
      </c>
      <c r="AN281" s="99">
        <f t="shared" si="58"/>
        <v>2833.65</v>
      </c>
      <c r="AO281" s="117">
        <f>AI281*-Valores!$C$65</f>
        <v>-3636.6103150000004</v>
      </c>
      <c r="AP281" s="117">
        <f>AI281*-Valores!$C$66</f>
        <v>-139.8696275</v>
      </c>
      <c r="AQ281" s="94">
        <f>AI281*-Valores!$C$67</f>
        <v>-1258.8266475</v>
      </c>
      <c r="AR281" s="94">
        <f>AI281*-Valores!$C$68</f>
        <v>-755.2959885</v>
      </c>
      <c r="AS281" s="94">
        <f>AI281*-Valores!$C$69</f>
        <v>-83.9217765</v>
      </c>
      <c r="AT281" s="98">
        <f t="shared" si="54"/>
        <v>25772.268910000003</v>
      </c>
      <c r="AU281" s="98">
        <f t="shared" si="55"/>
        <v>26191.8777925</v>
      </c>
      <c r="AV281" s="94">
        <f>AI281*Valores!$C$71</f>
        <v>4475.82808</v>
      </c>
      <c r="AW281" s="94">
        <f>AI281*Valores!$C$72</f>
        <v>1258.8266475</v>
      </c>
      <c r="AX281" s="94">
        <f>AI281*Valores!$C$73</f>
        <v>279.739255</v>
      </c>
      <c r="AY281" s="94">
        <f>AI281*Valores!$C$75</f>
        <v>979.0873925000001</v>
      </c>
      <c r="AZ281" s="94">
        <f>AI281*Valores!$C$76</f>
        <v>167.843553</v>
      </c>
      <c r="BA281" s="94">
        <f t="shared" si="59"/>
        <v>1510.5919770000003</v>
      </c>
      <c r="BB281" s="86"/>
      <c r="BC281" s="86">
        <f t="shared" si="49"/>
        <v>108</v>
      </c>
      <c r="BD281" s="87" t="s">
        <v>4</v>
      </c>
    </row>
    <row r="282" spans="1:56" s="28" customFormat="1" ht="11.25" customHeight="1">
      <c r="A282" s="52">
        <v>281</v>
      </c>
      <c r="B282" s="52"/>
      <c r="C282" s="28" t="s">
        <v>522</v>
      </c>
      <c r="D282" s="28">
        <v>27</v>
      </c>
      <c r="E282" s="28">
        <f t="shared" si="51"/>
        <v>42</v>
      </c>
      <c r="F282" s="72" t="str">
        <f>CONCATENATE("Hora Cátedra Enseñanza Media ",D282," hs Esc Esp")</f>
        <v>Hora Cátedra Enseñanza Media 27 hs Esc Esp</v>
      </c>
      <c r="G282" s="73">
        <f t="shared" si="50"/>
        <v>2133</v>
      </c>
      <c r="H282" s="74">
        <f>INT((G282*Valores!$C$2*100))/100</f>
        <v>14146.9</v>
      </c>
      <c r="I282" s="113">
        <v>0</v>
      </c>
      <c r="J282" s="76">
        <f>INT((I282*Valores!$C$2*100)+0.5)/100</f>
        <v>0</v>
      </c>
      <c r="K282" s="103">
        <v>0</v>
      </c>
      <c r="L282" s="76">
        <f>INT((K282*Valores!$C$2*100)+0.5)/100</f>
        <v>0</v>
      </c>
      <c r="M282" s="101">
        <v>0</v>
      </c>
      <c r="N282" s="76">
        <f>INT((M282*Valores!$C$2*100)+0.5)/100</f>
        <v>0</v>
      </c>
      <c r="O282" s="76">
        <f t="shared" si="52"/>
        <v>2557.8554999999997</v>
      </c>
      <c r="P282" s="76">
        <f t="shared" si="53"/>
        <v>0</v>
      </c>
      <c r="Q282" s="102">
        <f>Valores!$C$14*D282</f>
        <v>4325.13</v>
      </c>
      <c r="R282" s="102">
        <f>IF(D282&lt;15,(Valores!$E$4*D282),Valores!$D$4)</f>
        <v>2966.67</v>
      </c>
      <c r="S282" s="76">
        <v>0</v>
      </c>
      <c r="T282" s="79">
        <f>IF(Valores!$C$45*D282&gt;Valores!$C$43,Valores!$C$43,Valores!$C$45*D282)</f>
        <v>1380.24</v>
      </c>
      <c r="U282" s="102">
        <f>Valores!$C$22*D282</f>
        <v>1525.23</v>
      </c>
      <c r="V282" s="76">
        <f t="shared" si="48"/>
        <v>1525.23</v>
      </c>
      <c r="W282" s="76">
        <v>0</v>
      </c>
      <c r="X282" s="76">
        <v>0</v>
      </c>
      <c r="Y282" s="119">
        <v>0</v>
      </c>
      <c r="Z282" s="76">
        <f>Y282*Valores!$C$2</f>
        <v>0</v>
      </c>
      <c r="AA282" s="76">
        <v>0</v>
      </c>
      <c r="AB282" s="81">
        <f>IF((Valores!$C$32)*D282&gt;Valores!$F$32,Valores!$F$32,(Valores!$C$32)*D282)</f>
        <v>173.34</v>
      </c>
      <c r="AC282" s="76">
        <f t="shared" si="56"/>
        <v>0</v>
      </c>
      <c r="AD282" s="76">
        <f>IF(Valores!$C$33*D282&gt;Valores!$F$33,Valores!$F$33,Valores!$C$33*D282)</f>
        <v>144.18</v>
      </c>
      <c r="AE282" s="80">
        <v>94</v>
      </c>
      <c r="AF282" s="76">
        <f>INT(((AE282*Valores!$C$2)*100)+0.5)/100</f>
        <v>623.45</v>
      </c>
      <c r="AG282" s="76">
        <f>IF(Valores!$D$58*'Escala Docente'!D282&gt;Valores!$F$58,Valores!$F$58,Valores!$D$58*'Escala Docente'!D282)</f>
        <v>586.71</v>
      </c>
      <c r="AH282" s="76">
        <f>IF(Valores!$D$60*D282&gt;Valores!$F$60,Valores!$F$60,Valores!$D$60*D282)</f>
        <v>167.67</v>
      </c>
      <c r="AI282" s="115">
        <f t="shared" si="57"/>
        <v>28597.375500000002</v>
      </c>
      <c r="AJ282" s="102">
        <f>IF(Valores!$C$36*D282&gt;Valores!$F$36,Valores!$F$36,Valores!$C$36*D282)</f>
        <v>1078.65</v>
      </c>
      <c r="AK282" s="79">
        <f>IF(Valores!$C$11*D282&gt;Valores!$F$11,Valores!$F$11,Valores!$C$11*D282)</f>
        <v>0</v>
      </c>
      <c r="AL282" s="79">
        <f>IF(Valores!$C$84*D282&gt;Valores!$C$83,Valores!$C$83,Valores!$C$84*D282)</f>
        <v>1755</v>
      </c>
      <c r="AM282" s="81">
        <f>IF(Valores!$C$57*D282&gt;Valores!$F$57,Valores!$F$57,Valores!$C$57*D282)</f>
        <v>245.7</v>
      </c>
      <c r="AN282" s="83">
        <f t="shared" si="58"/>
        <v>2833.65</v>
      </c>
      <c r="AO282" s="62">
        <f>AI282*-Valores!$C$65</f>
        <v>-3717.6588150000002</v>
      </c>
      <c r="AP282" s="62">
        <f>AI282*-Valores!$C$66</f>
        <v>-142.98687750000002</v>
      </c>
      <c r="AQ282" s="78">
        <f>AI282*-Valores!$C$67</f>
        <v>-1286.8818975000002</v>
      </c>
      <c r="AR282" s="78">
        <f>AI282*-Valores!$C$68</f>
        <v>-772.1291385000001</v>
      </c>
      <c r="AS282" s="78">
        <f>AI282*-Valores!$C$69</f>
        <v>-85.79212650000001</v>
      </c>
      <c r="AT282" s="82">
        <f t="shared" si="54"/>
        <v>26283.497910000006</v>
      </c>
      <c r="AU282" s="82">
        <f t="shared" si="55"/>
        <v>26712.458542500004</v>
      </c>
      <c r="AV282" s="78">
        <f>AI282*Valores!$C$71</f>
        <v>4575.580080000001</v>
      </c>
      <c r="AW282" s="78">
        <f>AI282*Valores!$C$72</f>
        <v>1286.8818975000002</v>
      </c>
      <c r="AX282" s="78">
        <f>AI282*Valores!$C$73</f>
        <v>285.97375500000004</v>
      </c>
      <c r="AY282" s="78">
        <f>AI282*Valores!$C$75</f>
        <v>1000.9081425000002</v>
      </c>
      <c r="AZ282" s="78">
        <f>AI282*Valores!$C$76</f>
        <v>171.58425300000002</v>
      </c>
      <c r="BA282" s="78">
        <f t="shared" si="59"/>
        <v>1544.2582770000001</v>
      </c>
      <c r="BB282" s="52"/>
      <c r="BC282" s="52">
        <f t="shared" si="49"/>
        <v>108</v>
      </c>
      <c r="BD282" s="28" t="s">
        <v>4</v>
      </c>
    </row>
    <row r="283" spans="1:56" s="28" customFormat="1" ht="11.25" customHeight="1">
      <c r="A283" s="52">
        <v>282</v>
      </c>
      <c r="B283" s="52"/>
      <c r="C283" s="28" t="s">
        <v>522</v>
      </c>
      <c r="D283" s="28">
        <v>28</v>
      </c>
      <c r="E283" s="28">
        <f t="shared" si="51"/>
        <v>34</v>
      </c>
      <c r="F283" s="72" t="str">
        <f>CONCATENATE("Hora Cátedra Enseñanza Media ",D283," hs")</f>
        <v>Hora Cátedra Enseñanza Media 28 hs</v>
      </c>
      <c r="G283" s="73">
        <f t="shared" si="50"/>
        <v>2212</v>
      </c>
      <c r="H283" s="74">
        <f>INT((G283*Valores!$C$2*100))/100</f>
        <v>14670.86</v>
      </c>
      <c r="I283" s="113">
        <v>0</v>
      </c>
      <c r="J283" s="76">
        <f>INT((I283*Valores!$C$2*100)+0.5)/100</f>
        <v>0</v>
      </c>
      <c r="K283" s="103">
        <v>0</v>
      </c>
      <c r="L283" s="76">
        <f>INT((K283*Valores!$C$2*100)+0.5)/100</f>
        <v>0</v>
      </c>
      <c r="M283" s="101">
        <v>0</v>
      </c>
      <c r="N283" s="76">
        <f>INT((M283*Valores!$C$2*100)+0.5)/100</f>
        <v>0</v>
      </c>
      <c r="O283" s="76">
        <f t="shared" si="52"/>
        <v>2652.591</v>
      </c>
      <c r="P283" s="76">
        <f t="shared" si="53"/>
        <v>0</v>
      </c>
      <c r="Q283" s="102">
        <f>Valores!$C$14*D283</f>
        <v>4485.32</v>
      </c>
      <c r="R283" s="102">
        <f>IF(D283&lt;15,(Valores!$E$4*D283),Valores!$D$4)</f>
        <v>2966.67</v>
      </c>
      <c r="S283" s="76">
        <v>0</v>
      </c>
      <c r="T283" s="79">
        <f>IF(Valores!$C$45*D283&gt;Valores!$C$43,Valores!$C$43,Valores!$C$45*D283)</f>
        <v>1431.36</v>
      </c>
      <c r="U283" s="102">
        <f>Valores!$C$22*D283</f>
        <v>1581.72</v>
      </c>
      <c r="V283" s="76">
        <f t="shared" si="48"/>
        <v>1581.72</v>
      </c>
      <c r="W283" s="76">
        <v>0</v>
      </c>
      <c r="X283" s="76">
        <v>0</v>
      </c>
      <c r="Y283" s="119">
        <v>0</v>
      </c>
      <c r="Z283" s="76">
        <f>Y283*Valores!$C$2</f>
        <v>0</v>
      </c>
      <c r="AA283" s="76">
        <v>0</v>
      </c>
      <c r="AB283" s="81">
        <f>IF((Valores!$C$32)*D283&gt;Valores!$F$32,Valores!$F$32,(Valores!$C$32)*D283)</f>
        <v>179.76</v>
      </c>
      <c r="AC283" s="76">
        <f t="shared" si="56"/>
        <v>0</v>
      </c>
      <c r="AD283" s="76">
        <f>IF(Valores!$C$33*D283&gt;Valores!$F$33,Valores!$F$33,Valores!$C$33*D283)</f>
        <v>149.51999999999998</v>
      </c>
      <c r="AE283" s="80">
        <v>0</v>
      </c>
      <c r="AF283" s="76">
        <f>INT(((AE283*Valores!$C$2)*100)+0.5)/100</f>
        <v>0</v>
      </c>
      <c r="AG283" s="76">
        <f>IF(Valores!$D$58*'Escala Docente'!D283&gt;Valores!$F$58,Valores!$F$58,Valores!$D$58*'Escala Docente'!D283)</f>
        <v>608.44</v>
      </c>
      <c r="AH283" s="76">
        <f>IF(Valores!$D$60*D283&gt;Valores!$F$60,Valores!$F$60,Valores!$D$60*D283)</f>
        <v>173.88</v>
      </c>
      <c r="AI283" s="115">
        <f t="shared" si="57"/>
        <v>28900.121</v>
      </c>
      <c r="AJ283" s="102">
        <f>IF(Valores!$C$36*D283&gt;Valores!$F$36,Valores!$F$36,Valores!$C$36*D283)</f>
        <v>1118.6000000000001</v>
      </c>
      <c r="AK283" s="79">
        <f>IF(Valores!$C$11*D283&gt;Valores!$F$11,Valores!$F$11,Valores!$C$11*D283)</f>
        <v>0</v>
      </c>
      <c r="AL283" s="79">
        <f>IF(Valores!$C$84*D283&gt;Valores!$C$83,Valores!$C$83,Valores!$C$84*D283)</f>
        <v>1820</v>
      </c>
      <c r="AM283" s="81">
        <f>IF(Valores!$C$57*D283&gt;Valores!$F$57,Valores!$F$57,Valores!$C$57*D283)</f>
        <v>254.79999999999998</v>
      </c>
      <c r="AN283" s="83">
        <f t="shared" si="58"/>
        <v>2938.6000000000004</v>
      </c>
      <c r="AO283" s="62">
        <f>AI283*-Valores!$C$65</f>
        <v>-3757.01573</v>
      </c>
      <c r="AP283" s="62">
        <f>AI283*-Valores!$C$66</f>
        <v>-144.500605</v>
      </c>
      <c r="AQ283" s="78">
        <f>AI283*-Valores!$C$67</f>
        <v>-1300.505445</v>
      </c>
      <c r="AR283" s="78">
        <f>AI283*-Valores!$C$68</f>
        <v>-780.303267</v>
      </c>
      <c r="AS283" s="78">
        <f>AI283*-Valores!$C$69</f>
        <v>-86.700363</v>
      </c>
      <c r="AT283" s="82">
        <f t="shared" si="54"/>
        <v>26636.69922</v>
      </c>
      <c r="AU283" s="82">
        <f t="shared" si="55"/>
        <v>27070.201035</v>
      </c>
      <c r="AV283" s="78">
        <f>AI283*Valores!$C$71</f>
        <v>4624.01936</v>
      </c>
      <c r="AW283" s="78">
        <f>AI283*Valores!$C$72</f>
        <v>1300.505445</v>
      </c>
      <c r="AX283" s="78">
        <f>AI283*Valores!$C$73</f>
        <v>289.00121</v>
      </c>
      <c r="AY283" s="78">
        <f>AI283*Valores!$C$75</f>
        <v>1011.5042350000001</v>
      </c>
      <c r="AZ283" s="78">
        <f>AI283*Valores!$C$76</f>
        <v>173.400726</v>
      </c>
      <c r="BA283" s="78">
        <f t="shared" si="59"/>
        <v>1560.606534</v>
      </c>
      <c r="BB283" s="52"/>
      <c r="BC283" s="52">
        <f t="shared" si="49"/>
        <v>112</v>
      </c>
      <c r="BD283" s="28" t="s">
        <v>4</v>
      </c>
    </row>
    <row r="284" spans="1:56" s="28" customFormat="1" ht="11.25" customHeight="1">
      <c r="A284" s="52">
        <v>283</v>
      </c>
      <c r="B284" s="52"/>
      <c r="C284" s="28" t="s">
        <v>522</v>
      </c>
      <c r="D284" s="28">
        <v>28</v>
      </c>
      <c r="E284" s="28">
        <f t="shared" si="51"/>
        <v>42</v>
      </c>
      <c r="F284" s="72" t="str">
        <f>CONCATENATE("Hora Cátedra Enseñanza Media ",D284," hs Esc Esp")</f>
        <v>Hora Cátedra Enseñanza Media 28 hs Esc Esp</v>
      </c>
      <c r="G284" s="73">
        <f t="shared" si="50"/>
        <v>2212</v>
      </c>
      <c r="H284" s="74">
        <f>INT((G284*Valores!$C$2*100))/100</f>
        <v>14670.86</v>
      </c>
      <c r="I284" s="113">
        <v>0</v>
      </c>
      <c r="J284" s="76">
        <f>INT((I284*Valores!$C$2*100)+0.5)/100</f>
        <v>0</v>
      </c>
      <c r="K284" s="103">
        <v>0</v>
      </c>
      <c r="L284" s="76">
        <f>INT((K284*Valores!$C$2*100)+0.5)/100</f>
        <v>0</v>
      </c>
      <c r="M284" s="101">
        <v>0</v>
      </c>
      <c r="N284" s="76">
        <f>INT((M284*Valores!$C$2*100)+0.5)/100</f>
        <v>0</v>
      </c>
      <c r="O284" s="76">
        <f t="shared" si="52"/>
        <v>2652.591</v>
      </c>
      <c r="P284" s="76">
        <f t="shared" si="53"/>
        <v>0</v>
      </c>
      <c r="Q284" s="102">
        <f>Valores!$C$14*D284</f>
        <v>4485.32</v>
      </c>
      <c r="R284" s="102">
        <f>IF(D284&lt;15,(Valores!$E$4*D284),Valores!$D$4)</f>
        <v>2966.67</v>
      </c>
      <c r="S284" s="76">
        <v>0</v>
      </c>
      <c r="T284" s="79">
        <f>IF(Valores!$C$45*D284&gt;Valores!$C$43,Valores!$C$43,Valores!$C$45*D284)</f>
        <v>1431.36</v>
      </c>
      <c r="U284" s="102">
        <f>Valores!$C$22*D284</f>
        <v>1581.72</v>
      </c>
      <c r="V284" s="76">
        <f t="shared" si="48"/>
        <v>1581.72</v>
      </c>
      <c r="W284" s="76">
        <v>0</v>
      </c>
      <c r="X284" s="76">
        <v>0</v>
      </c>
      <c r="Y284" s="119">
        <v>0</v>
      </c>
      <c r="Z284" s="76">
        <f>Y284*Valores!$C$2</f>
        <v>0</v>
      </c>
      <c r="AA284" s="76">
        <v>0</v>
      </c>
      <c r="AB284" s="81">
        <f>IF((Valores!$C$32)*D284&gt;Valores!$F$32,Valores!$F$32,(Valores!$C$32)*D284)</f>
        <v>179.76</v>
      </c>
      <c r="AC284" s="76">
        <f t="shared" si="56"/>
        <v>0</v>
      </c>
      <c r="AD284" s="76">
        <f>IF(Valores!$C$33*D284&gt;Valores!$F$33,Valores!$F$33,Valores!$C$33*D284)</f>
        <v>149.51999999999998</v>
      </c>
      <c r="AE284" s="80">
        <v>94</v>
      </c>
      <c r="AF284" s="76">
        <f>INT(((AE284*Valores!$C$2)*100)+0.5)/100</f>
        <v>623.45</v>
      </c>
      <c r="AG284" s="76">
        <f>IF(Valores!$D$58*'Escala Docente'!D284&gt;Valores!$F$58,Valores!$F$58,Valores!$D$58*'Escala Docente'!D284)</f>
        <v>608.44</v>
      </c>
      <c r="AH284" s="76">
        <f>IF(Valores!$D$60*D284&gt;Valores!$F$60,Valores!$F$60,Valores!$D$60*D284)</f>
        <v>173.88</v>
      </c>
      <c r="AI284" s="115">
        <f t="shared" si="57"/>
        <v>29523.571</v>
      </c>
      <c r="AJ284" s="102">
        <f>IF(Valores!$C$36*D284&gt;Valores!$F$36,Valores!$F$36,Valores!$C$36*D284)</f>
        <v>1118.6000000000001</v>
      </c>
      <c r="AK284" s="79">
        <f>IF(Valores!$C$11*D284&gt;Valores!$F$11,Valores!$F$11,Valores!$C$11*D284)</f>
        <v>0</v>
      </c>
      <c r="AL284" s="79">
        <f>IF(Valores!$C$84*D284&gt;Valores!$C$83,Valores!$C$83,Valores!$C$84*D284)</f>
        <v>1820</v>
      </c>
      <c r="AM284" s="81">
        <f>IF(Valores!$C$57*D284&gt;Valores!$F$57,Valores!$F$57,Valores!$C$57*D284)</f>
        <v>254.79999999999998</v>
      </c>
      <c r="AN284" s="83">
        <f t="shared" si="58"/>
        <v>2938.6000000000004</v>
      </c>
      <c r="AO284" s="62">
        <f>AI284*-Valores!$C$65</f>
        <v>-3838.06423</v>
      </c>
      <c r="AP284" s="62">
        <f>AI284*-Valores!$C$66</f>
        <v>-147.617855</v>
      </c>
      <c r="AQ284" s="78">
        <f>AI284*-Valores!$C$67</f>
        <v>-1328.560695</v>
      </c>
      <c r="AR284" s="78">
        <f>AI284*-Valores!$C$68</f>
        <v>-797.1364169999999</v>
      </c>
      <c r="AS284" s="78">
        <f>AI284*-Valores!$C$69</f>
        <v>-88.570713</v>
      </c>
      <c r="AT284" s="82">
        <f t="shared" si="54"/>
        <v>27147.92822</v>
      </c>
      <c r="AU284" s="82">
        <f t="shared" si="55"/>
        <v>27590.781785</v>
      </c>
      <c r="AV284" s="78">
        <f>AI284*Valores!$C$71</f>
        <v>4723.77136</v>
      </c>
      <c r="AW284" s="78">
        <f>AI284*Valores!$C$72</f>
        <v>1328.560695</v>
      </c>
      <c r="AX284" s="78">
        <f>AI284*Valores!$C$73</f>
        <v>295.23571</v>
      </c>
      <c r="AY284" s="78">
        <f>AI284*Valores!$C$75</f>
        <v>1033.3249850000002</v>
      </c>
      <c r="AZ284" s="78">
        <f>AI284*Valores!$C$76</f>
        <v>177.141426</v>
      </c>
      <c r="BA284" s="78">
        <f t="shared" si="59"/>
        <v>1594.272834</v>
      </c>
      <c r="BB284" s="52"/>
      <c r="BC284" s="86">
        <f t="shared" si="49"/>
        <v>112</v>
      </c>
      <c r="BD284" s="28" t="s">
        <v>4</v>
      </c>
    </row>
    <row r="285" spans="1:56" s="28" customFormat="1" ht="11.25" customHeight="1">
      <c r="A285" s="52">
        <v>284</v>
      </c>
      <c r="B285" s="52"/>
      <c r="C285" s="28" t="s">
        <v>522</v>
      </c>
      <c r="D285" s="28">
        <v>29</v>
      </c>
      <c r="E285" s="28">
        <f t="shared" si="51"/>
        <v>34</v>
      </c>
      <c r="F285" s="72" t="str">
        <f>CONCATENATE("Hora Cátedra Enseñanza Media ",D285," hs")</f>
        <v>Hora Cátedra Enseñanza Media 29 hs</v>
      </c>
      <c r="G285" s="73">
        <f t="shared" si="50"/>
        <v>2291</v>
      </c>
      <c r="H285" s="74">
        <f>INT((G285*Valores!$C$2*100))/100</f>
        <v>15194.82</v>
      </c>
      <c r="I285" s="113">
        <v>0</v>
      </c>
      <c r="J285" s="76">
        <f>INT((I285*Valores!$C$2*100)+0.5)/100</f>
        <v>0</v>
      </c>
      <c r="K285" s="103">
        <v>0</v>
      </c>
      <c r="L285" s="76">
        <f>INT((K285*Valores!$C$2*100)+0.5)/100</f>
        <v>0</v>
      </c>
      <c r="M285" s="101">
        <v>0</v>
      </c>
      <c r="N285" s="76">
        <f>INT((M285*Valores!$C$2*100)+0.5)/100</f>
        <v>0</v>
      </c>
      <c r="O285" s="76">
        <f t="shared" si="52"/>
        <v>2747.3264999999997</v>
      </c>
      <c r="P285" s="76">
        <f t="shared" si="53"/>
        <v>0</v>
      </c>
      <c r="Q285" s="102">
        <f>Valores!$C$14*D285</f>
        <v>4645.51</v>
      </c>
      <c r="R285" s="102">
        <f>IF(D285&lt;15,(Valores!$E$4*D285),Valores!$D$4)</f>
        <v>2966.67</v>
      </c>
      <c r="S285" s="76">
        <v>0</v>
      </c>
      <c r="T285" s="79">
        <f>IF(Valores!$C$45*D285&gt;Valores!$C$43,Valores!$C$43,Valores!$C$45*D285)</f>
        <v>1482.48</v>
      </c>
      <c r="U285" s="102">
        <f>Valores!$C$22*D285</f>
        <v>1638.21</v>
      </c>
      <c r="V285" s="76">
        <f t="shared" si="48"/>
        <v>1638.21</v>
      </c>
      <c r="W285" s="76">
        <v>0</v>
      </c>
      <c r="X285" s="76">
        <v>0</v>
      </c>
      <c r="Y285" s="119">
        <v>0</v>
      </c>
      <c r="Z285" s="76">
        <f>Y285*Valores!$C$2</f>
        <v>0</v>
      </c>
      <c r="AA285" s="76">
        <v>0</v>
      </c>
      <c r="AB285" s="81">
        <f>IF((Valores!$C$32)*D285&gt;Valores!$F$32,Valores!$F$32,(Valores!$C$32)*D285)</f>
        <v>186.18</v>
      </c>
      <c r="AC285" s="76">
        <f t="shared" si="56"/>
        <v>0</v>
      </c>
      <c r="AD285" s="76">
        <f>IF(Valores!$C$33*D285&gt;Valores!$F$33,Valores!$F$33,Valores!$C$33*D285)</f>
        <v>154.85999999999999</v>
      </c>
      <c r="AE285" s="80">
        <v>0</v>
      </c>
      <c r="AF285" s="76">
        <f>INT(((AE285*Valores!$C$2)*100)+0.5)/100</f>
        <v>0</v>
      </c>
      <c r="AG285" s="76">
        <f>IF(Valores!$D$58*'Escala Docente'!D285&gt;Valores!$F$58,Valores!$F$58,Valores!$D$58*'Escala Docente'!D285)</f>
        <v>630.17</v>
      </c>
      <c r="AH285" s="76">
        <f>IF(Valores!$D$60*D285&gt;Valores!$F$60,Valores!$F$60,Valores!$D$60*D285)</f>
        <v>180.09</v>
      </c>
      <c r="AI285" s="115">
        <f t="shared" si="57"/>
        <v>29826.316499999994</v>
      </c>
      <c r="AJ285" s="102">
        <f>IF(Valores!$C$36*D285&gt;Valores!$F$36,Valores!$F$36,Valores!$C$36*D285)</f>
        <v>1158.5500000000002</v>
      </c>
      <c r="AK285" s="79">
        <f>IF(Valores!$C$11*D285&gt;Valores!$F$11,Valores!$F$11,Valores!$C$11*D285)</f>
        <v>0</v>
      </c>
      <c r="AL285" s="79">
        <f>IF(Valores!$C$84*D285&gt;Valores!$C$83,Valores!$C$83,Valores!$C$84*D285)</f>
        <v>1885</v>
      </c>
      <c r="AM285" s="81">
        <f>IF(Valores!$C$57*D285&gt;Valores!$F$57,Valores!$F$57,Valores!$C$57*D285)</f>
        <v>263.9</v>
      </c>
      <c r="AN285" s="83">
        <f t="shared" si="58"/>
        <v>3043.55</v>
      </c>
      <c r="AO285" s="62">
        <f>AI285*-Valores!$C$65</f>
        <v>-3877.4211449999993</v>
      </c>
      <c r="AP285" s="62">
        <f>AI285*-Valores!$C$66</f>
        <v>-149.13158249999998</v>
      </c>
      <c r="AQ285" s="78">
        <f>AI285*-Valores!$C$67</f>
        <v>-1342.1842424999998</v>
      </c>
      <c r="AR285" s="78">
        <f>AI285*-Valores!$C$68</f>
        <v>-805.3105454999998</v>
      </c>
      <c r="AS285" s="78">
        <f>AI285*-Valores!$C$69</f>
        <v>-89.47894949999998</v>
      </c>
      <c r="AT285" s="82">
        <f t="shared" si="54"/>
        <v>27501.12953</v>
      </c>
      <c r="AU285" s="82">
        <f t="shared" si="55"/>
        <v>27948.524277499997</v>
      </c>
      <c r="AV285" s="78">
        <f>AI285*Valores!$C$71</f>
        <v>4772.210639999999</v>
      </c>
      <c r="AW285" s="78">
        <f>AI285*Valores!$C$72</f>
        <v>1342.1842424999998</v>
      </c>
      <c r="AX285" s="78">
        <f>AI285*Valores!$C$73</f>
        <v>298.26316499999996</v>
      </c>
      <c r="AY285" s="78">
        <f>AI285*Valores!$C$75</f>
        <v>1043.9210775</v>
      </c>
      <c r="AZ285" s="78">
        <f>AI285*Valores!$C$76</f>
        <v>178.95789899999997</v>
      </c>
      <c r="BA285" s="78">
        <f t="shared" si="59"/>
        <v>1610.6210909999998</v>
      </c>
      <c r="BB285" s="52"/>
      <c r="BC285" s="52">
        <f t="shared" si="49"/>
        <v>116</v>
      </c>
      <c r="BD285" s="28" t="s">
        <v>8</v>
      </c>
    </row>
    <row r="286" spans="1:56" s="28" customFormat="1" ht="11.25" customHeight="1">
      <c r="A286" s="86">
        <v>285</v>
      </c>
      <c r="B286" s="86" t="s">
        <v>163</v>
      </c>
      <c r="C286" s="87" t="s">
        <v>522</v>
      </c>
      <c r="D286" s="87">
        <v>29</v>
      </c>
      <c r="E286" s="87">
        <f t="shared" si="51"/>
        <v>42</v>
      </c>
      <c r="F286" s="88" t="str">
        <f>CONCATENATE("Hora Cátedra Enseñanza Media ",D286," hs Esc Esp")</f>
        <v>Hora Cátedra Enseñanza Media 29 hs Esc Esp</v>
      </c>
      <c r="G286" s="89">
        <f t="shared" si="50"/>
        <v>2291</v>
      </c>
      <c r="H286" s="90">
        <f>INT((G286*Valores!$C$2*100))/100</f>
        <v>15194.82</v>
      </c>
      <c r="I286" s="104">
        <v>0</v>
      </c>
      <c r="J286" s="92">
        <f>INT((I286*Valores!$C$2*100)+0.5)/100</f>
        <v>0</v>
      </c>
      <c r="K286" s="105">
        <v>0</v>
      </c>
      <c r="L286" s="92">
        <f>INT((K286*Valores!$C$2*100)+0.5)/100</f>
        <v>0</v>
      </c>
      <c r="M286" s="106">
        <v>0</v>
      </c>
      <c r="N286" s="92">
        <f>INT((M286*Valores!$C$2*100)+0.5)/100</f>
        <v>0</v>
      </c>
      <c r="O286" s="92">
        <f t="shared" si="52"/>
        <v>2747.3264999999997</v>
      </c>
      <c r="P286" s="92">
        <f t="shared" si="53"/>
        <v>0</v>
      </c>
      <c r="Q286" s="108">
        <f>Valores!$C$14*D286</f>
        <v>4645.51</v>
      </c>
      <c r="R286" s="108">
        <f>IF(D286&lt;15,(Valores!$E$4*D286),Valores!$D$4)</f>
        <v>2966.67</v>
      </c>
      <c r="S286" s="92">
        <v>0</v>
      </c>
      <c r="T286" s="95">
        <f>IF(Valores!$C$45*D286&gt;Valores!$C$43,Valores!$C$43,Valores!$C$45*D286)</f>
        <v>1482.48</v>
      </c>
      <c r="U286" s="108">
        <f>Valores!$C$22*D286</f>
        <v>1638.21</v>
      </c>
      <c r="V286" s="92">
        <f t="shared" si="48"/>
        <v>1638.21</v>
      </c>
      <c r="W286" s="92">
        <v>0</v>
      </c>
      <c r="X286" s="92">
        <v>0</v>
      </c>
      <c r="Y286" s="120">
        <v>0</v>
      </c>
      <c r="Z286" s="92">
        <f>Y286*Valores!$C$2</f>
        <v>0</v>
      </c>
      <c r="AA286" s="92">
        <v>0</v>
      </c>
      <c r="AB286" s="97">
        <f>IF((Valores!$C$32)*D286&gt;Valores!$F$32,Valores!$F$32,(Valores!$C$32)*D286)</f>
        <v>186.18</v>
      </c>
      <c r="AC286" s="92">
        <f t="shared" si="56"/>
        <v>0</v>
      </c>
      <c r="AD286" s="92">
        <f>IF(Valores!$C$33*D286&gt;Valores!$F$33,Valores!$F$33,Valores!$C$33*D286)</f>
        <v>154.85999999999999</v>
      </c>
      <c r="AE286" s="96">
        <v>94</v>
      </c>
      <c r="AF286" s="92">
        <f>INT(((AE286*Valores!$C$2)*100)+0.5)/100</f>
        <v>623.45</v>
      </c>
      <c r="AG286" s="92">
        <f>IF(Valores!$D$58*'Escala Docente'!D286&gt;Valores!$F$58,Valores!$F$58,Valores!$D$58*'Escala Docente'!D286)</f>
        <v>630.17</v>
      </c>
      <c r="AH286" s="92">
        <f>IF(Valores!$D$60*D286&gt;Valores!$F$60,Valores!$F$60,Valores!$D$60*D286)</f>
        <v>180.09</v>
      </c>
      <c r="AI286" s="116">
        <f t="shared" si="57"/>
        <v>30449.766499999994</v>
      </c>
      <c r="AJ286" s="108">
        <f>IF(Valores!$C$36*D286&gt;Valores!$F$36,Valores!$F$36,Valores!$C$36*D286)</f>
        <v>1158.5500000000002</v>
      </c>
      <c r="AK286" s="95">
        <f>IF(Valores!$C$11*D286&gt;Valores!$F$11,Valores!$F$11,Valores!$C$11*D286)</f>
        <v>0</v>
      </c>
      <c r="AL286" s="95">
        <f>IF(Valores!$C$84*D286&gt;Valores!$C$83,Valores!$C$83,Valores!$C$84*D286)</f>
        <v>1885</v>
      </c>
      <c r="AM286" s="97">
        <f>IF(Valores!$C$57*D286&gt;Valores!$F$57,Valores!$F$57,Valores!$C$57*D286)</f>
        <v>263.9</v>
      </c>
      <c r="AN286" s="99">
        <f t="shared" si="58"/>
        <v>3043.55</v>
      </c>
      <c r="AO286" s="117">
        <f>AI286*-Valores!$C$65</f>
        <v>-3958.469644999999</v>
      </c>
      <c r="AP286" s="117">
        <f>AI286*-Valores!$C$66</f>
        <v>-152.24883249999996</v>
      </c>
      <c r="AQ286" s="94">
        <f>AI286*-Valores!$C$67</f>
        <v>-1370.2394924999996</v>
      </c>
      <c r="AR286" s="94">
        <f>AI286*-Valores!$C$68</f>
        <v>-822.1436954999998</v>
      </c>
      <c r="AS286" s="94">
        <f>AI286*-Valores!$C$69</f>
        <v>-91.34929949999999</v>
      </c>
      <c r="AT286" s="98">
        <f t="shared" si="54"/>
        <v>28012.35852999999</v>
      </c>
      <c r="AU286" s="98">
        <f t="shared" si="55"/>
        <v>28469.10502749999</v>
      </c>
      <c r="AV286" s="94">
        <f>AI286*Valores!$C$71</f>
        <v>4871.962639999999</v>
      </c>
      <c r="AW286" s="94">
        <f>AI286*Valores!$C$72</f>
        <v>1370.2394924999996</v>
      </c>
      <c r="AX286" s="94">
        <f>AI286*Valores!$C$73</f>
        <v>304.4976649999999</v>
      </c>
      <c r="AY286" s="94">
        <f>AI286*Valores!$C$75</f>
        <v>1065.7418275</v>
      </c>
      <c r="AZ286" s="94">
        <f>AI286*Valores!$C$76</f>
        <v>182.69859899999997</v>
      </c>
      <c r="BA286" s="94">
        <f t="shared" si="59"/>
        <v>1644.2873909999998</v>
      </c>
      <c r="BB286" s="86"/>
      <c r="BC286" s="86">
        <f t="shared" si="49"/>
        <v>116</v>
      </c>
      <c r="BD286" s="87" t="s">
        <v>8</v>
      </c>
    </row>
    <row r="287" spans="1:56" s="28" customFormat="1" ht="11.25" customHeight="1">
      <c r="A287" s="52">
        <v>286</v>
      </c>
      <c r="B287" s="52"/>
      <c r="C287" s="28" t="s">
        <v>522</v>
      </c>
      <c r="D287" s="28">
        <v>30</v>
      </c>
      <c r="E287" s="28">
        <f t="shared" si="51"/>
        <v>34</v>
      </c>
      <c r="F287" s="72" t="str">
        <f>CONCATENATE("Hora Cátedra Enseñanza Media ",D287," hs")</f>
        <v>Hora Cátedra Enseñanza Media 30 hs</v>
      </c>
      <c r="G287" s="73">
        <f t="shared" si="50"/>
        <v>2370</v>
      </c>
      <c r="H287" s="74">
        <f>INT((G287*Valores!$C$2*100))/100</f>
        <v>15718.78</v>
      </c>
      <c r="I287" s="113">
        <v>0</v>
      </c>
      <c r="J287" s="76">
        <f>INT((I287*Valores!$C$2*100)+0.5)/100</f>
        <v>0</v>
      </c>
      <c r="K287" s="103">
        <v>0</v>
      </c>
      <c r="L287" s="76">
        <f>INT((K287*Valores!$C$2*100)+0.5)/100</f>
        <v>0</v>
      </c>
      <c r="M287" s="101">
        <v>0</v>
      </c>
      <c r="N287" s="76">
        <f>INT((M287*Valores!$C$2*100)+0.5)/100</f>
        <v>0</v>
      </c>
      <c r="O287" s="76">
        <f t="shared" si="52"/>
        <v>2842.0619999999994</v>
      </c>
      <c r="P287" s="76">
        <f t="shared" si="53"/>
        <v>0</v>
      </c>
      <c r="Q287" s="102">
        <f>Valores!$C$14*D287</f>
        <v>4805.7</v>
      </c>
      <c r="R287" s="102">
        <f>IF(D287&lt;15,(Valores!$E$4*D287),Valores!$D$4)</f>
        <v>2966.67</v>
      </c>
      <c r="S287" s="76">
        <v>0</v>
      </c>
      <c r="T287" s="79">
        <f>IF(Valores!$C$45*D287&gt;Valores!$C$43,Valores!$C$43,Valores!$C$45*D287)</f>
        <v>1533.6</v>
      </c>
      <c r="U287" s="102">
        <f>Valores!$C$22*D287</f>
        <v>1694.7</v>
      </c>
      <c r="V287" s="76">
        <f t="shared" si="48"/>
        <v>1694.7</v>
      </c>
      <c r="W287" s="76">
        <v>0</v>
      </c>
      <c r="X287" s="76">
        <v>0</v>
      </c>
      <c r="Y287" s="119">
        <v>0</v>
      </c>
      <c r="Z287" s="76">
        <f>Y287*Valores!$C$2</f>
        <v>0</v>
      </c>
      <c r="AA287" s="76">
        <v>0</v>
      </c>
      <c r="AB287" s="81">
        <f>IF((Valores!$C$32)*D287&gt;Valores!$F$32,Valores!$F$32,(Valores!$C$32)*D287)</f>
        <v>192.6</v>
      </c>
      <c r="AC287" s="76">
        <f t="shared" si="56"/>
        <v>0</v>
      </c>
      <c r="AD287" s="76">
        <f>IF(Valores!$C$33*D287&gt;Valores!$F$33,Valores!$F$33,Valores!$C$33*D287)</f>
        <v>160.2</v>
      </c>
      <c r="AE287" s="80">
        <v>0</v>
      </c>
      <c r="AF287" s="76">
        <f>INT(((AE287*Valores!$C$2)*100)+0.5)/100</f>
        <v>0</v>
      </c>
      <c r="AG287" s="76">
        <f>IF(Valores!$D$58*'Escala Docente'!D287&gt;Valores!$F$58,Valores!$F$58,Valores!$D$58*'Escala Docente'!D287)</f>
        <v>651.78</v>
      </c>
      <c r="AH287" s="76">
        <f>IF(Valores!$D$60*D287&gt;Valores!$F$60,Valores!$F$60,Valores!$D$60*D287)</f>
        <v>186.22</v>
      </c>
      <c r="AI287" s="115">
        <f t="shared" si="57"/>
        <v>30752.311999999998</v>
      </c>
      <c r="AJ287" s="102">
        <f>IF(Valores!$C$36*D287&gt;Valores!$F$36,Valores!$F$36,Valores!$C$36*D287)</f>
        <v>1198.38</v>
      </c>
      <c r="AK287" s="79">
        <f>IF(Valores!$C$11*D287&gt;Valores!$F$11,Valores!$F$11,Valores!$C$11*D287)</f>
        <v>0</v>
      </c>
      <c r="AL287" s="79">
        <f>IF(Valores!$C$84*D287&gt;Valores!$C$83,Valores!$C$83,Valores!$C$84*D287)</f>
        <v>1950</v>
      </c>
      <c r="AM287" s="81">
        <f>IF(Valores!$C$57*D287&gt;Valores!$F$57,Valores!$F$57,Valores!$C$57*D287)</f>
        <v>265.48</v>
      </c>
      <c r="AN287" s="83">
        <f t="shared" si="58"/>
        <v>3148.38</v>
      </c>
      <c r="AO287" s="62">
        <f>AI287*-Valores!$C$65</f>
        <v>-3997.8005599999997</v>
      </c>
      <c r="AP287" s="62">
        <f>AI287*-Valores!$C$66</f>
        <v>-153.76156</v>
      </c>
      <c r="AQ287" s="78">
        <f>AI287*-Valores!$C$67</f>
        <v>-1383.85404</v>
      </c>
      <c r="AR287" s="78">
        <f>AI287*-Valores!$C$68</f>
        <v>-830.312424</v>
      </c>
      <c r="AS287" s="78">
        <f>AI287*-Valores!$C$69</f>
        <v>-92.256936</v>
      </c>
      <c r="AT287" s="82">
        <f t="shared" si="54"/>
        <v>28365.27584</v>
      </c>
      <c r="AU287" s="82">
        <f t="shared" si="55"/>
        <v>28826.56051999999</v>
      </c>
      <c r="AV287" s="78">
        <f>AI287*Valores!$C$71</f>
        <v>4920.36992</v>
      </c>
      <c r="AW287" s="78">
        <f>AI287*Valores!$C$72</f>
        <v>1383.85404</v>
      </c>
      <c r="AX287" s="78">
        <f>AI287*Valores!$C$73</f>
        <v>307.52312</v>
      </c>
      <c r="AY287" s="78">
        <f>AI287*Valores!$C$75</f>
        <v>1076.33092</v>
      </c>
      <c r="AZ287" s="78">
        <f>AI287*Valores!$C$76</f>
        <v>184.513872</v>
      </c>
      <c r="BA287" s="78">
        <f t="shared" si="59"/>
        <v>1660.6248480000002</v>
      </c>
      <c r="BB287" s="52"/>
      <c r="BC287" s="52">
        <f t="shared" si="49"/>
        <v>120</v>
      </c>
      <c r="BD287" s="28" t="s">
        <v>4</v>
      </c>
    </row>
    <row r="288" spans="1:56" s="28" customFormat="1" ht="11.25" customHeight="1">
      <c r="A288" s="52">
        <v>287</v>
      </c>
      <c r="B288" s="52"/>
      <c r="C288" s="28" t="s">
        <v>522</v>
      </c>
      <c r="D288" s="28">
        <v>30</v>
      </c>
      <c r="E288" s="28">
        <f t="shared" si="51"/>
        <v>42</v>
      </c>
      <c r="F288" s="72" t="str">
        <f>CONCATENATE("Hora Cátedra Enseñanza Media ",D288," hs Esc Esp")</f>
        <v>Hora Cátedra Enseñanza Media 30 hs Esc Esp</v>
      </c>
      <c r="G288" s="73">
        <f t="shared" si="50"/>
        <v>2370</v>
      </c>
      <c r="H288" s="74">
        <f>INT((G288*Valores!$C$2*100))/100</f>
        <v>15718.78</v>
      </c>
      <c r="I288" s="113">
        <v>0</v>
      </c>
      <c r="J288" s="76">
        <f>INT((I288*Valores!$C$2*100)+0.5)/100</f>
        <v>0</v>
      </c>
      <c r="K288" s="103">
        <v>0</v>
      </c>
      <c r="L288" s="76">
        <f>INT((K288*Valores!$C$2*100)+0.5)/100</f>
        <v>0</v>
      </c>
      <c r="M288" s="101">
        <v>0</v>
      </c>
      <c r="N288" s="76">
        <f>INT((M288*Valores!$C$2*100)+0.5)/100</f>
        <v>0</v>
      </c>
      <c r="O288" s="76">
        <f t="shared" si="52"/>
        <v>2842.0619999999994</v>
      </c>
      <c r="P288" s="76">
        <f t="shared" si="53"/>
        <v>0</v>
      </c>
      <c r="Q288" s="102">
        <f>Valores!$C$14*D288</f>
        <v>4805.7</v>
      </c>
      <c r="R288" s="102">
        <f>IF(D288&lt;15,(Valores!$E$4*D288),Valores!$D$4)</f>
        <v>2966.67</v>
      </c>
      <c r="S288" s="76">
        <v>0</v>
      </c>
      <c r="T288" s="79">
        <f>IF(Valores!$C$45*D288&gt;Valores!$C$43,Valores!$C$43,Valores!$C$45*D288)</f>
        <v>1533.6</v>
      </c>
      <c r="U288" s="102">
        <f>Valores!$C$22*D288</f>
        <v>1694.7</v>
      </c>
      <c r="V288" s="76">
        <f t="shared" si="48"/>
        <v>1694.7</v>
      </c>
      <c r="W288" s="76">
        <v>0</v>
      </c>
      <c r="X288" s="76">
        <v>0</v>
      </c>
      <c r="Y288" s="119">
        <v>0</v>
      </c>
      <c r="Z288" s="76">
        <f>Y288*Valores!$C$2</f>
        <v>0</v>
      </c>
      <c r="AA288" s="76">
        <v>0</v>
      </c>
      <c r="AB288" s="81">
        <f>IF((Valores!$C$32)*D288&gt;Valores!$F$32,Valores!$F$32,(Valores!$C$32)*D288)</f>
        <v>192.6</v>
      </c>
      <c r="AC288" s="76">
        <f t="shared" si="56"/>
        <v>0</v>
      </c>
      <c r="AD288" s="76">
        <f>IF(Valores!$C$33*D288&gt;Valores!$F$33,Valores!$F$33,Valores!$C$33*D288)</f>
        <v>160.2</v>
      </c>
      <c r="AE288" s="80">
        <v>94</v>
      </c>
      <c r="AF288" s="76">
        <f>INT(((AE288*Valores!$C$2)*100)+0.5)/100</f>
        <v>623.45</v>
      </c>
      <c r="AG288" s="76">
        <f>IF(Valores!$D$58*'Escala Docente'!D288&gt;Valores!$F$58,Valores!$F$58,Valores!$D$58*'Escala Docente'!D288)</f>
        <v>651.78</v>
      </c>
      <c r="AH288" s="76">
        <f>IF(Valores!$D$60*D288&gt;Valores!$F$60,Valores!$F$60,Valores!$D$60*D288)</f>
        <v>186.22</v>
      </c>
      <c r="AI288" s="115">
        <f t="shared" si="57"/>
        <v>31375.762</v>
      </c>
      <c r="AJ288" s="102">
        <f>IF(Valores!$C$36*D288&gt;Valores!$F$36,Valores!$F$36,Valores!$C$36*D288)</f>
        <v>1198.38</v>
      </c>
      <c r="AK288" s="79">
        <f>IF(Valores!$C$11*D288&gt;Valores!$F$11,Valores!$F$11,Valores!$C$11*D288)</f>
        <v>0</v>
      </c>
      <c r="AL288" s="79">
        <f>IF(Valores!$C$84*D288&gt;Valores!$C$83,Valores!$C$83,Valores!$C$84*D288)</f>
        <v>1950</v>
      </c>
      <c r="AM288" s="81">
        <f>IF(Valores!$C$57*D288&gt;Valores!$F$57,Valores!$F$57,Valores!$C$57*D288)</f>
        <v>265.48</v>
      </c>
      <c r="AN288" s="83">
        <f t="shared" si="58"/>
        <v>3148.38</v>
      </c>
      <c r="AO288" s="62">
        <f>AI288*-Valores!$C$65</f>
        <v>-4078.84906</v>
      </c>
      <c r="AP288" s="62">
        <f>AI288*-Valores!$C$66</f>
        <v>-156.87881</v>
      </c>
      <c r="AQ288" s="78">
        <f>AI288*-Valores!$C$67</f>
        <v>-1411.9092899999998</v>
      </c>
      <c r="AR288" s="78">
        <f>AI288*-Valores!$C$68</f>
        <v>-847.145574</v>
      </c>
      <c r="AS288" s="78">
        <f>AI288*-Valores!$C$69</f>
        <v>-94.127286</v>
      </c>
      <c r="AT288" s="82">
        <f t="shared" si="54"/>
        <v>28876.504839999994</v>
      </c>
      <c r="AU288" s="82">
        <f t="shared" si="55"/>
        <v>29347.141269999996</v>
      </c>
      <c r="AV288" s="78">
        <f>AI288*Valores!$C$71</f>
        <v>5020.12192</v>
      </c>
      <c r="AW288" s="78">
        <f>AI288*Valores!$C$72</f>
        <v>1411.9092899999998</v>
      </c>
      <c r="AX288" s="78">
        <f>AI288*Valores!$C$73</f>
        <v>313.75762</v>
      </c>
      <c r="AY288" s="78">
        <f>AI288*Valores!$C$75</f>
        <v>1098.15167</v>
      </c>
      <c r="AZ288" s="78">
        <f>AI288*Valores!$C$76</f>
        <v>188.254572</v>
      </c>
      <c r="BA288" s="78">
        <f t="shared" si="59"/>
        <v>1694.291148</v>
      </c>
      <c r="BB288" s="52"/>
      <c r="BC288" s="52">
        <f t="shared" si="49"/>
        <v>120</v>
      </c>
      <c r="BD288" s="28" t="s">
        <v>4</v>
      </c>
    </row>
    <row r="289" spans="1:56" s="28" customFormat="1" ht="11.25" customHeight="1">
      <c r="A289" s="52">
        <v>288</v>
      </c>
      <c r="B289" s="52"/>
      <c r="C289" s="28" t="s">
        <v>522</v>
      </c>
      <c r="D289" s="28">
        <v>31</v>
      </c>
      <c r="E289" s="28">
        <f t="shared" si="51"/>
        <v>34</v>
      </c>
      <c r="F289" s="72" t="str">
        <f>CONCATENATE("Hora Cátedra Enseñanza Media ",D289," hs")</f>
        <v>Hora Cátedra Enseñanza Media 31 hs</v>
      </c>
      <c r="G289" s="73">
        <f t="shared" si="50"/>
        <v>2449</v>
      </c>
      <c r="H289" s="74">
        <f>INT((G289*Valores!$C$2*100))/100</f>
        <v>16242.74</v>
      </c>
      <c r="I289" s="113">
        <v>0</v>
      </c>
      <c r="J289" s="76">
        <f>INT((I289*Valores!$C$2*100)+0.5)/100</f>
        <v>0</v>
      </c>
      <c r="K289" s="103">
        <v>0</v>
      </c>
      <c r="L289" s="76">
        <f>INT((K289*Valores!$C$2*100)+0.5)/100</f>
        <v>0</v>
      </c>
      <c r="M289" s="101">
        <v>0</v>
      </c>
      <c r="N289" s="76">
        <f>INT((M289*Valores!$C$2*100)+0.5)/100</f>
        <v>0</v>
      </c>
      <c r="O289" s="76">
        <f t="shared" si="52"/>
        <v>2936.7975</v>
      </c>
      <c r="P289" s="76">
        <f t="shared" si="53"/>
        <v>0</v>
      </c>
      <c r="Q289" s="102">
        <f>Valores!$C$14*D289</f>
        <v>4965.89</v>
      </c>
      <c r="R289" s="102">
        <f>IF(D289&lt;15,(Valores!$E$4*D289),Valores!$D$4)</f>
        <v>2966.67</v>
      </c>
      <c r="S289" s="76">
        <v>0</v>
      </c>
      <c r="T289" s="79">
        <f>IF(Valores!$C$45*D289&gt;Valores!$C$43,Valores!$C$43,Valores!$C$45*D289)</f>
        <v>1584.72</v>
      </c>
      <c r="U289" s="102">
        <f>Valores!$C$22*D289</f>
        <v>1751.19</v>
      </c>
      <c r="V289" s="76">
        <f t="shared" si="48"/>
        <v>1751.19</v>
      </c>
      <c r="W289" s="76">
        <v>0</v>
      </c>
      <c r="X289" s="76">
        <v>0</v>
      </c>
      <c r="Y289" s="119">
        <v>0</v>
      </c>
      <c r="Z289" s="76">
        <f>Y289*Valores!$C$2</f>
        <v>0</v>
      </c>
      <c r="AA289" s="76">
        <v>0</v>
      </c>
      <c r="AB289" s="81">
        <f>IF((Valores!$C$32)*D289&gt;Valores!$F$32,Valores!$F$32,(Valores!$C$32)*D289)</f>
        <v>199.02</v>
      </c>
      <c r="AC289" s="76">
        <f t="shared" si="56"/>
        <v>0</v>
      </c>
      <c r="AD289" s="76">
        <f>IF(Valores!$C$33*D289&gt;Valores!$F$33,Valores!$F$33,Valores!$C$33*D289)</f>
        <v>160.21</v>
      </c>
      <c r="AE289" s="80">
        <v>0</v>
      </c>
      <c r="AF289" s="76">
        <f>INT(((AE289*Valores!$C$2)*100)+0.5)/100</f>
        <v>0</v>
      </c>
      <c r="AG289" s="76">
        <f>IF(Valores!$D$58*'Escala Docente'!D289&gt;Valores!$F$58,Valores!$F$58,Valores!$D$58*'Escala Docente'!D289)</f>
        <v>651.78</v>
      </c>
      <c r="AH289" s="76">
        <f>IF(Valores!$D$60*D289&gt;Valores!$F$60,Valores!$F$60,Valores!$D$60*D289)</f>
        <v>186.22</v>
      </c>
      <c r="AI289" s="115">
        <f t="shared" si="57"/>
        <v>31645.237499999996</v>
      </c>
      <c r="AJ289" s="102">
        <f>IF(Valores!$C$36*D289&gt;Valores!$F$36,Valores!$F$36,Valores!$C$36*D289)</f>
        <v>1198.38</v>
      </c>
      <c r="AK289" s="79">
        <f>IF(Valores!$C$11*D289&gt;Valores!$F$11,Valores!$F$11,Valores!$C$11*D289)</f>
        <v>0</v>
      </c>
      <c r="AL289" s="79">
        <f>IF(Valores!$C$84*D289&gt;Valores!$C$83,Valores!$C$83,Valores!$C$84*D289)</f>
        <v>2015</v>
      </c>
      <c r="AM289" s="81">
        <f>IF(Valores!$C$57*D289&gt;Valores!$F$57,Valores!$F$57,Valores!$C$57*D289)</f>
        <v>265.48</v>
      </c>
      <c r="AN289" s="83">
        <f t="shared" si="58"/>
        <v>3213.38</v>
      </c>
      <c r="AO289" s="62">
        <f>AI289*-Valores!$C$65</f>
        <v>-4113.880875</v>
      </c>
      <c r="AP289" s="62">
        <f>AI289*-Valores!$C$66</f>
        <v>-158.22618749999998</v>
      </c>
      <c r="AQ289" s="78">
        <f>AI289*-Valores!$C$67</f>
        <v>-1424.0356874999998</v>
      </c>
      <c r="AR289" s="78">
        <f>AI289*-Valores!$C$68</f>
        <v>-854.4214124999999</v>
      </c>
      <c r="AS289" s="78">
        <f>AI289*-Valores!$C$69</f>
        <v>-94.9357125</v>
      </c>
      <c r="AT289" s="82">
        <f t="shared" si="54"/>
        <v>29162.474749999998</v>
      </c>
      <c r="AU289" s="82">
        <f t="shared" si="55"/>
        <v>29637.1533125</v>
      </c>
      <c r="AV289" s="78">
        <f>AI289*Valores!$C$71</f>
        <v>5063.237999999999</v>
      </c>
      <c r="AW289" s="78">
        <f>AI289*Valores!$C$72</f>
        <v>1424.0356874999998</v>
      </c>
      <c r="AX289" s="78">
        <f>AI289*Valores!$C$73</f>
        <v>316.45237499999996</v>
      </c>
      <c r="AY289" s="78">
        <f>AI289*Valores!$C$75</f>
        <v>1107.5833125</v>
      </c>
      <c r="AZ289" s="78">
        <f>AI289*Valores!$C$76</f>
        <v>189.871425</v>
      </c>
      <c r="BA289" s="78">
        <f t="shared" si="59"/>
        <v>1708.842825</v>
      </c>
      <c r="BB289" s="52"/>
      <c r="BC289" s="86">
        <f aca="true" t="shared" si="60" ref="BC289:BC301">4*D289</f>
        <v>124</v>
      </c>
      <c r="BD289" s="28" t="s">
        <v>8</v>
      </c>
    </row>
    <row r="290" spans="1:56" s="28" customFormat="1" ht="11.25" customHeight="1">
      <c r="A290" s="52">
        <v>289</v>
      </c>
      <c r="B290" s="52"/>
      <c r="C290" s="28" t="s">
        <v>522</v>
      </c>
      <c r="D290" s="28">
        <v>31</v>
      </c>
      <c r="E290" s="28">
        <f t="shared" si="51"/>
        <v>42</v>
      </c>
      <c r="F290" s="72" t="str">
        <f>CONCATENATE("Hora Cátedra Enseñanza Media ",D290," hs Esc Esp")</f>
        <v>Hora Cátedra Enseñanza Media 31 hs Esc Esp</v>
      </c>
      <c r="G290" s="73">
        <f t="shared" si="50"/>
        <v>2449</v>
      </c>
      <c r="H290" s="74">
        <f>INT((G290*Valores!$C$2*100))/100</f>
        <v>16242.74</v>
      </c>
      <c r="I290" s="113">
        <v>0</v>
      </c>
      <c r="J290" s="76">
        <f>INT((I290*Valores!$C$2*100)+0.5)/100</f>
        <v>0</v>
      </c>
      <c r="K290" s="103">
        <v>0</v>
      </c>
      <c r="L290" s="76">
        <f>INT((K290*Valores!$C$2*100)+0.5)/100</f>
        <v>0</v>
      </c>
      <c r="M290" s="101">
        <v>0</v>
      </c>
      <c r="N290" s="76">
        <f>INT((M290*Valores!$C$2*100)+0.5)/100</f>
        <v>0</v>
      </c>
      <c r="O290" s="76">
        <f t="shared" si="52"/>
        <v>2936.7975</v>
      </c>
      <c r="P290" s="76">
        <f t="shared" si="53"/>
        <v>0</v>
      </c>
      <c r="Q290" s="102">
        <f>Valores!$C$14*D290</f>
        <v>4965.89</v>
      </c>
      <c r="R290" s="102">
        <f>IF(D290&lt;15,(Valores!$E$4*D290),Valores!$D$4)</f>
        <v>2966.67</v>
      </c>
      <c r="S290" s="76">
        <v>0</v>
      </c>
      <c r="T290" s="79">
        <f>IF(Valores!$C$45*D290&gt;Valores!$C$43,Valores!$C$43,Valores!$C$45*D290)</f>
        <v>1584.72</v>
      </c>
      <c r="U290" s="102">
        <f>Valores!$C$22*D290</f>
        <v>1751.19</v>
      </c>
      <c r="V290" s="76">
        <f t="shared" si="48"/>
        <v>1751.19</v>
      </c>
      <c r="W290" s="76">
        <v>0</v>
      </c>
      <c r="X290" s="76">
        <v>0</v>
      </c>
      <c r="Y290" s="119">
        <v>0</v>
      </c>
      <c r="Z290" s="76">
        <f>Y290*Valores!$C$2</f>
        <v>0</v>
      </c>
      <c r="AA290" s="76">
        <v>0</v>
      </c>
      <c r="AB290" s="81">
        <f>IF((Valores!$C$32)*D290&gt;Valores!$F$32,Valores!$F$32,(Valores!$C$32)*D290)</f>
        <v>199.02</v>
      </c>
      <c r="AC290" s="76">
        <f t="shared" si="56"/>
        <v>0</v>
      </c>
      <c r="AD290" s="76">
        <f>IF(Valores!$C$33*D290&gt;Valores!$F$33,Valores!$F$33,Valores!$C$33*D290)</f>
        <v>160.21</v>
      </c>
      <c r="AE290" s="80">
        <v>94</v>
      </c>
      <c r="AF290" s="76">
        <f>INT(((AE290*Valores!$C$2)*100)+0.5)/100</f>
        <v>623.45</v>
      </c>
      <c r="AG290" s="76">
        <f>IF(Valores!$D$58*'Escala Docente'!D290&gt;Valores!$F$58,Valores!$F$58,Valores!$D$58*'Escala Docente'!D290)</f>
        <v>651.78</v>
      </c>
      <c r="AH290" s="76">
        <f>IF(Valores!$D$60*D290&gt;Valores!$F$60,Valores!$F$60,Valores!$D$60*D290)</f>
        <v>186.22</v>
      </c>
      <c r="AI290" s="115">
        <f t="shared" si="57"/>
        <v>32268.687499999996</v>
      </c>
      <c r="AJ290" s="102">
        <f>IF(Valores!$C$36*D290&gt;Valores!$F$36,Valores!$F$36,Valores!$C$36*D290)</f>
        <v>1198.38</v>
      </c>
      <c r="AK290" s="79">
        <f>IF(Valores!$C$11*D290&gt;Valores!$F$11,Valores!$F$11,Valores!$C$11*D290)</f>
        <v>0</v>
      </c>
      <c r="AL290" s="79">
        <f>IF(Valores!$C$84*D290&gt;Valores!$C$83,Valores!$C$83,Valores!$C$84*D290)</f>
        <v>2015</v>
      </c>
      <c r="AM290" s="81">
        <f>IF(Valores!$C$57*D290&gt;Valores!$F$57,Valores!$F$57,Valores!$C$57*D290)</f>
        <v>265.48</v>
      </c>
      <c r="AN290" s="83">
        <f t="shared" si="58"/>
        <v>3213.38</v>
      </c>
      <c r="AO290" s="62">
        <f>AI290*-Valores!$C$65</f>
        <v>-4194.929375</v>
      </c>
      <c r="AP290" s="62">
        <f>AI290*-Valores!$C$66</f>
        <v>-161.3434375</v>
      </c>
      <c r="AQ290" s="78">
        <f>AI290*-Valores!$C$67</f>
        <v>-1452.0909374999999</v>
      </c>
      <c r="AR290" s="78">
        <f>AI290*-Valores!$C$68</f>
        <v>-871.2545624999999</v>
      </c>
      <c r="AS290" s="78">
        <f>AI290*-Valores!$C$69</f>
        <v>-96.8060625</v>
      </c>
      <c r="AT290" s="82">
        <f t="shared" si="54"/>
        <v>29673.70375</v>
      </c>
      <c r="AU290" s="82">
        <f t="shared" si="55"/>
        <v>30157.7340625</v>
      </c>
      <c r="AV290" s="78">
        <f>AI290*Valores!$C$71</f>
        <v>5162.99</v>
      </c>
      <c r="AW290" s="78">
        <f>AI290*Valores!$C$72</f>
        <v>1452.0909374999999</v>
      </c>
      <c r="AX290" s="78">
        <f>AI290*Valores!$C$73</f>
        <v>322.686875</v>
      </c>
      <c r="AY290" s="78">
        <f>AI290*Valores!$C$75</f>
        <v>1129.4040625</v>
      </c>
      <c r="AZ290" s="78">
        <f>AI290*Valores!$C$76</f>
        <v>193.612125</v>
      </c>
      <c r="BA290" s="78">
        <f t="shared" si="59"/>
        <v>1742.509125</v>
      </c>
      <c r="BB290" s="52"/>
      <c r="BC290" s="52">
        <f t="shared" si="60"/>
        <v>124</v>
      </c>
      <c r="BD290" s="28" t="s">
        <v>8</v>
      </c>
    </row>
    <row r="291" spans="1:56" s="28" customFormat="1" ht="11.25" customHeight="1">
      <c r="A291" s="86">
        <v>290</v>
      </c>
      <c r="B291" s="86" t="s">
        <v>163</v>
      </c>
      <c r="C291" s="87" t="s">
        <v>522</v>
      </c>
      <c r="D291" s="87">
        <v>32</v>
      </c>
      <c r="E291" s="87">
        <f t="shared" si="51"/>
        <v>34</v>
      </c>
      <c r="F291" s="88" t="str">
        <f>CONCATENATE("Hora Cátedra Enseñanza Media ",D291," hs")</f>
        <v>Hora Cátedra Enseñanza Media 32 hs</v>
      </c>
      <c r="G291" s="89">
        <f t="shared" si="50"/>
        <v>2528</v>
      </c>
      <c r="H291" s="90">
        <f>INT((G291*Valores!$C$2*100))/100</f>
        <v>16766.7</v>
      </c>
      <c r="I291" s="104">
        <v>0</v>
      </c>
      <c r="J291" s="92">
        <f>INT((I291*Valores!$C$2*100)+0.5)/100</f>
        <v>0</v>
      </c>
      <c r="K291" s="105">
        <v>0</v>
      </c>
      <c r="L291" s="92">
        <f>INT((K291*Valores!$C$2*100)+0.5)/100</f>
        <v>0</v>
      </c>
      <c r="M291" s="106">
        <v>0</v>
      </c>
      <c r="N291" s="92">
        <f>INT((M291*Valores!$C$2*100)+0.5)/100</f>
        <v>0</v>
      </c>
      <c r="O291" s="92">
        <f t="shared" si="52"/>
        <v>3031.533</v>
      </c>
      <c r="P291" s="92">
        <f t="shared" si="53"/>
        <v>0</v>
      </c>
      <c r="Q291" s="108">
        <f>Valores!$C$14*D291</f>
        <v>5126.08</v>
      </c>
      <c r="R291" s="108">
        <f>IF(D291&lt;15,(Valores!$E$4*D291),Valores!$D$4)</f>
        <v>2966.67</v>
      </c>
      <c r="S291" s="92">
        <v>0</v>
      </c>
      <c r="T291" s="95">
        <f>IF(Valores!$C$45*D291&gt;Valores!$C$43,Valores!$C$43,Valores!$C$45*D291)</f>
        <v>1635.84</v>
      </c>
      <c r="U291" s="108">
        <f>Valores!$C$22*D291</f>
        <v>1807.68</v>
      </c>
      <c r="V291" s="92">
        <f t="shared" si="48"/>
        <v>1807.68</v>
      </c>
      <c r="W291" s="92">
        <v>0</v>
      </c>
      <c r="X291" s="92">
        <v>0</v>
      </c>
      <c r="Y291" s="120">
        <v>0</v>
      </c>
      <c r="Z291" s="92">
        <f>Y291*Valores!$C$2</f>
        <v>0</v>
      </c>
      <c r="AA291" s="92">
        <v>0</v>
      </c>
      <c r="AB291" s="97">
        <f>IF((Valores!$C$32)*D291&gt;Valores!$F$32,Valores!$F$32,(Valores!$C$32)*D291)</f>
        <v>205.44</v>
      </c>
      <c r="AC291" s="92">
        <f t="shared" si="56"/>
        <v>0</v>
      </c>
      <c r="AD291" s="92">
        <f>IF(Valores!$C$33*D291&gt;Valores!$F$33,Valores!$F$33,Valores!$C$33*D291)</f>
        <v>160.21</v>
      </c>
      <c r="AE291" s="96">
        <v>0</v>
      </c>
      <c r="AF291" s="92">
        <f>INT(((AE291*Valores!$C$2)*100)+0.5)/100</f>
        <v>0</v>
      </c>
      <c r="AG291" s="92">
        <f>IF(Valores!$D$58*'Escala Docente'!D291&gt;Valores!$F$58,Valores!$F$58,Valores!$D$58*'Escala Docente'!D291)</f>
        <v>651.78</v>
      </c>
      <c r="AH291" s="92">
        <f>IF(Valores!$D$60*D291&gt;Valores!$F$60,Valores!$F$60,Valores!$D$60*D291)</f>
        <v>186.22</v>
      </c>
      <c r="AI291" s="116">
        <f t="shared" si="57"/>
        <v>32538.153</v>
      </c>
      <c r="AJ291" s="108">
        <f>IF(Valores!$C$36*D291&gt;Valores!$F$36,Valores!$F$36,Valores!$C$36*D291)</f>
        <v>1198.38</v>
      </c>
      <c r="AK291" s="95">
        <f>IF(Valores!$C$11*D291&gt;Valores!$F$11,Valores!$F$11,Valores!$C$11*D291)</f>
        <v>0</v>
      </c>
      <c r="AL291" s="95">
        <f>IF(Valores!$C$84*D291&gt;Valores!$C$83,Valores!$C$83,Valores!$C$84*D291)</f>
        <v>2080</v>
      </c>
      <c r="AM291" s="97">
        <f>IF(Valores!$C$57*D291&gt;Valores!$F$57,Valores!$F$57,Valores!$C$57*D291)</f>
        <v>265.48</v>
      </c>
      <c r="AN291" s="99">
        <f t="shared" si="58"/>
        <v>3278.38</v>
      </c>
      <c r="AO291" s="117">
        <f>AI291*-Valores!$C$65</f>
        <v>-4229.95989</v>
      </c>
      <c r="AP291" s="117">
        <f>AI291*-Valores!$C$66</f>
        <v>-162.690765</v>
      </c>
      <c r="AQ291" s="94">
        <f>AI291*-Valores!$C$67</f>
        <v>-1464.2168849999998</v>
      </c>
      <c r="AR291" s="94">
        <f>AI291*-Valores!$C$68</f>
        <v>-878.530131</v>
      </c>
      <c r="AS291" s="94">
        <f>AI291*-Valores!$C$69</f>
        <v>-97.614459</v>
      </c>
      <c r="AT291" s="98">
        <f t="shared" si="54"/>
        <v>29959.665459999997</v>
      </c>
      <c r="AU291" s="98">
        <f t="shared" si="55"/>
        <v>30447.737755</v>
      </c>
      <c r="AV291" s="94">
        <f>AI291*Valores!$C$71</f>
        <v>5206.10448</v>
      </c>
      <c r="AW291" s="94">
        <f>AI291*Valores!$C$72</f>
        <v>1464.2168849999998</v>
      </c>
      <c r="AX291" s="94">
        <f>AI291*Valores!$C$73</f>
        <v>325.38153</v>
      </c>
      <c r="AY291" s="94">
        <f>AI291*Valores!$C$75</f>
        <v>1138.8353550000002</v>
      </c>
      <c r="AZ291" s="94">
        <f>AI291*Valores!$C$76</f>
        <v>195.228918</v>
      </c>
      <c r="BA291" s="94">
        <f t="shared" si="59"/>
        <v>1757.060262</v>
      </c>
      <c r="BB291" s="86"/>
      <c r="BC291" s="86">
        <f t="shared" si="60"/>
        <v>128</v>
      </c>
      <c r="BD291" s="87" t="s">
        <v>8</v>
      </c>
    </row>
    <row r="292" spans="1:56" s="28" customFormat="1" ht="11.25" customHeight="1">
      <c r="A292" s="52">
        <v>291</v>
      </c>
      <c r="B292" s="52"/>
      <c r="C292" s="28" t="s">
        <v>522</v>
      </c>
      <c r="D292" s="28">
        <v>32</v>
      </c>
      <c r="E292" s="28">
        <f t="shared" si="51"/>
        <v>42</v>
      </c>
      <c r="F292" s="72" t="str">
        <f>CONCATENATE("Hora Cátedra Enseñanza Media ",D292," hs Esc Esp")</f>
        <v>Hora Cátedra Enseñanza Media 32 hs Esc Esp</v>
      </c>
      <c r="G292" s="73">
        <f t="shared" si="50"/>
        <v>2528</v>
      </c>
      <c r="H292" s="74">
        <f>INT((G292*Valores!$C$2*100))/100</f>
        <v>16766.7</v>
      </c>
      <c r="I292" s="113">
        <v>0</v>
      </c>
      <c r="J292" s="76">
        <f>INT((I292*Valores!$C$2*100)+0.5)/100</f>
        <v>0</v>
      </c>
      <c r="K292" s="103">
        <v>0</v>
      </c>
      <c r="L292" s="76">
        <f>INT((K292*Valores!$C$2*100)+0.5)/100</f>
        <v>0</v>
      </c>
      <c r="M292" s="101">
        <v>0</v>
      </c>
      <c r="N292" s="76">
        <f>INT((M292*Valores!$C$2*100)+0.5)/100</f>
        <v>0</v>
      </c>
      <c r="O292" s="76">
        <f t="shared" si="52"/>
        <v>3031.533</v>
      </c>
      <c r="P292" s="76">
        <f t="shared" si="53"/>
        <v>0</v>
      </c>
      <c r="Q292" s="102">
        <f>Valores!$C$14*D292</f>
        <v>5126.08</v>
      </c>
      <c r="R292" s="102">
        <f>IF(D292&lt;15,(Valores!$E$4*D292),Valores!$D$4)</f>
        <v>2966.67</v>
      </c>
      <c r="S292" s="76">
        <v>0</v>
      </c>
      <c r="T292" s="79">
        <f>IF(Valores!$C$45*D292&gt;Valores!$C$43,Valores!$C$43,Valores!$C$45*D292)</f>
        <v>1635.84</v>
      </c>
      <c r="U292" s="102">
        <f>Valores!$C$22*D292</f>
        <v>1807.68</v>
      </c>
      <c r="V292" s="76">
        <f t="shared" si="48"/>
        <v>1807.68</v>
      </c>
      <c r="W292" s="76">
        <v>0</v>
      </c>
      <c r="X292" s="76">
        <v>0</v>
      </c>
      <c r="Y292" s="119">
        <v>0</v>
      </c>
      <c r="Z292" s="76">
        <f>Y292*Valores!$C$2</f>
        <v>0</v>
      </c>
      <c r="AA292" s="76">
        <v>0</v>
      </c>
      <c r="AB292" s="81">
        <f>IF((Valores!$C$32)*D292&gt;Valores!$F$32,Valores!$F$32,(Valores!$C$32)*D292)</f>
        <v>205.44</v>
      </c>
      <c r="AC292" s="76">
        <f t="shared" si="56"/>
        <v>0</v>
      </c>
      <c r="AD292" s="76">
        <f>IF(Valores!$C$33*D292&gt;Valores!$F$33,Valores!$F$33,Valores!$C$33*D292)</f>
        <v>160.21</v>
      </c>
      <c r="AE292" s="80">
        <v>94</v>
      </c>
      <c r="AF292" s="76">
        <f>INT(((AE292*Valores!$C$2)*100)+0.5)/100</f>
        <v>623.45</v>
      </c>
      <c r="AG292" s="76">
        <f>IF(Valores!$D$58*'Escala Docente'!D292&gt;Valores!$F$58,Valores!$F$58,Valores!$D$58*'Escala Docente'!D292)</f>
        <v>651.78</v>
      </c>
      <c r="AH292" s="76">
        <f>IF(Valores!$D$60*D292&gt;Valores!$F$60,Valores!$F$60,Valores!$D$60*D292)</f>
        <v>186.22</v>
      </c>
      <c r="AI292" s="115">
        <f t="shared" si="57"/>
        <v>33161.603</v>
      </c>
      <c r="AJ292" s="102">
        <f>IF(Valores!$C$36*D292&gt;Valores!$F$36,Valores!$F$36,Valores!$C$36*D292)</f>
        <v>1198.38</v>
      </c>
      <c r="AK292" s="79">
        <f>IF(Valores!$C$11*D292&gt;Valores!$F$11,Valores!$F$11,Valores!$C$11*D292)</f>
        <v>0</v>
      </c>
      <c r="AL292" s="79">
        <f>IF(Valores!$C$84*D292&gt;Valores!$C$83,Valores!$C$83,Valores!$C$84*D292)</f>
        <v>2080</v>
      </c>
      <c r="AM292" s="81">
        <f>IF(Valores!$C$57*D292&gt;Valores!$F$57,Valores!$F$57,Valores!$C$57*D292)</f>
        <v>265.48</v>
      </c>
      <c r="AN292" s="83">
        <f t="shared" si="58"/>
        <v>3278.38</v>
      </c>
      <c r="AO292" s="62">
        <f>AI292*-Valores!$C$65</f>
        <v>-4311.008390000001</v>
      </c>
      <c r="AP292" s="62">
        <f>AI292*-Valores!$C$66</f>
        <v>-165.808015</v>
      </c>
      <c r="AQ292" s="78">
        <f>AI292*-Valores!$C$67</f>
        <v>-1492.2721350000002</v>
      </c>
      <c r="AR292" s="78">
        <f>AI292*-Valores!$C$68</f>
        <v>-895.363281</v>
      </c>
      <c r="AS292" s="78">
        <f>AI292*-Valores!$C$69</f>
        <v>-99.48480900000001</v>
      </c>
      <c r="AT292" s="82">
        <f t="shared" si="54"/>
        <v>30470.894459999996</v>
      </c>
      <c r="AU292" s="82">
        <f t="shared" si="55"/>
        <v>30968.318504999996</v>
      </c>
      <c r="AV292" s="78">
        <f>AI292*Valores!$C$71</f>
        <v>5305.85648</v>
      </c>
      <c r="AW292" s="78">
        <f>AI292*Valores!$C$72</f>
        <v>1492.2721350000002</v>
      </c>
      <c r="AX292" s="78">
        <f>AI292*Valores!$C$73</f>
        <v>331.61603</v>
      </c>
      <c r="AY292" s="78">
        <f>AI292*Valores!$C$75</f>
        <v>1160.6561050000003</v>
      </c>
      <c r="AZ292" s="78">
        <f>AI292*Valores!$C$76</f>
        <v>198.96961800000003</v>
      </c>
      <c r="BA292" s="78">
        <f t="shared" si="59"/>
        <v>1790.7265620000003</v>
      </c>
      <c r="BB292" s="52"/>
      <c r="BC292" s="52">
        <f t="shared" si="60"/>
        <v>128</v>
      </c>
      <c r="BD292" s="28" t="s">
        <v>8</v>
      </c>
    </row>
    <row r="293" spans="1:56" s="28" customFormat="1" ht="11.25" customHeight="1">
      <c r="A293" s="52">
        <v>292</v>
      </c>
      <c r="B293" s="52"/>
      <c r="C293" s="28" t="s">
        <v>522</v>
      </c>
      <c r="D293" s="28">
        <v>33</v>
      </c>
      <c r="E293" s="28">
        <f t="shared" si="51"/>
        <v>34</v>
      </c>
      <c r="F293" s="72" t="str">
        <f>CONCATENATE("Hora Cátedra Enseñanza Media ",D293," hs")</f>
        <v>Hora Cátedra Enseñanza Media 33 hs</v>
      </c>
      <c r="G293" s="73">
        <f aca="true" t="shared" si="61" ref="G293:G300">79*D293</f>
        <v>2607</v>
      </c>
      <c r="H293" s="74">
        <f>INT((G293*Valores!$C$2*100))/100</f>
        <v>17290.66</v>
      </c>
      <c r="I293" s="113">
        <v>0</v>
      </c>
      <c r="J293" s="76">
        <f>INT((I293*Valores!$C$2*100)+0.5)/100</f>
        <v>0</v>
      </c>
      <c r="K293" s="103">
        <v>0</v>
      </c>
      <c r="L293" s="76">
        <f>INT((K293*Valores!$C$2*100)+0.5)/100</f>
        <v>0</v>
      </c>
      <c r="M293" s="101">
        <v>0</v>
      </c>
      <c r="N293" s="76">
        <f>INT((M293*Valores!$C$2*100)+0.5)/100</f>
        <v>0</v>
      </c>
      <c r="O293" s="76">
        <f t="shared" si="52"/>
        <v>3126.2685</v>
      </c>
      <c r="P293" s="76">
        <f t="shared" si="53"/>
        <v>0</v>
      </c>
      <c r="Q293" s="102">
        <f>Valores!$C$14*D293</f>
        <v>5286.2699999999995</v>
      </c>
      <c r="R293" s="102">
        <f>IF(D293&lt;15,(Valores!$E$4*D293),Valores!$D$4)</f>
        <v>2966.67</v>
      </c>
      <c r="S293" s="76">
        <v>0</v>
      </c>
      <c r="T293" s="79">
        <f>IF(Valores!$C$45*D293&gt;Valores!$C$43,Valores!$C$43,Valores!$C$45*D293)</f>
        <v>1686.9599999999998</v>
      </c>
      <c r="U293" s="102">
        <f>Valores!$C$22*D293</f>
        <v>1864.17</v>
      </c>
      <c r="V293" s="76">
        <f t="shared" si="48"/>
        <v>1864.17</v>
      </c>
      <c r="W293" s="76">
        <v>0</v>
      </c>
      <c r="X293" s="76">
        <v>0</v>
      </c>
      <c r="Y293" s="119">
        <v>0</v>
      </c>
      <c r="Z293" s="76">
        <f>Y293*Valores!$C$2</f>
        <v>0</v>
      </c>
      <c r="AA293" s="76">
        <v>0</v>
      </c>
      <c r="AB293" s="81">
        <f>IF((Valores!$C$32)*D293&gt;Valores!$F$32,Valores!$F$32,(Valores!$C$32)*D293)</f>
        <v>211.85999999999999</v>
      </c>
      <c r="AC293" s="76">
        <f t="shared" si="56"/>
        <v>0</v>
      </c>
      <c r="AD293" s="76">
        <f>IF(Valores!$C$33*D293&gt;Valores!$F$33,Valores!$F$33,Valores!$C$33*D293)</f>
        <v>160.21</v>
      </c>
      <c r="AE293" s="80">
        <v>0</v>
      </c>
      <c r="AF293" s="76">
        <f>INT(((AE293*Valores!$C$2)*100)+0.5)/100</f>
        <v>0</v>
      </c>
      <c r="AG293" s="76">
        <f>IF(Valores!$D$58*'Escala Docente'!D293&gt;Valores!$F$58,Valores!$F$58,Valores!$D$58*'Escala Docente'!D293)</f>
        <v>651.78</v>
      </c>
      <c r="AH293" s="76">
        <f>IF(Valores!$D$60*D293&gt;Valores!$F$60,Valores!$F$60,Valores!$D$60*D293)</f>
        <v>186.22</v>
      </c>
      <c r="AI293" s="115">
        <f t="shared" si="57"/>
        <v>33431.0685</v>
      </c>
      <c r="AJ293" s="102">
        <f>IF(Valores!$C$36*D293&gt;Valores!$F$36,Valores!$F$36,Valores!$C$36*D293)</f>
        <v>1198.38</v>
      </c>
      <c r="AK293" s="79">
        <f>IF(Valores!$C$11*D293&gt;Valores!$F$11,Valores!$F$11,Valores!$C$11*D293)</f>
        <v>0</v>
      </c>
      <c r="AL293" s="79">
        <f>IF(Valores!$C$84*D293&gt;Valores!$C$83,Valores!$C$83,Valores!$C$84*D293)</f>
        <v>2145</v>
      </c>
      <c r="AM293" s="81">
        <f>IF(Valores!$C$57*D293&gt;Valores!$F$57,Valores!$F$57,Valores!$C$57*D293)</f>
        <v>265.48</v>
      </c>
      <c r="AN293" s="83">
        <f t="shared" si="58"/>
        <v>3343.38</v>
      </c>
      <c r="AO293" s="62">
        <f>AI293*-Valores!$C$65</f>
        <v>-4346.038905</v>
      </c>
      <c r="AP293" s="62">
        <f>AI293*-Valores!$C$66</f>
        <v>-167.15534250000002</v>
      </c>
      <c r="AQ293" s="78">
        <f>AI293*-Valores!$C$67</f>
        <v>-1504.3980825</v>
      </c>
      <c r="AR293" s="78">
        <f>AI293*-Valores!$C$68</f>
        <v>-902.6388495</v>
      </c>
      <c r="AS293" s="78">
        <f>AI293*-Valores!$C$69</f>
        <v>-100.2932055</v>
      </c>
      <c r="AT293" s="82">
        <f t="shared" si="54"/>
        <v>30756.856169999992</v>
      </c>
      <c r="AU293" s="82">
        <f t="shared" si="55"/>
        <v>31258.322197499998</v>
      </c>
      <c r="AV293" s="78">
        <f>AI293*Valores!$C$71</f>
        <v>5348.970960000001</v>
      </c>
      <c r="AW293" s="78">
        <f>AI293*Valores!$C$72</f>
        <v>1504.3980825</v>
      </c>
      <c r="AX293" s="78">
        <f>AI293*Valores!$C$73</f>
        <v>334.31068500000003</v>
      </c>
      <c r="AY293" s="78">
        <f>AI293*Valores!$C$75</f>
        <v>1170.0873975000002</v>
      </c>
      <c r="AZ293" s="78">
        <f>AI293*Valores!$C$76</f>
        <v>200.586411</v>
      </c>
      <c r="BA293" s="78">
        <f t="shared" si="59"/>
        <v>1805.2776990000002</v>
      </c>
      <c r="BB293" s="52"/>
      <c r="BC293" s="52">
        <f t="shared" si="60"/>
        <v>132</v>
      </c>
      <c r="BD293" s="28" t="s">
        <v>8</v>
      </c>
    </row>
    <row r="294" spans="1:56" s="28" customFormat="1" ht="11.25" customHeight="1">
      <c r="A294" s="52">
        <v>293</v>
      </c>
      <c r="B294" s="52"/>
      <c r="C294" s="28" t="s">
        <v>522</v>
      </c>
      <c r="D294" s="28">
        <v>33</v>
      </c>
      <c r="E294" s="28">
        <f t="shared" si="51"/>
        <v>42</v>
      </c>
      <c r="F294" s="28" t="str">
        <f>CONCATENATE("Hora Cátedra Enseñanza Media ",D294," hs Esc Esp")</f>
        <v>Hora Cátedra Enseñanza Media 33 hs Esc Esp</v>
      </c>
      <c r="G294" s="122">
        <f t="shared" si="61"/>
        <v>2607</v>
      </c>
      <c r="H294" s="62">
        <f>INT((G294*Valores!$C$2*100))/100</f>
        <v>17290.66</v>
      </c>
      <c r="I294" s="123">
        <v>0</v>
      </c>
      <c r="J294" s="102">
        <f>INT((I294*Valores!$C$2*100)+0.5)/100</f>
        <v>0</v>
      </c>
      <c r="K294" s="124">
        <v>0</v>
      </c>
      <c r="L294" s="102">
        <f>INT((K294*Valores!$C$2*100)+0.5)/100</f>
        <v>0</v>
      </c>
      <c r="M294" s="125">
        <v>0</v>
      </c>
      <c r="N294" s="102">
        <f>INT((M294*Valores!$C$2*100)+0.5)/100</f>
        <v>0</v>
      </c>
      <c r="O294" s="102">
        <f t="shared" si="52"/>
        <v>3126.2685</v>
      </c>
      <c r="P294" s="102">
        <f t="shared" si="53"/>
        <v>0</v>
      </c>
      <c r="Q294" s="102">
        <f>Valores!$C$14*D294</f>
        <v>5286.2699999999995</v>
      </c>
      <c r="R294" s="102">
        <f>IF(D294&lt;15,(Valores!$E$4*D294),Valores!$D$4)</f>
        <v>2966.67</v>
      </c>
      <c r="S294" s="102">
        <v>0</v>
      </c>
      <c r="T294" s="102">
        <f>IF(Valores!$C$45*D294&gt;Valores!$C$43,Valores!$C$43,Valores!$C$45*D294)</f>
        <v>1686.9599999999998</v>
      </c>
      <c r="U294" s="102">
        <f>Valores!$C$22*D294</f>
        <v>1864.17</v>
      </c>
      <c r="V294" s="102">
        <f t="shared" si="48"/>
        <v>1864.17</v>
      </c>
      <c r="W294" s="102">
        <v>0</v>
      </c>
      <c r="X294" s="102">
        <v>0</v>
      </c>
      <c r="Y294" s="102">
        <v>0</v>
      </c>
      <c r="Z294" s="102">
        <f>Y294*Valores!$C$2</f>
        <v>0</v>
      </c>
      <c r="AA294" s="102">
        <v>0</v>
      </c>
      <c r="AB294" s="102">
        <f>IF((Valores!$C$32)*D294&gt;Valores!$F$32,Valores!$F$32,(Valores!$C$32)*D294)</f>
        <v>211.85999999999999</v>
      </c>
      <c r="AC294" s="102">
        <f t="shared" si="56"/>
        <v>0</v>
      </c>
      <c r="AD294" s="102">
        <f>IF(Valores!$C$33*D294&gt;Valores!$F$33,Valores!$F$33,Valores!$C$33*D294)</f>
        <v>160.21</v>
      </c>
      <c r="AE294" s="126">
        <v>94</v>
      </c>
      <c r="AF294" s="102">
        <f>INT(((AE294*Valores!$C$2)*100)+0.5)/100</f>
        <v>623.45</v>
      </c>
      <c r="AG294" s="102">
        <f>IF(Valores!$D$58*'Escala Docente'!D294&gt;Valores!$F$58,Valores!$F$58,Valores!$D$58*'Escala Docente'!D294)</f>
        <v>651.78</v>
      </c>
      <c r="AH294" s="102">
        <f>IF(Valores!$D$60*D294&gt;Valores!$F$60,Valores!$F$60,Valores!$D$60*D294)</f>
        <v>186.22</v>
      </c>
      <c r="AI294" s="62">
        <f t="shared" si="57"/>
        <v>34054.518500000006</v>
      </c>
      <c r="AJ294" s="62">
        <f>IF(Valores!$C$36*D294&gt;Valores!$F$36,Valores!$F$36,Valores!$C$36*D294)</f>
        <v>1198.38</v>
      </c>
      <c r="AK294" s="79">
        <f>IF(Valores!$C$11*D294&gt;Valores!$F$11,Valores!$F$11,Valores!$C$11*D294)</f>
        <v>0</v>
      </c>
      <c r="AL294" s="79">
        <f>IF(Valores!$C$84*D294&gt;Valores!$C$83,Valores!$C$83,Valores!$C$84*D294)</f>
        <v>2145</v>
      </c>
      <c r="AM294" s="81">
        <f>IF(Valores!$C$57*D294&gt;Valores!$F$57,Valores!$F$57,Valores!$C$57*D294)</f>
        <v>265.48</v>
      </c>
      <c r="AN294" s="83">
        <f t="shared" si="58"/>
        <v>3343.38</v>
      </c>
      <c r="AO294" s="62">
        <f>AI294*-Valores!$C$65</f>
        <v>-4427.087405000001</v>
      </c>
      <c r="AP294" s="62">
        <f>AI294*-Valores!$C$66</f>
        <v>-170.27259250000003</v>
      </c>
      <c r="AQ294" s="102">
        <f>AI294*-Valores!$C$67</f>
        <v>-1532.4533325000002</v>
      </c>
      <c r="AR294" s="102">
        <f>AI294*-Valores!$C$68</f>
        <v>-919.4719995000002</v>
      </c>
      <c r="AS294" s="102">
        <f>AI294*-Valores!$C$69</f>
        <v>-102.16355550000002</v>
      </c>
      <c r="AT294" s="115">
        <f t="shared" si="54"/>
        <v>31268.085170000002</v>
      </c>
      <c r="AU294" s="115">
        <f t="shared" si="55"/>
        <v>31778.902947500006</v>
      </c>
      <c r="AV294" s="78">
        <f>AI294*Valores!$C$71</f>
        <v>5448.722960000001</v>
      </c>
      <c r="AW294" s="78">
        <f>AI294*Valores!$C$72</f>
        <v>1532.4533325000002</v>
      </c>
      <c r="AX294" s="78">
        <f>AI294*Valores!$C$73</f>
        <v>340.54518500000006</v>
      </c>
      <c r="AY294" s="78">
        <f>AI294*Valores!$C$75</f>
        <v>1191.9081475000003</v>
      </c>
      <c r="AZ294" s="78">
        <f>AI294*Valores!$C$76</f>
        <v>204.32711100000003</v>
      </c>
      <c r="BA294" s="78">
        <f t="shared" si="59"/>
        <v>1838.9439990000005</v>
      </c>
      <c r="BC294" s="87">
        <f t="shared" si="60"/>
        <v>132</v>
      </c>
      <c r="BD294" s="28" t="s">
        <v>8</v>
      </c>
    </row>
    <row r="295" spans="1:56" s="28" customFormat="1" ht="11.25" customHeight="1">
      <c r="A295" s="52">
        <v>294</v>
      </c>
      <c r="B295" s="52"/>
      <c r="C295" s="28" t="s">
        <v>522</v>
      </c>
      <c r="D295" s="28">
        <v>34</v>
      </c>
      <c r="E295" s="28">
        <f t="shared" si="51"/>
        <v>34</v>
      </c>
      <c r="F295" s="72" t="str">
        <f>CONCATENATE("Hora Cátedra Enseñanza Media ",D295," hs")</f>
        <v>Hora Cátedra Enseñanza Media 34 hs</v>
      </c>
      <c r="G295" s="73">
        <f t="shared" si="61"/>
        <v>2686</v>
      </c>
      <c r="H295" s="74">
        <f>INT((G295*Valores!$C$2*100))/100</f>
        <v>17814.62</v>
      </c>
      <c r="I295" s="113">
        <v>0</v>
      </c>
      <c r="J295" s="76">
        <f>INT((I295*Valores!$C$2*100)+0.5)/100</f>
        <v>0</v>
      </c>
      <c r="K295" s="103">
        <v>0</v>
      </c>
      <c r="L295" s="76">
        <f>INT((K295*Valores!$C$2*100)+0.5)/100</f>
        <v>0</v>
      </c>
      <c r="M295" s="101">
        <v>0</v>
      </c>
      <c r="N295" s="76">
        <f>INT((M295*Valores!$C$2*100)+0.5)/100</f>
        <v>0</v>
      </c>
      <c r="O295" s="76">
        <f t="shared" si="52"/>
        <v>3221.004</v>
      </c>
      <c r="P295" s="76">
        <f t="shared" si="53"/>
        <v>0</v>
      </c>
      <c r="Q295" s="102">
        <f>Valores!$C$14*D295</f>
        <v>5446.46</v>
      </c>
      <c r="R295" s="102">
        <f>IF(D295&lt;15,(Valores!$E$4*D295),Valores!$D$4)</f>
        <v>2966.67</v>
      </c>
      <c r="S295" s="76">
        <v>0</v>
      </c>
      <c r="T295" s="79">
        <f>IF(Valores!$C$45*D295&gt;Valores!$C$43,Valores!$C$43,Valores!$C$45*D295)</f>
        <v>1738.08</v>
      </c>
      <c r="U295" s="102">
        <f>Valores!$C$22*D295</f>
        <v>1920.66</v>
      </c>
      <c r="V295" s="76">
        <f t="shared" si="48"/>
        <v>1920.66</v>
      </c>
      <c r="W295" s="76">
        <v>0</v>
      </c>
      <c r="X295" s="76">
        <v>0</v>
      </c>
      <c r="Y295" s="119">
        <v>0</v>
      </c>
      <c r="Z295" s="76">
        <f>Y295*Valores!$C$2</f>
        <v>0</v>
      </c>
      <c r="AA295" s="76">
        <v>0</v>
      </c>
      <c r="AB295" s="81">
        <f>IF((Valores!$C$32)*D295&gt;Valores!$F$32,Valores!$F$32,(Valores!$C$32)*D295)</f>
        <v>218.28</v>
      </c>
      <c r="AC295" s="76">
        <f t="shared" si="56"/>
        <v>0</v>
      </c>
      <c r="AD295" s="76">
        <f>IF(Valores!$C$33*D295&gt;Valores!$F$33,Valores!$F$33,Valores!$C$33*D295)</f>
        <v>160.21</v>
      </c>
      <c r="AE295" s="80">
        <v>0</v>
      </c>
      <c r="AF295" s="76">
        <f>INT(((AE295*Valores!$C$2)*100)+0.5)/100</f>
        <v>0</v>
      </c>
      <c r="AG295" s="76">
        <f>IF(Valores!$D$58*'Escala Docente'!D295&gt;Valores!$F$58,Valores!$F$58,Valores!$D$58*'Escala Docente'!D295)</f>
        <v>651.78</v>
      </c>
      <c r="AH295" s="76">
        <f>IF(Valores!$D$60*D295&gt;Valores!$F$60,Valores!$F$60,Valores!$D$60*D295)</f>
        <v>186.22</v>
      </c>
      <c r="AI295" s="115">
        <f t="shared" si="57"/>
        <v>34323.984</v>
      </c>
      <c r="AJ295" s="102">
        <f>IF(Valores!$C$36*D295&gt;Valores!$F$36,Valores!$F$36,Valores!$C$36*D295)</f>
        <v>1198.38</v>
      </c>
      <c r="AK295" s="79">
        <f>IF(Valores!$C$11*D295&gt;Valores!$F$11,Valores!$F$11,Valores!$C$11*D295)</f>
        <v>0</v>
      </c>
      <c r="AL295" s="79">
        <f>IF(Valores!$C$84*D295&gt;Valores!$C$83,Valores!$C$83,Valores!$C$84*D295)</f>
        <v>2210</v>
      </c>
      <c r="AM295" s="81">
        <f>IF(Valores!$C$57*D295&gt;Valores!$F$57,Valores!$F$57,Valores!$C$57*D295)</f>
        <v>265.48</v>
      </c>
      <c r="AN295" s="83">
        <f t="shared" si="58"/>
        <v>3408.38</v>
      </c>
      <c r="AO295" s="62">
        <f>AI295*-Valores!$C$65</f>
        <v>-4462.11792</v>
      </c>
      <c r="AP295" s="62">
        <f>AI295*-Valores!$C$66</f>
        <v>-171.61991999999998</v>
      </c>
      <c r="AQ295" s="78">
        <f>AI295*-Valores!$C$67</f>
        <v>-1544.5792799999997</v>
      </c>
      <c r="AR295" s="78">
        <f>AI295*-Valores!$C$68</f>
        <v>-926.7475679999999</v>
      </c>
      <c r="AS295" s="78">
        <f>AI295*-Valores!$C$69</f>
        <v>-102.97195199999999</v>
      </c>
      <c r="AT295" s="82">
        <f t="shared" si="54"/>
        <v>31554.046879999998</v>
      </c>
      <c r="AU295" s="82">
        <f t="shared" si="55"/>
        <v>32068.906639999997</v>
      </c>
      <c r="AV295" s="78">
        <f>AI295*Valores!$C$71</f>
        <v>5491.837439999999</v>
      </c>
      <c r="AW295" s="78">
        <f>AI295*Valores!$C$72</f>
        <v>1544.5792799999997</v>
      </c>
      <c r="AX295" s="78">
        <f>AI295*Valores!$C$73</f>
        <v>343.23983999999996</v>
      </c>
      <c r="AY295" s="78">
        <f>AI295*Valores!$C$75</f>
        <v>1201.33944</v>
      </c>
      <c r="AZ295" s="78">
        <f>AI295*Valores!$C$76</f>
        <v>205.94390399999997</v>
      </c>
      <c r="BA295" s="78">
        <f t="shared" si="59"/>
        <v>1853.495136</v>
      </c>
      <c r="BB295" s="52"/>
      <c r="BC295" s="52">
        <f t="shared" si="60"/>
        <v>136</v>
      </c>
      <c r="BD295" s="28" t="s">
        <v>8</v>
      </c>
    </row>
    <row r="296" spans="1:56" s="28" customFormat="1" ht="11.25" customHeight="1">
      <c r="A296" s="86">
        <v>295</v>
      </c>
      <c r="B296" s="86" t="s">
        <v>163</v>
      </c>
      <c r="C296" s="87" t="s">
        <v>522</v>
      </c>
      <c r="D296" s="87">
        <v>34</v>
      </c>
      <c r="E296" s="87">
        <f t="shared" si="51"/>
        <v>42</v>
      </c>
      <c r="F296" s="88" t="str">
        <f>CONCATENATE("Hora Cátedra Enseñanza Media ",D296," hs Esc Esp")</f>
        <v>Hora Cátedra Enseñanza Media 34 hs Esc Esp</v>
      </c>
      <c r="G296" s="89">
        <f t="shared" si="61"/>
        <v>2686</v>
      </c>
      <c r="H296" s="90">
        <f>INT((G296*Valores!$C$2*100))/100</f>
        <v>17814.62</v>
      </c>
      <c r="I296" s="104">
        <v>0</v>
      </c>
      <c r="J296" s="92">
        <f>INT((I296*Valores!$C$2*100)+0.5)/100</f>
        <v>0</v>
      </c>
      <c r="K296" s="105">
        <v>0</v>
      </c>
      <c r="L296" s="92">
        <f>INT((K296*Valores!$C$2*100)+0.5)/100</f>
        <v>0</v>
      </c>
      <c r="M296" s="106">
        <v>0</v>
      </c>
      <c r="N296" s="92">
        <f>INT((M296*Valores!$C$2*100)+0.5)/100</f>
        <v>0</v>
      </c>
      <c r="O296" s="92">
        <f t="shared" si="52"/>
        <v>3221.004</v>
      </c>
      <c r="P296" s="92">
        <f t="shared" si="53"/>
        <v>0</v>
      </c>
      <c r="Q296" s="108">
        <f>Valores!$C$14*D296</f>
        <v>5446.46</v>
      </c>
      <c r="R296" s="108">
        <f>IF(D296&lt;15,(Valores!$E$4*D296),Valores!$D$4)</f>
        <v>2966.67</v>
      </c>
      <c r="S296" s="92">
        <v>0</v>
      </c>
      <c r="T296" s="95">
        <f>IF(Valores!$C$45*D296&gt;Valores!$C$43,Valores!$C$43,Valores!$C$45*D296)</f>
        <v>1738.08</v>
      </c>
      <c r="U296" s="108">
        <f>Valores!$C$22*D296</f>
        <v>1920.66</v>
      </c>
      <c r="V296" s="92">
        <f t="shared" si="48"/>
        <v>1920.66</v>
      </c>
      <c r="W296" s="92">
        <v>0</v>
      </c>
      <c r="X296" s="92">
        <v>0</v>
      </c>
      <c r="Y296" s="120">
        <v>0</v>
      </c>
      <c r="Z296" s="92">
        <f>Y296*Valores!$C$2</f>
        <v>0</v>
      </c>
      <c r="AA296" s="92">
        <v>0</v>
      </c>
      <c r="AB296" s="97">
        <f>IF((Valores!$C$32)*D296&gt;Valores!$F$32,Valores!$F$32,(Valores!$C$32)*D296)</f>
        <v>218.28</v>
      </c>
      <c r="AC296" s="92">
        <f t="shared" si="56"/>
        <v>0</v>
      </c>
      <c r="AD296" s="92">
        <f>IF(Valores!$C$33*D296&gt;Valores!$F$33,Valores!$F$33,Valores!$C$33*D296)</f>
        <v>160.21</v>
      </c>
      <c r="AE296" s="96">
        <v>94</v>
      </c>
      <c r="AF296" s="92">
        <f>INT(((AE296*Valores!$C$2)*100)+0.5)/100</f>
        <v>623.45</v>
      </c>
      <c r="AG296" s="92">
        <f>IF(Valores!$D$58*'Escala Docente'!D296&gt;Valores!$F$58,Valores!$F$58,Valores!$D$58*'Escala Docente'!D296)</f>
        <v>651.78</v>
      </c>
      <c r="AH296" s="92">
        <f>IF(Valores!$D$60*D296&gt;Valores!$F$60,Valores!$F$60,Valores!$D$60*D296)</f>
        <v>186.22</v>
      </c>
      <c r="AI296" s="116">
        <f t="shared" si="57"/>
        <v>34947.434</v>
      </c>
      <c r="AJ296" s="108">
        <f>IF(Valores!$C$36*D296&gt;Valores!$F$36,Valores!$F$36,Valores!$C$36*D296)</f>
        <v>1198.38</v>
      </c>
      <c r="AK296" s="95">
        <f>IF(Valores!$C$11*D296&gt;Valores!$F$11,Valores!$F$11,Valores!$C$11*D296)</f>
        <v>0</v>
      </c>
      <c r="AL296" s="95">
        <f>IF(Valores!$C$84*D296&gt;Valores!$C$83,Valores!$C$83,Valores!$C$84*D296)</f>
        <v>2210</v>
      </c>
      <c r="AM296" s="97">
        <f>IF(Valores!$C$57*D296&gt;Valores!$F$57,Valores!$F$57,Valores!$C$57*D296)</f>
        <v>265.48</v>
      </c>
      <c r="AN296" s="99">
        <f t="shared" si="58"/>
        <v>3408.38</v>
      </c>
      <c r="AO296" s="117">
        <f>AI296*-Valores!$C$65</f>
        <v>-4543.1664200000005</v>
      </c>
      <c r="AP296" s="117">
        <f>AI296*-Valores!$C$66</f>
        <v>-174.73717000000002</v>
      </c>
      <c r="AQ296" s="94">
        <f>AI296*-Valores!$C$67</f>
        <v>-1572.63453</v>
      </c>
      <c r="AR296" s="94">
        <f>AI296*-Valores!$C$68</f>
        <v>-943.580718</v>
      </c>
      <c r="AS296" s="94">
        <f>AI296*-Valores!$C$69</f>
        <v>-104.842302</v>
      </c>
      <c r="AT296" s="98">
        <f t="shared" si="54"/>
        <v>32065.275879999994</v>
      </c>
      <c r="AU296" s="98">
        <f t="shared" si="55"/>
        <v>32589.48739</v>
      </c>
      <c r="AV296" s="94">
        <f>AI296*Valores!$C$71</f>
        <v>5591.589440000001</v>
      </c>
      <c r="AW296" s="94">
        <f>AI296*Valores!$C$72</f>
        <v>1572.63453</v>
      </c>
      <c r="AX296" s="94">
        <f>AI296*Valores!$C$73</f>
        <v>349.47434000000004</v>
      </c>
      <c r="AY296" s="94">
        <f>AI296*Valores!$C$75</f>
        <v>1223.16019</v>
      </c>
      <c r="AZ296" s="94">
        <f>AI296*Valores!$C$76</f>
        <v>209.684604</v>
      </c>
      <c r="BA296" s="94">
        <f t="shared" si="59"/>
        <v>1887.161436</v>
      </c>
      <c r="BB296" s="86"/>
      <c r="BC296" s="86">
        <f t="shared" si="60"/>
        <v>136</v>
      </c>
      <c r="BD296" s="87" t="s">
        <v>8</v>
      </c>
    </row>
    <row r="297" spans="1:56" s="28" customFormat="1" ht="11.25" customHeight="1">
      <c r="A297" s="52">
        <v>296</v>
      </c>
      <c r="B297" s="52"/>
      <c r="C297" s="28" t="s">
        <v>522</v>
      </c>
      <c r="D297" s="28">
        <v>35</v>
      </c>
      <c r="E297" s="28">
        <f t="shared" si="51"/>
        <v>34</v>
      </c>
      <c r="F297" s="72" t="str">
        <f>CONCATENATE("Hora Cátedra Enseñanza Media ",D297," hs")</f>
        <v>Hora Cátedra Enseñanza Media 35 hs</v>
      </c>
      <c r="G297" s="73">
        <f t="shared" si="61"/>
        <v>2765</v>
      </c>
      <c r="H297" s="74">
        <f>INT((G297*Valores!$C$2*100))/100</f>
        <v>18338.58</v>
      </c>
      <c r="I297" s="113">
        <v>0</v>
      </c>
      <c r="J297" s="76">
        <f>INT((I297*Valores!$C$2*100)+0.5)/100</f>
        <v>0</v>
      </c>
      <c r="K297" s="103">
        <v>0</v>
      </c>
      <c r="L297" s="76">
        <f>INT((K297*Valores!$C$2*100)+0.5)/100</f>
        <v>0</v>
      </c>
      <c r="M297" s="101">
        <v>0</v>
      </c>
      <c r="N297" s="76">
        <f>INT((M297*Valores!$C$2*100)+0.5)/100</f>
        <v>0</v>
      </c>
      <c r="O297" s="76">
        <f t="shared" si="52"/>
        <v>3315.7395000000006</v>
      </c>
      <c r="P297" s="76">
        <f t="shared" si="53"/>
        <v>0</v>
      </c>
      <c r="Q297" s="102">
        <f>Valores!$C$14*D297</f>
        <v>5606.65</v>
      </c>
      <c r="R297" s="102">
        <f>IF(D297&lt;15,(Valores!$E$4*D297),Valores!$D$4)</f>
        <v>2966.67</v>
      </c>
      <c r="S297" s="76">
        <v>0</v>
      </c>
      <c r="T297" s="79">
        <f>IF(Valores!$C$45*D297&gt;Valores!$C$43,Valores!$C$43,Valores!$C$45*D297)</f>
        <v>1789.1999999999998</v>
      </c>
      <c r="U297" s="102">
        <f>Valores!$C$22*D297</f>
        <v>1977.15</v>
      </c>
      <c r="V297" s="76">
        <f t="shared" si="48"/>
        <v>1977.15</v>
      </c>
      <c r="W297" s="76">
        <v>0</v>
      </c>
      <c r="X297" s="76">
        <v>0</v>
      </c>
      <c r="Y297" s="119">
        <v>0</v>
      </c>
      <c r="Z297" s="76">
        <f>Y297*Valores!$C$2</f>
        <v>0</v>
      </c>
      <c r="AA297" s="76">
        <v>0</v>
      </c>
      <c r="AB297" s="81">
        <f>IF((Valores!$C$32)*D297&gt;Valores!$F$32,Valores!$F$32,(Valores!$C$32)*D297)</f>
        <v>224.7</v>
      </c>
      <c r="AC297" s="76">
        <f t="shared" si="56"/>
        <v>0</v>
      </c>
      <c r="AD297" s="76">
        <f>IF(Valores!$C$33*D297&gt;Valores!$F$33,Valores!$F$33,Valores!$C$33*D297)</f>
        <v>160.21</v>
      </c>
      <c r="AE297" s="80">
        <v>0</v>
      </c>
      <c r="AF297" s="76">
        <f>INT(((AE297*Valores!$C$2)*100)+0.5)/100</f>
        <v>0</v>
      </c>
      <c r="AG297" s="76">
        <f>IF(Valores!$D$58*'Escala Docente'!D297&gt;Valores!$F$58,Valores!$F$58,Valores!$D$58*'Escala Docente'!D297)</f>
        <v>651.78</v>
      </c>
      <c r="AH297" s="76">
        <f>IF(Valores!$D$60*D297&gt;Valores!$F$60,Valores!$F$60,Valores!$D$60*D297)</f>
        <v>186.22</v>
      </c>
      <c r="AI297" s="115">
        <f t="shared" si="57"/>
        <v>35216.8995</v>
      </c>
      <c r="AJ297" s="102">
        <f>IF(Valores!$C$36*D297&gt;Valores!$F$36,Valores!$F$36,Valores!$C$36*D297)</f>
        <v>1198.38</v>
      </c>
      <c r="AK297" s="79">
        <f>IF(Valores!$C$11*D297&gt;Valores!$F$11,Valores!$F$11,Valores!$C$11*D297)</f>
        <v>0</v>
      </c>
      <c r="AL297" s="79">
        <f>IF(Valores!$C$84*D297&gt;Valores!$C$83,Valores!$C$83,Valores!$C$84*D297)</f>
        <v>2275</v>
      </c>
      <c r="AM297" s="81">
        <f>IF(Valores!$C$57*D297&gt;Valores!$F$57,Valores!$F$57,Valores!$C$57*D297)</f>
        <v>265.48</v>
      </c>
      <c r="AN297" s="83">
        <f t="shared" si="58"/>
        <v>3473.38</v>
      </c>
      <c r="AO297" s="62">
        <f>AI297*-Valores!$C$65</f>
        <v>-4578.196935</v>
      </c>
      <c r="AP297" s="62">
        <f>AI297*-Valores!$C$66</f>
        <v>-176.0844975</v>
      </c>
      <c r="AQ297" s="78">
        <f>AI297*-Valores!$C$67</f>
        <v>-1584.7604775</v>
      </c>
      <c r="AR297" s="78">
        <f>AI297*-Valores!$C$68</f>
        <v>-950.8562865</v>
      </c>
      <c r="AS297" s="78">
        <f>AI297*-Valores!$C$69</f>
        <v>-105.6506985</v>
      </c>
      <c r="AT297" s="82">
        <f t="shared" si="54"/>
        <v>32351.237589999997</v>
      </c>
      <c r="AU297" s="82">
        <f t="shared" si="55"/>
        <v>32879.4910825</v>
      </c>
      <c r="AV297" s="78">
        <f>AI297*Valores!$C$71</f>
        <v>5634.70392</v>
      </c>
      <c r="AW297" s="78">
        <f>AI297*Valores!$C$72</f>
        <v>1584.7604775</v>
      </c>
      <c r="AX297" s="78">
        <f>AI297*Valores!$C$73</f>
        <v>352.168995</v>
      </c>
      <c r="AY297" s="78">
        <f>AI297*Valores!$C$75</f>
        <v>1232.5914825000002</v>
      </c>
      <c r="AZ297" s="78">
        <f>AI297*Valores!$C$76</f>
        <v>211.301397</v>
      </c>
      <c r="BA297" s="78">
        <f t="shared" si="59"/>
        <v>1901.712573</v>
      </c>
      <c r="BB297" s="52"/>
      <c r="BC297" s="52">
        <f t="shared" si="60"/>
        <v>140</v>
      </c>
      <c r="BD297" s="28" t="s">
        <v>8</v>
      </c>
    </row>
    <row r="298" spans="1:56" s="28" customFormat="1" ht="11.25" customHeight="1">
      <c r="A298" s="52">
        <v>297</v>
      </c>
      <c r="B298" s="52"/>
      <c r="C298" s="28" t="s">
        <v>522</v>
      </c>
      <c r="D298" s="28">
        <v>35</v>
      </c>
      <c r="E298" s="28">
        <f t="shared" si="51"/>
        <v>42</v>
      </c>
      <c r="F298" s="72" t="str">
        <f>CONCATENATE("Hora Cátedra Enseñanza Media ",D298," hs Esc Esp")</f>
        <v>Hora Cátedra Enseñanza Media 35 hs Esc Esp</v>
      </c>
      <c r="G298" s="73">
        <f t="shared" si="61"/>
        <v>2765</v>
      </c>
      <c r="H298" s="74">
        <f>INT((G298*Valores!$C$2*100))/100</f>
        <v>18338.58</v>
      </c>
      <c r="I298" s="113">
        <v>0</v>
      </c>
      <c r="J298" s="76">
        <f>INT((I298*Valores!$C$2*100)+0.5)/100</f>
        <v>0</v>
      </c>
      <c r="K298" s="103">
        <v>0</v>
      </c>
      <c r="L298" s="76">
        <f>INT((K298*Valores!$C$2*100)+0.5)/100</f>
        <v>0</v>
      </c>
      <c r="M298" s="101">
        <v>0</v>
      </c>
      <c r="N298" s="76">
        <f>INT((M298*Valores!$C$2*100)+0.5)/100</f>
        <v>0</v>
      </c>
      <c r="O298" s="76">
        <f t="shared" si="52"/>
        <v>3315.7395000000006</v>
      </c>
      <c r="P298" s="76">
        <f t="shared" si="53"/>
        <v>0</v>
      </c>
      <c r="Q298" s="102">
        <f>Valores!$C$14*D298</f>
        <v>5606.65</v>
      </c>
      <c r="R298" s="102">
        <f>IF(D298&lt;15,(Valores!$E$4*D298),Valores!$D$4)</f>
        <v>2966.67</v>
      </c>
      <c r="S298" s="76">
        <v>0</v>
      </c>
      <c r="T298" s="79">
        <f>IF(Valores!$C$45*D298&gt;Valores!$C$43,Valores!$C$43,Valores!$C$45*D298)</f>
        <v>1789.1999999999998</v>
      </c>
      <c r="U298" s="102">
        <f>Valores!$C$22*D298</f>
        <v>1977.15</v>
      </c>
      <c r="V298" s="76">
        <f t="shared" si="48"/>
        <v>1977.15</v>
      </c>
      <c r="W298" s="76">
        <v>0</v>
      </c>
      <c r="X298" s="76">
        <v>0</v>
      </c>
      <c r="Y298" s="119">
        <v>0</v>
      </c>
      <c r="Z298" s="76">
        <f>Y298*Valores!$C$2</f>
        <v>0</v>
      </c>
      <c r="AA298" s="76">
        <v>0</v>
      </c>
      <c r="AB298" s="81">
        <f>IF((Valores!$C$32)*D298&gt;Valores!$F$32,Valores!$F$32,(Valores!$C$32)*D298)</f>
        <v>224.7</v>
      </c>
      <c r="AC298" s="76">
        <f t="shared" si="56"/>
        <v>0</v>
      </c>
      <c r="AD298" s="76">
        <f>IF(Valores!$C$33*D298&gt;Valores!$F$33,Valores!$F$33,Valores!$C$33*D298)</f>
        <v>160.21</v>
      </c>
      <c r="AE298" s="80">
        <v>94</v>
      </c>
      <c r="AF298" s="76">
        <f>INT(((AE298*Valores!$C$2)*100)+0.5)/100</f>
        <v>623.45</v>
      </c>
      <c r="AG298" s="76">
        <f>IF(Valores!$D$58*'Escala Docente'!D298&gt;Valores!$F$58,Valores!$F$58,Valores!$D$58*'Escala Docente'!D298)</f>
        <v>651.78</v>
      </c>
      <c r="AH298" s="76">
        <f>IF(Valores!$D$60*D298&gt;Valores!$F$60,Valores!$F$60,Valores!$D$60*D298)</f>
        <v>186.22</v>
      </c>
      <c r="AI298" s="115">
        <f t="shared" si="57"/>
        <v>35840.3495</v>
      </c>
      <c r="AJ298" s="102">
        <f>IF(Valores!$C$36*D298&gt;Valores!$F$36,Valores!$F$36,Valores!$C$36*D298)</f>
        <v>1198.38</v>
      </c>
      <c r="AK298" s="79">
        <f>IF(Valores!$C$11*D298&gt;Valores!$F$11,Valores!$F$11,Valores!$C$11*D298)</f>
        <v>0</v>
      </c>
      <c r="AL298" s="79">
        <f>IF(Valores!$C$84*D298&gt;Valores!$C$83,Valores!$C$83,Valores!$C$84*D298)</f>
        <v>2275</v>
      </c>
      <c r="AM298" s="81">
        <f>IF(Valores!$C$57*D298&gt;Valores!$F$57,Valores!$F$57,Valores!$C$57*D298)</f>
        <v>265.48</v>
      </c>
      <c r="AN298" s="83">
        <f t="shared" si="58"/>
        <v>3473.38</v>
      </c>
      <c r="AO298" s="62">
        <f>AI298*-Valores!$C$65</f>
        <v>-4659.245435</v>
      </c>
      <c r="AP298" s="62">
        <f>AI298*-Valores!$C$66</f>
        <v>-179.20174749999998</v>
      </c>
      <c r="AQ298" s="78">
        <f>AI298*-Valores!$C$67</f>
        <v>-1612.8157274999999</v>
      </c>
      <c r="AR298" s="78">
        <f>AI298*-Valores!$C$68</f>
        <v>-967.6894364999999</v>
      </c>
      <c r="AS298" s="78">
        <f>AI298*-Valores!$C$69</f>
        <v>-107.52104849999999</v>
      </c>
      <c r="AT298" s="82">
        <f t="shared" si="54"/>
        <v>32862.466589999996</v>
      </c>
      <c r="AU298" s="82">
        <f t="shared" si="55"/>
        <v>33400.0718325</v>
      </c>
      <c r="AV298" s="78">
        <f>AI298*Valores!$C$71</f>
        <v>5734.455919999999</v>
      </c>
      <c r="AW298" s="78">
        <f>AI298*Valores!$C$72</f>
        <v>1612.8157274999999</v>
      </c>
      <c r="AX298" s="78">
        <f>AI298*Valores!$C$73</f>
        <v>358.40349499999996</v>
      </c>
      <c r="AY298" s="78">
        <f>AI298*Valores!$C$75</f>
        <v>1254.4122325</v>
      </c>
      <c r="AZ298" s="78">
        <f>AI298*Valores!$C$76</f>
        <v>215.04209699999998</v>
      </c>
      <c r="BA298" s="78">
        <f t="shared" si="59"/>
        <v>1935.378873</v>
      </c>
      <c r="BB298" s="52"/>
      <c r="BC298" s="52">
        <f t="shared" si="60"/>
        <v>140</v>
      </c>
      <c r="BD298" s="28" t="s">
        <v>8</v>
      </c>
    </row>
    <row r="299" spans="1:56" s="28" customFormat="1" ht="11.25" customHeight="1">
      <c r="A299" s="52">
        <v>298</v>
      </c>
      <c r="B299" s="52"/>
      <c r="C299" s="28" t="s">
        <v>522</v>
      </c>
      <c r="D299" s="28">
        <v>36</v>
      </c>
      <c r="E299" s="28">
        <f t="shared" si="51"/>
        <v>34</v>
      </c>
      <c r="F299" s="72" t="str">
        <f>CONCATENATE("Hora Cátedra Enseñanza Media ",D299," hs")</f>
        <v>Hora Cátedra Enseñanza Media 36 hs</v>
      </c>
      <c r="G299" s="73">
        <f t="shared" si="61"/>
        <v>2844</v>
      </c>
      <c r="H299" s="74">
        <f>INT((G299*Valores!$C$2*100))/100</f>
        <v>18862.54</v>
      </c>
      <c r="I299" s="113">
        <v>0</v>
      </c>
      <c r="J299" s="76">
        <f>INT((I299*Valores!$C$2*100)+0.5)/100</f>
        <v>0</v>
      </c>
      <c r="K299" s="103">
        <v>0</v>
      </c>
      <c r="L299" s="76">
        <f>INT((K299*Valores!$C$2*100)+0.5)/100</f>
        <v>0</v>
      </c>
      <c r="M299" s="101">
        <v>0</v>
      </c>
      <c r="N299" s="76">
        <f>INT((M299*Valores!$C$2*100)+0.5)/100</f>
        <v>0</v>
      </c>
      <c r="O299" s="76">
        <f t="shared" si="52"/>
        <v>3410.358</v>
      </c>
      <c r="P299" s="76">
        <f t="shared" si="53"/>
        <v>0</v>
      </c>
      <c r="Q299" s="102">
        <f>Valores!$C$14*D299</f>
        <v>5766.84</v>
      </c>
      <c r="R299" s="102">
        <f>IF(D299&lt;15,(Valores!$E$4*D299),Valores!$D$4)</f>
        <v>2966.67</v>
      </c>
      <c r="S299" s="76">
        <v>0</v>
      </c>
      <c r="T299" s="79">
        <f>IF(Valores!$C$45*D299&gt;Valores!$C$43,Valores!$C$43,Valores!$C$45*D299)</f>
        <v>1839.54</v>
      </c>
      <c r="U299" s="102">
        <f>Valores!$C$22*D299</f>
        <v>2033.64</v>
      </c>
      <c r="V299" s="76">
        <f t="shared" si="48"/>
        <v>2033.64</v>
      </c>
      <c r="W299" s="76">
        <v>0</v>
      </c>
      <c r="X299" s="76">
        <v>0</v>
      </c>
      <c r="Y299" s="119">
        <v>0</v>
      </c>
      <c r="Z299" s="76">
        <f>Y299*Valores!$C$2</f>
        <v>0</v>
      </c>
      <c r="AA299" s="76">
        <v>0</v>
      </c>
      <c r="AB299" s="81">
        <f>IF((Valores!$C$32)*D299&gt;Valores!$F$32,Valores!$F$32,(Valores!$C$32)*D299)</f>
        <v>231.12</v>
      </c>
      <c r="AC299" s="76">
        <f t="shared" si="56"/>
        <v>0</v>
      </c>
      <c r="AD299" s="76">
        <f>IF(Valores!$C$33*D299&gt;Valores!$F$33,Valores!$F$33,Valores!$C$33*D299)</f>
        <v>160.21</v>
      </c>
      <c r="AE299" s="80">
        <v>0</v>
      </c>
      <c r="AF299" s="76">
        <f>INT(((AE299*Valores!$C$2)*100)+0.5)/100</f>
        <v>0</v>
      </c>
      <c r="AG299" s="76">
        <f>IF(Valores!$D$58*'Escala Docente'!D299&gt;Valores!$F$58,Valores!$F$58,Valores!$D$58*'Escala Docente'!D299)</f>
        <v>651.78</v>
      </c>
      <c r="AH299" s="76">
        <f>IF(Valores!$D$60*D299&gt;Valores!$F$60,Valores!$F$60,Valores!$D$60*D299)</f>
        <v>186.22</v>
      </c>
      <c r="AI299" s="115">
        <f t="shared" si="57"/>
        <v>36108.918000000005</v>
      </c>
      <c r="AJ299" s="102">
        <f>IF(Valores!$C$36*D299&gt;Valores!$F$36,Valores!$F$36,Valores!$C$36*D299)</f>
        <v>1198.38</v>
      </c>
      <c r="AK299" s="79">
        <f>IF(Valores!$C$11*D299&gt;Valores!$F$11,Valores!$F$11,Valores!$C$11*D299)</f>
        <v>0</v>
      </c>
      <c r="AL299" s="79">
        <f>IF(Valores!$C$84*D299&gt;Valores!$C$83,Valores!$C$83,Valores!$C$84*D299)</f>
        <v>2340</v>
      </c>
      <c r="AM299" s="81">
        <f>IF(Valores!$C$57*D299&gt;Valores!$F$57,Valores!$F$57,Valores!$C$57*D299)</f>
        <v>265.48</v>
      </c>
      <c r="AN299" s="83">
        <f t="shared" si="58"/>
        <v>3538.38</v>
      </c>
      <c r="AO299" s="62">
        <f>AI299*-Valores!$C$65</f>
        <v>-4694.159340000001</v>
      </c>
      <c r="AP299" s="62">
        <f>AI299*-Valores!$C$66</f>
        <v>-180.54459000000003</v>
      </c>
      <c r="AQ299" s="78">
        <f>AI299*-Valores!$C$67</f>
        <v>-1624.9013100000002</v>
      </c>
      <c r="AR299" s="78">
        <f>AI299*-Valores!$C$68</f>
        <v>-974.9407860000001</v>
      </c>
      <c r="AS299" s="78">
        <f>AI299*-Valores!$C$69</f>
        <v>-108.32675400000002</v>
      </c>
      <c r="AT299" s="82">
        <f t="shared" si="54"/>
        <v>33147.692760000005</v>
      </c>
      <c r="AU299" s="82">
        <f t="shared" si="55"/>
        <v>33689.326530000006</v>
      </c>
      <c r="AV299" s="78">
        <f>AI299*Valores!$C$71</f>
        <v>5777.426880000001</v>
      </c>
      <c r="AW299" s="78">
        <f>AI299*Valores!$C$72</f>
        <v>1624.9013100000002</v>
      </c>
      <c r="AX299" s="78">
        <f>AI299*Valores!$C$73</f>
        <v>361.08918000000006</v>
      </c>
      <c r="AY299" s="78">
        <f>AI299*Valores!$C$75</f>
        <v>1263.8121300000003</v>
      </c>
      <c r="AZ299" s="78">
        <f>AI299*Valores!$C$76</f>
        <v>216.65350800000004</v>
      </c>
      <c r="BA299" s="78">
        <f t="shared" si="59"/>
        <v>1949.8815720000005</v>
      </c>
      <c r="BB299" s="52"/>
      <c r="BC299" s="86">
        <f t="shared" si="60"/>
        <v>144</v>
      </c>
      <c r="BD299" s="28" t="s">
        <v>8</v>
      </c>
    </row>
    <row r="300" spans="1:56" s="28" customFormat="1" ht="11.25" customHeight="1">
      <c r="A300" s="52">
        <v>299</v>
      </c>
      <c r="B300" s="52"/>
      <c r="C300" s="28" t="s">
        <v>522</v>
      </c>
      <c r="D300" s="28">
        <v>36</v>
      </c>
      <c r="E300" s="28">
        <f t="shared" si="51"/>
        <v>42</v>
      </c>
      <c r="F300" s="72" t="str">
        <f>CONCATENATE("Hora Cátedra Enseñanza Media ",D300," hs Esc Esp")</f>
        <v>Hora Cátedra Enseñanza Media 36 hs Esc Esp</v>
      </c>
      <c r="G300" s="73">
        <f t="shared" si="61"/>
        <v>2844</v>
      </c>
      <c r="H300" s="74">
        <f>INT((G300*Valores!$C$2*100))/100</f>
        <v>18862.54</v>
      </c>
      <c r="I300" s="113">
        <v>0</v>
      </c>
      <c r="J300" s="76">
        <f>INT((I300*Valores!$C$2*100)+0.5)/100</f>
        <v>0</v>
      </c>
      <c r="K300" s="103">
        <v>0</v>
      </c>
      <c r="L300" s="76">
        <f>INT((K300*Valores!$C$2*100)+0.5)/100</f>
        <v>0</v>
      </c>
      <c r="M300" s="101">
        <v>0</v>
      </c>
      <c r="N300" s="76">
        <f>INT((M300*Valores!$C$2*100)+0.5)/100</f>
        <v>0</v>
      </c>
      <c r="O300" s="76">
        <f t="shared" si="52"/>
        <v>3410.358</v>
      </c>
      <c r="P300" s="76">
        <f t="shared" si="53"/>
        <v>0</v>
      </c>
      <c r="Q300" s="102">
        <f>Valores!$C$14*D300</f>
        <v>5766.84</v>
      </c>
      <c r="R300" s="102">
        <f>IF(D300&lt;15,(Valores!$E$4*D300),Valores!$D$4)</f>
        <v>2966.67</v>
      </c>
      <c r="S300" s="76">
        <v>0</v>
      </c>
      <c r="T300" s="79">
        <f>IF(Valores!$C$45*D300&gt;Valores!$C$43,Valores!$C$43,Valores!$C$45*D300)</f>
        <v>1839.54</v>
      </c>
      <c r="U300" s="102">
        <f>Valores!$C$22*D300</f>
        <v>2033.64</v>
      </c>
      <c r="V300" s="76">
        <f t="shared" si="48"/>
        <v>2033.64</v>
      </c>
      <c r="W300" s="76">
        <v>0</v>
      </c>
      <c r="X300" s="76">
        <v>0</v>
      </c>
      <c r="Y300" s="119">
        <v>0</v>
      </c>
      <c r="Z300" s="76">
        <f>Y300*Valores!$C$2</f>
        <v>0</v>
      </c>
      <c r="AA300" s="76">
        <v>0</v>
      </c>
      <c r="AB300" s="81">
        <f>IF((Valores!$C$32)*D300&gt;Valores!$F$32,Valores!$F$32,(Valores!$C$32)*D300)</f>
        <v>231.12</v>
      </c>
      <c r="AC300" s="76">
        <f t="shared" si="56"/>
        <v>0</v>
      </c>
      <c r="AD300" s="76">
        <f>IF(Valores!$C$33*D300&gt;Valores!$F$33,Valores!$F$33,Valores!$C$33*D300)</f>
        <v>160.21</v>
      </c>
      <c r="AE300" s="80">
        <v>94</v>
      </c>
      <c r="AF300" s="76">
        <f>INT(((AE300*Valores!$C$2)*100)+0.5)/100</f>
        <v>623.45</v>
      </c>
      <c r="AG300" s="76">
        <f>IF(Valores!$D$58*'Escala Docente'!D300&gt;Valores!$F$58,Valores!$F$58,Valores!$D$58*'Escala Docente'!D300)</f>
        <v>651.78</v>
      </c>
      <c r="AH300" s="76">
        <f>IF(Valores!$D$60*D300&gt;Valores!$F$60,Valores!$F$60,Valores!$D$60*D300)</f>
        <v>186.22</v>
      </c>
      <c r="AI300" s="115">
        <f t="shared" si="57"/>
        <v>36732.368</v>
      </c>
      <c r="AJ300" s="102">
        <f>IF(Valores!$C$36*D300&gt;Valores!$F$36,Valores!$F$36,Valores!$C$36*D300)</f>
        <v>1198.38</v>
      </c>
      <c r="AK300" s="79">
        <f>IF(Valores!$C$11*D300&gt;Valores!$F$11,Valores!$F$11,Valores!$C$11*D300)</f>
        <v>0</v>
      </c>
      <c r="AL300" s="79">
        <f>IF(Valores!$C$84*D300&gt;Valores!$C$83,Valores!$C$83,Valores!$C$84*D300)</f>
        <v>2340</v>
      </c>
      <c r="AM300" s="81">
        <f>IF(Valores!$C$57*D300&gt;Valores!$F$57,Valores!$F$57,Valores!$C$57*D300)</f>
        <v>265.48</v>
      </c>
      <c r="AN300" s="83">
        <f t="shared" si="58"/>
        <v>3538.38</v>
      </c>
      <c r="AO300" s="62">
        <f>AI300*-Valores!$C$65</f>
        <v>-4775.20784</v>
      </c>
      <c r="AP300" s="62">
        <f>AI300*-Valores!$C$66</f>
        <v>-183.66184</v>
      </c>
      <c r="AQ300" s="78">
        <f>AI300*-Valores!$C$67</f>
        <v>-1652.95656</v>
      </c>
      <c r="AR300" s="78">
        <f>AI300*-Valores!$C$68</f>
        <v>-991.773936</v>
      </c>
      <c r="AS300" s="78">
        <f>AI300*-Valores!$C$69</f>
        <v>-110.19710400000001</v>
      </c>
      <c r="AT300" s="82">
        <f t="shared" si="54"/>
        <v>33658.92176</v>
      </c>
      <c r="AU300" s="82">
        <f t="shared" si="55"/>
        <v>34209.90728</v>
      </c>
      <c r="AV300" s="78">
        <f>AI300*Valores!$C$71</f>
        <v>5877.17888</v>
      </c>
      <c r="AW300" s="78">
        <f>AI300*Valores!$C$72</f>
        <v>1652.95656</v>
      </c>
      <c r="AX300" s="78">
        <f>AI300*Valores!$C$73</f>
        <v>367.32368</v>
      </c>
      <c r="AY300" s="78">
        <f>AI300*Valores!$C$75</f>
        <v>1285.6328800000001</v>
      </c>
      <c r="AZ300" s="78">
        <f>AI300*Valores!$C$76</f>
        <v>220.39420800000002</v>
      </c>
      <c r="BA300" s="78">
        <f t="shared" si="59"/>
        <v>1983.547872</v>
      </c>
      <c r="BB300" s="52"/>
      <c r="BC300" s="52">
        <f t="shared" si="60"/>
        <v>144</v>
      </c>
      <c r="BD300" s="28" t="s">
        <v>8</v>
      </c>
    </row>
    <row r="301" spans="1:56" s="28" customFormat="1" ht="11.25" customHeight="1">
      <c r="A301" s="86">
        <v>300</v>
      </c>
      <c r="B301" s="86" t="s">
        <v>163</v>
      </c>
      <c r="C301" s="87" t="s">
        <v>523</v>
      </c>
      <c r="D301" s="87">
        <v>1</v>
      </c>
      <c r="E301" s="87">
        <f t="shared" si="51"/>
        <v>26</v>
      </c>
      <c r="F301" s="88" t="s">
        <v>524</v>
      </c>
      <c r="G301" s="89">
        <v>79</v>
      </c>
      <c r="H301" s="90">
        <f>INT((G301*Valores!$C$2*100))/100</f>
        <v>523.95</v>
      </c>
      <c r="I301" s="104">
        <v>0</v>
      </c>
      <c r="J301" s="92">
        <f>INT((I301*Valores!$C$2*100)+0.5)/100</f>
        <v>0</v>
      </c>
      <c r="K301" s="105">
        <v>0</v>
      </c>
      <c r="L301" s="92">
        <f>INT((K301*Valores!$C$2*100)+0.5)/100</f>
        <v>0</v>
      </c>
      <c r="M301" s="106">
        <v>0</v>
      </c>
      <c r="N301" s="92">
        <f>INT((M301*Valores!$C$2*100)+0.5)/100</f>
        <v>0</v>
      </c>
      <c r="O301" s="92">
        <f t="shared" si="52"/>
        <v>94.73400000000001</v>
      </c>
      <c r="P301" s="92">
        <f t="shared" si="53"/>
        <v>0</v>
      </c>
      <c r="Q301" s="108">
        <f>Valores!$C$14*D301</f>
        <v>160.19</v>
      </c>
      <c r="R301" s="108">
        <f>IF(D301&lt;15,(Valores!$E$4*D301),Valores!$D$4)</f>
        <v>197.78</v>
      </c>
      <c r="S301" s="92">
        <v>0</v>
      </c>
      <c r="T301" s="95">
        <f>IF(Valores!$C$45*D301&gt;Valores!$C$43,Valores!$C$43,Valores!$C$45*D301)</f>
        <v>51.12</v>
      </c>
      <c r="U301" s="108">
        <f>Valores!$C$22*D301</f>
        <v>56.49</v>
      </c>
      <c r="V301" s="92">
        <f t="shared" si="48"/>
        <v>56.49</v>
      </c>
      <c r="W301" s="92">
        <v>0</v>
      </c>
      <c r="X301" s="92">
        <v>0</v>
      </c>
      <c r="Y301" s="120">
        <v>0</v>
      </c>
      <c r="Z301" s="92">
        <f>Y301*Valores!$C$2</f>
        <v>0</v>
      </c>
      <c r="AA301" s="92">
        <v>0</v>
      </c>
      <c r="AB301" s="97">
        <f>IF((Valores!$C$32)*D301&gt;Valores!$F$32,Valores!$F$32,(Valores!$C$32)*D301)</f>
        <v>6.42</v>
      </c>
      <c r="AC301" s="92">
        <f t="shared" si="56"/>
        <v>0</v>
      </c>
      <c r="AD301" s="92">
        <f>IF(Valores!$C$33*D301&gt;Valores!$F$33,Valores!$F$33,Valores!$C$33*D301)</f>
        <v>5.34</v>
      </c>
      <c r="AE301" s="96">
        <v>0</v>
      </c>
      <c r="AF301" s="92">
        <f>INT(((AE301*Valores!$C$2)*100)+0.5)/100</f>
        <v>0</v>
      </c>
      <c r="AG301" s="92">
        <f>IF(Valores!$D$58*'Escala Docente'!D301&gt;Valores!$F$58,Valores!$F$58,Valores!$D$58*'Escala Docente'!D301)</f>
        <v>21.73</v>
      </c>
      <c r="AH301" s="92">
        <f>IF(Valores!$D$60*D301&gt;Valores!$F$60,Valores!$F$60,Valores!$D$60*D301)</f>
        <v>6.21</v>
      </c>
      <c r="AI301" s="116">
        <f t="shared" si="57"/>
        <v>1123.964</v>
      </c>
      <c r="AJ301" s="108">
        <f>IF(Valores!$C$36*D301&gt;Valores!$F$36,Valores!$F$36,Valores!$C$36*D301)</f>
        <v>39.95</v>
      </c>
      <c r="AK301" s="95">
        <f>IF(Valores!$C$11*D301&gt;Valores!$F$11,Valores!$F$11,Valores!$C$11*D301)</f>
        <v>0</v>
      </c>
      <c r="AL301" s="95">
        <f>IF(Valores!$C$84*D301&gt;Valores!$C$83,Valores!$C$83,Valores!$C$84*D301)</f>
        <v>65</v>
      </c>
      <c r="AM301" s="97">
        <f>IF(Valores!$C$57*D301&gt;Valores!$F$57,Valores!$F$57,Valores!$C$57*D301)</f>
        <v>9.1</v>
      </c>
      <c r="AN301" s="99">
        <f t="shared" si="58"/>
        <v>104.95</v>
      </c>
      <c r="AO301" s="117">
        <f>AI301*-Valores!$C$65</f>
        <v>-146.11532</v>
      </c>
      <c r="AP301" s="117">
        <f>AI301*-Valores!$C$66</f>
        <v>-5.61982</v>
      </c>
      <c r="AQ301" s="94">
        <f>AI301*-Valores!$C$67</f>
        <v>-50.578379999999996</v>
      </c>
      <c r="AR301" s="94">
        <f>AI301*-Valores!$C$68</f>
        <v>-30.347027999999998</v>
      </c>
      <c r="AS301" s="94">
        <f>AI301*-Valores!$C$69</f>
        <v>-3.371892</v>
      </c>
      <c r="AT301" s="98">
        <f t="shared" si="54"/>
        <v>1026.60048</v>
      </c>
      <c r="AU301" s="98">
        <f t="shared" si="55"/>
        <v>1043.4599400000004</v>
      </c>
      <c r="AV301" s="94">
        <f>AI301*Valores!$C$71</f>
        <v>179.83424</v>
      </c>
      <c r="AW301" s="94">
        <f>AI301*Valores!$C$72</f>
        <v>50.578379999999996</v>
      </c>
      <c r="AX301" s="94">
        <f>AI301*Valores!$C$73</f>
        <v>11.23964</v>
      </c>
      <c r="AY301" s="94">
        <f>AI301*Valores!$C$75</f>
        <v>39.33874</v>
      </c>
      <c r="AZ301" s="94">
        <f>AI301*Valores!$C$76</f>
        <v>6.743784</v>
      </c>
      <c r="BA301" s="94">
        <f t="shared" si="59"/>
        <v>60.694056</v>
      </c>
      <c r="BB301" s="86"/>
      <c r="BC301" s="86">
        <f t="shared" si="60"/>
        <v>4</v>
      </c>
      <c r="BD301" s="87" t="s">
        <v>4</v>
      </c>
    </row>
    <row r="302" spans="1:56" s="28" customFormat="1" ht="11.25" customHeight="1">
      <c r="A302" s="52">
        <v>301</v>
      </c>
      <c r="B302" s="52"/>
      <c r="C302" s="28" t="s">
        <v>525</v>
      </c>
      <c r="E302" s="28">
        <f t="shared" si="51"/>
        <v>32</v>
      </c>
      <c r="F302" s="72" t="s">
        <v>526</v>
      </c>
      <c r="G302" s="127">
        <v>220</v>
      </c>
      <c r="H302" s="74">
        <f>INT((G302*Valores!$C$2*100)+0.5)/100</f>
        <v>1459.13</v>
      </c>
      <c r="I302" s="113">
        <v>0</v>
      </c>
      <c r="J302" s="76">
        <f>INT((I302*Valores!$C$2*100)+0.5)/100</f>
        <v>0</v>
      </c>
      <c r="K302" s="103">
        <v>0</v>
      </c>
      <c r="L302" s="76">
        <f>INT((K302*Valores!$C$2*100)+0.5)/100</f>
        <v>0</v>
      </c>
      <c r="M302" s="101">
        <v>0</v>
      </c>
      <c r="N302" s="76">
        <f>INT((M302*Valores!$C$2*100)+0.5)/100</f>
        <v>0</v>
      </c>
      <c r="O302" s="76">
        <f t="shared" si="52"/>
        <v>0</v>
      </c>
      <c r="P302" s="76">
        <f t="shared" si="53"/>
        <v>0</v>
      </c>
      <c r="Q302" s="102">
        <v>0</v>
      </c>
      <c r="R302" s="102">
        <v>0</v>
      </c>
      <c r="S302" s="76">
        <v>0</v>
      </c>
      <c r="T302" s="79">
        <f>Valores!C46</f>
        <v>122.62</v>
      </c>
      <c r="U302" s="102">
        <v>0</v>
      </c>
      <c r="V302" s="76">
        <f aca="true" t="shared" si="62" ref="V302:V327">U302*(1+$J$2)</f>
        <v>0</v>
      </c>
      <c r="W302" s="76">
        <v>0</v>
      </c>
      <c r="X302" s="76">
        <v>0</v>
      </c>
      <c r="Y302" s="119">
        <v>0</v>
      </c>
      <c r="Z302" s="76">
        <v>0</v>
      </c>
      <c r="AA302" s="76">
        <v>0</v>
      </c>
      <c r="AB302" s="81">
        <v>0</v>
      </c>
      <c r="AC302" s="76">
        <f t="shared" si="56"/>
        <v>0</v>
      </c>
      <c r="AD302" s="76">
        <v>0</v>
      </c>
      <c r="AE302" s="80">
        <v>0</v>
      </c>
      <c r="AF302" s="76">
        <f>INT(((AE302*Valores!$C$2)*100)+0.5)/100</f>
        <v>0</v>
      </c>
      <c r="AG302" s="76">
        <f>Valores!C59</f>
        <v>43.45</v>
      </c>
      <c r="AH302" s="76">
        <f>Valores!C61</f>
        <v>12.41</v>
      </c>
      <c r="AI302" s="115">
        <f t="shared" si="57"/>
        <v>1637.6100000000001</v>
      </c>
      <c r="AJ302" s="115"/>
      <c r="AK302" s="79">
        <f>Valores!C12</f>
        <v>0</v>
      </c>
      <c r="AL302" s="79">
        <f>Valores!$C$85</f>
        <v>130</v>
      </c>
      <c r="AM302" s="81">
        <v>0</v>
      </c>
      <c r="AN302" s="83">
        <f t="shared" si="58"/>
        <v>130</v>
      </c>
      <c r="AO302" s="62">
        <f>AI302*-Valores!$C$65</f>
        <v>-212.88930000000002</v>
      </c>
      <c r="AP302" s="62">
        <f>AI302*-Valores!$C$66</f>
        <v>-8.18805</v>
      </c>
      <c r="AQ302" s="78">
        <f>AI302*-Valores!$C$67</f>
        <v>-73.69245000000001</v>
      </c>
      <c r="AR302" s="78">
        <f>AI302*-Valores!$C$68</f>
        <v>-44.21547</v>
      </c>
      <c r="AS302" s="78">
        <f>AI302*-Valores!$C$69</f>
        <v>-4.9128300000000005</v>
      </c>
      <c r="AT302" s="82">
        <f t="shared" si="54"/>
        <v>1472.8402</v>
      </c>
      <c r="AU302" s="82">
        <f t="shared" si="55"/>
        <v>1497.40435</v>
      </c>
      <c r="AV302" s="78">
        <f>AI302*Valores!$C$71</f>
        <v>262.0176</v>
      </c>
      <c r="AW302" s="78">
        <f>AI302*Valores!$C$72</f>
        <v>73.69245000000001</v>
      </c>
      <c r="AX302" s="78">
        <f>AI302*Valores!$C$73</f>
        <v>16.3761</v>
      </c>
      <c r="AY302" s="78">
        <f>AI302*Valores!$C$75</f>
        <v>57.31635000000001</v>
      </c>
      <c r="AZ302" s="78">
        <f>AI302*Valores!$C$76</f>
        <v>9.825660000000001</v>
      </c>
      <c r="BA302" s="78">
        <f t="shared" si="59"/>
        <v>88.43094</v>
      </c>
      <c r="BB302" s="52"/>
      <c r="BC302" s="52"/>
      <c r="BD302" s="28" t="s">
        <v>4</v>
      </c>
    </row>
    <row r="303" spans="1:56" ht="11.25" customHeight="1">
      <c r="A303" s="52">
        <v>302</v>
      </c>
      <c r="B303" s="52"/>
      <c r="C303" s="128"/>
      <c r="D303" s="129">
        <v>1</v>
      </c>
      <c r="E303" s="129">
        <f t="shared" si="51"/>
        <v>28</v>
      </c>
      <c r="F303" s="54" t="s">
        <v>527</v>
      </c>
      <c r="G303" s="127">
        <v>700</v>
      </c>
      <c r="H303" s="74">
        <f>INT((G303*Valores!$C$2*100)+0.5)/100</f>
        <v>4642.68</v>
      </c>
      <c r="I303" s="113">
        <v>0</v>
      </c>
      <c r="J303" s="76">
        <f>INT((I303*Valores!$C$2*100)+0.5)/100</f>
        <v>0</v>
      </c>
      <c r="K303" s="103">
        <v>0</v>
      </c>
      <c r="L303" s="76">
        <f>INT((K303*Valores!$C$2*100)+0.5)/100</f>
        <v>0</v>
      </c>
      <c r="M303" s="101">
        <v>0</v>
      </c>
      <c r="N303" s="76">
        <f>INT((M303*Valores!$C$2*100)+0.5)/100</f>
        <v>0</v>
      </c>
      <c r="O303" s="76">
        <f t="shared" si="52"/>
        <v>811.422</v>
      </c>
      <c r="P303" s="76">
        <f t="shared" si="53"/>
        <v>0</v>
      </c>
      <c r="Q303" s="102">
        <v>0</v>
      </c>
      <c r="R303" s="102">
        <v>0</v>
      </c>
      <c r="S303" s="76">
        <v>0</v>
      </c>
      <c r="T303" s="79">
        <f>Valores!$C$45*15</f>
        <v>766.8</v>
      </c>
      <c r="U303" s="102">
        <v>0</v>
      </c>
      <c r="V303" s="76">
        <f t="shared" si="62"/>
        <v>0</v>
      </c>
      <c r="W303" s="76">
        <v>0</v>
      </c>
      <c r="X303" s="76">
        <v>0</v>
      </c>
      <c r="Y303" s="119">
        <v>0</v>
      </c>
      <c r="Z303" s="76">
        <v>0</v>
      </c>
      <c r="AA303" s="76">
        <v>0</v>
      </c>
      <c r="AB303" s="81">
        <v>0</v>
      </c>
      <c r="AC303" s="76">
        <f t="shared" si="56"/>
        <v>0</v>
      </c>
      <c r="AD303" s="76">
        <v>0</v>
      </c>
      <c r="AE303" s="80">
        <v>0</v>
      </c>
      <c r="AF303" s="76">
        <f>INT(((AE303*Valores!$C$2)*100)+0.5)/100</f>
        <v>0</v>
      </c>
      <c r="AG303" s="76"/>
      <c r="AH303" s="76"/>
      <c r="AI303" s="115">
        <f t="shared" si="57"/>
        <v>6220.902000000001</v>
      </c>
      <c r="AJ303" s="115"/>
      <c r="AK303" s="79">
        <f>Valores!$C$11*15</f>
        <v>0</v>
      </c>
      <c r="AL303" s="79">
        <v>0</v>
      </c>
      <c r="AM303" s="81">
        <v>0</v>
      </c>
      <c r="AN303" s="83">
        <f t="shared" si="58"/>
        <v>0</v>
      </c>
      <c r="AO303" s="62">
        <f>AI303*-Valores!$C$65</f>
        <v>-808.7172600000001</v>
      </c>
      <c r="AP303" s="62">
        <f>AI303*-Valores!$C$66</f>
        <v>-31.104510000000005</v>
      </c>
      <c r="AQ303" s="78">
        <f>AI303*-Valores!$C$67</f>
        <v>-279.94059000000004</v>
      </c>
      <c r="AR303" s="78">
        <f>AI303*-Valores!$C$68</f>
        <v>-167.96435400000001</v>
      </c>
      <c r="AS303" s="78">
        <f>AI303*-Valores!$C$69</f>
        <v>-18.662706000000004</v>
      </c>
      <c r="AT303" s="82">
        <f t="shared" si="54"/>
        <v>5101.13964</v>
      </c>
      <c r="AU303" s="82">
        <f t="shared" si="55"/>
        <v>5194.453170000001</v>
      </c>
      <c r="AV303" s="78">
        <f>AI303*Valores!$C$71</f>
        <v>995.3443200000002</v>
      </c>
      <c r="AW303" s="78">
        <f>AI303*Valores!$C$72</f>
        <v>279.94059000000004</v>
      </c>
      <c r="AX303" s="78">
        <f>AI303*Valores!$C$73</f>
        <v>62.20902000000001</v>
      </c>
      <c r="AY303" s="78">
        <f>AI303*Valores!$C$75</f>
        <v>217.73157000000006</v>
      </c>
      <c r="AZ303" s="78">
        <f>AI303*Valores!$C$76</f>
        <v>37.32541200000001</v>
      </c>
      <c r="BA303" s="78">
        <f t="shared" si="59"/>
        <v>335.92870800000003</v>
      </c>
      <c r="BD303" s="28" t="s">
        <v>4</v>
      </c>
    </row>
    <row r="304" spans="1:56" ht="11.25" customHeight="1">
      <c r="A304" s="52">
        <v>303</v>
      </c>
      <c r="B304" s="52"/>
      <c r="C304" s="16"/>
      <c r="D304" s="129">
        <v>1</v>
      </c>
      <c r="E304" s="129">
        <f t="shared" si="51"/>
        <v>28</v>
      </c>
      <c r="F304" s="54" t="s">
        <v>528</v>
      </c>
      <c r="G304" s="127">
        <v>500</v>
      </c>
      <c r="H304" s="74">
        <f>INT((G304*Valores!$C$2*100)+0.5)/100</f>
        <v>3316.2</v>
      </c>
      <c r="I304" s="113">
        <v>0</v>
      </c>
      <c r="J304" s="76">
        <f>INT((I304*Valores!$C$2*100)+0.5)/100</f>
        <v>0</v>
      </c>
      <c r="K304" s="103">
        <v>0</v>
      </c>
      <c r="L304" s="76">
        <f>INT((K304*Valores!$C$2*100)+0.5)/100</f>
        <v>0</v>
      </c>
      <c r="M304" s="101">
        <v>0</v>
      </c>
      <c r="N304" s="76">
        <f>INT((M304*Valores!$C$2*100)+0.5)/100</f>
        <v>0</v>
      </c>
      <c r="O304" s="76">
        <f t="shared" si="52"/>
        <v>574.1099999999999</v>
      </c>
      <c r="P304" s="76">
        <f t="shared" si="53"/>
        <v>0</v>
      </c>
      <c r="Q304" s="102">
        <v>0</v>
      </c>
      <c r="R304" s="102">
        <v>0</v>
      </c>
      <c r="S304" s="76">
        <v>0</v>
      </c>
      <c r="T304" s="79">
        <f>Valores!$C$45*10</f>
        <v>511.2</v>
      </c>
      <c r="U304" s="79">
        <v>0</v>
      </c>
      <c r="V304" s="76">
        <f t="shared" si="62"/>
        <v>0</v>
      </c>
      <c r="W304" s="76">
        <v>0</v>
      </c>
      <c r="X304" s="76">
        <v>0</v>
      </c>
      <c r="Y304" s="119">
        <v>0</v>
      </c>
      <c r="Z304" s="76">
        <v>0</v>
      </c>
      <c r="AA304" s="76">
        <v>0</v>
      </c>
      <c r="AB304" s="81">
        <v>0</v>
      </c>
      <c r="AC304" s="76">
        <f t="shared" si="56"/>
        <v>0</v>
      </c>
      <c r="AD304" s="76">
        <v>0</v>
      </c>
      <c r="AE304" s="80">
        <v>0</v>
      </c>
      <c r="AF304" s="76">
        <f>INT(((AE304*Valores!$C$2)*100)+0.5)/100</f>
        <v>0</v>
      </c>
      <c r="AG304" s="76"/>
      <c r="AH304" s="76"/>
      <c r="AI304" s="115">
        <f t="shared" si="57"/>
        <v>4401.509999999999</v>
      </c>
      <c r="AJ304" s="115"/>
      <c r="AK304" s="79">
        <f>Valores!$C$11*10</f>
        <v>0</v>
      </c>
      <c r="AL304" s="79">
        <v>0</v>
      </c>
      <c r="AM304" s="81">
        <v>0</v>
      </c>
      <c r="AN304" s="83">
        <f t="shared" si="58"/>
        <v>0</v>
      </c>
      <c r="AO304" s="62">
        <f>AI304*-Valores!$C$65</f>
        <v>-572.1963</v>
      </c>
      <c r="AP304" s="62">
        <f>AI304*-Valores!$C$66</f>
        <v>-22.00755</v>
      </c>
      <c r="AQ304" s="78">
        <f>AI304*-Valores!$C$67</f>
        <v>-198.06794999999997</v>
      </c>
      <c r="AR304" s="78">
        <f>AI304*-Valores!$C$68</f>
        <v>-118.84076999999998</v>
      </c>
      <c r="AS304" s="78">
        <f>AI304*-Valores!$C$69</f>
        <v>-13.204529999999998</v>
      </c>
      <c r="AT304" s="82">
        <f t="shared" si="54"/>
        <v>3609.2381999999993</v>
      </c>
      <c r="AU304" s="82">
        <f t="shared" si="55"/>
        <v>3675.260849999999</v>
      </c>
      <c r="AV304" s="78">
        <f>AI304*Valores!$C$71</f>
        <v>704.2416</v>
      </c>
      <c r="AW304" s="78">
        <f>AI304*Valores!$C$72</f>
        <v>198.06794999999997</v>
      </c>
      <c r="AX304" s="78">
        <f>AI304*Valores!$C$73</f>
        <v>44.0151</v>
      </c>
      <c r="AY304" s="78">
        <f>AI304*Valores!$C$75</f>
        <v>154.05284999999998</v>
      </c>
      <c r="AZ304" s="78">
        <f>AI304*Valores!$C$76</f>
        <v>26.409059999999997</v>
      </c>
      <c r="BA304" s="78">
        <f t="shared" si="59"/>
        <v>237.68153999999998</v>
      </c>
      <c r="BC304" s="130"/>
      <c r="BD304" s="28" t="s">
        <v>4</v>
      </c>
    </row>
    <row r="305" spans="1:56" ht="11.25" customHeight="1">
      <c r="A305" s="52">
        <v>304</v>
      </c>
      <c r="B305" s="52"/>
      <c r="D305" s="129">
        <v>1</v>
      </c>
      <c r="E305" s="129">
        <f t="shared" si="51"/>
        <v>28</v>
      </c>
      <c r="F305" s="54" t="s">
        <v>529</v>
      </c>
      <c r="G305" s="127">
        <v>300</v>
      </c>
      <c r="H305" s="74">
        <f>INT((G305*Valores!$C$2*100)+0.5)/100</f>
        <v>1989.72</v>
      </c>
      <c r="I305" s="113">
        <v>0</v>
      </c>
      <c r="J305" s="76">
        <f>INT((I305*Valores!$C$2*100)+0.5)/100</f>
        <v>0</v>
      </c>
      <c r="K305" s="103">
        <v>0</v>
      </c>
      <c r="L305" s="76">
        <f>INT((K305*Valores!$C$2*100)+0.5)/100</f>
        <v>0</v>
      </c>
      <c r="M305" s="101">
        <v>0</v>
      </c>
      <c r="N305" s="76">
        <f>INT((M305*Valores!$C$2*100)+0.5)/100</f>
        <v>0</v>
      </c>
      <c r="O305" s="76">
        <f t="shared" si="52"/>
        <v>336.798</v>
      </c>
      <c r="P305" s="76">
        <f t="shared" si="53"/>
        <v>0</v>
      </c>
      <c r="Q305" s="102">
        <v>0</v>
      </c>
      <c r="R305" s="102">
        <v>0</v>
      </c>
      <c r="S305" s="76">
        <v>0</v>
      </c>
      <c r="T305" s="79">
        <f>Valores!$C$45*5</f>
        <v>255.6</v>
      </c>
      <c r="U305" s="102">
        <v>0</v>
      </c>
      <c r="V305" s="76">
        <f t="shared" si="62"/>
        <v>0</v>
      </c>
      <c r="W305" s="76">
        <v>0</v>
      </c>
      <c r="X305" s="76">
        <v>0</v>
      </c>
      <c r="Y305" s="119">
        <v>0</v>
      </c>
      <c r="Z305" s="76">
        <v>0</v>
      </c>
      <c r="AA305" s="76">
        <v>0</v>
      </c>
      <c r="AB305" s="81">
        <v>0</v>
      </c>
      <c r="AC305" s="76">
        <f t="shared" si="56"/>
        <v>0</v>
      </c>
      <c r="AD305" s="76">
        <v>0</v>
      </c>
      <c r="AE305" s="80">
        <v>0</v>
      </c>
      <c r="AF305" s="76">
        <f>INT(((AE305*Valores!$C$2)*100)+0.5)/100</f>
        <v>0</v>
      </c>
      <c r="AG305" s="76"/>
      <c r="AH305" s="76"/>
      <c r="AI305" s="115">
        <f t="shared" si="57"/>
        <v>2582.118</v>
      </c>
      <c r="AJ305" s="115"/>
      <c r="AK305" s="79">
        <f>Valores!$C$11*5</f>
        <v>0</v>
      </c>
      <c r="AL305" s="79">
        <v>0</v>
      </c>
      <c r="AM305" s="81">
        <v>0</v>
      </c>
      <c r="AN305" s="83">
        <f t="shared" si="58"/>
        <v>0</v>
      </c>
      <c r="AO305" s="62">
        <f>AI305*-Valores!$C$65</f>
        <v>-335.67534</v>
      </c>
      <c r="AP305" s="62">
        <f>AI305*-Valores!$C$66</f>
        <v>-12.91059</v>
      </c>
      <c r="AQ305" s="78">
        <f>AI305*-Valores!$C$67</f>
        <v>-116.19530999999999</v>
      </c>
      <c r="AR305" s="78">
        <f>AI305*-Valores!$C$68</f>
        <v>-69.717186</v>
      </c>
      <c r="AS305" s="78">
        <f>AI305*-Valores!$C$69</f>
        <v>-7.746354</v>
      </c>
      <c r="AT305" s="82">
        <f t="shared" si="54"/>
        <v>2117.33676</v>
      </c>
      <c r="AU305" s="82">
        <f t="shared" si="55"/>
        <v>2156.0685300000005</v>
      </c>
      <c r="AV305" s="78">
        <f>AI305*Valores!$C$71</f>
        <v>413.13888</v>
      </c>
      <c r="AW305" s="78">
        <f>AI305*Valores!$C$72</f>
        <v>116.19530999999999</v>
      </c>
      <c r="AX305" s="78">
        <f>AI305*Valores!$C$73</f>
        <v>25.82118</v>
      </c>
      <c r="AY305" s="78">
        <f>AI305*Valores!$C$75</f>
        <v>90.37413000000001</v>
      </c>
      <c r="AZ305" s="78">
        <f>AI305*Valores!$C$76</f>
        <v>15.492708</v>
      </c>
      <c r="BA305" s="78">
        <f t="shared" si="59"/>
        <v>139.434372</v>
      </c>
      <c r="BD305" s="28" t="s">
        <v>4</v>
      </c>
    </row>
    <row r="306" spans="1:56" ht="11.25" customHeight="1">
      <c r="A306" s="86">
        <v>305</v>
      </c>
      <c r="B306" s="86" t="s">
        <v>163</v>
      </c>
      <c r="C306" s="130"/>
      <c r="D306" s="131">
        <v>1</v>
      </c>
      <c r="E306" s="131">
        <f t="shared" si="51"/>
        <v>25</v>
      </c>
      <c r="F306" s="132" t="s">
        <v>530</v>
      </c>
      <c r="G306" s="133">
        <v>155</v>
      </c>
      <c r="H306" s="90">
        <f>INT((G306*Valores!$C$2*100)+0.5)/100</f>
        <v>1028.02</v>
      </c>
      <c r="I306" s="104">
        <v>0</v>
      </c>
      <c r="J306" s="92">
        <f>INT((I306*Valores!$C$2*100)+0.5)/100</f>
        <v>0</v>
      </c>
      <c r="K306" s="105">
        <v>0</v>
      </c>
      <c r="L306" s="92">
        <f>INT((K306*Valores!$C$2*100)+0.5)/100</f>
        <v>0</v>
      </c>
      <c r="M306" s="106">
        <v>0</v>
      </c>
      <c r="N306" s="92">
        <f>INT((M306*Valores!$C$2*100)+0.5)/100</f>
        <v>0</v>
      </c>
      <c r="O306" s="92">
        <f t="shared" si="52"/>
        <v>161.87099999999998</v>
      </c>
      <c r="P306" s="92">
        <f t="shared" si="53"/>
        <v>0</v>
      </c>
      <c r="Q306" s="108">
        <v>0</v>
      </c>
      <c r="R306" s="108">
        <v>0</v>
      </c>
      <c r="S306" s="92">
        <v>0</v>
      </c>
      <c r="T306" s="95">
        <f>Valores!$C$45</f>
        <v>51.12</v>
      </c>
      <c r="U306" s="108">
        <v>0</v>
      </c>
      <c r="V306" s="92">
        <f t="shared" si="62"/>
        <v>0</v>
      </c>
      <c r="W306" s="92">
        <v>0</v>
      </c>
      <c r="X306" s="92">
        <v>0</v>
      </c>
      <c r="Y306" s="120">
        <v>0</v>
      </c>
      <c r="Z306" s="92">
        <v>0</v>
      </c>
      <c r="AA306" s="92">
        <v>0</v>
      </c>
      <c r="AB306" s="97">
        <v>0</v>
      </c>
      <c r="AC306" s="92">
        <f t="shared" si="56"/>
        <v>0</v>
      </c>
      <c r="AD306" s="92">
        <v>0</v>
      </c>
      <c r="AE306" s="96">
        <v>0</v>
      </c>
      <c r="AF306" s="92">
        <f>INT(((AE306*Valores!$C$2)*100)+0.5)/100</f>
        <v>0</v>
      </c>
      <c r="AG306" s="92"/>
      <c r="AH306" s="92"/>
      <c r="AI306" s="116">
        <f t="shared" si="57"/>
        <v>1241.011</v>
      </c>
      <c r="AJ306" s="116"/>
      <c r="AK306" s="95">
        <f>Valores!$C$11*1</f>
        <v>0</v>
      </c>
      <c r="AL306" s="95">
        <v>0</v>
      </c>
      <c r="AM306" s="97">
        <v>0</v>
      </c>
      <c r="AN306" s="99">
        <f t="shared" si="58"/>
        <v>0</v>
      </c>
      <c r="AO306" s="117">
        <f>AI306*-Valores!$C$65</f>
        <v>-161.33143</v>
      </c>
      <c r="AP306" s="117">
        <f>AI306*-Valores!$C$66</f>
        <v>-6.205055</v>
      </c>
      <c r="AQ306" s="94">
        <f>AI306*-Valores!$C$67</f>
        <v>-55.845495</v>
      </c>
      <c r="AR306" s="94">
        <f>AI306*-Valores!$C$68</f>
        <v>-33.507297</v>
      </c>
      <c r="AS306" s="94">
        <f>AI306*-Valores!$C$69</f>
        <v>-3.723033</v>
      </c>
      <c r="AT306" s="98">
        <f t="shared" si="54"/>
        <v>1017.6290200000001</v>
      </c>
      <c r="AU306" s="98">
        <f t="shared" si="55"/>
        <v>1036.244185</v>
      </c>
      <c r="AV306" s="94">
        <f>AI306*Valores!$C$71</f>
        <v>198.56176</v>
      </c>
      <c r="AW306" s="94">
        <f>AI306*Valores!$C$72</f>
        <v>55.845495</v>
      </c>
      <c r="AX306" s="94">
        <f>AI306*Valores!$C$73</f>
        <v>12.41011</v>
      </c>
      <c r="AY306" s="94">
        <f>AI306*Valores!$C$75</f>
        <v>43.435385000000004</v>
      </c>
      <c r="AZ306" s="94">
        <f>AI306*Valores!$C$76</f>
        <v>7.446066</v>
      </c>
      <c r="BA306" s="94">
        <f t="shared" si="59"/>
        <v>67.014594</v>
      </c>
      <c r="BB306" s="130"/>
      <c r="BC306" s="130"/>
      <c r="BD306" s="87"/>
    </row>
    <row r="307" spans="1:53" ht="11.25" customHeight="1">
      <c r="A307" s="52">
        <v>306</v>
      </c>
      <c r="B307" s="52"/>
      <c r="D307" s="129">
        <v>1</v>
      </c>
      <c r="E307" s="129">
        <f t="shared" si="51"/>
        <v>26</v>
      </c>
      <c r="F307" s="54" t="s">
        <v>531</v>
      </c>
      <c r="G307" s="127">
        <f aca="true" t="shared" si="63" ref="G307:G321">155+G306</f>
        <v>310</v>
      </c>
      <c r="H307" s="74">
        <f>INT((G307*Valores!$C$2*100)+0.5)/100</f>
        <v>2056.04</v>
      </c>
      <c r="I307" s="113">
        <v>0</v>
      </c>
      <c r="J307" s="76">
        <f>INT((I307*Valores!$C$2*100)+0.5)/100</f>
        <v>0</v>
      </c>
      <c r="K307" s="103">
        <v>0</v>
      </c>
      <c r="L307" s="76">
        <f>INT((K307*Valores!$C$2*100)+0.5)/100</f>
        <v>0</v>
      </c>
      <c r="M307" s="101">
        <v>0</v>
      </c>
      <c r="N307" s="76">
        <f>INT((M307*Valores!$C$2*100)+0.5)/100</f>
        <v>0</v>
      </c>
      <c r="O307" s="76">
        <f t="shared" si="52"/>
        <v>323.74199999999996</v>
      </c>
      <c r="P307" s="76">
        <f t="shared" si="53"/>
        <v>0</v>
      </c>
      <c r="Q307" s="102">
        <v>0</v>
      </c>
      <c r="R307" s="102">
        <v>0</v>
      </c>
      <c r="S307" s="76">
        <v>0</v>
      </c>
      <c r="T307" s="79">
        <f>Valores!$C$45+T306</f>
        <v>102.24</v>
      </c>
      <c r="U307" s="102">
        <v>0</v>
      </c>
      <c r="V307" s="76">
        <f t="shared" si="62"/>
        <v>0</v>
      </c>
      <c r="W307" s="76">
        <v>0</v>
      </c>
      <c r="X307" s="76">
        <v>0</v>
      </c>
      <c r="Y307" s="119">
        <v>0</v>
      </c>
      <c r="Z307" s="76">
        <v>0</v>
      </c>
      <c r="AA307" s="76">
        <v>0</v>
      </c>
      <c r="AB307" s="81">
        <v>0</v>
      </c>
      <c r="AC307" s="76">
        <f t="shared" si="56"/>
        <v>0</v>
      </c>
      <c r="AD307" s="76">
        <v>0</v>
      </c>
      <c r="AE307" s="80">
        <v>0</v>
      </c>
      <c r="AF307" s="76">
        <f>INT(((AE307*Valores!$C$2)*100)+0.5)/100</f>
        <v>0</v>
      </c>
      <c r="AG307" s="76"/>
      <c r="AH307" s="76"/>
      <c r="AI307" s="115">
        <f t="shared" si="57"/>
        <v>2482.022</v>
      </c>
      <c r="AJ307" s="115"/>
      <c r="AK307" s="79">
        <f>Valores!$C$11+AK306</f>
        <v>0</v>
      </c>
      <c r="AL307" s="79">
        <v>0</v>
      </c>
      <c r="AM307" s="81">
        <v>0</v>
      </c>
      <c r="AN307" s="83">
        <f t="shared" si="58"/>
        <v>0</v>
      </c>
      <c r="AO307" s="62">
        <f>AI307*-Valores!$C$65</f>
        <v>-322.66286</v>
      </c>
      <c r="AP307" s="62">
        <f>AI307*-Valores!$C$66</f>
        <v>-12.41011</v>
      </c>
      <c r="AQ307" s="78">
        <f>AI307*-Valores!$C$67</f>
        <v>-111.69099</v>
      </c>
      <c r="AR307" s="78">
        <f>AI307*-Valores!$C$68</f>
        <v>-67.014594</v>
      </c>
      <c r="AS307" s="78">
        <f>AI307*-Valores!$C$69</f>
        <v>-7.446066</v>
      </c>
      <c r="AT307" s="82">
        <f t="shared" si="54"/>
        <v>2035.2580400000002</v>
      </c>
      <c r="AU307" s="82">
        <f t="shared" si="55"/>
        <v>2072.48837</v>
      </c>
      <c r="AV307" s="78">
        <f>AI307*Valores!$C$71</f>
        <v>397.12352</v>
      </c>
      <c r="AW307" s="78">
        <f>AI307*Valores!$C$72</f>
        <v>111.69099</v>
      </c>
      <c r="AX307" s="78">
        <f>AI307*Valores!$C$73</f>
        <v>24.82022</v>
      </c>
      <c r="AY307" s="78">
        <f>AI307*Valores!$C$75</f>
        <v>86.87077000000001</v>
      </c>
      <c r="AZ307" s="78">
        <f>AI307*Valores!$C$76</f>
        <v>14.892132</v>
      </c>
      <c r="BA307" s="78">
        <f t="shared" si="59"/>
        <v>134.029188</v>
      </c>
    </row>
    <row r="308" spans="1:53" ht="11.25" customHeight="1">
      <c r="A308" s="52">
        <v>307</v>
      </c>
      <c r="B308" s="52"/>
      <c r="D308" s="129">
        <v>1</v>
      </c>
      <c r="E308" s="129">
        <f t="shared" si="51"/>
        <v>26</v>
      </c>
      <c r="F308" s="54" t="s">
        <v>532</v>
      </c>
      <c r="G308" s="127">
        <f t="shared" si="63"/>
        <v>465</v>
      </c>
      <c r="H308" s="74">
        <f>INT((G308*Valores!$C$2*100)+0.5)/100</f>
        <v>3084.07</v>
      </c>
      <c r="I308" s="113">
        <v>0</v>
      </c>
      <c r="J308" s="76">
        <f>INT((I308*Valores!$C$2*100)+0.5)/100</f>
        <v>0</v>
      </c>
      <c r="K308" s="103">
        <v>0</v>
      </c>
      <c r="L308" s="76">
        <f>INT((K308*Valores!$C$2*100)+0.5)/100</f>
        <v>0</v>
      </c>
      <c r="M308" s="101">
        <v>0</v>
      </c>
      <c r="N308" s="76">
        <f>INT((M308*Valores!$C$2*100)+0.5)/100</f>
        <v>0</v>
      </c>
      <c r="O308" s="76">
        <f t="shared" si="52"/>
        <v>485.6145</v>
      </c>
      <c r="P308" s="76">
        <f t="shared" si="53"/>
        <v>0</v>
      </c>
      <c r="Q308" s="102">
        <v>0</v>
      </c>
      <c r="R308" s="102">
        <v>0</v>
      </c>
      <c r="S308" s="76">
        <v>0</v>
      </c>
      <c r="T308" s="79">
        <f>Valores!$C$45+T307</f>
        <v>153.35999999999999</v>
      </c>
      <c r="U308" s="102">
        <v>0</v>
      </c>
      <c r="V308" s="76">
        <f t="shared" si="62"/>
        <v>0</v>
      </c>
      <c r="W308" s="76">
        <v>0</v>
      </c>
      <c r="X308" s="76">
        <v>0</v>
      </c>
      <c r="Y308" s="119">
        <v>0</v>
      </c>
      <c r="Z308" s="76">
        <v>0</v>
      </c>
      <c r="AA308" s="76">
        <v>0</v>
      </c>
      <c r="AB308" s="81">
        <v>0</v>
      </c>
      <c r="AC308" s="76">
        <f t="shared" si="56"/>
        <v>0</v>
      </c>
      <c r="AD308" s="76">
        <v>0</v>
      </c>
      <c r="AE308" s="80">
        <v>0</v>
      </c>
      <c r="AF308" s="76">
        <f>INT(((AE308*Valores!$C$2)*100)+0.5)/100</f>
        <v>0</v>
      </c>
      <c r="AG308" s="76"/>
      <c r="AH308" s="76"/>
      <c r="AI308" s="115">
        <f t="shared" si="57"/>
        <v>3723.0445000000004</v>
      </c>
      <c r="AJ308" s="115"/>
      <c r="AK308" s="79">
        <f>Valores!$C$11+AK307</f>
        <v>0</v>
      </c>
      <c r="AL308" s="79">
        <v>0</v>
      </c>
      <c r="AM308" s="81">
        <v>0</v>
      </c>
      <c r="AN308" s="83">
        <f t="shared" si="58"/>
        <v>0</v>
      </c>
      <c r="AO308" s="62">
        <f>AI308*-Valores!$C$65</f>
        <v>-483.99578500000007</v>
      </c>
      <c r="AP308" s="62">
        <f>AI308*-Valores!$C$66</f>
        <v>-18.6152225</v>
      </c>
      <c r="AQ308" s="78">
        <f>AI308*-Valores!$C$67</f>
        <v>-167.5370025</v>
      </c>
      <c r="AR308" s="78">
        <f>AI308*-Valores!$C$68</f>
        <v>-100.52220150000001</v>
      </c>
      <c r="AS308" s="78">
        <f>AI308*-Valores!$C$69</f>
        <v>-11.169133500000001</v>
      </c>
      <c r="AT308" s="82">
        <f t="shared" si="54"/>
        <v>3052.89649</v>
      </c>
      <c r="AU308" s="82">
        <f t="shared" si="55"/>
        <v>3108.7421575000003</v>
      </c>
      <c r="AV308" s="78">
        <f>AI308*Valores!$C$71</f>
        <v>595.68712</v>
      </c>
      <c r="AW308" s="78">
        <f>AI308*Valores!$C$72</f>
        <v>167.5370025</v>
      </c>
      <c r="AX308" s="78">
        <f>AI308*Valores!$C$73</f>
        <v>37.230445</v>
      </c>
      <c r="AY308" s="78">
        <f>AI308*Valores!$C$75</f>
        <v>130.30655750000003</v>
      </c>
      <c r="AZ308" s="78">
        <f>AI308*Valores!$C$76</f>
        <v>22.338267000000002</v>
      </c>
      <c r="BA308" s="78">
        <f t="shared" si="59"/>
        <v>201.04440300000002</v>
      </c>
    </row>
    <row r="309" spans="1:55" ht="11.25" customHeight="1">
      <c r="A309" s="52">
        <v>308</v>
      </c>
      <c r="B309" s="52"/>
      <c r="D309" s="129">
        <v>1</v>
      </c>
      <c r="E309" s="129">
        <f t="shared" si="51"/>
        <v>26</v>
      </c>
      <c r="F309" s="54" t="s">
        <v>533</v>
      </c>
      <c r="G309" s="127">
        <f t="shared" si="63"/>
        <v>620</v>
      </c>
      <c r="H309" s="74">
        <f>INT((G309*Valores!$C$2*100)+0.5)/100</f>
        <v>4112.09</v>
      </c>
      <c r="I309" s="113">
        <v>0</v>
      </c>
      <c r="J309" s="76">
        <f>INT((I309*Valores!$C$2*100)+0.5)/100</f>
        <v>0</v>
      </c>
      <c r="K309" s="103">
        <v>0</v>
      </c>
      <c r="L309" s="76">
        <f>INT((K309*Valores!$C$2*100)+0.5)/100</f>
        <v>0</v>
      </c>
      <c r="M309" s="101">
        <v>0</v>
      </c>
      <c r="N309" s="76">
        <f>INT((M309*Valores!$C$2*100)+0.5)/100</f>
        <v>0</v>
      </c>
      <c r="O309" s="76">
        <f t="shared" si="52"/>
        <v>647.4854999999999</v>
      </c>
      <c r="P309" s="76">
        <f t="shared" si="53"/>
        <v>0</v>
      </c>
      <c r="Q309" s="102">
        <v>0</v>
      </c>
      <c r="R309" s="102">
        <v>0</v>
      </c>
      <c r="S309" s="76">
        <v>0</v>
      </c>
      <c r="T309" s="79">
        <f>Valores!$C$45+T308</f>
        <v>204.48</v>
      </c>
      <c r="U309" s="79">
        <v>0</v>
      </c>
      <c r="V309" s="76">
        <f t="shared" si="62"/>
        <v>0</v>
      </c>
      <c r="W309" s="76">
        <v>0</v>
      </c>
      <c r="X309" s="76">
        <v>0</v>
      </c>
      <c r="Y309" s="119">
        <v>0</v>
      </c>
      <c r="Z309" s="76">
        <v>0</v>
      </c>
      <c r="AA309" s="76">
        <v>0</v>
      </c>
      <c r="AB309" s="81">
        <v>0</v>
      </c>
      <c r="AC309" s="76">
        <f t="shared" si="56"/>
        <v>0</v>
      </c>
      <c r="AD309" s="76">
        <v>0</v>
      </c>
      <c r="AE309" s="80">
        <v>0</v>
      </c>
      <c r="AF309" s="76">
        <f>INT(((AE309*Valores!$C$2)*100)+0.5)/100</f>
        <v>0</v>
      </c>
      <c r="AG309" s="76"/>
      <c r="AH309" s="76"/>
      <c r="AI309" s="115">
        <f t="shared" si="57"/>
        <v>4964.0554999999995</v>
      </c>
      <c r="AJ309" s="115"/>
      <c r="AK309" s="79">
        <f>Valores!$C$11+AK308</f>
        <v>0</v>
      </c>
      <c r="AL309" s="79">
        <v>0</v>
      </c>
      <c r="AM309" s="81">
        <v>0</v>
      </c>
      <c r="AN309" s="83">
        <f t="shared" si="58"/>
        <v>0</v>
      </c>
      <c r="AO309" s="62">
        <f>AI309*-Valores!$C$65</f>
        <v>-645.3272149999999</v>
      </c>
      <c r="AP309" s="62">
        <f>AI309*-Valores!$C$66</f>
        <v>-24.8202775</v>
      </c>
      <c r="AQ309" s="78">
        <f>AI309*-Valores!$C$67</f>
        <v>-223.38249749999997</v>
      </c>
      <c r="AR309" s="78">
        <f>AI309*-Valores!$C$68</f>
        <v>-134.0294985</v>
      </c>
      <c r="AS309" s="78">
        <f>AI309*-Valores!$C$69</f>
        <v>-14.892166499999998</v>
      </c>
      <c r="AT309" s="82">
        <f t="shared" si="54"/>
        <v>4070.52551</v>
      </c>
      <c r="AU309" s="82">
        <f t="shared" si="55"/>
        <v>4144.986342499999</v>
      </c>
      <c r="AV309" s="78">
        <f>AI309*Valores!$C$71</f>
        <v>794.24888</v>
      </c>
      <c r="AW309" s="78">
        <f>AI309*Valores!$C$72</f>
        <v>223.38249749999997</v>
      </c>
      <c r="AX309" s="78">
        <f>AI309*Valores!$C$73</f>
        <v>49.640555</v>
      </c>
      <c r="AY309" s="78">
        <f>AI309*Valores!$C$75</f>
        <v>173.7419425</v>
      </c>
      <c r="AZ309" s="78">
        <f>AI309*Valores!$C$76</f>
        <v>29.784332999999997</v>
      </c>
      <c r="BA309" s="78">
        <f t="shared" si="59"/>
        <v>268.058997</v>
      </c>
      <c r="BC309" s="130"/>
    </row>
    <row r="310" spans="1:53" ht="11.25" customHeight="1">
      <c r="A310" s="52">
        <v>309</v>
      </c>
      <c r="B310" s="52"/>
      <c r="D310" s="129">
        <v>1</v>
      </c>
      <c r="E310" s="129">
        <f t="shared" si="51"/>
        <v>26</v>
      </c>
      <c r="F310" s="54" t="s">
        <v>534</v>
      </c>
      <c r="G310" s="127">
        <f t="shared" si="63"/>
        <v>775</v>
      </c>
      <c r="H310" s="74">
        <f>INT((G310*Valores!$C$2*100)+0.5)/100</f>
        <v>5140.11</v>
      </c>
      <c r="I310" s="113">
        <v>0</v>
      </c>
      <c r="J310" s="76">
        <f>INT((I310*Valores!$C$2*100)+0.5)/100</f>
        <v>0</v>
      </c>
      <c r="K310" s="103">
        <v>0</v>
      </c>
      <c r="L310" s="76">
        <f>INT((K310*Valores!$C$2*100)+0.5)/100</f>
        <v>0</v>
      </c>
      <c r="M310" s="101">
        <v>0</v>
      </c>
      <c r="N310" s="76">
        <f>INT((M310*Valores!$C$2*100)+0.5)/100</f>
        <v>0</v>
      </c>
      <c r="O310" s="76">
        <f t="shared" si="52"/>
        <v>809.3565</v>
      </c>
      <c r="P310" s="76">
        <f t="shared" si="53"/>
        <v>0</v>
      </c>
      <c r="Q310" s="102">
        <v>0</v>
      </c>
      <c r="R310" s="102">
        <v>0</v>
      </c>
      <c r="S310" s="76">
        <v>0</v>
      </c>
      <c r="T310" s="79">
        <f>Valores!$C$45+T309</f>
        <v>255.6</v>
      </c>
      <c r="U310" s="102">
        <v>0</v>
      </c>
      <c r="V310" s="76">
        <f t="shared" si="62"/>
        <v>0</v>
      </c>
      <c r="W310" s="76">
        <v>0</v>
      </c>
      <c r="X310" s="76">
        <v>0</v>
      </c>
      <c r="Y310" s="119">
        <v>0</v>
      </c>
      <c r="Z310" s="76">
        <v>0</v>
      </c>
      <c r="AA310" s="76">
        <v>0</v>
      </c>
      <c r="AB310" s="81">
        <v>0</v>
      </c>
      <c r="AC310" s="76">
        <f t="shared" si="56"/>
        <v>0</v>
      </c>
      <c r="AD310" s="76">
        <v>0</v>
      </c>
      <c r="AE310" s="80">
        <v>0</v>
      </c>
      <c r="AF310" s="76">
        <f>INT(((AE310*Valores!$C$2)*100)+0.5)/100</f>
        <v>0</v>
      </c>
      <c r="AG310" s="76"/>
      <c r="AH310" s="76"/>
      <c r="AI310" s="115">
        <f t="shared" si="57"/>
        <v>6205.0665</v>
      </c>
      <c r="AJ310" s="115"/>
      <c r="AK310" s="79">
        <f>Valores!$C$11+AK309</f>
        <v>0</v>
      </c>
      <c r="AL310" s="79">
        <v>0</v>
      </c>
      <c r="AM310" s="81">
        <v>0</v>
      </c>
      <c r="AN310" s="83">
        <f t="shared" si="58"/>
        <v>0</v>
      </c>
      <c r="AO310" s="62">
        <f>AI310*-Valores!$C$65</f>
        <v>-806.658645</v>
      </c>
      <c r="AP310" s="62">
        <f>AI310*-Valores!$C$66</f>
        <v>-31.0253325</v>
      </c>
      <c r="AQ310" s="78">
        <f>AI310*-Valores!$C$67</f>
        <v>-279.22799249999997</v>
      </c>
      <c r="AR310" s="78">
        <f>AI310*-Valores!$C$68</f>
        <v>-167.53679549999998</v>
      </c>
      <c r="AS310" s="78">
        <f>AI310*-Valores!$C$69</f>
        <v>-18.6151995</v>
      </c>
      <c r="AT310" s="82">
        <f t="shared" si="54"/>
        <v>5088.15453</v>
      </c>
      <c r="AU310" s="82">
        <f t="shared" si="55"/>
        <v>5181.2305275</v>
      </c>
      <c r="AV310" s="78">
        <f>AI310*Valores!$C$71</f>
        <v>992.81064</v>
      </c>
      <c r="AW310" s="78">
        <f>AI310*Valores!$C$72</f>
        <v>279.22799249999997</v>
      </c>
      <c r="AX310" s="78">
        <f>AI310*Valores!$C$73</f>
        <v>62.050665</v>
      </c>
      <c r="AY310" s="78">
        <f>AI310*Valores!$C$75</f>
        <v>217.17732750000002</v>
      </c>
      <c r="AZ310" s="78">
        <f>AI310*Valores!$C$76</f>
        <v>37.230399</v>
      </c>
      <c r="BA310" s="78">
        <f t="shared" si="59"/>
        <v>335.073591</v>
      </c>
    </row>
    <row r="311" spans="1:56" ht="11.25" customHeight="1">
      <c r="A311" s="86">
        <v>310</v>
      </c>
      <c r="B311" s="86" t="s">
        <v>163</v>
      </c>
      <c r="C311" s="134"/>
      <c r="D311" s="131">
        <v>1</v>
      </c>
      <c r="E311" s="131">
        <f t="shared" si="51"/>
        <v>26</v>
      </c>
      <c r="F311" s="132" t="s">
        <v>535</v>
      </c>
      <c r="G311" s="133">
        <f t="shared" si="63"/>
        <v>930</v>
      </c>
      <c r="H311" s="90">
        <f>INT((G311*Valores!$C$2*100)+0.5)/100</f>
        <v>6168.13</v>
      </c>
      <c r="I311" s="104">
        <v>0</v>
      </c>
      <c r="J311" s="92">
        <f>INT((I311*Valores!$C$2*100)+0.5)/100</f>
        <v>0</v>
      </c>
      <c r="K311" s="105">
        <v>0</v>
      </c>
      <c r="L311" s="92">
        <f>INT((K311*Valores!$C$2*100)+0.5)/100</f>
        <v>0</v>
      </c>
      <c r="M311" s="106">
        <v>0</v>
      </c>
      <c r="N311" s="92">
        <f>INT((M311*Valores!$C$2*100)+0.5)/100</f>
        <v>0</v>
      </c>
      <c r="O311" s="92">
        <f t="shared" si="52"/>
        <v>971.2275</v>
      </c>
      <c r="P311" s="92">
        <f t="shared" si="53"/>
        <v>0</v>
      </c>
      <c r="Q311" s="108">
        <v>0</v>
      </c>
      <c r="R311" s="108">
        <v>0</v>
      </c>
      <c r="S311" s="92">
        <v>0</v>
      </c>
      <c r="T311" s="95">
        <f>Valores!$C$45+T310</f>
        <v>306.71999999999997</v>
      </c>
      <c r="U311" s="108">
        <v>0</v>
      </c>
      <c r="V311" s="92">
        <f t="shared" si="62"/>
        <v>0</v>
      </c>
      <c r="W311" s="92">
        <v>0</v>
      </c>
      <c r="X311" s="92">
        <v>0</v>
      </c>
      <c r="Y311" s="120">
        <v>0</v>
      </c>
      <c r="Z311" s="92">
        <v>0</v>
      </c>
      <c r="AA311" s="92">
        <v>0</v>
      </c>
      <c r="AB311" s="97">
        <v>0</v>
      </c>
      <c r="AC311" s="92">
        <f t="shared" si="56"/>
        <v>0</v>
      </c>
      <c r="AD311" s="92">
        <v>0</v>
      </c>
      <c r="AE311" s="96">
        <v>0</v>
      </c>
      <c r="AF311" s="92">
        <f>INT(((AE311*Valores!$C$2)*100)+0.5)/100</f>
        <v>0</v>
      </c>
      <c r="AG311" s="92"/>
      <c r="AH311" s="92"/>
      <c r="AI311" s="116">
        <f t="shared" si="57"/>
        <v>7446.0775</v>
      </c>
      <c r="AJ311" s="116"/>
      <c r="AK311" s="95">
        <f>Valores!$C$11+AK310</f>
        <v>0</v>
      </c>
      <c r="AL311" s="95">
        <v>0</v>
      </c>
      <c r="AM311" s="97">
        <v>0</v>
      </c>
      <c r="AN311" s="99">
        <f t="shared" si="58"/>
        <v>0</v>
      </c>
      <c r="AO311" s="117">
        <f>AI311*-Valores!$C$65</f>
        <v>-967.990075</v>
      </c>
      <c r="AP311" s="117">
        <f>AI311*-Valores!$C$66</f>
        <v>-37.2303875</v>
      </c>
      <c r="AQ311" s="94">
        <f>AI311*-Valores!$C$67</f>
        <v>-335.0734875</v>
      </c>
      <c r="AR311" s="94">
        <f>AI311*-Valores!$C$68</f>
        <v>-201.0440925</v>
      </c>
      <c r="AS311" s="94">
        <f>AI311*-Valores!$C$69</f>
        <v>-22.3382325</v>
      </c>
      <c r="AT311" s="98">
        <f t="shared" si="54"/>
        <v>6105.783550000001</v>
      </c>
      <c r="AU311" s="98">
        <f t="shared" si="55"/>
        <v>6217.4747125</v>
      </c>
      <c r="AV311" s="94">
        <f>AI311*Valores!$C$71</f>
        <v>1191.3724</v>
      </c>
      <c r="AW311" s="94">
        <f>AI311*Valores!$C$72</f>
        <v>335.0734875</v>
      </c>
      <c r="AX311" s="94">
        <f>AI311*Valores!$C$73</f>
        <v>74.460775</v>
      </c>
      <c r="AY311" s="94">
        <f>AI311*Valores!$C$75</f>
        <v>260.61271250000004</v>
      </c>
      <c r="AZ311" s="94">
        <f>AI311*Valores!$C$76</f>
        <v>44.676465</v>
      </c>
      <c r="BA311" s="94">
        <f t="shared" si="59"/>
        <v>402.088185</v>
      </c>
      <c r="BB311" s="130"/>
      <c r="BC311" s="130"/>
      <c r="BD311" s="87"/>
    </row>
    <row r="312" spans="1:53" ht="11.25" customHeight="1">
      <c r="A312" s="52">
        <v>311</v>
      </c>
      <c r="B312" s="52"/>
      <c r="D312" s="129">
        <v>1</v>
      </c>
      <c r="E312" s="129">
        <f t="shared" si="51"/>
        <v>26</v>
      </c>
      <c r="F312" s="54" t="s">
        <v>536</v>
      </c>
      <c r="G312" s="127">
        <f t="shared" si="63"/>
        <v>1085</v>
      </c>
      <c r="H312" s="74">
        <f>INT((G312*Valores!$C$2*100)+0.5)/100</f>
        <v>7196.15</v>
      </c>
      <c r="I312" s="113">
        <v>0</v>
      </c>
      <c r="J312" s="76">
        <f>INT((I312*Valores!$C$2*100)+0.5)/100</f>
        <v>0</v>
      </c>
      <c r="K312" s="103">
        <v>0</v>
      </c>
      <c r="L312" s="76">
        <f>INT((K312*Valores!$C$2*100)+0.5)/100</f>
        <v>0</v>
      </c>
      <c r="M312" s="101">
        <v>0</v>
      </c>
      <c r="N312" s="76">
        <f>INT((M312*Valores!$C$2*100)+0.5)/100</f>
        <v>0</v>
      </c>
      <c r="O312" s="76">
        <f t="shared" si="52"/>
        <v>1133.0984999999998</v>
      </c>
      <c r="P312" s="76">
        <f t="shared" si="53"/>
        <v>0</v>
      </c>
      <c r="Q312" s="102">
        <v>0</v>
      </c>
      <c r="R312" s="102">
        <v>0</v>
      </c>
      <c r="S312" s="76">
        <v>0</v>
      </c>
      <c r="T312" s="79">
        <f>Valores!$C$45+T311</f>
        <v>357.84</v>
      </c>
      <c r="U312" s="102">
        <v>0</v>
      </c>
      <c r="V312" s="76">
        <f t="shared" si="62"/>
        <v>0</v>
      </c>
      <c r="W312" s="76">
        <v>0</v>
      </c>
      <c r="X312" s="76">
        <v>0</v>
      </c>
      <c r="Y312" s="119">
        <v>0</v>
      </c>
      <c r="Z312" s="76">
        <v>0</v>
      </c>
      <c r="AA312" s="76">
        <v>0</v>
      </c>
      <c r="AB312" s="81">
        <v>0</v>
      </c>
      <c r="AC312" s="76">
        <f t="shared" si="56"/>
        <v>0</v>
      </c>
      <c r="AD312" s="76">
        <v>0</v>
      </c>
      <c r="AE312" s="80">
        <v>0</v>
      </c>
      <c r="AF312" s="76">
        <f>INT(((AE312*Valores!$C$2)*100)+0.5)/100</f>
        <v>0</v>
      </c>
      <c r="AG312" s="76"/>
      <c r="AH312" s="76"/>
      <c r="AI312" s="115">
        <f t="shared" si="57"/>
        <v>8687.0885</v>
      </c>
      <c r="AJ312" s="115"/>
      <c r="AK312" s="79">
        <f>Valores!$C$11+AK311</f>
        <v>0</v>
      </c>
      <c r="AL312" s="79">
        <v>0</v>
      </c>
      <c r="AM312" s="81">
        <v>0</v>
      </c>
      <c r="AN312" s="83">
        <f t="shared" si="58"/>
        <v>0</v>
      </c>
      <c r="AO312" s="62">
        <f>AI312*-Valores!$C$65</f>
        <v>-1129.3215050000001</v>
      </c>
      <c r="AP312" s="62">
        <f>AI312*-Valores!$C$66</f>
        <v>-43.4354425</v>
      </c>
      <c r="AQ312" s="78">
        <f>AI312*-Valores!$C$67</f>
        <v>-390.91898249999997</v>
      </c>
      <c r="AR312" s="78">
        <f>AI312*-Valores!$C$68</f>
        <v>-234.5513895</v>
      </c>
      <c r="AS312" s="78">
        <f>AI312*-Valores!$C$69</f>
        <v>-26.0612655</v>
      </c>
      <c r="AT312" s="82">
        <f t="shared" si="54"/>
        <v>7123.41257</v>
      </c>
      <c r="AU312" s="82">
        <f t="shared" si="55"/>
        <v>7253.718897499999</v>
      </c>
      <c r="AV312" s="78">
        <f>AI312*Valores!$C$71</f>
        <v>1389.93416</v>
      </c>
      <c r="AW312" s="78">
        <f>AI312*Valores!$C$72</f>
        <v>390.91898249999997</v>
      </c>
      <c r="AX312" s="78">
        <f>AI312*Valores!$C$73</f>
        <v>86.870885</v>
      </c>
      <c r="AY312" s="78">
        <f>AI312*Valores!$C$75</f>
        <v>304.04809750000004</v>
      </c>
      <c r="AZ312" s="78">
        <f>AI312*Valores!$C$76</f>
        <v>52.122531</v>
      </c>
      <c r="BA312" s="78">
        <f t="shared" si="59"/>
        <v>469.102779</v>
      </c>
    </row>
    <row r="313" spans="1:53" ht="11.25" customHeight="1">
      <c r="A313" s="52">
        <v>312</v>
      </c>
      <c r="B313" s="52"/>
      <c r="D313" s="129">
        <v>1</v>
      </c>
      <c r="E313" s="129">
        <f t="shared" si="51"/>
        <v>26</v>
      </c>
      <c r="F313" s="54" t="s">
        <v>537</v>
      </c>
      <c r="G313" s="127">
        <f t="shared" si="63"/>
        <v>1240</v>
      </c>
      <c r="H313" s="74">
        <f>INT((G313*Valores!$C$2*100)+0.5)/100</f>
        <v>8224.18</v>
      </c>
      <c r="I313" s="113">
        <v>0</v>
      </c>
      <c r="J313" s="76">
        <f>INT((I313*Valores!$C$2*100)+0.5)/100</f>
        <v>0</v>
      </c>
      <c r="K313" s="103">
        <v>0</v>
      </c>
      <c r="L313" s="76">
        <f>INT((K313*Valores!$C$2*100)+0.5)/100</f>
        <v>0</v>
      </c>
      <c r="M313" s="101">
        <v>0</v>
      </c>
      <c r="N313" s="76">
        <f>INT((M313*Valores!$C$2*100)+0.5)/100</f>
        <v>0</v>
      </c>
      <c r="O313" s="76">
        <f t="shared" si="52"/>
        <v>1294.9709999999998</v>
      </c>
      <c r="P313" s="76">
        <f t="shared" si="53"/>
        <v>0</v>
      </c>
      <c r="Q313" s="102">
        <v>0</v>
      </c>
      <c r="R313" s="102">
        <v>0</v>
      </c>
      <c r="S313" s="76">
        <v>0</v>
      </c>
      <c r="T313" s="79">
        <f>Valores!$C$45+T312</f>
        <v>408.96</v>
      </c>
      <c r="U313" s="102">
        <v>0</v>
      </c>
      <c r="V313" s="76">
        <f t="shared" si="62"/>
        <v>0</v>
      </c>
      <c r="W313" s="76">
        <v>0</v>
      </c>
      <c r="X313" s="76">
        <v>0</v>
      </c>
      <c r="Y313" s="119">
        <v>0</v>
      </c>
      <c r="Z313" s="76">
        <v>0</v>
      </c>
      <c r="AA313" s="76">
        <v>0</v>
      </c>
      <c r="AB313" s="81">
        <v>0</v>
      </c>
      <c r="AC313" s="76">
        <f t="shared" si="56"/>
        <v>0</v>
      </c>
      <c r="AD313" s="76">
        <v>0</v>
      </c>
      <c r="AE313" s="80">
        <v>0</v>
      </c>
      <c r="AF313" s="76">
        <f>INT(((AE313*Valores!$C$2)*100)+0.5)/100</f>
        <v>0</v>
      </c>
      <c r="AG313" s="76"/>
      <c r="AH313" s="76"/>
      <c r="AI313" s="115">
        <f t="shared" si="57"/>
        <v>9928.110999999999</v>
      </c>
      <c r="AJ313" s="115"/>
      <c r="AK313" s="79">
        <f>Valores!$C$11+AK312</f>
        <v>0</v>
      </c>
      <c r="AL313" s="79">
        <v>0</v>
      </c>
      <c r="AM313" s="81">
        <v>0</v>
      </c>
      <c r="AN313" s="83">
        <f t="shared" si="58"/>
        <v>0</v>
      </c>
      <c r="AO313" s="62">
        <f>AI313*-Valores!$C$65</f>
        <v>-1290.6544299999998</v>
      </c>
      <c r="AP313" s="62">
        <f>AI313*-Valores!$C$66</f>
        <v>-49.640555</v>
      </c>
      <c r="AQ313" s="78">
        <f>AI313*-Valores!$C$67</f>
        <v>-446.76499499999994</v>
      </c>
      <c r="AR313" s="78">
        <f>AI313*-Valores!$C$68</f>
        <v>-268.058997</v>
      </c>
      <c r="AS313" s="78">
        <f>AI313*-Valores!$C$69</f>
        <v>-29.784332999999997</v>
      </c>
      <c r="AT313" s="82">
        <f t="shared" si="54"/>
        <v>8141.05102</v>
      </c>
      <c r="AU313" s="82">
        <f t="shared" si="55"/>
        <v>8289.972684999999</v>
      </c>
      <c r="AV313" s="78">
        <f>AI313*Valores!$C$71</f>
        <v>1588.49776</v>
      </c>
      <c r="AW313" s="78">
        <f>AI313*Valores!$C$72</f>
        <v>446.76499499999994</v>
      </c>
      <c r="AX313" s="78">
        <f>AI313*Valores!$C$73</f>
        <v>99.28111</v>
      </c>
      <c r="AY313" s="78">
        <f>AI313*Valores!$C$75</f>
        <v>347.483885</v>
      </c>
      <c r="AZ313" s="78">
        <f>AI313*Valores!$C$76</f>
        <v>59.56866599999999</v>
      </c>
      <c r="BA313" s="78">
        <f t="shared" si="59"/>
        <v>536.117994</v>
      </c>
    </row>
    <row r="314" spans="1:55" ht="11.25" customHeight="1">
      <c r="A314" s="52">
        <v>313</v>
      </c>
      <c r="B314" s="52"/>
      <c r="D314" s="129">
        <v>1</v>
      </c>
      <c r="E314" s="129">
        <f t="shared" si="51"/>
        <v>26</v>
      </c>
      <c r="F314" s="54" t="s">
        <v>538</v>
      </c>
      <c r="G314" s="127">
        <f t="shared" si="63"/>
        <v>1395</v>
      </c>
      <c r="H314" s="74">
        <f>INT((G314*Valores!$C$2*100)+0.5)/100</f>
        <v>9252.2</v>
      </c>
      <c r="I314" s="113">
        <v>0</v>
      </c>
      <c r="J314" s="76">
        <f>INT((I314*Valores!$C$2*100)+0.5)/100</f>
        <v>0</v>
      </c>
      <c r="K314" s="103">
        <v>0</v>
      </c>
      <c r="L314" s="76">
        <f>INT((K314*Valores!$C$2*100)+0.5)/100</f>
        <v>0</v>
      </c>
      <c r="M314" s="101">
        <v>0</v>
      </c>
      <c r="N314" s="76">
        <f>INT((M314*Valores!$C$2*100)+0.5)/100</f>
        <v>0</v>
      </c>
      <c r="O314" s="76">
        <f t="shared" si="52"/>
        <v>1456.842</v>
      </c>
      <c r="P314" s="76">
        <f t="shared" si="53"/>
        <v>0</v>
      </c>
      <c r="Q314" s="102">
        <v>0</v>
      </c>
      <c r="R314" s="102">
        <v>0</v>
      </c>
      <c r="S314" s="76">
        <v>0</v>
      </c>
      <c r="T314" s="79">
        <f>Valores!$C$45+T313</f>
        <v>460.08</v>
      </c>
      <c r="U314" s="79">
        <v>0</v>
      </c>
      <c r="V314" s="76">
        <f t="shared" si="62"/>
        <v>0</v>
      </c>
      <c r="W314" s="76">
        <v>0</v>
      </c>
      <c r="X314" s="76">
        <v>0</v>
      </c>
      <c r="Y314" s="119">
        <v>0</v>
      </c>
      <c r="Z314" s="76">
        <v>0</v>
      </c>
      <c r="AA314" s="76">
        <v>0</v>
      </c>
      <c r="AB314" s="81">
        <v>0</v>
      </c>
      <c r="AC314" s="76">
        <f t="shared" si="56"/>
        <v>0</v>
      </c>
      <c r="AD314" s="76">
        <v>0</v>
      </c>
      <c r="AE314" s="80">
        <v>0</v>
      </c>
      <c r="AF314" s="76">
        <f>INT(((AE314*Valores!$C$2)*100)+0.5)/100</f>
        <v>0</v>
      </c>
      <c r="AG314" s="76"/>
      <c r="AH314" s="76"/>
      <c r="AI314" s="115">
        <f t="shared" si="57"/>
        <v>11169.122000000001</v>
      </c>
      <c r="AJ314" s="115"/>
      <c r="AK314" s="79">
        <f>Valores!$C$11+AK313</f>
        <v>0</v>
      </c>
      <c r="AL314" s="79">
        <v>0</v>
      </c>
      <c r="AM314" s="81">
        <v>0</v>
      </c>
      <c r="AN314" s="83">
        <f t="shared" si="58"/>
        <v>0</v>
      </c>
      <c r="AO314" s="62">
        <f>AI314*-Valores!$C$65</f>
        <v>-1451.9858600000002</v>
      </c>
      <c r="AP314" s="62">
        <f>AI314*-Valores!$C$66</f>
        <v>-55.84561000000001</v>
      </c>
      <c r="AQ314" s="78">
        <f>AI314*-Valores!$C$67</f>
        <v>-502.61049</v>
      </c>
      <c r="AR314" s="78">
        <f>AI314*-Valores!$C$68</f>
        <v>-301.566294</v>
      </c>
      <c r="AS314" s="78">
        <f>AI314*-Valores!$C$69</f>
        <v>-33.507366000000005</v>
      </c>
      <c r="AT314" s="82">
        <f t="shared" si="54"/>
        <v>9158.68004</v>
      </c>
      <c r="AU314" s="82">
        <f t="shared" si="55"/>
        <v>9326.21687</v>
      </c>
      <c r="AV314" s="78">
        <f>AI314*Valores!$C$71</f>
        <v>1787.0595200000002</v>
      </c>
      <c r="AW314" s="78">
        <f>AI314*Valores!$C$72</f>
        <v>502.61049</v>
      </c>
      <c r="AX314" s="78">
        <f>AI314*Valores!$C$73</f>
        <v>111.69122000000002</v>
      </c>
      <c r="AY314" s="78">
        <f>AI314*Valores!$C$75</f>
        <v>390.9192700000001</v>
      </c>
      <c r="AZ314" s="78">
        <f>AI314*Valores!$C$76</f>
        <v>67.01473200000001</v>
      </c>
      <c r="BA314" s="78">
        <f t="shared" si="59"/>
        <v>603.132588</v>
      </c>
      <c r="BC314" s="130"/>
    </row>
    <row r="315" spans="1:53" ht="11.25" customHeight="1">
      <c r="A315" s="52">
        <v>314</v>
      </c>
      <c r="B315" s="52"/>
      <c r="D315" s="129">
        <v>1</v>
      </c>
      <c r="E315" s="129">
        <f t="shared" si="51"/>
        <v>26</v>
      </c>
      <c r="F315" s="54" t="s">
        <v>539</v>
      </c>
      <c r="G315" s="127">
        <f t="shared" si="63"/>
        <v>1550</v>
      </c>
      <c r="H315" s="74">
        <f>INT((G315*Valores!$C$2*100)+0.5)/100</f>
        <v>10280.22</v>
      </c>
      <c r="I315" s="113">
        <v>0</v>
      </c>
      <c r="J315" s="76">
        <f>INT((I315*Valores!$C$2*100)+0.5)/100</f>
        <v>0</v>
      </c>
      <c r="K315" s="103">
        <v>0</v>
      </c>
      <c r="L315" s="76">
        <f>INT((K315*Valores!$C$2*100)+0.5)/100</f>
        <v>0</v>
      </c>
      <c r="M315" s="101">
        <v>0</v>
      </c>
      <c r="N315" s="76">
        <f>INT((M315*Valores!$C$2*100)+0.5)/100</f>
        <v>0</v>
      </c>
      <c r="O315" s="76">
        <f t="shared" si="52"/>
        <v>1618.713</v>
      </c>
      <c r="P315" s="76">
        <f t="shared" si="53"/>
        <v>0</v>
      </c>
      <c r="Q315" s="102">
        <v>0</v>
      </c>
      <c r="R315" s="102">
        <v>0</v>
      </c>
      <c r="S315" s="76">
        <v>0</v>
      </c>
      <c r="T315" s="79">
        <f>Valores!$C$45+T314</f>
        <v>511.2</v>
      </c>
      <c r="U315" s="102">
        <v>0</v>
      </c>
      <c r="V315" s="76">
        <f t="shared" si="62"/>
        <v>0</v>
      </c>
      <c r="W315" s="76">
        <v>0</v>
      </c>
      <c r="X315" s="76">
        <v>0</v>
      </c>
      <c r="Y315" s="119">
        <v>0</v>
      </c>
      <c r="Z315" s="76">
        <v>0</v>
      </c>
      <c r="AA315" s="76">
        <v>0</v>
      </c>
      <c r="AB315" s="81">
        <v>0</v>
      </c>
      <c r="AC315" s="76">
        <f t="shared" si="56"/>
        <v>0</v>
      </c>
      <c r="AD315" s="76">
        <v>0</v>
      </c>
      <c r="AE315" s="80">
        <v>0</v>
      </c>
      <c r="AF315" s="76">
        <f>INT(((AE315*Valores!$C$2)*100)+0.5)/100</f>
        <v>0</v>
      </c>
      <c r="AG315" s="76"/>
      <c r="AH315" s="76"/>
      <c r="AI315" s="115">
        <f t="shared" si="57"/>
        <v>12410.133</v>
      </c>
      <c r="AJ315" s="115"/>
      <c r="AK315" s="79">
        <f>Valores!$C$11+AK314</f>
        <v>0</v>
      </c>
      <c r="AL315" s="79">
        <v>0</v>
      </c>
      <c r="AM315" s="81">
        <v>0</v>
      </c>
      <c r="AN315" s="83">
        <f t="shared" si="58"/>
        <v>0</v>
      </c>
      <c r="AO315" s="62">
        <f>AI315*-Valores!$C$65</f>
        <v>-1613.31729</v>
      </c>
      <c r="AP315" s="62">
        <f>AI315*-Valores!$C$66</f>
        <v>-62.050665</v>
      </c>
      <c r="AQ315" s="78">
        <f>AI315*-Valores!$C$67</f>
        <v>-558.4559849999999</v>
      </c>
      <c r="AR315" s="78">
        <f>AI315*-Valores!$C$68</f>
        <v>-335.07359099999996</v>
      </c>
      <c r="AS315" s="78">
        <f>AI315*-Valores!$C$69</f>
        <v>-37.230399</v>
      </c>
      <c r="AT315" s="82">
        <f t="shared" si="54"/>
        <v>10176.30906</v>
      </c>
      <c r="AU315" s="82">
        <f t="shared" si="55"/>
        <v>10362.461055</v>
      </c>
      <c r="AV315" s="78">
        <f>AI315*Valores!$C$71</f>
        <v>1985.62128</v>
      </c>
      <c r="AW315" s="78">
        <f>AI315*Valores!$C$72</f>
        <v>558.4559849999999</v>
      </c>
      <c r="AX315" s="78">
        <f>AI315*Valores!$C$73</f>
        <v>124.10133</v>
      </c>
      <c r="AY315" s="78">
        <f>AI315*Valores!$C$75</f>
        <v>434.35465500000004</v>
      </c>
      <c r="AZ315" s="78">
        <f>AI315*Valores!$C$76</f>
        <v>74.460798</v>
      </c>
      <c r="BA315" s="78">
        <f t="shared" si="59"/>
        <v>670.147182</v>
      </c>
    </row>
    <row r="316" spans="1:56" ht="11.25" customHeight="1">
      <c r="A316" s="86">
        <v>315</v>
      </c>
      <c r="B316" s="86" t="s">
        <v>163</v>
      </c>
      <c r="C316" s="134"/>
      <c r="D316" s="131">
        <v>1</v>
      </c>
      <c r="E316" s="131">
        <f t="shared" si="51"/>
        <v>26</v>
      </c>
      <c r="F316" s="132" t="s">
        <v>540</v>
      </c>
      <c r="G316" s="133">
        <f t="shared" si="63"/>
        <v>1705</v>
      </c>
      <c r="H316" s="90">
        <f>INT((G316*Valores!$C$2*100)+0.5)/100</f>
        <v>11308.24</v>
      </c>
      <c r="I316" s="104">
        <v>0</v>
      </c>
      <c r="J316" s="92">
        <f>INT((I316*Valores!$C$2*100)+0.5)/100</f>
        <v>0</v>
      </c>
      <c r="K316" s="105">
        <v>0</v>
      </c>
      <c r="L316" s="92">
        <f>INT((K316*Valores!$C$2*100)+0.5)/100</f>
        <v>0</v>
      </c>
      <c r="M316" s="106">
        <v>0</v>
      </c>
      <c r="N316" s="92">
        <f>INT((M316*Valores!$C$2*100)+0.5)/100</f>
        <v>0</v>
      </c>
      <c r="O316" s="92">
        <f t="shared" si="52"/>
        <v>1780.5839999999998</v>
      </c>
      <c r="P316" s="92">
        <f t="shared" si="53"/>
        <v>0</v>
      </c>
      <c r="Q316" s="108">
        <v>0</v>
      </c>
      <c r="R316" s="108">
        <v>0</v>
      </c>
      <c r="S316" s="92">
        <v>0</v>
      </c>
      <c r="T316" s="95">
        <f>Valores!$C$45+T315</f>
        <v>562.3199999999999</v>
      </c>
      <c r="U316" s="108">
        <v>0</v>
      </c>
      <c r="V316" s="92">
        <f t="shared" si="62"/>
        <v>0</v>
      </c>
      <c r="W316" s="92">
        <v>0</v>
      </c>
      <c r="X316" s="92">
        <v>0</v>
      </c>
      <c r="Y316" s="120">
        <v>0</v>
      </c>
      <c r="Z316" s="92">
        <v>0</v>
      </c>
      <c r="AA316" s="92">
        <v>0</v>
      </c>
      <c r="AB316" s="97">
        <v>0</v>
      </c>
      <c r="AC316" s="92">
        <f t="shared" si="56"/>
        <v>0</v>
      </c>
      <c r="AD316" s="92">
        <v>0</v>
      </c>
      <c r="AE316" s="96">
        <v>0</v>
      </c>
      <c r="AF316" s="92">
        <f>INT(((AE316*Valores!$C$2)*100)+0.5)/100</f>
        <v>0</v>
      </c>
      <c r="AG316" s="92"/>
      <c r="AH316" s="92"/>
      <c r="AI316" s="116">
        <f t="shared" si="57"/>
        <v>13651.144</v>
      </c>
      <c r="AJ316" s="116"/>
      <c r="AK316" s="95">
        <f>Valores!$C$11+AK315</f>
        <v>0</v>
      </c>
      <c r="AL316" s="95">
        <v>0</v>
      </c>
      <c r="AM316" s="97">
        <v>0</v>
      </c>
      <c r="AN316" s="99">
        <f t="shared" si="58"/>
        <v>0</v>
      </c>
      <c r="AO316" s="117">
        <f>AI316*-Valores!$C$65</f>
        <v>-1774.6487200000001</v>
      </c>
      <c r="AP316" s="117">
        <f>AI316*-Valores!$C$66</f>
        <v>-68.25572</v>
      </c>
      <c r="AQ316" s="94">
        <f>AI316*-Valores!$C$67</f>
        <v>-614.30148</v>
      </c>
      <c r="AR316" s="94">
        <f>AI316*-Valores!$C$68</f>
        <v>-368.580888</v>
      </c>
      <c r="AS316" s="94">
        <f>AI316*-Valores!$C$69</f>
        <v>-40.953432</v>
      </c>
      <c r="AT316" s="98">
        <f t="shared" si="54"/>
        <v>11193.93808</v>
      </c>
      <c r="AU316" s="98">
        <f t="shared" si="55"/>
        <v>11398.705240000001</v>
      </c>
      <c r="AV316" s="94">
        <f>AI316*Valores!$C$71</f>
        <v>2184.18304</v>
      </c>
      <c r="AW316" s="94">
        <f>AI316*Valores!$C$72</f>
        <v>614.30148</v>
      </c>
      <c r="AX316" s="94">
        <f>AI316*Valores!$C$73</f>
        <v>136.51144</v>
      </c>
      <c r="AY316" s="94">
        <f>AI316*Valores!$C$75</f>
        <v>477.79004000000003</v>
      </c>
      <c r="AZ316" s="94">
        <f>AI316*Valores!$C$76</f>
        <v>81.906864</v>
      </c>
      <c r="BA316" s="94">
        <f t="shared" si="59"/>
        <v>737.1617760000001</v>
      </c>
      <c r="BB316" s="130"/>
      <c r="BC316" s="130"/>
      <c r="BD316" s="87"/>
    </row>
    <row r="317" spans="1:53" ht="11.25" customHeight="1">
      <c r="A317" s="52">
        <v>316</v>
      </c>
      <c r="B317" s="52"/>
      <c r="D317" s="129">
        <v>1</v>
      </c>
      <c r="E317" s="129">
        <f t="shared" si="51"/>
        <v>26</v>
      </c>
      <c r="F317" s="54" t="s">
        <v>541</v>
      </c>
      <c r="G317" s="127">
        <f t="shared" si="63"/>
        <v>1860</v>
      </c>
      <c r="H317" s="74">
        <f>INT((G317*Valores!$C$2*100)+0.5)/100</f>
        <v>12336.26</v>
      </c>
      <c r="I317" s="113">
        <v>0</v>
      </c>
      <c r="J317" s="76">
        <f>INT((I317*Valores!$C$2*100)+0.5)/100</f>
        <v>0</v>
      </c>
      <c r="K317" s="103">
        <v>0</v>
      </c>
      <c r="L317" s="76">
        <f>INT((K317*Valores!$C$2*100)+0.5)/100</f>
        <v>0</v>
      </c>
      <c r="M317" s="101">
        <v>0</v>
      </c>
      <c r="N317" s="76">
        <f>INT((M317*Valores!$C$2*100)+0.5)/100</f>
        <v>0</v>
      </c>
      <c r="O317" s="76">
        <f t="shared" si="52"/>
        <v>1942.455</v>
      </c>
      <c r="P317" s="76">
        <f t="shared" si="53"/>
        <v>0</v>
      </c>
      <c r="Q317" s="102">
        <v>0</v>
      </c>
      <c r="R317" s="102">
        <v>0</v>
      </c>
      <c r="S317" s="76">
        <v>0</v>
      </c>
      <c r="T317" s="79">
        <f>Valores!$C$45+T316</f>
        <v>613.4399999999999</v>
      </c>
      <c r="U317" s="102">
        <v>0</v>
      </c>
      <c r="V317" s="76">
        <f t="shared" si="62"/>
        <v>0</v>
      </c>
      <c r="W317" s="76">
        <v>0</v>
      </c>
      <c r="X317" s="76">
        <v>0</v>
      </c>
      <c r="Y317" s="119">
        <v>0</v>
      </c>
      <c r="Z317" s="76">
        <v>0</v>
      </c>
      <c r="AA317" s="76">
        <v>0</v>
      </c>
      <c r="AB317" s="81">
        <v>0</v>
      </c>
      <c r="AC317" s="76">
        <f t="shared" si="56"/>
        <v>0</v>
      </c>
      <c r="AD317" s="76">
        <v>0</v>
      </c>
      <c r="AE317" s="80">
        <v>0</v>
      </c>
      <c r="AF317" s="76">
        <f>INT(((AE317*Valores!$C$2)*100)+0.5)/100</f>
        <v>0</v>
      </c>
      <c r="AG317" s="76"/>
      <c r="AH317" s="76"/>
      <c r="AI317" s="115">
        <f t="shared" si="57"/>
        <v>14892.155</v>
      </c>
      <c r="AJ317" s="115"/>
      <c r="AK317" s="79">
        <f>Valores!$C$11+AK316</f>
        <v>0</v>
      </c>
      <c r="AL317" s="79">
        <v>0</v>
      </c>
      <c r="AM317" s="81">
        <v>0</v>
      </c>
      <c r="AN317" s="83">
        <f t="shared" si="58"/>
        <v>0</v>
      </c>
      <c r="AO317" s="62">
        <f>AI317*-Valores!$C$65</f>
        <v>-1935.98015</v>
      </c>
      <c r="AP317" s="62">
        <f>AI317*-Valores!$C$66</f>
        <v>-74.460775</v>
      </c>
      <c r="AQ317" s="78">
        <f>AI317*-Valores!$C$67</f>
        <v>-670.146975</v>
      </c>
      <c r="AR317" s="78">
        <f>AI317*-Valores!$C$68</f>
        <v>-402.088185</v>
      </c>
      <c r="AS317" s="78">
        <f>AI317*-Valores!$C$69</f>
        <v>-44.676465</v>
      </c>
      <c r="AT317" s="82">
        <f t="shared" si="54"/>
        <v>12211.567100000002</v>
      </c>
      <c r="AU317" s="82">
        <f t="shared" si="55"/>
        <v>12434.949425</v>
      </c>
      <c r="AV317" s="78">
        <f>AI317*Valores!$C$71</f>
        <v>2382.7448</v>
      </c>
      <c r="AW317" s="78">
        <f>AI317*Valores!$C$72</f>
        <v>670.146975</v>
      </c>
      <c r="AX317" s="78">
        <f>AI317*Valores!$C$73</f>
        <v>148.92155</v>
      </c>
      <c r="AY317" s="78">
        <f>AI317*Valores!$C$75</f>
        <v>521.2254250000001</v>
      </c>
      <c r="AZ317" s="78">
        <f>AI317*Valores!$C$76</f>
        <v>89.35293</v>
      </c>
      <c r="BA317" s="78">
        <f t="shared" si="59"/>
        <v>804.17637</v>
      </c>
    </row>
    <row r="318" spans="1:53" ht="11.25" customHeight="1">
      <c r="A318" s="52">
        <v>317</v>
      </c>
      <c r="B318" s="52"/>
      <c r="D318" s="129">
        <v>1</v>
      </c>
      <c r="E318" s="129">
        <f t="shared" si="51"/>
        <v>26</v>
      </c>
      <c r="F318" s="54" t="s">
        <v>542</v>
      </c>
      <c r="G318" s="127">
        <f t="shared" si="63"/>
        <v>2015</v>
      </c>
      <c r="H318" s="74">
        <f>INT((G318*Valores!$C$2*100)+0.5)/100</f>
        <v>13364.29</v>
      </c>
      <c r="I318" s="113">
        <v>0</v>
      </c>
      <c r="J318" s="76">
        <f>INT((I318*Valores!$C$2*100)+0.5)/100</f>
        <v>0</v>
      </c>
      <c r="K318" s="103">
        <v>0</v>
      </c>
      <c r="L318" s="76">
        <f>INT((K318*Valores!$C$2*100)+0.5)/100</f>
        <v>0</v>
      </c>
      <c r="M318" s="101">
        <v>0</v>
      </c>
      <c r="N318" s="76">
        <f>INT((M318*Valores!$C$2*100)+0.5)/100</f>
        <v>0</v>
      </c>
      <c r="O318" s="76">
        <f t="shared" si="52"/>
        <v>2104.3275</v>
      </c>
      <c r="P318" s="76">
        <f t="shared" si="53"/>
        <v>0</v>
      </c>
      <c r="Q318" s="102">
        <v>0</v>
      </c>
      <c r="R318" s="102">
        <v>0</v>
      </c>
      <c r="S318" s="76">
        <v>0</v>
      </c>
      <c r="T318" s="79">
        <f>Valores!$C$45+T317</f>
        <v>664.56</v>
      </c>
      <c r="U318" s="102">
        <v>0</v>
      </c>
      <c r="V318" s="76">
        <f t="shared" si="62"/>
        <v>0</v>
      </c>
      <c r="W318" s="76">
        <v>0</v>
      </c>
      <c r="X318" s="76">
        <v>0</v>
      </c>
      <c r="Y318" s="119">
        <v>0</v>
      </c>
      <c r="Z318" s="76">
        <v>0</v>
      </c>
      <c r="AA318" s="76">
        <v>0</v>
      </c>
      <c r="AB318" s="81">
        <v>0</v>
      </c>
      <c r="AC318" s="76">
        <f t="shared" si="56"/>
        <v>0</v>
      </c>
      <c r="AD318" s="76">
        <v>0</v>
      </c>
      <c r="AE318" s="80">
        <v>0</v>
      </c>
      <c r="AF318" s="76">
        <f>INT(((AE318*Valores!$C$2)*100)+0.5)/100</f>
        <v>0</v>
      </c>
      <c r="AG318" s="76"/>
      <c r="AH318" s="76"/>
      <c r="AI318" s="115">
        <f t="shared" si="57"/>
        <v>16133.1775</v>
      </c>
      <c r="AJ318" s="115"/>
      <c r="AK318" s="79">
        <f>Valores!$C$11+AK317</f>
        <v>0</v>
      </c>
      <c r="AL318" s="79">
        <v>0</v>
      </c>
      <c r="AM318" s="81">
        <v>0</v>
      </c>
      <c r="AN318" s="83">
        <f t="shared" si="58"/>
        <v>0</v>
      </c>
      <c r="AO318" s="62">
        <f>AI318*-Valores!$C$65</f>
        <v>-2097.313075</v>
      </c>
      <c r="AP318" s="62">
        <f>AI318*-Valores!$C$66</f>
        <v>-80.6658875</v>
      </c>
      <c r="AQ318" s="78">
        <f>AI318*-Valores!$C$67</f>
        <v>-725.9929874999999</v>
      </c>
      <c r="AR318" s="78">
        <f>AI318*-Valores!$C$68</f>
        <v>-435.5957925</v>
      </c>
      <c r="AS318" s="78">
        <f>AI318*-Valores!$C$69</f>
        <v>-48.3995325</v>
      </c>
      <c r="AT318" s="82">
        <f t="shared" si="54"/>
        <v>13229.20555</v>
      </c>
      <c r="AU318" s="82">
        <f t="shared" si="55"/>
        <v>13471.2032125</v>
      </c>
      <c r="AV318" s="78">
        <f>AI318*Valores!$C$71</f>
        <v>2581.3084</v>
      </c>
      <c r="AW318" s="78">
        <f>AI318*Valores!$C$72</f>
        <v>725.9929874999999</v>
      </c>
      <c r="AX318" s="78">
        <f>AI318*Valores!$C$73</f>
        <v>161.331775</v>
      </c>
      <c r="AY318" s="78">
        <f>AI318*Valores!$C$75</f>
        <v>564.6612125</v>
      </c>
      <c r="AZ318" s="78">
        <f>AI318*Valores!$C$76</f>
        <v>96.799065</v>
      </c>
      <c r="BA318" s="78">
        <f t="shared" si="59"/>
        <v>871.191585</v>
      </c>
    </row>
    <row r="319" spans="1:55" ht="11.25" customHeight="1">
      <c r="A319" s="52">
        <v>318</v>
      </c>
      <c r="B319" s="52"/>
      <c r="D319" s="129">
        <v>1</v>
      </c>
      <c r="E319" s="129">
        <f t="shared" si="51"/>
        <v>26</v>
      </c>
      <c r="F319" s="54" t="s">
        <v>543</v>
      </c>
      <c r="G319" s="127">
        <f t="shared" si="63"/>
        <v>2170</v>
      </c>
      <c r="H319" s="74">
        <f>INT((G319*Valores!$C$2*100)+0.5)/100</f>
        <v>14392.31</v>
      </c>
      <c r="I319" s="113">
        <v>0</v>
      </c>
      <c r="J319" s="76">
        <f>INT((I319*Valores!$C$2*100)+0.5)/100</f>
        <v>0</v>
      </c>
      <c r="K319" s="103">
        <v>0</v>
      </c>
      <c r="L319" s="76">
        <f>INT((K319*Valores!$C$2*100)+0.5)/100</f>
        <v>0</v>
      </c>
      <c r="M319" s="101">
        <v>0</v>
      </c>
      <c r="N319" s="76">
        <f>INT((M319*Valores!$C$2*100)+0.5)/100</f>
        <v>0</v>
      </c>
      <c r="O319" s="76">
        <f t="shared" si="52"/>
        <v>2266.1985</v>
      </c>
      <c r="P319" s="76">
        <f t="shared" si="53"/>
        <v>0</v>
      </c>
      <c r="Q319" s="102">
        <v>0</v>
      </c>
      <c r="R319" s="102">
        <v>0</v>
      </c>
      <c r="S319" s="76">
        <v>0</v>
      </c>
      <c r="T319" s="79">
        <f>Valores!$C$45+T318</f>
        <v>715.68</v>
      </c>
      <c r="U319" s="79">
        <v>0</v>
      </c>
      <c r="V319" s="76">
        <f t="shared" si="62"/>
        <v>0</v>
      </c>
      <c r="W319" s="76">
        <v>0</v>
      </c>
      <c r="X319" s="76">
        <v>0</v>
      </c>
      <c r="Y319" s="119">
        <v>0</v>
      </c>
      <c r="Z319" s="76">
        <v>0</v>
      </c>
      <c r="AA319" s="76">
        <v>0</v>
      </c>
      <c r="AB319" s="81">
        <v>0</v>
      </c>
      <c r="AC319" s="76">
        <f t="shared" si="56"/>
        <v>0</v>
      </c>
      <c r="AD319" s="76">
        <v>0</v>
      </c>
      <c r="AE319" s="80">
        <v>0</v>
      </c>
      <c r="AF319" s="76">
        <f>INT(((AE319*Valores!$C$2)*100)+0.5)/100</f>
        <v>0</v>
      </c>
      <c r="AG319" s="76"/>
      <c r="AH319" s="76"/>
      <c r="AI319" s="115">
        <f t="shared" si="57"/>
        <v>17374.1885</v>
      </c>
      <c r="AJ319" s="115"/>
      <c r="AK319" s="79">
        <f>Valores!$C$11+AK318</f>
        <v>0</v>
      </c>
      <c r="AL319" s="79">
        <v>0</v>
      </c>
      <c r="AM319" s="81">
        <v>0</v>
      </c>
      <c r="AN319" s="83">
        <f t="shared" si="58"/>
        <v>0</v>
      </c>
      <c r="AO319" s="62">
        <f>AI319*-Valores!$C$65</f>
        <v>-2258.644505</v>
      </c>
      <c r="AP319" s="62">
        <f>AI319*-Valores!$C$66</f>
        <v>-86.8709425</v>
      </c>
      <c r="AQ319" s="78">
        <f>AI319*-Valores!$C$67</f>
        <v>-781.8384824999999</v>
      </c>
      <c r="AR319" s="78">
        <f>AI319*-Valores!$C$68</f>
        <v>-469.1030895</v>
      </c>
      <c r="AS319" s="78">
        <f>AI319*-Valores!$C$69</f>
        <v>-52.1225655</v>
      </c>
      <c r="AT319" s="82">
        <f t="shared" si="54"/>
        <v>14246.834569999999</v>
      </c>
      <c r="AU319" s="82">
        <f t="shared" si="55"/>
        <v>14507.447397499998</v>
      </c>
      <c r="AV319" s="78">
        <f>AI319*Valores!$C$71</f>
        <v>2779.87016</v>
      </c>
      <c r="AW319" s="78">
        <f>AI319*Valores!$C$72</f>
        <v>781.8384824999999</v>
      </c>
      <c r="AX319" s="78">
        <f>AI319*Valores!$C$73</f>
        <v>173.741885</v>
      </c>
      <c r="AY319" s="78">
        <f>AI319*Valores!$C$75</f>
        <v>608.0965975</v>
      </c>
      <c r="AZ319" s="78">
        <f>AI319*Valores!$C$76</f>
        <v>104.245131</v>
      </c>
      <c r="BA319" s="78">
        <f t="shared" si="59"/>
        <v>938.2061790000001</v>
      </c>
      <c r="BC319" s="130"/>
    </row>
    <row r="320" spans="1:53" ht="11.25" customHeight="1">
      <c r="A320" s="52">
        <v>319</v>
      </c>
      <c r="B320" s="52"/>
      <c r="D320" s="129">
        <v>1</v>
      </c>
      <c r="E320" s="129">
        <f t="shared" si="51"/>
        <v>26</v>
      </c>
      <c r="F320" s="54" t="s">
        <v>544</v>
      </c>
      <c r="G320" s="127">
        <f t="shared" si="63"/>
        <v>2325</v>
      </c>
      <c r="H320" s="74">
        <f>INT((G320*Valores!$C$2*100)+0.5)/100</f>
        <v>15420.33</v>
      </c>
      <c r="I320" s="113">
        <v>0</v>
      </c>
      <c r="J320" s="76">
        <f>INT((I320*Valores!$C$2*100)+0.5)/100</f>
        <v>0</v>
      </c>
      <c r="K320" s="103">
        <v>0</v>
      </c>
      <c r="L320" s="76">
        <f>INT((K320*Valores!$C$2*100)+0.5)/100</f>
        <v>0</v>
      </c>
      <c r="M320" s="101">
        <v>0</v>
      </c>
      <c r="N320" s="76">
        <f>INT((M320*Valores!$C$2*100)+0.5)/100</f>
        <v>0</v>
      </c>
      <c r="O320" s="76">
        <f t="shared" si="52"/>
        <v>2428.0694999999996</v>
      </c>
      <c r="P320" s="76">
        <f t="shared" si="53"/>
        <v>0</v>
      </c>
      <c r="Q320" s="102">
        <v>0</v>
      </c>
      <c r="R320" s="102">
        <v>0</v>
      </c>
      <c r="S320" s="76">
        <v>0</v>
      </c>
      <c r="T320" s="79">
        <f>Valores!$C$45+T319</f>
        <v>766.8</v>
      </c>
      <c r="U320" s="102">
        <v>0</v>
      </c>
      <c r="V320" s="76">
        <f t="shared" si="62"/>
        <v>0</v>
      </c>
      <c r="W320" s="76">
        <v>0</v>
      </c>
      <c r="X320" s="76">
        <v>0</v>
      </c>
      <c r="Y320" s="119">
        <v>0</v>
      </c>
      <c r="Z320" s="76">
        <v>0</v>
      </c>
      <c r="AA320" s="76">
        <v>0</v>
      </c>
      <c r="AB320" s="81">
        <v>0</v>
      </c>
      <c r="AC320" s="76">
        <f t="shared" si="56"/>
        <v>0</v>
      </c>
      <c r="AD320" s="76">
        <v>0</v>
      </c>
      <c r="AE320" s="80">
        <v>0</v>
      </c>
      <c r="AF320" s="76">
        <f>INT(((AE320*Valores!$C$2)*100)+0.5)/100</f>
        <v>0</v>
      </c>
      <c r="AG320" s="76"/>
      <c r="AH320" s="76"/>
      <c r="AI320" s="115">
        <f t="shared" si="57"/>
        <v>18615.1995</v>
      </c>
      <c r="AJ320" s="115"/>
      <c r="AK320" s="79">
        <f>Valores!$C$11+AK319</f>
        <v>0</v>
      </c>
      <c r="AL320" s="79">
        <v>0</v>
      </c>
      <c r="AM320" s="81">
        <v>0</v>
      </c>
      <c r="AN320" s="83">
        <f t="shared" si="58"/>
        <v>0</v>
      </c>
      <c r="AO320" s="62">
        <f>AI320*-Valores!$C$65</f>
        <v>-2419.975935</v>
      </c>
      <c r="AP320" s="62">
        <f>AI320*-Valores!$C$66</f>
        <v>-93.0759975</v>
      </c>
      <c r="AQ320" s="78">
        <f>AI320*-Valores!$C$67</f>
        <v>-837.6839775</v>
      </c>
      <c r="AR320" s="78">
        <f>AI320*-Valores!$C$68</f>
        <v>-502.61038649999995</v>
      </c>
      <c r="AS320" s="78">
        <f>AI320*-Valores!$C$69</f>
        <v>-55.845598499999994</v>
      </c>
      <c r="AT320" s="82">
        <f t="shared" si="54"/>
        <v>15264.463589999998</v>
      </c>
      <c r="AU320" s="82">
        <f t="shared" si="55"/>
        <v>15543.691582499998</v>
      </c>
      <c r="AV320" s="78">
        <f>AI320*Valores!$C$71</f>
        <v>2978.43192</v>
      </c>
      <c r="AW320" s="78">
        <f>AI320*Valores!$C$72</f>
        <v>837.6839775</v>
      </c>
      <c r="AX320" s="78">
        <f>AI320*Valores!$C$73</f>
        <v>186.151995</v>
      </c>
      <c r="AY320" s="78">
        <f>AI320*Valores!$C$75</f>
        <v>651.5319825</v>
      </c>
      <c r="AZ320" s="78">
        <f>AI320*Valores!$C$76</f>
        <v>111.69119699999999</v>
      </c>
      <c r="BA320" s="78">
        <f t="shared" si="59"/>
        <v>1005.220773</v>
      </c>
    </row>
    <row r="321" spans="1:56" ht="11.25" customHeight="1">
      <c r="A321" s="86">
        <v>320</v>
      </c>
      <c r="B321" s="86" t="s">
        <v>163</v>
      </c>
      <c r="C321" s="134"/>
      <c r="D321" s="129">
        <v>1</v>
      </c>
      <c r="E321" s="129">
        <f t="shared" si="51"/>
        <v>26</v>
      </c>
      <c r="F321" s="132" t="s">
        <v>545</v>
      </c>
      <c r="G321" s="133">
        <f t="shared" si="63"/>
        <v>2480</v>
      </c>
      <c r="H321" s="90">
        <f>INT((G321*Valores!$C$2*100)+0.5)/100</f>
        <v>16448.35</v>
      </c>
      <c r="I321" s="104">
        <v>0</v>
      </c>
      <c r="J321" s="92">
        <f>INT((I321*Valores!$C$2*100)+0.5)/100</f>
        <v>0</v>
      </c>
      <c r="K321" s="105">
        <v>0</v>
      </c>
      <c r="L321" s="92">
        <f>INT((K321*Valores!$C$2*100)+0.5)/100</f>
        <v>0</v>
      </c>
      <c r="M321" s="106">
        <v>0</v>
      </c>
      <c r="N321" s="92">
        <f>INT((M321*Valores!$C$2*100)+0.5)/100</f>
        <v>0</v>
      </c>
      <c r="O321" s="92">
        <f t="shared" si="52"/>
        <v>2589.9404999999992</v>
      </c>
      <c r="P321" s="92">
        <f t="shared" si="53"/>
        <v>0</v>
      </c>
      <c r="Q321" s="108">
        <v>0</v>
      </c>
      <c r="R321" s="108">
        <v>0</v>
      </c>
      <c r="S321" s="92">
        <v>0</v>
      </c>
      <c r="T321" s="95">
        <f>Valores!$C$45+T320</f>
        <v>817.92</v>
      </c>
      <c r="U321" s="108">
        <v>0</v>
      </c>
      <c r="V321" s="92">
        <f t="shared" si="62"/>
        <v>0</v>
      </c>
      <c r="W321" s="92">
        <v>0</v>
      </c>
      <c r="X321" s="92">
        <v>0</v>
      </c>
      <c r="Y321" s="120">
        <v>0</v>
      </c>
      <c r="Z321" s="92">
        <v>0</v>
      </c>
      <c r="AA321" s="92">
        <v>0</v>
      </c>
      <c r="AB321" s="97">
        <v>0</v>
      </c>
      <c r="AC321" s="92">
        <f t="shared" si="56"/>
        <v>0</v>
      </c>
      <c r="AD321" s="92">
        <v>0</v>
      </c>
      <c r="AE321" s="96">
        <v>0</v>
      </c>
      <c r="AF321" s="92">
        <f>INT(((AE321*Valores!$C$2)*100)+0.5)/100</f>
        <v>0</v>
      </c>
      <c r="AG321" s="92"/>
      <c r="AH321" s="92"/>
      <c r="AI321" s="116">
        <f t="shared" si="57"/>
        <v>19856.210499999997</v>
      </c>
      <c r="AJ321" s="116"/>
      <c r="AK321" s="95">
        <f>Valores!$C$11+AK320</f>
        <v>0</v>
      </c>
      <c r="AL321" s="95">
        <v>0</v>
      </c>
      <c r="AM321" s="97">
        <v>0</v>
      </c>
      <c r="AN321" s="99">
        <f t="shared" si="58"/>
        <v>0</v>
      </c>
      <c r="AO321" s="117">
        <f>AI321*-Valores!$C$65</f>
        <v>-2581.3073649999997</v>
      </c>
      <c r="AP321" s="117">
        <f>AI321*-Valores!$C$66</f>
        <v>-99.28105249999999</v>
      </c>
      <c r="AQ321" s="94">
        <f>AI321*-Valores!$C$67</f>
        <v>-893.5294724999999</v>
      </c>
      <c r="AR321" s="94">
        <f>AI321*-Valores!$C$68</f>
        <v>-536.1176834999999</v>
      </c>
      <c r="AS321" s="94">
        <f>AI321*-Valores!$C$69</f>
        <v>-59.568631499999995</v>
      </c>
      <c r="AT321" s="98">
        <f t="shared" si="54"/>
        <v>16282.09261</v>
      </c>
      <c r="AU321" s="98">
        <f t="shared" si="55"/>
        <v>16579.9357675</v>
      </c>
      <c r="AV321" s="94">
        <f>AI321*Valores!$C$71</f>
        <v>3176.9936799999996</v>
      </c>
      <c r="AW321" s="94">
        <f>AI321*Valores!$C$72</f>
        <v>893.5294724999999</v>
      </c>
      <c r="AX321" s="94">
        <f>AI321*Valores!$C$73</f>
        <v>198.56210499999997</v>
      </c>
      <c r="AY321" s="94">
        <f>AI321*Valores!$C$75</f>
        <v>694.9673675</v>
      </c>
      <c r="AZ321" s="94">
        <f>AI321*Valores!$C$76</f>
        <v>119.13726299999999</v>
      </c>
      <c r="BA321" s="94">
        <f t="shared" si="59"/>
        <v>1072.235367</v>
      </c>
      <c r="BB321" s="130"/>
      <c r="BC321" s="130"/>
      <c r="BD321" s="87"/>
    </row>
    <row r="322" spans="1:56" ht="11.25" customHeight="1">
      <c r="A322" s="52">
        <v>321</v>
      </c>
      <c r="B322" s="52"/>
      <c r="C322" s="135" t="s">
        <v>525</v>
      </c>
      <c r="D322" s="129">
        <v>1</v>
      </c>
      <c r="E322" s="129">
        <f t="shared" si="51"/>
        <v>40</v>
      </c>
      <c r="F322" s="54" t="s">
        <v>546</v>
      </c>
      <c r="G322" s="127">
        <v>250</v>
      </c>
      <c r="H322" s="74">
        <f>INT((G322*Valores!$C$2*100)+0.5)/100</f>
        <v>1658.1</v>
      </c>
      <c r="I322" s="113">
        <v>0</v>
      </c>
      <c r="J322" s="76">
        <f>INT((I322*Valores!$C$2*100)+0.5)/100</f>
        <v>0</v>
      </c>
      <c r="K322" s="103">
        <v>0</v>
      </c>
      <c r="L322" s="76">
        <f>INT((K322*Valores!$C$2*100)+0.5)/100</f>
        <v>0</v>
      </c>
      <c r="M322" s="101">
        <v>0</v>
      </c>
      <c r="N322" s="76">
        <f>INT((M322*Valores!$C$2*100)+0.5)/100</f>
        <v>0</v>
      </c>
      <c r="O322" s="76">
        <f t="shared" si="52"/>
        <v>0</v>
      </c>
      <c r="P322" s="76">
        <f t="shared" si="53"/>
        <v>0</v>
      </c>
      <c r="Q322" s="102">
        <v>0</v>
      </c>
      <c r="R322" s="102">
        <v>0</v>
      </c>
      <c r="S322" s="76">
        <v>0</v>
      </c>
      <c r="T322" s="79">
        <f>Valores!$C$46</f>
        <v>122.62</v>
      </c>
      <c r="U322" s="102">
        <v>0</v>
      </c>
      <c r="V322" s="76">
        <f t="shared" si="62"/>
        <v>0</v>
      </c>
      <c r="W322" s="76">
        <v>0</v>
      </c>
      <c r="X322" s="76">
        <v>0</v>
      </c>
      <c r="Y322" s="119">
        <v>0</v>
      </c>
      <c r="Z322" s="76">
        <v>0</v>
      </c>
      <c r="AA322" s="76">
        <v>0</v>
      </c>
      <c r="AB322" s="81">
        <v>0</v>
      </c>
      <c r="AC322" s="76">
        <f t="shared" si="56"/>
        <v>0</v>
      </c>
      <c r="AD322" s="76">
        <v>0</v>
      </c>
      <c r="AE322" s="80">
        <v>0</v>
      </c>
      <c r="AF322" s="76">
        <f>INT(((AE322*Valores!$C$2)*100)+0.5)/100</f>
        <v>0</v>
      </c>
      <c r="AG322" s="76"/>
      <c r="AH322" s="76"/>
      <c r="AI322" s="115">
        <f t="shared" si="57"/>
        <v>1780.7199999999998</v>
      </c>
      <c r="AJ322" s="115"/>
      <c r="AK322" s="79">
        <f>Valores!$C$12</f>
        <v>0</v>
      </c>
      <c r="AL322" s="79">
        <v>0</v>
      </c>
      <c r="AM322" s="81">
        <v>0</v>
      </c>
      <c r="AN322" s="83">
        <f t="shared" si="58"/>
        <v>0</v>
      </c>
      <c r="AO322" s="62">
        <f>AI322*-Valores!$C$65</f>
        <v>-231.4936</v>
      </c>
      <c r="AP322" s="62">
        <f>AI322*-Valores!$C$66</f>
        <v>-8.903599999999999</v>
      </c>
      <c r="AQ322" s="78">
        <f>AI322*-Valores!$C$67</f>
        <v>-80.13239999999999</v>
      </c>
      <c r="AR322" s="78">
        <f>AI322*-Valores!$C$68</f>
        <v>-48.07943999999999</v>
      </c>
      <c r="AS322" s="78">
        <f>AI322*-Valores!$C$69</f>
        <v>-5.34216</v>
      </c>
      <c r="AT322" s="82">
        <f t="shared" si="54"/>
        <v>1460.1903999999997</v>
      </c>
      <c r="AU322" s="82">
        <f t="shared" si="55"/>
        <v>1486.9011999999998</v>
      </c>
      <c r="AV322" s="78">
        <f>AI322*Valores!$C$71</f>
        <v>284.91519999999997</v>
      </c>
      <c r="AW322" s="78">
        <f>AI322*Valores!$C$72</f>
        <v>80.13239999999999</v>
      </c>
      <c r="AX322" s="78">
        <f>AI322*Valores!$C$73</f>
        <v>17.807199999999998</v>
      </c>
      <c r="AY322" s="78">
        <f>AI322*Valores!$C$75</f>
        <v>62.3252</v>
      </c>
      <c r="AZ322" s="78">
        <f>AI322*Valores!$C$76</f>
        <v>10.68432</v>
      </c>
      <c r="BA322" s="78">
        <f t="shared" si="59"/>
        <v>96.15888</v>
      </c>
      <c r="BD322" s="28" t="s">
        <v>4</v>
      </c>
    </row>
    <row r="323" spans="1:56" ht="11.25" customHeight="1">
      <c r="A323" s="52">
        <v>322</v>
      </c>
      <c r="B323" s="52"/>
      <c r="C323" s="136" t="s">
        <v>525</v>
      </c>
      <c r="D323" s="129">
        <v>1</v>
      </c>
      <c r="E323" s="129">
        <f t="shared" si="51"/>
        <v>40</v>
      </c>
      <c r="F323" s="54" t="s">
        <v>547</v>
      </c>
      <c r="G323" s="127">
        <v>226</v>
      </c>
      <c r="H323" s="74">
        <f>INT((G323*Valores!$C$2*100)+0.5)/100</f>
        <v>1498.92</v>
      </c>
      <c r="I323" s="113">
        <v>0</v>
      </c>
      <c r="J323" s="76">
        <f>INT((I323*Valores!$C$2*100)+0.5)/100</f>
        <v>0</v>
      </c>
      <c r="K323" s="103">
        <v>0</v>
      </c>
      <c r="L323" s="76">
        <f>INT((K323*Valores!$C$2*100)+0.5)/100</f>
        <v>0</v>
      </c>
      <c r="M323" s="101">
        <v>0</v>
      </c>
      <c r="N323" s="76">
        <f>INT((M323*Valores!$C$2*100)+0.5)/100</f>
        <v>0</v>
      </c>
      <c r="O323" s="76">
        <f t="shared" si="52"/>
        <v>0</v>
      </c>
      <c r="P323" s="76">
        <f t="shared" si="53"/>
        <v>0</v>
      </c>
      <c r="Q323" s="102">
        <v>0</v>
      </c>
      <c r="R323" s="102">
        <v>0</v>
      </c>
      <c r="S323" s="76">
        <v>0</v>
      </c>
      <c r="T323" s="79">
        <f>Valores!$C$46</f>
        <v>122.62</v>
      </c>
      <c r="U323" s="102">
        <v>0</v>
      </c>
      <c r="V323" s="76">
        <f t="shared" si="62"/>
        <v>0</v>
      </c>
      <c r="W323" s="76">
        <v>0</v>
      </c>
      <c r="X323" s="76">
        <v>0</v>
      </c>
      <c r="Y323" s="119">
        <v>0</v>
      </c>
      <c r="Z323" s="76">
        <v>0</v>
      </c>
      <c r="AA323" s="76">
        <v>0</v>
      </c>
      <c r="AB323" s="81">
        <v>0</v>
      </c>
      <c r="AC323" s="76">
        <f t="shared" si="56"/>
        <v>0</v>
      </c>
      <c r="AD323" s="76">
        <v>0</v>
      </c>
      <c r="AE323" s="80">
        <v>0</v>
      </c>
      <c r="AF323" s="76">
        <f>INT(((AE323*Valores!$C$2)*100)+0.5)/100</f>
        <v>0</v>
      </c>
      <c r="AG323" s="76"/>
      <c r="AH323" s="76"/>
      <c r="AI323" s="115">
        <f t="shared" si="57"/>
        <v>1621.54</v>
      </c>
      <c r="AJ323" s="115"/>
      <c r="AK323" s="79">
        <f>Valores!$C$12</f>
        <v>0</v>
      </c>
      <c r="AL323" s="79">
        <v>0</v>
      </c>
      <c r="AM323" s="81">
        <v>0</v>
      </c>
      <c r="AN323" s="83">
        <f t="shared" si="58"/>
        <v>0</v>
      </c>
      <c r="AO323" s="62">
        <f>AI323*-Valores!$C$65</f>
        <v>-210.8002</v>
      </c>
      <c r="AP323" s="62">
        <f>AI323*-Valores!$C$66</f>
        <v>-8.1077</v>
      </c>
      <c r="AQ323" s="78">
        <f>AI323*-Valores!$C$67</f>
        <v>-72.96929999999999</v>
      </c>
      <c r="AR323" s="78">
        <f>AI323*-Valores!$C$68</f>
        <v>-43.78158</v>
      </c>
      <c r="AS323" s="78">
        <f>AI323*-Valores!$C$69</f>
        <v>-4.86462</v>
      </c>
      <c r="AT323" s="82">
        <f t="shared" si="54"/>
        <v>1329.6628</v>
      </c>
      <c r="AU323" s="82">
        <f t="shared" si="55"/>
        <v>1353.9859</v>
      </c>
      <c r="AV323" s="78">
        <f>AI323*Valores!$C$71</f>
        <v>259.4464</v>
      </c>
      <c r="AW323" s="78">
        <f>AI323*Valores!$C$72</f>
        <v>72.96929999999999</v>
      </c>
      <c r="AX323" s="78">
        <f>AI323*Valores!$C$73</f>
        <v>16.2154</v>
      </c>
      <c r="AY323" s="78">
        <f>AI323*Valores!$C$75</f>
        <v>56.7539</v>
      </c>
      <c r="AZ323" s="78">
        <f>AI323*Valores!$C$76</f>
        <v>9.72924</v>
      </c>
      <c r="BA323" s="78">
        <f t="shared" si="59"/>
        <v>87.56316000000001</v>
      </c>
      <c r="BD323" s="28" t="s">
        <v>4</v>
      </c>
    </row>
    <row r="324" spans="1:56" ht="11.25" customHeight="1">
      <c r="A324" s="52">
        <v>323</v>
      </c>
      <c r="B324" s="52"/>
      <c r="C324" s="136" t="s">
        <v>525</v>
      </c>
      <c r="D324" s="129">
        <v>1</v>
      </c>
      <c r="E324" s="129">
        <f t="shared" si="51"/>
        <v>40</v>
      </c>
      <c r="F324" s="54" t="s">
        <v>548</v>
      </c>
      <c r="G324" s="127">
        <v>222</v>
      </c>
      <c r="H324" s="74">
        <f>INT((G324*Valores!$C$2*100)+0.5)/100</f>
        <v>1472.39</v>
      </c>
      <c r="I324" s="113">
        <v>0</v>
      </c>
      <c r="J324" s="76">
        <f>INT((I324*Valores!$C$2*100)+0.5)/100</f>
        <v>0</v>
      </c>
      <c r="K324" s="103">
        <v>0</v>
      </c>
      <c r="L324" s="76">
        <f>INT((K324*Valores!$C$2*100)+0.5)/100</f>
        <v>0</v>
      </c>
      <c r="M324" s="101">
        <v>0</v>
      </c>
      <c r="N324" s="76">
        <f>INT((M324*Valores!$C$2*100)+0.5)/100</f>
        <v>0</v>
      </c>
      <c r="O324" s="76">
        <f t="shared" si="52"/>
        <v>0</v>
      </c>
      <c r="P324" s="76">
        <f t="shared" si="53"/>
        <v>0</v>
      </c>
      <c r="Q324" s="102">
        <v>0</v>
      </c>
      <c r="R324" s="102">
        <v>0</v>
      </c>
      <c r="S324" s="76">
        <v>0</v>
      </c>
      <c r="T324" s="79">
        <f>Valores!$C$46</f>
        <v>122.62</v>
      </c>
      <c r="U324" s="102">
        <v>0</v>
      </c>
      <c r="V324" s="76">
        <f t="shared" si="62"/>
        <v>0</v>
      </c>
      <c r="W324" s="76">
        <v>0</v>
      </c>
      <c r="X324" s="76">
        <v>0</v>
      </c>
      <c r="Y324" s="119">
        <v>0</v>
      </c>
      <c r="Z324" s="76">
        <v>0</v>
      </c>
      <c r="AA324" s="76">
        <v>0</v>
      </c>
      <c r="AB324" s="81">
        <v>0</v>
      </c>
      <c r="AC324" s="76">
        <f t="shared" si="56"/>
        <v>0</v>
      </c>
      <c r="AD324" s="76">
        <v>0</v>
      </c>
      <c r="AE324" s="80">
        <v>0</v>
      </c>
      <c r="AF324" s="76">
        <f>INT(((AE324*Valores!$C$2)*100)+0.5)/100</f>
        <v>0</v>
      </c>
      <c r="AG324" s="76"/>
      <c r="AH324" s="76"/>
      <c r="AI324" s="115">
        <f t="shared" si="57"/>
        <v>1595.0100000000002</v>
      </c>
      <c r="AJ324" s="115"/>
      <c r="AK324" s="79">
        <f>Valores!$C$12</f>
        <v>0</v>
      </c>
      <c r="AL324" s="79">
        <v>0</v>
      </c>
      <c r="AM324" s="81">
        <v>0</v>
      </c>
      <c r="AN324" s="83">
        <f t="shared" si="58"/>
        <v>0</v>
      </c>
      <c r="AO324" s="62">
        <f>AI324*-Valores!$C$65</f>
        <v>-207.35130000000004</v>
      </c>
      <c r="AP324" s="62">
        <f>AI324*-Valores!$C$66</f>
        <v>-7.975050000000001</v>
      </c>
      <c r="AQ324" s="78">
        <f>AI324*-Valores!$C$67</f>
        <v>-71.77545</v>
      </c>
      <c r="AR324" s="78">
        <f>AI324*-Valores!$C$68</f>
        <v>-43.065270000000005</v>
      </c>
      <c r="AS324" s="78">
        <f>AI324*-Valores!$C$69</f>
        <v>-4.785030000000001</v>
      </c>
      <c r="AT324" s="82">
        <f t="shared" si="54"/>
        <v>1307.9082</v>
      </c>
      <c r="AU324" s="82">
        <f t="shared" si="55"/>
        <v>1331.83335</v>
      </c>
      <c r="AV324" s="78">
        <f>AI324*Valores!$C$71</f>
        <v>255.20160000000004</v>
      </c>
      <c r="AW324" s="78">
        <f>AI324*Valores!$C$72</f>
        <v>71.77545</v>
      </c>
      <c r="AX324" s="78">
        <f>AI324*Valores!$C$73</f>
        <v>15.950100000000003</v>
      </c>
      <c r="AY324" s="78">
        <f>AI324*Valores!$C$75</f>
        <v>55.825350000000014</v>
      </c>
      <c r="AZ324" s="78">
        <f>AI324*Valores!$C$76</f>
        <v>9.570060000000002</v>
      </c>
      <c r="BA324" s="78">
        <f t="shared" si="59"/>
        <v>86.13054000000002</v>
      </c>
      <c r="BD324" s="28" t="s">
        <v>4</v>
      </c>
    </row>
    <row r="325" spans="1:56" ht="11.25" customHeight="1">
      <c r="A325" s="52">
        <v>324</v>
      </c>
      <c r="B325" s="52"/>
      <c r="C325" s="136" t="s">
        <v>525</v>
      </c>
      <c r="D325" s="129">
        <v>1</v>
      </c>
      <c r="E325" s="129">
        <f t="shared" si="51"/>
        <v>40</v>
      </c>
      <c r="F325" s="54" t="s">
        <v>549</v>
      </c>
      <c r="G325" s="127">
        <v>226</v>
      </c>
      <c r="H325" s="74">
        <f>INT((G325*Valores!$C$2*100)+0.5)/100</f>
        <v>1498.92</v>
      </c>
      <c r="I325" s="113">
        <v>0</v>
      </c>
      <c r="J325" s="76">
        <f>INT((I325*Valores!$C$2*100)+0.5)/100</f>
        <v>0</v>
      </c>
      <c r="K325" s="103">
        <v>0</v>
      </c>
      <c r="L325" s="76">
        <f>INT((K325*Valores!$C$2*100)+0.5)/100</f>
        <v>0</v>
      </c>
      <c r="M325" s="101">
        <v>0</v>
      </c>
      <c r="N325" s="76">
        <f>INT((M325*Valores!$C$2*100)+0.5)/100</f>
        <v>0</v>
      </c>
      <c r="O325" s="76">
        <f t="shared" si="52"/>
        <v>0</v>
      </c>
      <c r="P325" s="76">
        <f t="shared" si="53"/>
        <v>0</v>
      </c>
      <c r="Q325" s="102">
        <v>0</v>
      </c>
      <c r="R325" s="102">
        <v>0</v>
      </c>
      <c r="S325" s="76">
        <v>0</v>
      </c>
      <c r="T325" s="79">
        <f>Valores!$C$46</f>
        <v>122.62</v>
      </c>
      <c r="U325" s="79">
        <v>0</v>
      </c>
      <c r="V325" s="76">
        <f t="shared" si="62"/>
        <v>0</v>
      </c>
      <c r="W325" s="76">
        <v>0</v>
      </c>
      <c r="X325" s="76">
        <v>0</v>
      </c>
      <c r="Y325" s="119">
        <v>0</v>
      </c>
      <c r="Z325" s="76">
        <v>0</v>
      </c>
      <c r="AA325" s="76">
        <v>0</v>
      </c>
      <c r="AB325" s="81">
        <v>0</v>
      </c>
      <c r="AC325" s="76">
        <f t="shared" si="56"/>
        <v>0</v>
      </c>
      <c r="AD325" s="76">
        <v>0</v>
      </c>
      <c r="AE325" s="80">
        <v>0</v>
      </c>
      <c r="AF325" s="76">
        <f>INT(((AE325*Valores!$C$2)*100)+0.5)/100</f>
        <v>0</v>
      </c>
      <c r="AG325" s="76"/>
      <c r="AH325" s="76"/>
      <c r="AI325" s="115">
        <f t="shared" si="57"/>
        <v>1621.54</v>
      </c>
      <c r="AJ325" s="115"/>
      <c r="AK325" s="79">
        <f>Valores!$C$12</f>
        <v>0</v>
      </c>
      <c r="AL325" s="79">
        <v>0</v>
      </c>
      <c r="AM325" s="81">
        <v>0</v>
      </c>
      <c r="AN325" s="83">
        <f t="shared" si="58"/>
        <v>0</v>
      </c>
      <c r="AO325" s="62">
        <f>AI325*-Valores!$C$65</f>
        <v>-210.8002</v>
      </c>
      <c r="AP325" s="62">
        <f>AI325*-Valores!$C$66</f>
        <v>-8.1077</v>
      </c>
      <c r="AQ325" s="78">
        <f>AI325*-Valores!$C$67</f>
        <v>-72.96929999999999</v>
      </c>
      <c r="AR325" s="78">
        <f>AI325*-Valores!$C$68</f>
        <v>-43.78158</v>
      </c>
      <c r="AS325" s="78">
        <f>AI325*-Valores!$C$69</f>
        <v>-4.86462</v>
      </c>
      <c r="AT325" s="82">
        <f t="shared" si="54"/>
        <v>1329.6628</v>
      </c>
      <c r="AU325" s="82">
        <f t="shared" si="55"/>
        <v>1353.9859</v>
      </c>
      <c r="AV325" s="78">
        <f>AI325*Valores!$C$71</f>
        <v>259.4464</v>
      </c>
      <c r="AW325" s="78">
        <f>AI325*Valores!$C$72</f>
        <v>72.96929999999999</v>
      </c>
      <c r="AX325" s="78">
        <f>AI325*Valores!$C$73</f>
        <v>16.2154</v>
      </c>
      <c r="AY325" s="78">
        <f>AI325*Valores!$C$75</f>
        <v>56.7539</v>
      </c>
      <c r="AZ325" s="78">
        <f>AI325*Valores!$C$76</f>
        <v>9.72924</v>
      </c>
      <c r="BA325" s="78">
        <f t="shared" si="59"/>
        <v>87.56316000000001</v>
      </c>
      <c r="BC325" s="130"/>
      <c r="BD325" s="28" t="s">
        <v>4</v>
      </c>
    </row>
    <row r="326" spans="1:56" ht="11.25" customHeight="1">
      <c r="A326" s="86">
        <v>325</v>
      </c>
      <c r="B326" s="86" t="s">
        <v>163</v>
      </c>
      <c r="C326" s="137" t="s">
        <v>525</v>
      </c>
      <c r="D326" s="129">
        <v>1</v>
      </c>
      <c r="E326" s="129">
        <f t="shared" si="51"/>
        <v>43</v>
      </c>
      <c r="F326" s="132" t="s">
        <v>550</v>
      </c>
      <c r="G326" s="133">
        <v>220</v>
      </c>
      <c r="H326" s="90">
        <f>INT((G326*Valores!$C$2*100)+0.5)/100</f>
        <v>1459.13</v>
      </c>
      <c r="I326" s="104">
        <v>0</v>
      </c>
      <c r="J326" s="92">
        <f>INT((I326*Valores!$C$2*100)+0.5)/100</f>
        <v>0</v>
      </c>
      <c r="K326" s="105">
        <v>0</v>
      </c>
      <c r="L326" s="92">
        <f>INT((K326*Valores!$C$2*100)+0.5)/100</f>
        <v>0</v>
      </c>
      <c r="M326" s="106">
        <v>0</v>
      </c>
      <c r="N326" s="92">
        <f>INT((M326*Valores!$C$2*100)+0.5)/100</f>
        <v>0</v>
      </c>
      <c r="O326" s="92">
        <f t="shared" si="52"/>
        <v>0</v>
      </c>
      <c r="P326" s="92">
        <f t="shared" si="53"/>
        <v>0</v>
      </c>
      <c r="Q326" s="108">
        <v>0</v>
      </c>
      <c r="R326" s="108">
        <v>0</v>
      </c>
      <c r="S326" s="92">
        <v>0</v>
      </c>
      <c r="T326" s="95">
        <f>Valores!$C$46</f>
        <v>122.62</v>
      </c>
      <c r="U326" s="108">
        <v>0</v>
      </c>
      <c r="V326" s="92">
        <f t="shared" si="62"/>
        <v>0</v>
      </c>
      <c r="W326" s="92">
        <v>0</v>
      </c>
      <c r="X326" s="92">
        <v>0</v>
      </c>
      <c r="Y326" s="120">
        <v>0</v>
      </c>
      <c r="Z326" s="92">
        <v>0</v>
      </c>
      <c r="AA326" s="92">
        <v>0</v>
      </c>
      <c r="AB326" s="97">
        <v>0</v>
      </c>
      <c r="AC326" s="92">
        <f t="shared" si="56"/>
        <v>0</v>
      </c>
      <c r="AD326" s="92">
        <v>0</v>
      </c>
      <c r="AE326" s="96">
        <v>0</v>
      </c>
      <c r="AF326" s="92">
        <f>INT(((AE326*Valores!$C$2)*100)+0.5)/100</f>
        <v>0</v>
      </c>
      <c r="AG326" s="92"/>
      <c r="AH326" s="92"/>
      <c r="AI326" s="116">
        <f t="shared" si="57"/>
        <v>1581.75</v>
      </c>
      <c r="AJ326" s="116"/>
      <c r="AK326" s="95">
        <f>Valores!$C$12</f>
        <v>0</v>
      </c>
      <c r="AL326" s="95">
        <v>0</v>
      </c>
      <c r="AM326" s="97">
        <v>0</v>
      </c>
      <c r="AN326" s="99">
        <f t="shared" si="58"/>
        <v>0</v>
      </c>
      <c r="AO326" s="117">
        <f>AI326*-Valores!$C$65</f>
        <v>-205.6275</v>
      </c>
      <c r="AP326" s="117">
        <f>AI326*-Valores!$C$66</f>
        <v>-7.90875</v>
      </c>
      <c r="AQ326" s="94">
        <f>AI326*-Valores!$C$67</f>
        <v>-71.17875</v>
      </c>
      <c r="AR326" s="94">
        <f>AI326*-Valores!$C$68</f>
        <v>-42.70725</v>
      </c>
      <c r="AS326" s="94">
        <f>AI326*-Valores!$C$69</f>
        <v>-4.74525</v>
      </c>
      <c r="AT326" s="98">
        <f t="shared" si="54"/>
        <v>1297.0349999999999</v>
      </c>
      <c r="AU326" s="98">
        <f t="shared" si="55"/>
        <v>1320.76125</v>
      </c>
      <c r="AV326" s="94">
        <f>AI326*Valores!$C$71</f>
        <v>253.08</v>
      </c>
      <c r="AW326" s="94">
        <f>AI326*Valores!$C$72</f>
        <v>71.17875</v>
      </c>
      <c r="AX326" s="94">
        <f>AI326*Valores!$C$73</f>
        <v>15.8175</v>
      </c>
      <c r="AY326" s="94">
        <f>AI326*Valores!$C$75</f>
        <v>55.361250000000005</v>
      </c>
      <c r="AZ326" s="94">
        <f>AI326*Valores!$C$76</f>
        <v>9.4905</v>
      </c>
      <c r="BA326" s="94">
        <f t="shared" si="59"/>
        <v>85.4145</v>
      </c>
      <c r="BB326" s="130"/>
      <c r="BC326" s="130"/>
      <c r="BD326" s="87" t="s">
        <v>4</v>
      </c>
    </row>
    <row r="327" spans="1:56" ht="11.25" customHeight="1">
      <c r="A327" s="52">
        <v>326</v>
      </c>
      <c r="B327" s="52"/>
      <c r="C327" s="135" t="s">
        <v>525</v>
      </c>
      <c r="E327" s="129">
        <f aca="true" t="shared" si="64" ref="E327">LEN(F327)</f>
        <v>46</v>
      </c>
      <c r="F327" s="54" t="s">
        <v>551</v>
      </c>
      <c r="G327" s="127">
        <v>212</v>
      </c>
      <c r="H327" s="74">
        <f>INT((G327*Valores!$C$2*100)+0.5)/100</f>
        <v>1406.07</v>
      </c>
      <c r="I327" s="113">
        <v>0</v>
      </c>
      <c r="J327" s="76">
        <f>INT((I327*Valores!$C$2*100)+0.5)/100</f>
        <v>0</v>
      </c>
      <c r="K327" s="103">
        <v>0</v>
      </c>
      <c r="L327" s="76">
        <f>INT((K327*Valores!$C$2*100)+0.5)/100</f>
        <v>0</v>
      </c>
      <c r="M327" s="101">
        <v>0</v>
      </c>
      <c r="N327" s="76">
        <f>INT((M327*Valores!$C$2*100)+0.5)/100</f>
        <v>0</v>
      </c>
      <c r="O327" s="76">
        <f aca="true" t="shared" si="65" ref="O327">IF($J$2=0,IF(C327&lt;&gt;"13-930",(SUM(H327,J327,L327,N327,Z327,U327,T327)*$O$2),0),0)</f>
        <v>0</v>
      </c>
      <c r="P327" s="76">
        <f t="shared" si="53"/>
        <v>0</v>
      </c>
      <c r="Q327" s="102">
        <v>0</v>
      </c>
      <c r="R327" s="102">
        <v>0</v>
      </c>
      <c r="S327" s="76">
        <v>0</v>
      </c>
      <c r="T327" s="79">
        <f>Valores!$C$46</f>
        <v>122.62</v>
      </c>
      <c r="U327" s="102">
        <v>0</v>
      </c>
      <c r="V327" s="76">
        <f t="shared" si="62"/>
        <v>0</v>
      </c>
      <c r="W327" s="76">
        <v>0</v>
      </c>
      <c r="X327" s="76">
        <v>0</v>
      </c>
      <c r="Y327" s="119">
        <v>0</v>
      </c>
      <c r="Z327" s="76">
        <v>0</v>
      </c>
      <c r="AA327" s="76">
        <v>0</v>
      </c>
      <c r="AB327" s="81">
        <v>0</v>
      </c>
      <c r="AC327" s="76">
        <f t="shared" si="56"/>
        <v>0</v>
      </c>
      <c r="AD327" s="76">
        <v>0</v>
      </c>
      <c r="AE327" s="80">
        <v>0</v>
      </c>
      <c r="AF327" s="76">
        <f>INT(((AE327*Valores!$C$2)*100)+0.5)/100</f>
        <v>0</v>
      </c>
      <c r="AG327" s="76"/>
      <c r="AH327" s="76"/>
      <c r="AI327" s="115">
        <f t="shared" si="57"/>
        <v>1528.69</v>
      </c>
      <c r="AJ327" s="115"/>
      <c r="AK327" s="79">
        <f>Valores!$C$12</f>
        <v>0</v>
      </c>
      <c r="AL327" s="79">
        <v>0</v>
      </c>
      <c r="AM327" s="81">
        <v>0</v>
      </c>
      <c r="AN327" s="83">
        <f t="shared" si="58"/>
        <v>0</v>
      </c>
      <c r="AO327" s="62">
        <f>AI327*-Valores!$C$65</f>
        <v>-198.7297</v>
      </c>
      <c r="AP327" s="62">
        <f>AI327*-Valores!$C$66</f>
        <v>-7.6434500000000005</v>
      </c>
      <c r="AQ327" s="78">
        <f>AI327*-Valores!$C$67</f>
        <v>-68.79105</v>
      </c>
      <c r="AR327" s="78">
        <f>AI327*-Valores!$C$68</f>
        <v>-41.27463</v>
      </c>
      <c r="AS327" s="78">
        <f>AI327*-Valores!$C$69</f>
        <v>-4.58607</v>
      </c>
      <c r="AT327" s="82">
        <f t="shared" si="54"/>
        <v>1253.5258</v>
      </c>
      <c r="AU327" s="82">
        <f t="shared" si="55"/>
        <v>1276.45615</v>
      </c>
      <c r="AV327" s="78">
        <f>AI327*Valores!$C$71</f>
        <v>244.59040000000002</v>
      </c>
      <c r="AW327" s="78">
        <f>AI327*Valores!$C$72</f>
        <v>68.79105</v>
      </c>
      <c r="AX327" s="78">
        <f>AI327*Valores!$C$73</f>
        <v>15.286900000000001</v>
      </c>
      <c r="AY327" s="78">
        <f>AI327*Valores!$C$75</f>
        <v>53.50415000000001</v>
      </c>
      <c r="AZ327" s="78">
        <f>AI327*Valores!$C$76</f>
        <v>9.17214</v>
      </c>
      <c r="BA327" s="78">
        <f t="shared" si="59"/>
        <v>82.54926000000002</v>
      </c>
      <c r="BD327" s="28" t="s">
        <v>4</v>
      </c>
    </row>
    <row r="329" spans="10:36" ht="11.25" customHeight="1">
      <c r="J329" s="19"/>
      <c r="P329" s="19"/>
      <c r="Q329" s="19"/>
      <c r="R329" s="19"/>
      <c r="S329" s="19"/>
      <c r="T329" s="19"/>
      <c r="U329" s="19"/>
      <c r="V329" s="19"/>
      <c r="W329" s="19"/>
      <c r="X329" s="19"/>
      <c r="Y329" s="138">
        <f>Y47-Y54</f>
        <v>0</v>
      </c>
      <c r="Z329" s="19"/>
      <c r="AA329" s="19"/>
      <c r="AB329" s="19"/>
      <c r="AC329" s="19"/>
      <c r="AD329" s="19"/>
      <c r="AI329" s="139"/>
      <c r="AJ329" s="140"/>
    </row>
  </sheetData>
  <autoFilter ref="A6:BD327"/>
  <mergeCells count="10">
    <mergeCell ref="C1:AM1"/>
    <mergeCell ref="AM2:AM3"/>
    <mergeCell ref="I3:J3"/>
    <mergeCell ref="K3:L3"/>
    <mergeCell ref="G5:H5"/>
    <mergeCell ref="I5:J5"/>
    <mergeCell ref="K5:L5"/>
    <mergeCell ref="M5:N5"/>
    <mergeCell ref="Y5:Z5"/>
    <mergeCell ref="AE5:AF5"/>
  </mergeCells>
  <conditionalFormatting sqref="C257:AC257 AE257:AL257 AK192:AL257 C258:AL327 AM7:BD327 C7:AL256">
    <cfRule type="expression" priority="2" dxfId="64">
      <formula>$BD7="SI"</formula>
    </cfRule>
  </conditionalFormatting>
  <conditionalFormatting sqref="AD257">
    <cfRule type="expression" priority="3" dxfId="64">
      <formula>$BD257="SI"</formula>
    </cfRule>
  </conditionalFormatting>
  <conditionalFormatting sqref="BD192:BD321 BD93 AW89:BA91 BB7:BB93 AN7:AV87 AN89:AV90 AN92:BA93 C322:BD327 C94:BC321 C7:AM93">
    <cfRule type="expression" priority="4" dxfId="0">
      <formula>#REF!="x"</formula>
    </cfRule>
  </conditionalFormatting>
  <conditionalFormatting sqref="BD89:BD91 AN91:AV91">
    <cfRule type="expression" priority="5" dxfId="0">
      <formula>#REF!="x"</formula>
    </cfRule>
  </conditionalFormatting>
  <conditionalFormatting sqref="BD92">
    <cfRule type="expression" priority="6" dxfId="0">
      <formula>#REF!="x"</formula>
    </cfRule>
  </conditionalFormatting>
  <conditionalFormatting sqref="BD7:BD88 AN88:AV88 AV8:AV327 AW7:BA327 AN8:AN327">
    <cfRule type="expression" priority="7" dxfId="0">
      <formula>#REF!="x"</formula>
    </cfRule>
  </conditionalFormatting>
  <conditionalFormatting sqref="BD94:BD191">
    <cfRule type="expression" priority="8" dxfId="0">
      <formula>#REF!="x"</formula>
    </cfRule>
  </conditionalFormatting>
  <conditionalFormatting sqref="BC7:BC88">
    <cfRule type="expression" priority="9" dxfId="0">
      <formula>#REF!="x"</formula>
    </cfRule>
  </conditionalFormatting>
  <conditionalFormatting sqref="BC89:BC91">
    <cfRule type="expression" priority="10" dxfId="0">
      <formula>#REF!="x"</formula>
    </cfRule>
  </conditionalFormatting>
  <conditionalFormatting sqref="BC92:BC93">
    <cfRule type="expression" priority="11" dxfId="0">
      <formula>#REF!="x"</formula>
    </cfRule>
  </conditionalFormatting>
  <conditionalFormatting sqref="AP7">
    <cfRule type="expression" priority="12" dxfId="0">
      <formula>#REF!="x"</formula>
    </cfRule>
  </conditionalFormatting>
  <conditionalFormatting sqref="AP7">
    <cfRule type="expression" priority="13" dxfId="0">
      <formula>#REF!="x"</formula>
    </cfRule>
  </conditionalFormatting>
  <conditionalFormatting sqref="AM94">
    <cfRule type="expression" priority="15" dxfId="0">
      <formula>#REF!="x"</formula>
    </cfRule>
  </conditionalFormatting>
  <conditionalFormatting sqref="AM99">
    <cfRule type="expression" priority="16" dxfId="0">
      <formula>#REF!="x"</formula>
    </cfRule>
  </conditionalFormatting>
  <conditionalFormatting sqref="AM103">
    <cfRule type="expression" priority="17" dxfId="0">
      <formula>#REF!="x"</formula>
    </cfRule>
  </conditionalFormatting>
  <conditionalFormatting sqref="AM104">
    <cfRule type="expression" priority="18" dxfId="0">
      <formula>#REF!="x"</formula>
    </cfRule>
  </conditionalFormatting>
  <conditionalFormatting sqref="AM105">
    <cfRule type="expression" priority="19" dxfId="0">
      <formula>#REF!="x"</formula>
    </cfRule>
  </conditionalFormatting>
  <conditionalFormatting sqref="AM106">
    <cfRule type="expression" priority="20" dxfId="0">
      <formula>#REF!="x"</formula>
    </cfRule>
  </conditionalFormatting>
  <conditionalFormatting sqref="AM107">
    <cfRule type="expression" priority="21" dxfId="0">
      <formula>#REF!="x"</formula>
    </cfRule>
  </conditionalFormatting>
  <conditionalFormatting sqref="AM108">
    <cfRule type="expression" priority="22" dxfId="0">
      <formula>#REF!="x"</formula>
    </cfRule>
  </conditionalFormatting>
  <conditionalFormatting sqref="AM109">
    <cfRule type="expression" priority="23" dxfId="0">
      <formula>#REF!="x"</formula>
    </cfRule>
  </conditionalFormatting>
  <conditionalFormatting sqref="AM110">
    <cfRule type="expression" priority="24" dxfId="0">
      <formula>#REF!="x"</formula>
    </cfRule>
  </conditionalFormatting>
  <conditionalFormatting sqref="AM111">
    <cfRule type="expression" priority="25" dxfId="0">
      <formula>#REF!="x"</formula>
    </cfRule>
  </conditionalFormatting>
  <conditionalFormatting sqref="AM113">
    <cfRule type="expression" priority="26" dxfId="0">
      <formula>#REF!="x"</formula>
    </cfRule>
  </conditionalFormatting>
  <conditionalFormatting sqref="AM114">
    <cfRule type="expression" priority="27" dxfId="0">
      <formula>#REF!="x"</formula>
    </cfRule>
  </conditionalFormatting>
  <conditionalFormatting sqref="AM117">
    <cfRule type="expression" priority="28" dxfId="0">
      <formula>#REF!="x"</formula>
    </cfRule>
  </conditionalFormatting>
  <conditionalFormatting sqref="AM119">
    <cfRule type="expression" priority="29" dxfId="0">
      <formula>#REF!="x"</formula>
    </cfRule>
  </conditionalFormatting>
  <conditionalFormatting sqref="AM122">
    <cfRule type="expression" priority="30" dxfId="0">
      <formula>#REF!="x"</formula>
    </cfRule>
  </conditionalFormatting>
  <conditionalFormatting sqref="AM123">
    <cfRule type="expression" priority="31" dxfId="0">
      <formula>#REF!="x"</formula>
    </cfRule>
  </conditionalFormatting>
  <conditionalFormatting sqref="AM124">
    <cfRule type="expression" priority="32" dxfId="0">
      <formula>#REF!="x"</formula>
    </cfRule>
  </conditionalFormatting>
  <conditionalFormatting sqref="AM125">
    <cfRule type="expression" priority="33" dxfId="0">
      <formula>#REF!="x"</formula>
    </cfRule>
  </conditionalFormatting>
  <conditionalFormatting sqref="AM126">
    <cfRule type="expression" priority="34" dxfId="0">
      <formula>#REF!="x"</formula>
    </cfRule>
  </conditionalFormatting>
  <conditionalFormatting sqref="AM128">
    <cfRule type="expression" priority="35" dxfId="0">
      <formula>#REF!="x"</formula>
    </cfRule>
  </conditionalFormatting>
  <conditionalFormatting sqref="AM129">
    <cfRule type="expression" priority="36" dxfId="0">
      <formula>#REF!="x"</formula>
    </cfRule>
  </conditionalFormatting>
  <conditionalFormatting sqref="AM131">
    <cfRule type="expression" priority="37" dxfId="0">
      <formula>#REF!="x"</formula>
    </cfRule>
  </conditionalFormatting>
  <conditionalFormatting sqref="AM132">
    <cfRule type="expression" priority="38" dxfId="0">
      <formula>#REF!="x"</formula>
    </cfRule>
  </conditionalFormatting>
  <conditionalFormatting sqref="AM133">
    <cfRule type="expression" priority="39" dxfId="0">
      <formula>#REF!="x"</formula>
    </cfRule>
  </conditionalFormatting>
  <conditionalFormatting sqref="AM134">
    <cfRule type="expression" priority="40" dxfId="0">
      <formula>#REF!="x"</formula>
    </cfRule>
  </conditionalFormatting>
  <conditionalFormatting sqref="AM135">
    <cfRule type="expression" priority="41" dxfId="0">
      <formula>#REF!="x"</formula>
    </cfRule>
  </conditionalFormatting>
  <conditionalFormatting sqref="AM136">
    <cfRule type="expression" priority="42" dxfId="0">
      <formula>#REF!="x"</formula>
    </cfRule>
  </conditionalFormatting>
  <conditionalFormatting sqref="AM139">
    <cfRule type="expression" priority="43" dxfId="0">
      <formula>#REF!="x"</formula>
    </cfRule>
  </conditionalFormatting>
  <conditionalFormatting sqref="AM141">
    <cfRule type="expression" priority="44" dxfId="0">
      <formula>#REF!="x"</formula>
    </cfRule>
  </conditionalFormatting>
  <conditionalFormatting sqref="AM142">
    <cfRule type="expression" priority="45" dxfId="0">
      <formula>#REF!="x"</formula>
    </cfRule>
  </conditionalFormatting>
  <conditionalFormatting sqref="AM145">
    <cfRule type="expression" priority="46" dxfId="0">
      <formula>#REF!="x"</formula>
    </cfRule>
  </conditionalFormatting>
  <conditionalFormatting sqref="AM146">
    <cfRule type="expression" priority="47" dxfId="0">
      <formula>#REF!="x"</formula>
    </cfRule>
  </conditionalFormatting>
  <conditionalFormatting sqref="AM147">
    <cfRule type="expression" priority="48" dxfId="0">
      <formula>#REF!="x"</formula>
    </cfRule>
  </conditionalFormatting>
  <conditionalFormatting sqref="AM150">
    <cfRule type="expression" priority="49" dxfId="0">
      <formula>#REF!="x"</formula>
    </cfRule>
  </conditionalFormatting>
  <conditionalFormatting sqref="AM153">
    <cfRule type="expression" priority="50" dxfId="0">
      <formula>#REF!="x"</formula>
    </cfRule>
  </conditionalFormatting>
  <conditionalFormatting sqref="AM154">
    <cfRule type="expression" priority="51" dxfId="0">
      <formula>#REF!="x"</formula>
    </cfRule>
  </conditionalFormatting>
  <conditionalFormatting sqref="AM156">
    <cfRule type="expression" priority="52" dxfId="0">
      <formula>#REF!="x"</formula>
    </cfRule>
  </conditionalFormatting>
  <conditionalFormatting sqref="AM159">
    <cfRule type="expression" priority="53" dxfId="0">
      <formula>#REF!="x"</formula>
    </cfRule>
  </conditionalFormatting>
  <conditionalFormatting sqref="AM160">
    <cfRule type="expression" priority="54" dxfId="0">
      <formula>#REF!="x"</formula>
    </cfRule>
  </conditionalFormatting>
  <conditionalFormatting sqref="AM162">
    <cfRule type="expression" priority="55" dxfId="0">
      <formula>#REF!="x"</formula>
    </cfRule>
  </conditionalFormatting>
  <conditionalFormatting sqref="AM163">
    <cfRule type="expression" priority="56" dxfId="0">
      <formula>#REF!="x"</formula>
    </cfRule>
  </conditionalFormatting>
  <conditionalFormatting sqref="AM164">
    <cfRule type="expression" priority="57" dxfId="0">
      <formula>#REF!="x"</formula>
    </cfRule>
  </conditionalFormatting>
  <conditionalFormatting sqref="AM174">
    <cfRule type="expression" priority="58" dxfId="0">
      <formula>#REF!="x"</formula>
    </cfRule>
  </conditionalFormatting>
  <conditionalFormatting sqref="AM175:AM179">
    <cfRule type="expression" priority="59" dxfId="0">
      <formula>#REF!="x"</formula>
    </cfRule>
  </conditionalFormatting>
  <conditionalFormatting sqref="AM179">
    <cfRule type="expression" priority="60" dxfId="0">
      <formula>#REF!="x"</formula>
    </cfRule>
  </conditionalFormatting>
  <conditionalFormatting sqref="AM180">
    <cfRule type="expression" priority="61" dxfId="0">
      <formula>#REF!="x"</formula>
    </cfRule>
  </conditionalFormatting>
  <conditionalFormatting sqref="AM183">
    <cfRule type="expression" priority="62" dxfId="0">
      <formula>#REF!="x"</formula>
    </cfRule>
  </conditionalFormatting>
  <conditionalFormatting sqref="AM184">
    <cfRule type="expression" priority="63" dxfId="0">
      <formula>#REF!="x"</formula>
    </cfRule>
  </conditionalFormatting>
  <conditionalFormatting sqref="AM185">
    <cfRule type="expression" priority="64" dxfId="0">
      <formula>#REF!="x"</formula>
    </cfRule>
  </conditionalFormatting>
  <conditionalFormatting sqref="AM190">
    <cfRule type="expression" priority="65" dxfId="0">
      <formula>#REF!="x"</formula>
    </cfRule>
  </conditionalFormatting>
  <conditionalFormatting sqref="AM191">
    <cfRule type="expression" priority="66" dxfId="0">
      <formula>#REF!="x"</formula>
    </cfRule>
  </conditionalFormatting>
  <conditionalFormatting sqref="AM181:AM182">
    <cfRule type="expression" priority="67" dxfId="0">
      <formula>#REF!="x"</formula>
    </cfRule>
  </conditionalFormatting>
  <conditionalFormatting sqref="AM180">
    <cfRule type="expression" priority="68" dxfId="0">
      <formula>#REF!="x"</formula>
    </cfRule>
  </conditionalFormatting>
  <dataValidations count="1">
    <dataValidation type="list" allowBlank="1" showInputMessage="1" showErrorMessage="1" error="VALOR INCORRECTO" sqref="H4 AM4">
      <formula1>$AN$3:$AN$4</formula1>
      <formula2>0</formula2>
    </dataValidation>
  </dataValidations>
  <printOptions/>
  <pageMargins left="0" right="0" top="0.747916666666667" bottom="0.314583333333333" header="0.39375" footer="0"/>
  <pageSetup horizontalDpi="600" verticalDpi="600" orientation="portrait" paperSize="9" scale="110" r:id="rId1"/>
  <headerFooter>
    <oddHeader>&amp;LMinisterio de EducaciónDirección de Recursos Humanos&amp;C&amp;F&amp;RValor del Punto: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zoomScale="130" zoomScaleNormal="130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D17" sqref="D17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7.57421875" style="0" customWidth="1"/>
    <col min="4" max="4" width="6.8515625" style="0" customWidth="1"/>
    <col min="5" max="5" width="10.57421875" style="0" customWidth="1"/>
    <col min="6" max="6" width="8.140625" style="0" customWidth="1"/>
    <col min="7" max="7" width="7.140625" style="0" customWidth="1"/>
    <col min="8" max="8" width="9.00390625" style="0" customWidth="1"/>
    <col min="9" max="9" width="7.140625" style="0" customWidth="1"/>
    <col min="10" max="10" width="8.00390625" style="0" customWidth="1"/>
    <col min="11" max="11" width="7.421875" style="0" customWidth="1"/>
    <col min="12" max="12" width="12.421875" style="0" hidden="1" customWidth="1"/>
    <col min="13" max="13" width="6.28125" style="0" hidden="1" customWidth="1"/>
    <col min="14" max="15" width="11.57421875" style="0" hidden="1" customWidth="1"/>
    <col min="16" max="16" width="2.57421875" style="0" customWidth="1"/>
    <col min="17" max="17" width="7.00390625" style="0" customWidth="1"/>
    <col min="18" max="18" width="7.140625" style="0" customWidth="1"/>
    <col min="19" max="19" width="6.57421875" style="0" customWidth="1"/>
    <col min="20" max="20" width="7.140625" style="0" customWidth="1"/>
    <col min="21" max="21" width="5.8515625" style="0" customWidth="1"/>
    <col min="22" max="22" width="7.00390625" style="0" customWidth="1"/>
    <col min="23" max="23" width="6.00390625" style="0" customWidth="1"/>
    <col min="24" max="24" width="8.28125" style="0" customWidth="1"/>
    <col min="25" max="1025" width="10.7109375" style="0" customWidth="1"/>
  </cols>
  <sheetData>
    <row r="1" spans="1:33" ht="25.5" customHeight="1">
      <c r="A1" s="207" t="str">
        <f ca="1">MID(CELL("FILENAME",L41),FIND("[",CELL("FILENAME",L41))+1,FIND("]",CELL("FILENAME",L41))-FIND("[",CELL("FILENAME",L41))-1)</f>
        <v>Esc Doc 2019 03 Cba v2 1.xlsx</v>
      </c>
      <c r="B1" s="207"/>
      <c r="C1" s="207"/>
      <c r="D1" s="207"/>
      <c r="E1" s="207"/>
      <c r="F1" s="207"/>
      <c r="G1" s="207"/>
      <c r="H1" s="207"/>
      <c r="I1" s="207"/>
      <c r="J1" s="207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</row>
    <row r="2" spans="1:25" ht="12.75">
      <c r="A2" s="208" t="s">
        <v>69</v>
      </c>
      <c r="B2" s="208"/>
      <c r="C2" s="142">
        <v>0</v>
      </c>
      <c r="D2" s="142"/>
      <c r="E2" s="142"/>
      <c r="F2" s="142"/>
      <c r="G2" s="143"/>
      <c r="H2" s="142"/>
      <c r="I2" s="144"/>
      <c r="J2" s="145"/>
      <c r="K2" s="146"/>
      <c r="Y2" s="74"/>
    </row>
    <row r="3" spans="7:25" ht="12.75" customHeight="1">
      <c r="G3" s="147"/>
      <c r="H3" s="148"/>
      <c r="I3" s="148"/>
      <c r="J3" s="148"/>
      <c r="K3" s="149"/>
      <c r="Q3" s="209" t="s">
        <v>552</v>
      </c>
      <c r="R3" s="209"/>
      <c r="S3" s="209"/>
      <c r="T3" s="210" t="s">
        <v>553</v>
      </c>
      <c r="U3" s="210"/>
      <c r="V3" s="210"/>
      <c r="W3" s="210"/>
      <c r="Y3" s="74"/>
    </row>
    <row r="4" spans="1:25" ht="19.5">
      <c r="A4" s="44"/>
      <c r="B4" s="44"/>
      <c r="C4" s="150" t="s">
        <v>554</v>
      </c>
      <c r="D4" s="151" t="s">
        <v>77</v>
      </c>
      <c r="E4" s="151" t="s">
        <v>555</v>
      </c>
      <c r="F4" s="151" t="s">
        <v>556</v>
      </c>
      <c r="G4" s="152" t="s">
        <v>78</v>
      </c>
      <c r="H4" s="153" t="s">
        <v>79</v>
      </c>
      <c r="I4" s="154" t="s">
        <v>557</v>
      </c>
      <c r="J4" s="155" t="s">
        <v>558</v>
      </c>
      <c r="K4" s="156" t="s">
        <v>557</v>
      </c>
      <c r="Q4" s="157" t="s">
        <v>559</v>
      </c>
      <c r="R4" s="158" t="s">
        <v>560</v>
      </c>
      <c r="S4" s="158" t="s">
        <v>561</v>
      </c>
      <c r="T4" s="159" t="s">
        <v>562</v>
      </c>
      <c r="U4" s="160" t="s">
        <v>563</v>
      </c>
      <c r="V4" s="160" t="s">
        <v>564</v>
      </c>
      <c r="W4" s="160" t="s">
        <v>561</v>
      </c>
      <c r="X4" s="161" t="s">
        <v>565</v>
      </c>
      <c r="Y4" s="161" t="s">
        <v>566</v>
      </c>
    </row>
    <row r="5" spans="1:25" ht="12.75">
      <c r="A5" s="53" t="s">
        <v>111</v>
      </c>
      <c r="B5" s="55" t="s">
        <v>112</v>
      </c>
      <c r="C5" s="162" t="s">
        <v>114</v>
      </c>
      <c r="D5" s="163" t="s">
        <v>121</v>
      </c>
      <c r="E5" s="163" t="s">
        <v>567</v>
      </c>
      <c r="F5" s="164"/>
      <c r="G5" s="164" t="s">
        <v>122</v>
      </c>
      <c r="H5" s="164" t="s">
        <v>123</v>
      </c>
      <c r="I5" s="165" t="s">
        <v>568</v>
      </c>
      <c r="J5" s="166" t="s">
        <v>569</v>
      </c>
      <c r="K5" s="165" t="s">
        <v>570</v>
      </c>
      <c r="L5" s="167" t="s">
        <v>571</v>
      </c>
      <c r="Q5" s="168">
        <v>0.135</v>
      </c>
      <c r="R5" s="169">
        <v>0.025</v>
      </c>
      <c r="S5" s="170">
        <v>0.045</v>
      </c>
      <c r="T5" s="171">
        <v>0.16</v>
      </c>
      <c r="U5" s="172">
        <v>0.01</v>
      </c>
      <c r="V5" s="173">
        <v>0.025</v>
      </c>
      <c r="W5" s="173">
        <v>0.035</v>
      </c>
      <c r="Y5" s="74"/>
    </row>
    <row r="6" spans="1:25" ht="12.75" customHeight="1">
      <c r="A6" s="28" t="s">
        <v>572</v>
      </c>
      <c r="B6" s="72" t="s">
        <v>573</v>
      </c>
      <c r="C6" s="74">
        <f>C9/1.6*1.8</f>
        <v>7750.89</v>
      </c>
      <c r="D6" s="74">
        <f aca="true" t="shared" si="0" ref="D6:D32">IF($C$2=0,C6*0.15,0)</f>
        <v>1162.6335</v>
      </c>
      <c r="E6" s="74">
        <v>0</v>
      </c>
      <c r="F6" s="74"/>
      <c r="G6" s="74">
        <f>C6*VLOOKUP($C$2,Valores!$I$1:$J$53,2,0)</f>
        <v>0</v>
      </c>
      <c r="H6" s="74">
        <f>H9/1.6*1.8</f>
        <v>5167.27125</v>
      </c>
      <c r="I6" s="82">
        <f aca="true" t="shared" si="1" ref="I6:I32">SUM(C6:H6)</f>
        <v>14080.79475</v>
      </c>
      <c r="J6" s="74">
        <v>0</v>
      </c>
      <c r="K6" s="83">
        <f aca="true" t="shared" si="2" ref="K6:K32">SUM(J6)</f>
        <v>0</v>
      </c>
      <c r="Q6" s="74">
        <f aca="true" t="shared" si="3" ref="Q6:Q28">I6*$Q$5</f>
        <v>1900.90729125</v>
      </c>
      <c r="R6" s="74">
        <f aca="true" t="shared" si="4" ref="R6:R28">I6*$R$5</f>
        <v>352.01986875</v>
      </c>
      <c r="S6" s="74">
        <f aca="true" t="shared" si="5" ref="S6:S28">I6*$S$5</f>
        <v>633.6357637499999</v>
      </c>
      <c r="T6" s="74">
        <f aca="true" t="shared" si="6" ref="T6:T28">I6*$T$5</f>
        <v>2252.9271599999997</v>
      </c>
      <c r="U6" s="74">
        <f aca="true" t="shared" si="7" ref="U6:U28">I6*$U$5</f>
        <v>140.80794749999998</v>
      </c>
      <c r="V6" s="74">
        <f aca="true" t="shared" si="8" ref="V6:V28">I6*$V$5</f>
        <v>352.01986875</v>
      </c>
      <c r="W6" s="74">
        <f aca="true" t="shared" si="9" ref="W6:W28">I6*$W$5</f>
        <v>492.82781625</v>
      </c>
      <c r="X6" s="74">
        <f aca="true" t="shared" si="10" ref="X6:X28">I6+K6+T6+U6+V6+W6</f>
        <v>17319.3775425</v>
      </c>
      <c r="Y6" s="74">
        <f aca="true" t="shared" si="11" ref="Y6:Y28">+I6-SUM(Q6:S6)</f>
        <v>11194.23182625</v>
      </c>
    </row>
    <row r="7" spans="1:25" ht="12.75" customHeight="1">
      <c r="A7" s="174" t="s">
        <v>574</v>
      </c>
      <c r="B7" s="72" t="s">
        <v>575</v>
      </c>
      <c r="C7" s="74">
        <f>C10/1.6*1.8</f>
        <v>15514.02</v>
      </c>
      <c r="D7" s="74">
        <f t="shared" si="0"/>
        <v>2327.103</v>
      </c>
      <c r="E7" s="74">
        <v>0</v>
      </c>
      <c r="F7" s="74"/>
      <c r="G7" s="74">
        <f>C7*VLOOKUP($C$2,Valores!$I$1:$J$53,2,0)</f>
        <v>0</v>
      </c>
      <c r="H7" s="74">
        <f>H10/1.6*1.8</f>
        <v>10334.508749999999</v>
      </c>
      <c r="I7" s="82">
        <f t="shared" si="1"/>
        <v>28175.63175</v>
      </c>
      <c r="J7" s="74">
        <v>0</v>
      </c>
      <c r="K7" s="83">
        <f t="shared" si="2"/>
        <v>0</v>
      </c>
      <c r="M7" s="72" t="s">
        <v>554</v>
      </c>
      <c r="N7" s="175">
        <v>5361.09</v>
      </c>
      <c r="O7" s="175">
        <v>446.76</v>
      </c>
      <c r="Q7" s="74">
        <f t="shared" si="3"/>
        <v>3803.7102862500005</v>
      </c>
      <c r="R7" s="74">
        <f t="shared" si="4"/>
        <v>704.3907937500001</v>
      </c>
      <c r="S7" s="74">
        <f t="shared" si="5"/>
        <v>1267.9034287499999</v>
      </c>
      <c r="T7" s="74">
        <f t="shared" si="6"/>
        <v>4508.10108</v>
      </c>
      <c r="U7" s="74">
        <f t="shared" si="7"/>
        <v>281.7563175</v>
      </c>
      <c r="V7" s="74">
        <f t="shared" si="8"/>
        <v>704.3907937500001</v>
      </c>
      <c r="W7" s="74">
        <f t="shared" si="9"/>
        <v>986.1471112500001</v>
      </c>
      <c r="X7" s="74">
        <f t="shared" si="10"/>
        <v>34656.0270525</v>
      </c>
      <c r="Y7" s="74">
        <f t="shared" si="11"/>
        <v>22399.62724125</v>
      </c>
    </row>
    <row r="8" spans="1:25" ht="12.75" customHeight="1">
      <c r="A8" s="174" t="s">
        <v>576</v>
      </c>
      <c r="B8" s="72" t="s">
        <v>577</v>
      </c>
      <c r="C8" s="74">
        <f>C11/1.6*1.8</f>
        <v>31028.04</v>
      </c>
      <c r="D8" s="74">
        <f t="shared" si="0"/>
        <v>4654.206</v>
      </c>
      <c r="E8" s="74">
        <v>0</v>
      </c>
      <c r="F8" s="74"/>
      <c r="G8" s="74">
        <f>C8*VLOOKUP($C$2,Valores!$I$1:$J$53,2,0)</f>
        <v>0</v>
      </c>
      <c r="H8" s="74">
        <f>H11/1.6*1.8</f>
        <v>20669.017499999998</v>
      </c>
      <c r="I8" s="82">
        <f t="shared" si="1"/>
        <v>56351.2635</v>
      </c>
      <c r="J8" s="74">
        <v>0</v>
      </c>
      <c r="K8" s="83">
        <f t="shared" si="2"/>
        <v>0</v>
      </c>
      <c r="M8" s="72" t="s">
        <v>578</v>
      </c>
      <c r="N8" s="175">
        <v>1068</v>
      </c>
      <c r="O8" s="175">
        <v>89</v>
      </c>
      <c r="Q8" s="74">
        <f t="shared" si="3"/>
        <v>7607.420572500001</v>
      </c>
      <c r="R8" s="74">
        <f t="shared" si="4"/>
        <v>1408.7815875000001</v>
      </c>
      <c r="S8" s="74">
        <f t="shared" si="5"/>
        <v>2535.8068574999998</v>
      </c>
      <c r="T8" s="74">
        <f t="shared" si="6"/>
        <v>9016.20216</v>
      </c>
      <c r="U8" s="74">
        <f t="shared" si="7"/>
        <v>563.512635</v>
      </c>
      <c r="V8" s="74">
        <f t="shared" si="8"/>
        <v>1408.7815875000001</v>
      </c>
      <c r="W8" s="74">
        <f t="shared" si="9"/>
        <v>1972.2942225000002</v>
      </c>
      <c r="X8" s="74">
        <f t="shared" si="10"/>
        <v>69312.054105</v>
      </c>
      <c r="Y8" s="74">
        <f t="shared" si="11"/>
        <v>44799.2544825</v>
      </c>
    </row>
    <row r="9" spans="1:25" ht="12.75" customHeight="1">
      <c r="A9" s="176" t="s">
        <v>579</v>
      </c>
      <c r="B9" s="177" t="s">
        <v>580</v>
      </c>
      <c r="C9" s="178">
        <v>6889.68</v>
      </c>
      <c r="D9" s="178">
        <f t="shared" si="0"/>
        <v>1033.452</v>
      </c>
      <c r="E9" s="178">
        <v>0</v>
      </c>
      <c r="F9" s="178"/>
      <c r="G9" s="178">
        <f>C9*VLOOKUP($C$2,Valores!$I$1:$J$53,2,0)</f>
        <v>0</v>
      </c>
      <c r="H9" s="178">
        <v>4593.13</v>
      </c>
      <c r="I9" s="179">
        <f t="shared" si="1"/>
        <v>12516.262</v>
      </c>
      <c r="J9" s="178">
        <v>888.69</v>
      </c>
      <c r="K9" s="180">
        <f t="shared" si="2"/>
        <v>888.69</v>
      </c>
      <c r="M9" s="72" t="s">
        <v>581</v>
      </c>
      <c r="N9" s="175">
        <v>1614.824</v>
      </c>
      <c r="O9" s="175">
        <v>134.578666666667</v>
      </c>
      <c r="Q9" s="74">
        <f t="shared" si="3"/>
        <v>1689.6953700000001</v>
      </c>
      <c r="R9" s="74">
        <f t="shared" si="4"/>
        <v>312.90655000000004</v>
      </c>
      <c r="S9" s="74">
        <f t="shared" si="5"/>
        <v>563.23179</v>
      </c>
      <c r="T9" s="74">
        <f t="shared" si="6"/>
        <v>2002.60192</v>
      </c>
      <c r="U9" s="74">
        <f t="shared" si="7"/>
        <v>125.16262</v>
      </c>
      <c r="V9" s="74">
        <f t="shared" si="8"/>
        <v>312.90655000000004</v>
      </c>
      <c r="W9" s="74">
        <f t="shared" si="9"/>
        <v>438.06917000000004</v>
      </c>
      <c r="X9" s="74">
        <f t="shared" si="10"/>
        <v>16283.692260000002</v>
      </c>
      <c r="Y9" s="74">
        <f t="shared" si="11"/>
        <v>9950.42829</v>
      </c>
    </row>
    <row r="10" spans="1:25" ht="12.75" customHeight="1">
      <c r="A10" s="176" t="s">
        <v>582</v>
      </c>
      <c r="B10" s="177" t="s">
        <v>583</v>
      </c>
      <c r="C10" s="178">
        <v>13790.24</v>
      </c>
      <c r="D10" s="178">
        <f t="shared" si="0"/>
        <v>2068.536</v>
      </c>
      <c r="E10" s="178">
        <v>0</v>
      </c>
      <c r="F10" s="178"/>
      <c r="G10" s="178">
        <f>C10*VLOOKUP($C$2,Valores!$I$1:$J$53,2,0)</f>
        <v>0</v>
      </c>
      <c r="H10" s="178">
        <v>9186.23</v>
      </c>
      <c r="I10" s="179">
        <f t="shared" si="1"/>
        <v>25045.006</v>
      </c>
      <c r="J10" s="178">
        <v>1064.02</v>
      </c>
      <c r="K10" s="180">
        <f t="shared" si="2"/>
        <v>1064.02</v>
      </c>
      <c r="M10" s="72" t="s">
        <v>584</v>
      </c>
      <c r="N10" s="175">
        <v>250.08</v>
      </c>
      <c r="O10" s="175">
        <v>20.84</v>
      </c>
      <c r="Q10" s="74">
        <f t="shared" si="3"/>
        <v>3381.0758100000003</v>
      </c>
      <c r="R10" s="74">
        <f t="shared" si="4"/>
        <v>626.1251500000001</v>
      </c>
      <c r="S10" s="74">
        <f t="shared" si="5"/>
        <v>1127.02527</v>
      </c>
      <c r="T10" s="74">
        <f t="shared" si="6"/>
        <v>4007.20096</v>
      </c>
      <c r="U10" s="74">
        <f t="shared" si="7"/>
        <v>250.45006</v>
      </c>
      <c r="V10" s="74">
        <f t="shared" si="8"/>
        <v>626.1251500000001</v>
      </c>
      <c r="W10" s="74">
        <f t="shared" si="9"/>
        <v>876.5752100000001</v>
      </c>
      <c r="X10" s="74">
        <f t="shared" si="10"/>
        <v>31869.377379999998</v>
      </c>
      <c r="Y10" s="74">
        <f t="shared" si="11"/>
        <v>19910.77977</v>
      </c>
    </row>
    <row r="11" spans="1:25" ht="12.75" customHeight="1">
      <c r="A11" s="174" t="s">
        <v>585</v>
      </c>
      <c r="B11" s="72" t="s">
        <v>586</v>
      </c>
      <c r="C11" s="74">
        <f>C10*2</f>
        <v>27580.48</v>
      </c>
      <c r="D11" s="74">
        <f t="shared" si="0"/>
        <v>4137.072</v>
      </c>
      <c r="E11" s="74">
        <v>0</v>
      </c>
      <c r="F11" s="74"/>
      <c r="G11" s="74">
        <f>C11*VLOOKUP($C$2,Valores!$I$1:$J$53,2,0)</f>
        <v>0</v>
      </c>
      <c r="H11" s="74">
        <f>H10*2</f>
        <v>18372.46</v>
      </c>
      <c r="I11" s="82">
        <f t="shared" si="1"/>
        <v>50090.012</v>
      </c>
      <c r="J11" s="74">
        <v>0</v>
      </c>
      <c r="K11" s="83">
        <f t="shared" si="2"/>
        <v>0</v>
      </c>
      <c r="M11" s="72" t="s">
        <v>587</v>
      </c>
      <c r="N11" s="175">
        <v>546</v>
      </c>
      <c r="O11" s="175">
        <v>45.5</v>
      </c>
      <c r="Q11" s="74">
        <f t="shared" si="3"/>
        <v>6762.151620000001</v>
      </c>
      <c r="R11" s="74">
        <f t="shared" si="4"/>
        <v>1252.2503000000002</v>
      </c>
      <c r="S11" s="74">
        <f t="shared" si="5"/>
        <v>2254.05054</v>
      </c>
      <c r="T11" s="74">
        <f t="shared" si="6"/>
        <v>8014.40192</v>
      </c>
      <c r="U11" s="74">
        <f t="shared" si="7"/>
        <v>500.90012</v>
      </c>
      <c r="V11" s="74">
        <f t="shared" si="8"/>
        <v>1252.2503000000002</v>
      </c>
      <c r="W11" s="74">
        <f t="shared" si="9"/>
        <v>1753.1504200000002</v>
      </c>
      <c r="X11" s="74">
        <f t="shared" si="10"/>
        <v>61610.71476</v>
      </c>
      <c r="Y11" s="74">
        <f t="shared" si="11"/>
        <v>39821.55954</v>
      </c>
    </row>
    <row r="12" spans="1:25" ht="12.75" customHeight="1">
      <c r="A12" s="174" t="s">
        <v>588</v>
      </c>
      <c r="B12" s="72" t="s">
        <v>589</v>
      </c>
      <c r="C12" s="74">
        <f>C9/1.6*1.4</f>
        <v>6028.47</v>
      </c>
      <c r="D12" s="74">
        <f t="shared" si="0"/>
        <v>904.2705</v>
      </c>
      <c r="E12" s="74">
        <v>0</v>
      </c>
      <c r="F12" s="74"/>
      <c r="G12" s="74">
        <f>C12*VLOOKUP($C$2,Valores!$I$1:$J$53,2,0)</f>
        <v>0</v>
      </c>
      <c r="H12" s="74">
        <f>H9/1.6*1.4</f>
        <v>4018.9887499999995</v>
      </c>
      <c r="I12" s="82">
        <f t="shared" si="1"/>
        <v>10951.72925</v>
      </c>
      <c r="J12" s="74">
        <v>0</v>
      </c>
      <c r="K12" s="83">
        <f t="shared" si="2"/>
        <v>0</v>
      </c>
      <c r="M12" s="72" t="s">
        <v>590</v>
      </c>
      <c r="N12" s="175">
        <v>62.04</v>
      </c>
      <c r="O12" s="175">
        <v>5.17</v>
      </c>
      <c r="Q12" s="74">
        <f t="shared" si="3"/>
        <v>1478.4834487500002</v>
      </c>
      <c r="R12" s="74">
        <f t="shared" si="4"/>
        <v>273.79323125</v>
      </c>
      <c r="S12" s="74">
        <f t="shared" si="5"/>
        <v>492.82781625</v>
      </c>
      <c r="T12" s="74">
        <f t="shared" si="6"/>
        <v>1752.2766800000002</v>
      </c>
      <c r="U12" s="74">
        <f t="shared" si="7"/>
        <v>109.51729250000001</v>
      </c>
      <c r="V12" s="74">
        <f t="shared" si="8"/>
        <v>273.79323125</v>
      </c>
      <c r="W12" s="74">
        <f t="shared" si="9"/>
        <v>383.3105237500001</v>
      </c>
      <c r="X12" s="74">
        <f t="shared" si="10"/>
        <v>13470.626977500002</v>
      </c>
      <c r="Y12" s="74">
        <f t="shared" si="11"/>
        <v>8706.62475375</v>
      </c>
    </row>
    <row r="13" spans="1:25" ht="12.75" customHeight="1">
      <c r="A13" s="174" t="s">
        <v>591</v>
      </c>
      <c r="B13" s="72" t="s">
        <v>592</v>
      </c>
      <c r="C13" s="74">
        <f>C10/1.6*1.4</f>
        <v>12066.46</v>
      </c>
      <c r="D13" s="74">
        <f t="shared" si="0"/>
        <v>1809.9689999999998</v>
      </c>
      <c r="E13" s="74">
        <v>0</v>
      </c>
      <c r="F13" s="74"/>
      <c r="G13" s="74">
        <f>C13*VLOOKUP($C$2,Valores!$I$1:$J$53,2,0)</f>
        <v>0</v>
      </c>
      <c r="H13" s="74">
        <f>H10/1.6*1.4</f>
        <v>8037.951249999998</v>
      </c>
      <c r="I13" s="82">
        <f t="shared" si="1"/>
        <v>21914.380249999995</v>
      </c>
      <c r="J13" s="74">
        <v>0</v>
      </c>
      <c r="K13" s="83">
        <f t="shared" si="2"/>
        <v>0</v>
      </c>
      <c r="M13" s="72" t="s">
        <v>593</v>
      </c>
      <c r="N13" s="175">
        <v>175</v>
      </c>
      <c r="O13" s="175"/>
      <c r="Q13" s="74">
        <f t="shared" si="3"/>
        <v>2958.4413337499996</v>
      </c>
      <c r="R13" s="74">
        <f t="shared" si="4"/>
        <v>547.8595062499999</v>
      </c>
      <c r="S13" s="74">
        <f t="shared" si="5"/>
        <v>986.1471112499997</v>
      </c>
      <c r="T13" s="74">
        <f t="shared" si="6"/>
        <v>3506.3008399999994</v>
      </c>
      <c r="U13" s="74">
        <f t="shared" si="7"/>
        <v>219.14380249999996</v>
      </c>
      <c r="V13" s="74">
        <f t="shared" si="8"/>
        <v>547.8595062499999</v>
      </c>
      <c r="W13" s="74">
        <f t="shared" si="9"/>
        <v>767.0033087499999</v>
      </c>
      <c r="X13" s="74">
        <f t="shared" si="10"/>
        <v>26954.687707499994</v>
      </c>
      <c r="Y13" s="74">
        <f t="shared" si="11"/>
        <v>17421.932298749995</v>
      </c>
    </row>
    <row r="14" spans="1:25" ht="12.75" customHeight="1">
      <c r="A14" s="174" t="s">
        <v>594</v>
      </c>
      <c r="B14" s="72" t="s">
        <v>595</v>
      </c>
      <c r="C14" s="74">
        <f>C11/1.6*1.4</f>
        <v>24132.92</v>
      </c>
      <c r="D14" s="74">
        <f t="shared" si="0"/>
        <v>3619.9379999999996</v>
      </c>
      <c r="E14" s="74">
        <v>0</v>
      </c>
      <c r="F14" s="74"/>
      <c r="G14" s="74">
        <f>C14*VLOOKUP($C$2,Valores!$I$1:$J$53,2,0)</f>
        <v>0</v>
      </c>
      <c r="H14" s="74">
        <f>H11/1.6*1.4</f>
        <v>16075.902499999997</v>
      </c>
      <c r="I14" s="82">
        <f t="shared" si="1"/>
        <v>43828.76049999999</v>
      </c>
      <c r="J14" s="74">
        <v>0</v>
      </c>
      <c r="K14" s="83">
        <f t="shared" si="2"/>
        <v>0</v>
      </c>
      <c r="M14" s="72" t="s">
        <v>596</v>
      </c>
      <c r="N14" s="175">
        <v>50</v>
      </c>
      <c r="O14" s="175"/>
      <c r="Q14" s="74">
        <f t="shared" si="3"/>
        <v>5916.882667499999</v>
      </c>
      <c r="R14" s="74">
        <f t="shared" si="4"/>
        <v>1095.7190124999997</v>
      </c>
      <c r="S14" s="74">
        <f t="shared" si="5"/>
        <v>1972.2942224999995</v>
      </c>
      <c r="T14" s="74">
        <f t="shared" si="6"/>
        <v>7012.601679999999</v>
      </c>
      <c r="U14" s="74">
        <f t="shared" si="7"/>
        <v>438.2876049999999</v>
      </c>
      <c r="V14" s="74">
        <f t="shared" si="8"/>
        <v>1095.7190124999997</v>
      </c>
      <c r="W14" s="74">
        <f t="shared" si="9"/>
        <v>1534.0066174999997</v>
      </c>
      <c r="X14" s="74">
        <f t="shared" si="10"/>
        <v>53909.37541499999</v>
      </c>
      <c r="Y14" s="74">
        <f t="shared" si="11"/>
        <v>34843.86459749999</v>
      </c>
    </row>
    <row r="15" spans="1:25" ht="12.75" customHeight="1">
      <c r="A15" s="174" t="s">
        <v>597</v>
      </c>
      <c r="B15" s="72" t="s">
        <v>598</v>
      </c>
      <c r="C15" s="74">
        <f>C9/1.6*1.2</f>
        <v>5167.26</v>
      </c>
      <c r="D15" s="74">
        <f t="shared" si="0"/>
        <v>775.089</v>
      </c>
      <c r="E15" s="74">
        <v>0</v>
      </c>
      <c r="F15" s="74"/>
      <c r="G15" s="74">
        <f>C15*VLOOKUP($C$2,Valores!$I$1:$J$53,2,0)</f>
        <v>0</v>
      </c>
      <c r="H15" s="74">
        <f>H9/1.6*1.2</f>
        <v>3444.8474999999994</v>
      </c>
      <c r="I15" s="82">
        <f t="shared" si="1"/>
        <v>9387.1965</v>
      </c>
      <c r="J15" s="74">
        <v>0</v>
      </c>
      <c r="K15" s="83">
        <f t="shared" si="2"/>
        <v>0</v>
      </c>
      <c r="M15" s="72" t="s">
        <v>599</v>
      </c>
      <c r="N15" s="175">
        <v>51.6</v>
      </c>
      <c r="O15" s="175">
        <v>4.3</v>
      </c>
      <c r="Q15" s="74">
        <f t="shared" si="3"/>
        <v>1267.2715275</v>
      </c>
      <c r="R15" s="74">
        <f t="shared" si="4"/>
        <v>234.6799125</v>
      </c>
      <c r="S15" s="74">
        <f t="shared" si="5"/>
        <v>422.4238425</v>
      </c>
      <c r="T15" s="74">
        <f t="shared" si="6"/>
        <v>1501.95144</v>
      </c>
      <c r="U15" s="74">
        <f t="shared" si="7"/>
        <v>93.871965</v>
      </c>
      <c r="V15" s="74">
        <f t="shared" si="8"/>
        <v>234.6799125</v>
      </c>
      <c r="W15" s="74">
        <f t="shared" si="9"/>
        <v>328.55187750000005</v>
      </c>
      <c r="X15" s="74">
        <f t="shared" si="10"/>
        <v>11546.251695</v>
      </c>
      <c r="Y15" s="74">
        <f t="shared" si="11"/>
        <v>7462.8212175</v>
      </c>
    </row>
    <row r="16" spans="1:25" ht="12.75" customHeight="1">
      <c r="A16" s="174" t="s">
        <v>600</v>
      </c>
      <c r="B16" s="72" t="s">
        <v>601</v>
      </c>
      <c r="C16" s="74">
        <f>C10/1.6*1.2</f>
        <v>10342.679999999998</v>
      </c>
      <c r="D16" s="74">
        <f t="shared" si="0"/>
        <v>1551.4019999999998</v>
      </c>
      <c r="E16" s="74">
        <v>0</v>
      </c>
      <c r="F16" s="74"/>
      <c r="G16" s="74">
        <f>C16*VLOOKUP($C$2,Valores!$I$1:$J$53,2,0)</f>
        <v>0</v>
      </c>
      <c r="H16" s="74">
        <f>H10/1.6*1.2</f>
        <v>6889.672499999999</v>
      </c>
      <c r="I16" s="82">
        <f t="shared" si="1"/>
        <v>18783.754499999995</v>
      </c>
      <c r="J16" s="74">
        <v>0</v>
      </c>
      <c r="K16" s="83">
        <f t="shared" si="2"/>
        <v>0</v>
      </c>
      <c r="M16" s="181" t="s">
        <v>93</v>
      </c>
      <c r="N16" s="182">
        <f>SUM(N7:N15)</f>
        <v>9178.634000000002</v>
      </c>
      <c r="O16" s="175">
        <f>INT((SUM(O7:O15)*100)+0.5)/100</f>
        <v>746.15</v>
      </c>
      <c r="Q16" s="74">
        <f t="shared" si="3"/>
        <v>2535.8068574999998</v>
      </c>
      <c r="R16" s="74">
        <f t="shared" si="4"/>
        <v>469.5938624999999</v>
      </c>
      <c r="S16" s="74">
        <f t="shared" si="5"/>
        <v>845.2689524999997</v>
      </c>
      <c r="T16" s="74">
        <f t="shared" si="6"/>
        <v>3005.400719999999</v>
      </c>
      <c r="U16" s="74">
        <f t="shared" si="7"/>
        <v>187.83754499999995</v>
      </c>
      <c r="V16" s="74">
        <f t="shared" si="8"/>
        <v>469.5938624999999</v>
      </c>
      <c r="W16" s="74">
        <f t="shared" si="9"/>
        <v>657.4314074999999</v>
      </c>
      <c r="X16" s="74">
        <f t="shared" si="10"/>
        <v>23104.018034999994</v>
      </c>
      <c r="Y16" s="74">
        <f t="shared" si="11"/>
        <v>14933.084827499995</v>
      </c>
    </row>
    <row r="17" spans="1:25" ht="12.75" customHeight="1">
      <c r="A17" s="174" t="s">
        <v>602</v>
      </c>
      <c r="B17" s="72" t="s">
        <v>603</v>
      </c>
      <c r="C17" s="74">
        <f>C11/1.6*1.2</f>
        <v>20685.359999999997</v>
      </c>
      <c r="D17" s="74">
        <f t="shared" si="0"/>
        <v>3102.8039999999996</v>
      </c>
      <c r="E17" s="74">
        <v>0</v>
      </c>
      <c r="F17" s="74"/>
      <c r="G17" s="74">
        <f>C17*VLOOKUP($C$2,Valores!$I$1:$J$53,2,0)</f>
        <v>0</v>
      </c>
      <c r="H17" s="74">
        <f>H11/1.6*1.2</f>
        <v>13779.344999999998</v>
      </c>
      <c r="I17" s="82">
        <f t="shared" si="1"/>
        <v>37567.50899999999</v>
      </c>
      <c r="J17" s="74">
        <v>0</v>
      </c>
      <c r="K17" s="83">
        <f t="shared" si="2"/>
        <v>0</v>
      </c>
      <c r="M17" s="72"/>
      <c r="N17" s="175"/>
      <c r="O17" s="175">
        <f>O16*12*1.2</f>
        <v>10744.56</v>
      </c>
      <c r="Q17" s="74">
        <f t="shared" si="3"/>
        <v>5071.6137149999995</v>
      </c>
      <c r="R17" s="74">
        <f t="shared" si="4"/>
        <v>939.1877249999998</v>
      </c>
      <c r="S17" s="74">
        <f t="shared" si="5"/>
        <v>1690.5379049999995</v>
      </c>
      <c r="T17" s="74">
        <f t="shared" si="6"/>
        <v>6010.801439999998</v>
      </c>
      <c r="U17" s="74">
        <f t="shared" si="7"/>
        <v>375.6750899999999</v>
      </c>
      <c r="V17" s="74">
        <f t="shared" si="8"/>
        <v>939.1877249999998</v>
      </c>
      <c r="W17" s="74">
        <f t="shared" si="9"/>
        <v>1314.8628149999997</v>
      </c>
      <c r="X17" s="74">
        <f t="shared" si="10"/>
        <v>46208.03606999999</v>
      </c>
      <c r="Y17" s="74">
        <f t="shared" si="11"/>
        <v>29866.16965499999</v>
      </c>
    </row>
    <row r="18" spans="1:25" ht="12.75" customHeight="1">
      <c r="A18" s="174" t="s">
        <v>604</v>
      </c>
      <c r="B18" s="72" t="s">
        <v>605</v>
      </c>
      <c r="C18" s="74">
        <f>C6/1.6</f>
        <v>4844.30625</v>
      </c>
      <c r="D18" s="74">
        <f t="shared" si="0"/>
        <v>726.6459375</v>
      </c>
      <c r="E18" s="74">
        <v>0</v>
      </c>
      <c r="F18" s="74"/>
      <c r="G18" s="74">
        <f>C18*VLOOKUP($C$2,Valores!$I$1:$J$53,2,0)</f>
        <v>0</v>
      </c>
      <c r="H18" s="74">
        <f>H6/1.6</f>
        <v>3229.5445312499996</v>
      </c>
      <c r="I18" s="82">
        <f t="shared" si="1"/>
        <v>8800.496718749999</v>
      </c>
      <c r="J18" s="74">
        <v>0</v>
      </c>
      <c r="K18" s="83">
        <f t="shared" si="2"/>
        <v>0</v>
      </c>
      <c r="M18" s="72" t="s">
        <v>606</v>
      </c>
      <c r="N18" s="175">
        <v>200.04</v>
      </c>
      <c r="O18" s="175">
        <v>16.67</v>
      </c>
      <c r="P18" s="74"/>
      <c r="Q18" s="74">
        <f t="shared" si="3"/>
        <v>1188.06705703125</v>
      </c>
      <c r="R18" s="74">
        <f t="shared" si="4"/>
        <v>220.01241796875</v>
      </c>
      <c r="S18" s="74">
        <f t="shared" si="5"/>
        <v>396.02235234374996</v>
      </c>
      <c r="T18" s="74">
        <f t="shared" si="6"/>
        <v>1408.0794749999998</v>
      </c>
      <c r="U18" s="74">
        <f t="shared" si="7"/>
        <v>88.00496718749999</v>
      </c>
      <c r="V18" s="74">
        <f t="shared" si="8"/>
        <v>220.01241796875</v>
      </c>
      <c r="W18" s="74">
        <f t="shared" si="9"/>
        <v>308.01738515625</v>
      </c>
      <c r="X18" s="74">
        <f t="shared" si="10"/>
        <v>10824.6109640625</v>
      </c>
      <c r="Y18" s="74">
        <f t="shared" si="11"/>
        <v>6996.394891406249</v>
      </c>
    </row>
    <row r="19" spans="1:25" ht="12.75" customHeight="1">
      <c r="A19" s="174" t="s">
        <v>607</v>
      </c>
      <c r="B19" s="72" t="s">
        <v>608</v>
      </c>
      <c r="C19" s="74">
        <f>C10/1.6</f>
        <v>8618.9</v>
      </c>
      <c r="D19" s="74">
        <f t="shared" si="0"/>
        <v>1292.8349999999998</v>
      </c>
      <c r="E19" s="74">
        <v>0</v>
      </c>
      <c r="F19" s="74"/>
      <c r="G19" s="74">
        <f>C19*VLOOKUP($C$2,Valores!$I$1:$J$53,2,0)</f>
        <v>0</v>
      </c>
      <c r="H19" s="74">
        <f>H10/1.6</f>
        <v>5741.393749999999</v>
      </c>
      <c r="I19" s="82">
        <f t="shared" si="1"/>
        <v>15653.128749999998</v>
      </c>
      <c r="J19" s="74">
        <v>0</v>
      </c>
      <c r="K19" s="83">
        <f t="shared" si="2"/>
        <v>0</v>
      </c>
      <c r="M19" s="72" t="s">
        <v>609</v>
      </c>
      <c r="N19" s="175" t="e">
        <f>#REF!</f>
        <v>#REF!</v>
      </c>
      <c r="O19" s="175">
        <f>390/12</f>
        <v>32.5</v>
      </c>
      <c r="Q19" s="74">
        <f t="shared" si="3"/>
        <v>2113.17238125</v>
      </c>
      <c r="R19" s="74">
        <f t="shared" si="4"/>
        <v>391.32821874999996</v>
      </c>
      <c r="S19" s="74">
        <f t="shared" si="5"/>
        <v>704.3907937499998</v>
      </c>
      <c r="T19" s="74">
        <f t="shared" si="6"/>
        <v>2504.5006</v>
      </c>
      <c r="U19" s="74">
        <f t="shared" si="7"/>
        <v>156.5312875</v>
      </c>
      <c r="V19" s="74">
        <f t="shared" si="8"/>
        <v>391.32821874999996</v>
      </c>
      <c r="W19" s="74">
        <f t="shared" si="9"/>
        <v>547.85950625</v>
      </c>
      <c r="X19" s="74">
        <f t="shared" si="10"/>
        <v>19253.3483625</v>
      </c>
      <c r="Y19" s="74">
        <f t="shared" si="11"/>
        <v>12444.237356249998</v>
      </c>
    </row>
    <row r="20" spans="1:25" ht="12.75" customHeight="1">
      <c r="A20" s="174" t="s">
        <v>610</v>
      </c>
      <c r="B20" s="72" t="s">
        <v>611</v>
      </c>
      <c r="C20" s="74">
        <f>C11/1.6</f>
        <v>17237.8</v>
      </c>
      <c r="D20" s="74">
        <f t="shared" si="0"/>
        <v>2585.6699999999996</v>
      </c>
      <c r="E20" s="74">
        <v>0</v>
      </c>
      <c r="F20" s="74"/>
      <c r="G20" s="74">
        <f>C20*VLOOKUP($C$2,Valores!$I$1:$J$53,2,0)</f>
        <v>0</v>
      </c>
      <c r="H20" s="74">
        <f>H11/1.6</f>
        <v>11482.787499999999</v>
      </c>
      <c r="I20" s="82">
        <f t="shared" si="1"/>
        <v>31306.257499999996</v>
      </c>
      <c r="J20" s="74">
        <v>0</v>
      </c>
      <c r="K20" s="83">
        <f t="shared" si="2"/>
        <v>0</v>
      </c>
      <c r="M20" s="181" t="s">
        <v>97</v>
      </c>
      <c r="N20" s="182" t="e">
        <f>SUM(N18:N19)</f>
        <v>#REF!</v>
      </c>
      <c r="O20" s="175">
        <f>SUM(O18:O19)*12</f>
        <v>590.04</v>
      </c>
      <c r="Q20" s="74">
        <f t="shared" si="3"/>
        <v>4226.3447625</v>
      </c>
      <c r="R20" s="74">
        <f t="shared" si="4"/>
        <v>782.6564374999999</v>
      </c>
      <c r="S20" s="74">
        <f t="shared" si="5"/>
        <v>1408.7815874999997</v>
      </c>
      <c r="T20" s="74">
        <f t="shared" si="6"/>
        <v>5009.0012</v>
      </c>
      <c r="U20" s="74">
        <f t="shared" si="7"/>
        <v>313.062575</v>
      </c>
      <c r="V20" s="74">
        <f t="shared" si="8"/>
        <v>782.6564374999999</v>
      </c>
      <c r="W20" s="74">
        <f t="shared" si="9"/>
        <v>1095.7190125</v>
      </c>
      <c r="X20" s="74">
        <f t="shared" si="10"/>
        <v>38506.696725</v>
      </c>
      <c r="Y20" s="74">
        <f t="shared" si="11"/>
        <v>24888.474712499996</v>
      </c>
    </row>
    <row r="21" spans="1:25" ht="12.75" customHeight="1">
      <c r="A21" s="174" t="s">
        <v>612</v>
      </c>
      <c r="B21" s="72" t="s">
        <v>613</v>
      </c>
      <c r="C21" s="74">
        <v>688.97</v>
      </c>
      <c r="D21" s="74">
        <f t="shared" si="0"/>
        <v>103.3455</v>
      </c>
      <c r="E21" s="74">
        <v>0</v>
      </c>
      <c r="F21" s="74"/>
      <c r="G21" s="74">
        <f>C21*VLOOKUP($C$2,Valores!$I$1:$J$53,2,0)</f>
        <v>0</v>
      </c>
      <c r="H21" s="74">
        <v>459.3149</v>
      </c>
      <c r="I21" s="82">
        <f t="shared" si="1"/>
        <v>1251.6304</v>
      </c>
      <c r="J21" s="74">
        <v>88.67</v>
      </c>
      <c r="K21" s="83">
        <f t="shared" si="2"/>
        <v>88.67</v>
      </c>
      <c r="M21" s="181"/>
      <c r="N21" s="182"/>
      <c r="O21" s="175"/>
      <c r="Q21" s="74">
        <f t="shared" si="3"/>
        <v>168.97010400000002</v>
      </c>
      <c r="R21" s="74">
        <f t="shared" si="4"/>
        <v>31.290760000000002</v>
      </c>
      <c r="S21" s="74">
        <f t="shared" si="5"/>
        <v>56.323367999999995</v>
      </c>
      <c r="T21" s="74">
        <f t="shared" si="6"/>
        <v>200.260864</v>
      </c>
      <c r="U21" s="74">
        <f t="shared" si="7"/>
        <v>12.516304</v>
      </c>
      <c r="V21" s="74">
        <f t="shared" si="8"/>
        <v>31.290760000000002</v>
      </c>
      <c r="W21" s="74">
        <f t="shared" si="9"/>
        <v>43.807064000000004</v>
      </c>
      <c r="X21" s="74">
        <f t="shared" si="10"/>
        <v>1628.1753920000003</v>
      </c>
      <c r="Y21" s="74">
        <f t="shared" si="11"/>
        <v>995.046168</v>
      </c>
    </row>
    <row r="22" spans="1:25" ht="12.75" customHeight="1">
      <c r="A22" s="174" t="s">
        <v>612</v>
      </c>
      <c r="B22" s="72" t="s">
        <v>614</v>
      </c>
      <c r="C22" s="74">
        <v>1377.94</v>
      </c>
      <c r="D22" s="74">
        <f t="shared" si="0"/>
        <v>206.691</v>
      </c>
      <c r="E22" s="74">
        <v>0</v>
      </c>
      <c r="F22" s="74"/>
      <c r="G22" s="74">
        <f>C22*VLOOKUP($C$2,Valores!$I$1:$J$53,2,0)</f>
        <v>0</v>
      </c>
      <c r="H22" s="74">
        <v>918.63</v>
      </c>
      <c r="I22" s="82">
        <f t="shared" si="1"/>
        <v>2503.261</v>
      </c>
      <c r="J22" s="74">
        <v>177.34</v>
      </c>
      <c r="K22" s="83">
        <f t="shared" si="2"/>
        <v>177.34</v>
      </c>
      <c r="M22" s="181"/>
      <c r="N22" s="182"/>
      <c r="O22" s="175"/>
      <c r="Q22" s="74">
        <f t="shared" si="3"/>
        <v>337.94023500000003</v>
      </c>
      <c r="R22" s="74">
        <f t="shared" si="4"/>
        <v>62.581525</v>
      </c>
      <c r="S22" s="74">
        <f t="shared" si="5"/>
        <v>112.646745</v>
      </c>
      <c r="T22" s="74">
        <f t="shared" si="6"/>
        <v>400.52176000000003</v>
      </c>
      <c r="U22" s="74">
        <f t="shared" si="7"/>
        <v>25.032610000000002</v>
      </c>
      <c r="V22" s="74">
        <f t="shared" si="8"/>
        <v>62.581525</v>
      </c>
      <c r="W22" s="74">
        <f t="shared" si="9"/>
        <v>87.614135</v>
      </c>
      <c r="X22" s="74">
        <f t="shared" si="10"/>
        <v>3256.3510300000003</v>
      </c>
      <c r="Y22" s="74">
        <f t="shared" si="11"/>
        <v>1990.0924949999999</v>
      </c>
    </row>
    <row r="23" spans="1:25" ht="12.75" customHeight="1">
      <c r="A23" s="174" t="s">
        <v>612</v>
      </c>
      <c r="B23" s="72" t="s">
        <v>615</v>
      </c>
      <c r="C23" s="74">
        <v>2066.9</v>
      </c>
      <c r="D23" s="74">
        <f t="shared" si="0"/>
        <v>310.035</v>
      </c>
      <c r="E23" s="74">
        <v>0</v>
      </c>
      <c r="F23" s="74"/>
      <c r="G23" s="74">
        <f>C23*VLOOKUP($C$2,Valores!$I$1:$J$53,2,0)</f>
        <v>0</v>
      </c>
      <c r="H23" s="74">
        <f>$H$21*3</f>
        <v>1377.9447</v>
      </c>
      <c r="I23" s="82">
        <f t="shared" si="1"/>
        <v>3754.8797</v>
      </c>
      <c r="J23" s="74">
        <v>266.01</v>
      </c>
      <c r="K23" s="83">
        <f t="shared" si="2"/>
        <v>266.01</v>
      </c>
      <c r="M23" s="181"/>
      <c r="N23" s="182"/>
      <c r="O23" s="175"/>
      <c r="Q23" s="74">
        <f t="shared" si="3"/>
        <v>506.90875950000003</v>
      </c>
      <c r="R23" s="74">
        <f t="shared" si="4"/>
        <v>93.8719925</v>
      </c>
      <c r="S23" s="74">
        <f t="shared" si="5"/>
        <v>168.9695865</v>
      </c>
      <c r="T23" s="74">
        <f t="shared" si="6"/>
        <v>600.780752</v>
      </c>
      <c r="U23" s="74">
        <f t="shared" si="7"/>
        <v>37.548797</v>
      </c>
      <c r="V23" s="74">
        <f t="shared" si="8"/>
        <v>93.8719925</v>
      </c>
      <c r="W23" s="74">
        <f t="shared" si="9"/>
        <v>131.4207895</v>
      </c>
      <c r="X23" s="74">
        <f t="shared" si="10"/>
        <v>4884.512030999999</v>
      </c>
      <c r="Y23" s="74">
        <f t="shared" si="11"/>
        <v>2985.1293615</v>
      </c>
    </row>
    <row r="24" spans="1:25" ht="12.75" customHeight="1">
      <c r="A24" s="174" t="s">
        <v>612</v>
      </c>
      <c r="B24" s="72" t="s">
        <v>616</v>
      </c>
      <c r="C24" s="74">
        <v>2755.87</v>
      </c>
      <c r="D24" s="74">
        <f t="shared" si="0"/>
        <v>413.3805</v>
      </c>
      <c r="E24" s="74">
        <v>0</v>
      </c>
      <c r="F24" s="74"/>
      <c r="G24" s="74">
        <f>C24*VLOOKUP($C$2,Valores!$I$1:$J$53,2,0)</f>
        <v>0</v>
      </c>
      <c r="H24" s="74">
        <v>1837.25</v>
      </c>
      <c r="I24" s="82">
        <f t="shared" si="1"/>
        <v>5006.5005</v>
      </c>
      <c r="J24" s="74">
        <v>354.68</v>
      </c>
      <c r="K24" s="83">
        <f t="shared" si="2"/>
        <v>354.68</v>
      </c>
      <c r="M24" s="181"/>
      <c r="N24" s="182"/>
      <c r="O24" s="175"/>
      <c r="Q24" s="74">
        <f t="shared" si="3"/>
        <v>675.8775675</v>
      </c>
      <c r="R24" s="74">
        <f t="shared" si="4"/>
        <v>125.1625125</v>
      </c>
      <c r="S24" s="74">
        <f t="shared" si="5"/>
        <v>225.2925225</v>
      </c>
      <c r="T24" s="74">
        <f t="shared" si="6"/>
        <v>801.04008</v>
      </c>
      <c r="U24" s="74">
        <f t="shared" si="7"/>
        <v>50.065005</v>
      </c>
      <c r="V24" s="74">
        <f t="shared" si="8"/>
        <v>125.1625125</v>
      </c>
      <c r="W24" s="74">
        <f t="shared" si="9"/>
        <v>175.22751750000003</v>
      </c>
      <c r="X24" s="74">
        <f t="shared" si="10"/>
        <v>6512.675615000001</v>
      </c>
      <c r="Y24" s="74">
        <f t="shared" si="11"/>
        <v>3980.1678975</v>
      </c>
    </row>
    <row r="25" spans="1:25" ht="12.75" customHeight="1">
      <c r="A25" s="174" t="s">
        <v>612</v>
      </c>
      <c r="B25" s="72" t="s">
        <v>617</v>
      </c>
      <c r="C25" s="74">
        <v>3444.84</v>
      </c>
      <c r="D25" s="74">
        <f t="shared" si="0"/>
        <v>516.726</v>
      </c>
      <c r="E25" s="74">
        <v>0</v>
      </c>
      <c r="F25" s="74"/>
      <c r="G25" s="74">
        <f>C25*VLOOKUP($C$2,Valores!$I$1:$J$53,2,0)</f>
        <v>0</v>
      </c>
      <c r="H25" s="74">
        <v>2296.57</v>
      </c>
      <c r="I25" s="82">
        <f t="shared" si="1"/>
        <v>6258.136</v>
      </c>
      <c r="J25" s="74">
        <v>443.35</v>
      </c>
      <c r="K25" s="83">
        <f t="shared" si="2"/>
        <v>443.35</v>
      </c>
      <c r="M25" s="181"/>
      <c r="N25" s="182"/>
      <c r="O25" s="175"/>
      <c r="Q25" s="74">
        <f t="shared" si="3"/>
        <v>844.8483600000001</v>
      </c>
      <c r="R25" s="74">
        <f t="shared" si="4"/>
        <v>156.45340000000002</v>
      </c>
      <c r="S25" s="74">
        <f t="shared" si="5"/>
        <v>281.61612</v>
      </c>
      <c r="T25" s="74">
        <f t="shared" si="6"/>
        <v>1001.3017600000001</v>
      </c>
      <c r="U25" s="74">
        <f t="shared" si="7"/>
        <v>62.581360000000004</v>
      </c>
      <c r="V25" s="74">
        <f t="shared" si="8"/>
        <v>156.45340000000002</v>
      </c>
      <c r="W25" s="74">
        <f t="shared" si="9"/>
        <v>219.03476000000003</v>
      </c>
      <c r="X25" s="74">
        <f t="shared" si="10"/>
        <v>8140.857280000002</v>
      </c>
      <c r="Y25" s="74">
        <f t="shared" si="11"/>
        <v>4975.21812</v>
      </c>
    </row>
    <row r="26" spans="1:25" ht="12.75" customHeight="1">
      <c r="A26" s="174" t="s">
        <v>612</v>
      </c>
      <c r="B26" s="72" t="s">
        <v>618</v>
      </c>
      <c r="C26" s="74">
        <v>4133.81</v>
      </c>
      <c r="D26" s="74">
        <f t="shared" si="0"/>
        <v>620.0715</v>
      </c>
      <c r="E26" s="74">
        <v>0</v>
      </c>
      <c r="F26" s="74"/>
      <c r="G26" s="74">
        <f>C26*VLOOKUP($C$2,Valores!$I$1:$J$53,2,0)</f>
        <v>0</v>
      </c>
      <c r="H26" s="74">
        <v>2755.88</v>
      </c>
      <c r="I26" s="82">
        <f t="shared" si="1"/>
        <v>7509.7615000000005</v>
      </c>
      <c r="J26" s="74">
        <v>532.01</v>
      </c>
      <c r="K26" s="83">
        <f t="shared" si="2"/>
        <v>532.01</v>
      </c>
      <c r="M26" s="181"/>
      <c r="N26" s="182"/>
      <c r="O26" s="175"/>
      <c r="Q26" s="74">
        <f t="shared" si="3"/>
        <v>1013.8178025000001</v>
      </c>
      <c r="R26" s="74">
        <f t="shared" si="4"/>
        <v>187.74403750000002</v>
      </c>
      <c r="S26" s="74">
        <f t="shared" si="5"/>
        <v>337.9392675</v>
      </c>
      <c r="T26" s="74">
        <f t="shared" si="6"/>
        <v>1201.56184</v>
      </c>
      <c r="U26" s="74">
        <f t="shared" si="7"/>
        <v>75.097615</v>
      </c>
      <c r="V26" s="74">
        <f t="shared" si="8"/>
        <v>187.74403750000002</v>
      </c>
      <c r="W26" s="74">
        <f t="shared" si="9"/>
        <v>262.84165250000007</v>
      </c>
      <c r="X26" s="74">
        <f t="shared" si="10"/>
        <v>9769.016645000002</v>
      </c>
      <c r="Y26" s="74">
        <f t="shared" si="11"/>
        <v>5970.2603925</v>
      </c>
    </row>
    <row r="27" spans="1:25" ht="12.75" customHeight="1">
      <c r="A27" s="174" t="s">
        <v>612</v>
      </c>
      <c r="B27" s="72" t="s">
        <v>619</v>
      </c>
      <c r="C27" s="74">
        <v>4822.78</v>
      </c>
      <c r="D27" s="74">
        <f t="shared" si="0"/>
        <v>723.4169999999999</v>
      </c>
      <c r="E27" s="74">
        <v>0</v>
      </c>
      <c r="F27" s="74"/>
      <c r="G27" s="74">
        <f>C27*VLOOKUP($C$2,Valores!$I$1:$J$53,2,0)</f>
        <v>0</v>
      </c>
      <c r="H27" s="74">
        <v>3215.19</v>
      </c>
      <c r="I27" s="82">
        <f t="shared" si="1"/>
        <v>8761.387</v>
      </c>
      <c r="J27" s="74">
        <v>620.68</v>
      </c>
      <c r="K27" s="83">
        <f t="shared" si="2"/>
        <v>620.68</v>
      </c>
      <c r="M27" s="181"/>
      <c r="N27" s="182"/>
      <c r="O27" s="175"/>
      <c r="Q27" s="74">
        <f t="shared" si="3"/>
        <v>1182.7872450000002</v>
      </c>
      <c r="R27" s="74">
        <f t="shared" si="4"/>
        <v>219.03467500000002</v>
      </c>
      <c r="S27" s="74">
        <f t="shared" si="5"/>
        <v>394.26241500000003</v>
      </c>
      <c r="T27" s="74">
        <f t="shared" si="6"/>
        <v>1401.82192</v>
      </c>
      <c r="U27" s="74">
        <f t="shared" si="7"/>
        <v>87.61387</v>
      </c>
      <c r="V27" s="74">
        <f t="shared" si="8"/>
        <v>219.03467500000002</v>
      </c>
      <c r="W27" s="74">
        <f t="shared" si="9"/>
        <v>306.64854500000007</v>
      </c>
      <c r="X27" s="74">
        <f t="shared" si="10"/>
        <v>11397.186010000001</v>
      </c>
      <c r="Y27" s="74">
        <f t="shared" si="11"/>
        <v>6965.302665</v>
      </c>
    </row>
    <row r="28" spans="1:25" ht="12.75" customHeight="1">
      <c r="A28" s="174" t="s">
        <v>612</v>
      </c>
      <c r="B28" s="72" t="s">
        <v>620</v>
      </c>
      <c r="C28" s="74">
        <v>5511.75</v>
      </c>
      <c r="D28" s="74">
        <f t="shared" si="0"/>
        <v>826.7624999999999</v>
      </c>
      <c r="E28" s="74">
        <v>0</v>
      </c>
      <c r="F28" s="74"/>
      <c r="G28" s="74">
        <f>C28*VLOOKUP($C$2,Valores!$I$1:$J$53,2,0)</f>
        <v>0</v>
      </c>
      <c r="H28" s="74">
        <v>3674.5</v>
      </c>
      <c r="I28" s="82">
        <f t="shared" si="1"/>
        <v>10013.0125</v>
      </c>
      <c r="J28" s="74">
        <v>709.35</v>
      </c>
      <c r="K28" s="83">
        <f t="shared" si="2"/>
        <v>709.35</v>
      </c>
      <c r="M28" s="181"/>
      <c r="N28" s="182"/>
      <c r="O28" s="175"/>
      <c r="Q28" s="74">
        <f t="shared" si="3"/>
        <v>1351.7566875000002</v>
      </c>
      <c r="R28" s="74">
        <f t="shared" si="4"/>
        <v>250.32531250000002</v>
      </c>
      <c r="S28" s="74">
        <f t="shared" si="5"/>
        <v>450.58556250000004</v>
      </c>
      <c r="T28" s="74">
        <f t="shared" si="6"/>
        <v>1602.082</v>
      </c>
      <c r="U28" s="74">
        <f t="shared" si="7"/>
        <v>100.130125</v>
      </c>
      <c r="V28" s="74">
        <f t="shared" si="8"/>
        <v>250.32531250000002</v>
      </c>
      <c r="W28" s="74">
        <f t="shared" si="9"/>
        <v>350.4554375000001</v>
      </c>
      <c r="X28" s="74">
        <f t="shared" si="10"/>
        <v>13025.355375000001</v>
      </c>
      <c r="Y28" s="74">
        <f t="shared" si="11"/>
        <v>7960.3449375</v>
      </c>
    </row>
    <row r="29" spans="1:25" ht="12.75" customHeight="1">
      <c r="A29" s="174" t="s">
        <v>612</v>
      </c>
      <c r="B29" s="72" t="s">
        <v>621</v>
      </c>
      <c r="C29" s="74">
        <v>6200.71</v>
      </c>
      <c r="D29" s="74">
        <f t="shared" si="0"/>
        <v>930.1065</v>
      </c>
      <c r="E29" s="74"/>
      <c r="F29" s="74"/>
      <c r="G29" s="74">
        <f>C29*VLOOKUP($C$2,Valores!$I$1:$J$53,2,0)</f>
        <v>0</v>
      </c>
      <c r="H29" s="74">
        <v>4133.82</v>
      </c>
      <c r="I29" s="82">
        <f t="shared" si="1"/>
        <v>11264.6365</v>
      </c>
      <c r="J29" s="74">
        <v>798.02</v>
      </c>
      <c r="K29" s="83">
        <f t="shared" si="2"/>
        <v>798.02</v>
      </c>
      <c r="M29" s="181"/>
      <c r="N29" s="182"/>
      <c r="O29" s="175"/>
      <c r="Q29" s="74"/>
      <c r="R29" s="74"/>
      <c r="S29" s="74"/>
      <c r="T29" s="74"/>
      <c r="U29" s="74"/>
      <c r="V29" s="74"/>
      <c r="W29" s="74"/>
      <c r="X29" s="74"/>
      <c r="Y29" s="74"/>
    </row>
    <row r="30" spans="1:25" ht="12.75" customHeight="1">
      <c r="A30" s="174" t="s">
        <v>612</v>
      </c>
      <c r="B30" s="72" t="s">
        <v>622</v>
      </c>
      <c r="C30" s="74">
        <v>6889.68</v>
      </c>
      <c r="D30" s="74">
        <f t="shared" si="0"/>
        <v>1033.452</v>
      </c>
      <c r="E30" s="74"/>
      <c r="F30" s="74"/>
      <c r="G30" s="74">
        <f>C30*VLOOKUP($C$2,Valores!$I$1:$J$53,2,0)</f>
        <v>0</v>
      </c>
      <c r="H30" s="74">
        <v>4593.13</v>
      </c>
      <c r="I30" s="82">
        <f t="shared" si="1"/>
        <v>12516.262</v>
      </c>
      <c r="J30" s="74">
        <v>886.69</v>
      </c>
      <c r="K30" s="83">
        <f t="shared" si="2"/>
        <v>886.69</v>
      </c>
      <c r="M30" s="181"/>
      <c r="N30" s="182"/>
      <c r="O30" s="175"/>
      <c r="Q30" s="74"/>
      <c r="R30" s="74"/>
      <c r="S30" s="74"/>
      <c r="T30" s="74"/>
      <c r="U30" s="74"/>
      <c r="V30" s="74"/>
      <c r="W30" s="74"/>
      <c r="X30" s="74"/>
      <c r="Y30" s="74"/>
    </row>
    <row r="31" spans="1:25" ht="12.75" customHeight="1">
      <c r="A31" s="174" t="s">
        <v>612</v>
      </c>
      <c r="B31" s="72" t="s">
        <v>623</v>
      </c>
      <c r="C31" s="74">
        <v>7878.65</v>
      </c>
      <c r="D31" s="74">
        <f t="shared" si="0"/>
        <v>1181.7975</v>
      </c>
      <c r="E31" s="74"/>
      <c r="F31" s="74"/>
      <c r="G31" s="74">
        <f>C31*VLOOKUP($C$2,Valores!$I$1:$J$53,2,0)</f>
        <v>0</v>
      </c>
      <c r="H31" s="74">
        <v>5052.44</v>
      </c>
      <c r="I31" s="82">
        <f t="shared" si="1"/>
        <v>14112.8875</v>
      </c>
      <c r="J31" s="74">
        <v>975.36</v>
      </c>
      <c r="K31" s="83">
        <f t="shared" si="2"/>
        <v>975.36</v>
      </c>
      <c r="M31" s="181"/>
      <c r="N31" s="182"/>
      <c r="O31" s="175"/>
      <c r="Q31" s="74"/>
      <c r="R31" s="74"/>
      <c r="S31" s="74"/>
      <c r="T31" s="74"/>
      <c r="U31" s="74"/>
      <c r="V31" s="74"/>
      <c r="W31" s="74"/>
      <c r="X31" s="74"/>
      <c r="Y31" s="74"/>
    </row>
    <row r="32" spans="1:25" ht="12.75" customHeight="1">
      <c r="A32" s="174" t="s">
        <v>612</v>
      </c>
      <c r="B32" s="72" t="s">
        <v>624</v>
      </c>
      <c r="C32" s="74">
        <v>8567.62</v>
      </c>
      <c r="D32" s="74">
        <f t="shared" si="0"/>
        <v>1285.143</v>
      </c>
      <c r="E32" s="74"/>
      <c r="F32" s="74"/>
      <c r="G32" s="74">
        <f>C32*VLOOKUP($C$2,Valores!$I$1:$J$53,2,0)</f>
        <v>0</v>
      </c>
      <c r="H32" s="74">
        <v>5511.75</v>
      </c>
      <c r="I32" s="82">
        <f t="shared" si="1"/>
        <v>15364.513</v>
      </c>
      <c r="J32" s="74">
        <v>1064.03</v>
      </c>
      <c r="K32" s="83">
        <f t="shared" si="2"/>
        <v>1064.03</v>
      </c>
      <c r="M32" s="181"/>
      <c r="N32" s="182"/>
      <c r="O32" s="175"/>
      <c r="Q32" s="74"/>
      <c r="R32" s="74"/>
      <c r="S32" s="74"/>
      <c r="T32" s="74"/>
      <c r="U32" s="74"/>
      <c r="V32" s="74"/>
      <c r="W32" s="74"/>
      <c r="X32" s="74"/>
      <c r="Y32" s="74"/>
    </row>
    <row r="33" spans="1:25" ht="12.75" customHeight="1">
      <c r="A33" s="174"/>
      <c r="B33" s="72"/>
      <c r="C33" s="74"/>
      <c r="D33" s="74"/>
      <c r="E33" s="74"/>
      <c r="F33" s="74"/>
      <c r="G33" s="74"/>
      <c r="H33" s="74"/>
      <c r="I33" s="82"/>
      <c r="J33" s="74"/>
      <c r="K33" s="83"/>
      <c r="M33" s="181"/>
      <c r="N33" s="182"/>
      <c r="O33" s="175"/>
      <c r="Q33" s="74"/>
      <c r="R33" s="74"/>
      <c r="S33" s="74"/>
      <c r="T33" s="74"/>
      <c r="U33" s="74"/>
      <c r="V33" s="74"/>
      <c r="W33" s="74"/>
      <c r="X33" s="74">
        <f>I33+K33+T33+U33+V33+W33</f>
        <v>0</v>
      </c>
      <c r="Y33" s="74">
        <f>+I33-SUM(Q33:S33)</f>
        <v>0</v>
      </c>
    </row>
    <row r="34" spans="1:25" ht="12.75" customHeight="1">
      <c r="A34" s="183"/>
      <c r="B34" s="184"/>
      <c r="C34" s="185"/>
      <c r="D34" s="185"/>
      <c r="E34" s="185"/>
      <c r="F34" s="185"/>
      <c r="G34" s="185"/>
      <c r="H34" s="185"/>
      <c r="I34" s="186"/>
      <c r="J34" s="185"/>
      <c r="K34" s="187"/>
      <c r="M34" s="181"/>
      <c r="N34" s="182"/>
      <c r="O34" s="175"/>
      <c r="Q34" s="188">
        <v>0.11</v>
      </c>
      <c r="R34" s="188">
        <v>0.05</v>
      </c>
      <c r="S34" s="189">
        <v>0.045</v>
      </c>
      <c r="T34" s="190">
        <v>0.16</v>
      </c>
      <c r="U34" s="191">
        <v>0</v>
      </c>
      <c r="V34" s="192">
        <v>0</v>
      </c>
      <c r="W34" s="192">
        <v>0.035</v>
      </c>
      <c r="X34" s="74" t="s">
        <v>625</v>
      </c>
      <c r="Y34" s="74"/>
    </row>
    <row r="35" spans="1:25" ht="12.75" customHeight="1">
      <c r="A35" s="174" t="s">
        <v>626</v>
      </c>
      <c r="B35" s="72" t="s">
        <v>627</v>
      </c>
      <c r="C35" s="74">
        <v>51328.46</v>
      </c>
      <c r="D35" s="74">
        <v>0</v>
      </c>
      <c r="E35" s="74">
        <v>574.89</v>
      </c>
      <c r="F35" s="74">
        <v>4043.48</v>
      </c>
      <c r="G35" s="74">
        <f>C35*0.0225*$C$2</f>
        <v>0</v>
      </c>
      <c r="H35" s="74">
        <v>0</v>
      </c>
      <c r="I35" s="82">
        <f aca="true" t="shared" si="12" ref="I35:I47">SUM(C35:H35)</f>
        <v>55946.83</v>
      </c>
      <c r="J35" s="74">
        <v>0</v>
      </c>
      <c r="K35" s="74">
        <f>SUM(J35)</f>
        <v>0</v>
      </c>
      <c r="L35" s="193" t="s">
        <v>628</v>
      </c>
      <c r="Q35" s="74">
        <f>I35*$Q$5</f>
        <v>7552.822050000001</v>
      </c>
      <c r="R35" s="74">
        <f>I35*$R$5</f>
        <v>1398.6707500000002</v>
      </c>
      <c r="S35" s="74">
        <f aca="true" t="shared" si="13" ref="S35:S47">I35*$S$5</f>
        <v>2517.6073499999998</v>
      </c>
      <c r="T35" s="74">
        <f aca="true" t="shared" si="14" ref="T35:T47">I35*$T$34</f>
        <v>8951.4928</v>
      </c>
      <c r="U35" s="74">
        <f aca="true" t="shared" si="15" ref="U35:U47">I35*$U$34</f>
        <v>0</v>
      </c>
      <c r="V35" s="74">
        <f aca="true" t="shared" si="16" ref="V35:V47">I35*$V$34</f>
        <v>0</v>
      </c>
      <c r="W35" s="74">
        <f aca="true" t="shared" si="17" ref="W35:W47">I35*$W$34</f>
        <v>1958.1390500000002</v>
      </c>
      <c r="X35" s="74">
        <f aca="true" t="shared" si="18" ref="X35:X47">I35+K35+T35+U35+V35+W35</f>
        <v>66856.46185</v>
      </c>
      <c r="Y35" s="74">
        <f aca="true" t="shared" si="19" ref="Y35:Y47">+I35-SUM(Q35:S35)</f>
        <v>44477.72985</v>
      </c>
    </row>
    <row r="36" spans="1:25" ht="12.75" customHeight="1">
      <c r="A36" s="174" t="s">
        <v>629</v>
      </c>
      <c r="B36" s="72" t="s">
        <v>630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82">
        <f t="shared" si="12"/>
        <v>0</v>
      </c>
      <c r="J36" s="74">
        <v>0</v>
      </c>
      <c r="K36" s="74">
        <f>SUM(J36)</f>
        <v>0</v>
      </c>
      <c r="L36" s="193" t="s">
        <v>631</v>
      </c>
      <c r="M36" s="72" t="s">
        <v>632</v>
      </c>
      <c r="N36" s="175">
        <v>5314.29</v>
      </c>
      <c r="O36" s="175">
        <v>3542.86</v>
      </c>
      <c r="Q36" s="74">
        <f>I36*$Q$5</f>
        <v>0</v>
      </c>
      <c r="R36" s="74">
        <f>I36*$R$5</f>
        <v>0</v>
      </c>
      <c r="S36" s="74">
        <f t="shared" si="13"/>
        <v>0</v>
      </c>
      <c r="T36" s="74">
        <f t="shared" si="14"/>
        <v>0</v>
      </c>
      <c r="U36" s="74">
        <f t="shared" si="15"/>
        <v>0</v>
      </c>
      <c r="V36" s="74">
        <f t="shared" si="16"/>
        <v>0</v>
      </c>
      <c r="W36" s="74">
        <f t="shared" si="17"/>
        <v>0</v>
      </c>
      <c r="X36" s="74">
        <f t="shared" si="18"/>
        <v>0</v>
      </c>
      <c r="Y36" s="74">
        <f t="shared" si="19"/>
        <v>0</v>
      </c>
    </row>
    <row r="37" spans="1:25" ht="12.75" customHeight="1">
      <c r="A37" s="174" t="s">
        <v>633</v>
      </c>
      <c r="B37" s="72" t="s">
        <v>634</v>
      </c>
      <c r="C37" s="74">
        <v>140966.51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82">
        <f t="shared" si="12"/>
        <v>140966.51</v>
      </c>
      <c r="J37" s="74">
        <v>0</v>
      </c>
      <c r="K37" s="74">
        <f>SUM(J37)</f>
        <v>0</v>
      </c>
      <c r="L37" s="193" t="s">
        <v>635</v>
      </c>
      <c r="M37" s="72" t="s">
        <v>636</v>
      </c>
      <c r="N37" s="175">
        <v>10628.58</v>
      </c>
      <c r="O37" s="175">
        <v>7085.72</v>
      </c>
      <c r="Q37" s="74">
        <f>I37*0.088</f>
        <v>12405.05288</v>
      </c>
      <c r="R37" s="74">
        <f>I37*0.07203875</f>
        <v>10155.0511722625</v>
      </c>
      <c r="S37" s="74">
        <f t="shared" si="13"/>
        <v>6343.49295</v>
      </c>
      <c r="T37" s="74">
        <f t="shared" si="14"/>
        <v>22554.641600000003</v>
      </c>
      <c r="U37" s="74">
        <f t="shared" si="15"/>
        <v>0</v>
      </c>
      <c r="V37" s="74">
        <f t="shared" si="16"/>
        <v>0</v>
      </c>
      <c r="W37" s="74">
        <f t="shared" si="17"/>
        <v>4933.827850000001</v>
      </c>
      <c r="X37" s="74">
        <f t="shared" si="18"/>
        <v>168454.97945</v>
      </c>
      <c r="Y37" s="74">
        <f t="shared" si="19"/>
        <v>112062.91299773751</v>
      </c>
    </row>
    <row r="38" spans="1:25" ht="12.75" customHeight="1">
      <c r="A38" s="174" t="s">
        <v>637</v>
      </c>
      <c r="B38" s="72" t="s">
        <v>638</v>
      </c>
      <c r="C38" s="74">
        <v>122846.6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82">
        <f t="shared" si="12"/>
        <v>122846.6</v>
      </c>
      <c r="J38" s="74"/>
      <c r="K38" s="74"/>
      <c r="L38" s="193"/>
      <c r="Q38" s="74">
        <f>I38*0.0826645</f>
        <v>10155.0527657</v>
      </c>
      <c r="R38" s="74">
        <f>I38*0.0773355</f>
        <v>9500.4032343</v>
      </c>
      <c r="S38" s="74">
        <f t="shared" si="13"/>
        <v>5528.097</v>
      </c>
      <c r="T38" s="74">
        <f t="shared" si="14"/>
        <v>19655.456000000002</v>
      </c>
      <c r="U38" s="74">
        <f t="shared" si="15"/>
        <v>0</v>
      </c>
      <c r="V38" s="74">
        <f t="shared" si="16"/>
        <v>0</v>
      </c>
      <c r="W38" s="74">
        <f t="shared" si="17"/>
        <v>4299.631</v>
      </c>
      <c r="X38" s="74">
        <f t="shared" si="18"/>
        <v>146801.687</v>
      </c>
      <c r="Y38" s="74">
        <f t="shared" si="19"/>
        <v>97663.047</v>
      </c>
    </row>
    <row r="39" spans="1:25" ht="12.75" customHeight="1">
      <c r="A39" s="174" t="s">
        <v>639</v>
      </c>
      <c r="B39" s="72" t="s">
        <v>640</v>
      </c>
      <c r="C39" s="74">
        <v>91295.03</v>
      </c>
      <c r="D39" s="74">
        <v>0</v>
      </c>
      <c r="E39" s="74">
        <v>0</v>
      </c>
      <c r="F39" s="74">
        <v>0</v>
      </c>
      <c r="G39" s="74">
        <v>0</v>
      </c>
      <c r="H39" s="74">
        <v>0</v>
      </c>
      <c r="I39" s="82">
        <f t="shared" si="12"/>
        <v>91295.03</v>
      </c>
      <c r="J39" s="74">
        <v>0</v>
      </c>
      <c r="K39" s="74">
        <f aca="true" t="shared" si="20" ref="K39:K47">SUM(J39)</f>
        <v>0</v>
      </c>
      <c r="L39" s="193" t="s">
        <v>628</v>
      </c>
      <c r="Q39" s="74">
        <f>I39*$Q$34</f>
        <v>10042.4533</v>
      </c>
      <c r="R39" s="74">
        <f>I39*$R$34</f>
        <v>4564.7515</v>
      </c>
      <c r="S39" s="74">
        <f t="shared" si="13"/>
        <v>4108.27635</v>
      </c>
      <c r="T39" s="74">
        <f t="shared" si="14"/>
        <v>14607.2048</v>
      </c>
      <c r="U39" s="74">
        <f t="shared" si="15"/>
        <v>0</v>
      </c>
      <c r="V39" s="74">
        <f t="shared" si="16"/>
        <v>0</v>
      </c>
      <c r="W39" s="74">
        <f t="shared" si="17"/>
        <v>3195.32605</v>
      </c>
      <c r="X39" s="74">
        <f t="shared" si="18"/>
        <v>109097.56085000001</v>
      </c>
      <c r="Y39" s="74">
        <f t="shared" si="19"/>
        <v>72579.54884999999</v>
      </c>
    </row>
    <row r="40" spans="1:25" ht="12.75" customHeight="1">
      <c r="A40" s="174" t="s">
        <v>641</v>
      </c>
      <c r="B40" s="72" t="s">
        <v>642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82">
        <f t="shared" si="12"/>
        <v>0</v>
      </c>
      <c r="J40" s="74">
        <v>0</v>
      </c>
      <c r="K40" s="74">
        <f t="shared" si="20"/>
        <v>0</v>
      </c>
      <c r="L40" s="193" t="s">
        <v>628</v>
      </c>
      <c r="Q40" s="74">
        <f>I40*$Q$5</f>
        <v>0</v>
      </c>
      <c r="R40" s="74">
        <f>I40*$R$5</f>
        <v>0</v>
      </c>
      <c r="S40" s="74">
        <f t="shared" si="13"/>
        <v>0</v>
      </c>
      <c r="T40" s="74">
        <f t="shared" si="14"/>
        <v>0</v>
      </c>
      <c r="U40" s="74">
        <f t="shared" si="15"/>
        <v>0</v>
      </c>
      <c r="V40" s="74">
        <f t="shared" si="16"/>
        <v>0</v>
      </c>
      <c r="W40" s="74">
        <f t="shared" si="17"/>
        <v>0</v>
      </c>
      <c r="X40" s="74">
        <f t="shared" si="18"/>
        <v>0</v>
      </c>
      <c r="Y40" s="74">
        <f t="shared" si="19"/>
        <v>0</v>
      </c>
    </row>
    <row r="41" spans="1:25" ht="12.75">
      <c r="A41" s="174" t="s">
        <v>643</v>
      </c>
      <c r="B41" s="72" t="s">
        <v>644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82">
        <f t="shared" si="12"/>
        <v>0</v>
      </c>
      <c r="J41" s="74">
        <v>0</v>
      </c>
      <c r="K41" s="74">
        <f t="shared" si="20"/>
        <v>0</v>
      </c>
      <c r="L41" s="193" t="s">
        <v>628</v>
      </c>
      <c r="Q41" s="74">
        <f>I41*$Q$5</f>
        <v>0</v>
      </c>
      <c r="R41" s="74">
        <f>I41*$R$5</f>
        <v>0</v>
      </c>
      <c r="S41" s="74">
        <f t="shared" si="13"/>
        <v>0</v>
      </c>
      <c r="T41" s="74">
        <f t="shared" si="14"/>
        <v>0</v>
      </c>
      <c r="U41" s="74">
        <f t="shared" si="15"/>
        <v>0</v>
      </c>
      <c r="V41" s="74">
        <f t="shared" si="16"/>
        <v>0</v>
      </c>
      <c r="W41" s="74">
        <f t="shared" si="17"/>
        <v>0</v>
      </c>
      <c r="X41" s="74">
        <f t="shared" si="18"/>
        <v>0</v>
      </c>
      <c r="Y41" s="74">
        <f t="shared" si="19"/>
        <v>0</v>
      </c>
    </row>
    <row r="42" spans="1:25" ht="12.75">
      <c r="A42" s="174" t="s">
        <v>645</v>
      </c>
      <c r="B42" s="72" t="s">
        <v>646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82">
        <f t="shared" si="12"/>
        <v>0</v>
      </c>
      <c r="J42" s="74">
        <v>0</v>
      </c>
      <c r="K42" s="74">
        <f t="shared" si="20"/>
        <v>0</v>
      </c>
      <c r="L42" s="193" t="s">
        <v>628</v>
      </c>
      <c r="Q42" s="74">
        <f>I42*$Q$5</f>
        <v>0</v>
      </c>
      <c r="R42" s="74">
        <f>I42*$R$5</f>
        <v>0</v>
      </c>
      <c r="S42" s="74">
        <f t="shared" si="13"/>
        <v>0</v>
      </c>
      <c r="T42" s="74">
        <f t="shared" si="14"/>
        <v>0</v>
      </c>
      <c r="U42" s="74">
        <f t="shared" si="15"/>
        <v>0</v>
      </c>
      <c r="V42" s="74">
        <f t="shared" si="16"/>
        <v>0</v>
      </c>
      <c r="W42" s="74">
        <f t="shared" si="17"/>
        <v>0</v>
      </c>
      <c r="X42" s="74">
        <f t="shared" si="18"/>
        <v>0</v>
      </c>
      <c r="Y42" s="74">
        <f t="shared" si="19"/>
        <v>0</v>
      </c>
    </row>
    <row r="43" spans="1:25" ht="12.75">
      <c r="A43" s="174" t="s">
        <v>647</v>
      </c>
      <c r="B43" s="72" t="s">
        <v>648</v>
      </c>
      <c r="C43" s="74">
        <v>51328.46</v>
      </c>
      <c r="D43" s="74">
        <v>0</v>
      </c>
      <c r="E43" s="74">
        <v>574.89</v>
      </c>
      <c r="F43" s="74">
        <v>4043.48</v>
      </c>
      <c r="G43" s="74">
        <f>C43*0.0225*$C$2</f>
        <v>0</v>
      </c>
      <c r="H43" s="74">
        <v>0</v>
      </c>
      <c r="I43" s="82">
        <f t="shared" si="12"/>
        <v>55946.83</v>
      </c>
      <c r="J43" s="74">
        <v>0</v>
      </c>
      <c r="K43" s="74">
        <f t="shared" si="20"/>
        <v>0</v>
      </c>
      <c r="L43" s="193"/>
      <c r="Q43" s="74">
        <f>I43*$Q$34</f>
        <v>6154.1513</v>
      </c>
      <c r="R43" s="74">
        <f>I43*$R$34</f>
        <v>2797.3415000000005</v>
      </c>
      <c r="S43" s="74">
        <f t="shared" si="13"/>
        <v>2517.6073499999998</v>
      </c>
      <c r="T43" s="74">
        <f t="shared" si="14"/>
        <v>8951.4928</v>
      </c>
      <c r="U43" s="74">
        <f t="shared" si="15"/>
        <v>0</v>
      </c>
      <c r="V43" s="74">
        <f t="shared" si="16"/>
        <v>0</v>
      </c>
      <c r="W43" s="74">
        <f t="shared" si="17"/>
        <v>1958.1390500000002</v>
      </c>
      <c r="X43" s="74">
        <f t="shared" si="18"/>
        <v>66856.46185</v>
      </c>
      <c r="Y43" s="74">
        <f t="shared" si="19"/>
        <v>44477.72985</v>
      </c>
    </row>
    <row r="44" spans="1:25" ht="12.75" customHeight="1">
      <c r="A44" s="174" t="s">
        <v>649</v>
      </c>
      <c r="B44" s="72" t="s">
        <v>650</v>
      </c>
      <c r="C44" s="74">
        <v>0</v>
      </c>
      <c r="D44" s="74">
        <v>0</v>
      </c>
      <c r="E44" s="74">
        <v>0</v>
      </c>
      <c r="F44" s="74">
        <v>0</v>
      </c>
      <c r="G44" s="74">
        <v>0</v>
      </c>
      <c r="H44" s="74">
        <v>0</v>
      </c>
      <c r="I44" s="82">
        <f t="shared" si="12"/>
        <v>0</v>
      </c>
      <c r="J44" s="74">
        <v>0</v>
      </c>
      <c r="K44" s="74">
        <f t="shared" si="20"/>
        <v>0</v>
      </c>
      <c r="L44" s="193" t="s">
        <v>631</v>
      </c>
      <c r="Q44" s="74">
        <f>I44*$Q$5</f>
        <v>0</v>
      </c>
      <c r="R44" s="74">
        <f>I44*$R$5</f>
        <v>0</v>
      </c>
      <c r="S44" s="74">
        <f t="shared" si="13"/>
        <v>0</v>
      </c>
      <c r="T44" s="74">
        <f t="shared" si="14"/>
        <v>0</v>
      </c>
      <c r="U44" s="74">
        <f t="shared" si="15"/>
        <v>0</v>
      </c>
      <c r="V44" s="74">
        <f t="shared" si="16"/>
        <v>0</v>
      </c>
      <c r="W44" s="74">
        <f t="shared" si="17"/>
        <v>0</v>
      </c>
      <c r="X44" s="74">
        <f t="shared" si="18"/>
        <v>0</v>
      </c>
      <c r="Y44" s="74">
        <f t="shared" si="19"/>
        <v>0</v>
      </c>
    </row>
    <row r="45" spans="1:25" ht="12.75" customHeight="1">
      <c r="A45" s="174" t="s">
        <v>651</v>
      </c>
      <c r="B45" s="72" t="s">
        <v>652</v>
      </c>
      <c r="C45" s="74">
        <v>0</v>
      </c>
      <c r="D45" s="74">
        <v>0</v>
      </c>
      <c r="E45" s="74">
        <v>0</v>
      </c>
      <c r="F45" s="74">
        <v>0</v>
      </c>
      <c r="G45" s="74">
        <v>0</v>
      </c>
      <c r="H45" s="74">
        <v>0</v>
      </c>
      <c r="I45" s="82">
        <f t="shared" si="12"/>
        <v>0</v>
      </c>
      <c r="J45" s="74">
        <v>0</v>
      </c>
      <c r="K45" s="74">
        <f t="shared" si="20"/>
        <v>0</v>
      </c>
      <c r="L45" s="193" t="s">
        <v>631</v>
      </c>
      <c r="Q45" s="74">
        <f>I45*$Q$5</f>
        <v>0</v>
      </c>
      <c r="R45" s="74">
        <f>I45*$R$5</f>
        <v>0</v>
      </c>
      <c r="S45" s="74">
        <f t="shared" si="13"/>
        <v>0</v>
      </c>
      <c r="T45" s="74">
        <f t="shared" si="14"/>
        <v>0</v>
      </c>
      <c r="U45" s="74">
        <f t="shared" si="15"/>
        <v>0</v>
      </c>
      <c r="V45" s="74">
        <f t="shared" si="16"/>
        <v>0</v>
      </c>
      <c r="W45" s="74">
        <f t="shared" si="17"/>
        <v>0</v>
      </c>
      <c r="X45" s="74">
        <f t="shared" si="18"/>
        <v>0</v>
      </c>
      <c r="Y45" s="74">
        <f t="shared" si="19"/>
        <v>0</v>
      </c>
    </row>
    <row r="46" spans="1:25" ht="12.75" customHeight="1">
      <c r="A46" s="174" t="s">
        <v>653</v>
      </c>
      <c r="B46" s="72" t="s">
        <v>654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74">
        <v>0</v>
      </c>
      <c r="I46" s="82">
        <f t="shared" si="12"/>
        <v>0</v>
      </c>
      <c r="J46" s="74">
        <v>0</v>
      </c>
      <c r="K46" s="74">
        <f t="shared" si="20"/>
        <v>0</v>
      </c>
      <c r="L46" s="193" t="s">
        <v>631</v>
      </c>
      <c r="Q46" s="74">
        <f>I46*$Q$5</f>
        <v>0</v>
      </c>
      <c r="R46" s="74">
        <f>I46*$R$5</f>
        <v>0</v>
      </c>
      <c r="S46" s="74">
        <f t="shared" si="13"/>
        <v>0</v>
      </c>
      <c r="T46" s="74">
        <f t="shared" si="14"/>
        <v>0</v>
      </c>
      <c r="U46" s="74">
        <f t="shared" si="15"/>
        <v>0</v>
      </c>
      <c r="V46" s="74">
        <f t="shared" si="16"/>
        <v>0</v>
      </c>
      <c r="W46" s="74">
        <f t="shared" si="17"/>
        <v>0</v>
      </c>
      <c r="X46" s="74">
        <f t="shared" si="18"/>
        <v>0</v>
      </c>
      <c r="Y46" s="74">
        <f t="shared" si="19"/>
        <v>0</v>
      </c>
    </row>
    <row r="47" spans="1:25" ht="12.75" customHeight="1">
      <c r="A47" s="174" t="s">
        <v>655</v>
      </c>
      <c r="B47" s="72" t="s">
        <v>656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74">
        <v>0</v>
      </c>
      <c r="I47" s="82">
        <f t="shared" si="12"/>
        <v>0</v>
      </c>
      <c r="J47" s="74">
        <v>0</v>
      </c>
      <c r="K47" s="74">
        <f t="shared" si="20"/>
        <v>0</v>
      </c>
      <c r="L47" s="193" t="s">
        <v>631</v>
      </c>
      <c r="Q47" s="74">
        <f>I47*$Q$5</f>
        <v>0</v>
      </c>
      <c r="R47" s="74">
        <f>I47*$R$5</f>
        <v>0</v>
      </c>
      <c r="S47" s="74">
        <f t="shared" si="13"/>
        <v>0</v>
      </c>
      <c r="T47" s="74">
        <f t="shared" si="14"/>
        <v>0</v>
      </c>
      <c r="U47" s="74">
        <f t="shared" si="15"/>
        <v>0</v>
      </c>
      <c r="V47" s="74">
        <f t="shared" si="16"/>
        <v>0</v>
      </c>
      <c r="W47" s="74">
        <f t="shared" si="17"/>
        <v>0</v>
      </c>
      <c r="X47" s="74">
        <f t="shared" si="18"/>
        <v>0</v>
      </c>
      <c r="Y47" s="74">
        <f t="shared" si="19"/>
        <v>0</v>
      </c>
    </row>
  </sheetData>
  <autoFilter ref="A5:K37"/>
  <mergeCells count="4">
    <mergeCell ref="A1:J1"/>
    <mergeCell ref="A2:B2"/>
    <mergeCell ref="Q3:S3"/>
    <mergeCell ref="T3:W3"/>
  </mergeCells>
  <printOptions/>
  <pageMargins left="1" right="1" top="1" bottom="1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pccasa</dc:creator>
  <cp:keywords/>
  <dc:description/>
  <cp:lastModifiedBy>Ruben Godoy</cp:lastModifiedBy>
  <cp:lastPrinted>2019-04-03T03:12:43Z</cp:lastPrinted>
  <dcterms:created xsi:type="dcterms:W3CDTF">2005-08-10T23:49:01Z</dcterms:created>
  <dcterms:modified xsi:type="dcterms:W3CDTF">2019-05-14T16:31:40Z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a6233bce-2774-4ad5-a7b4-2ab968ab89b0</vt:lpwstr>
  </property>
</Properties>
</file>