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605" yWindow="2640" windowWidth="16380" windowHeight="5715" tabRatio="500" firstSheet="1" activeTab="1"/>
  </bookViews>
  <sheets>
    <sheet name="Valores" sheetId="1" state="hidden" r:id="rId1"/>
    <sheet name="Escala Docente" sheetId="2" r:id="rId2"/>
    <sheet name="UPC" sheetId="3" state="hidden" r:id="rId3"/>
  </sheets>
  <definedNames>
    <definedName name="_xlnm._FilterDatabase" localSheetId="1" hidden="1">'Escala Docente'!$A$6:$BE$327</definedName>
    <definedName name="_xlnm._FilterDatabase" localSheetId="2" hidden="1">'UPC'!$A$5:$K$37</definedName>
    <definedName name="_xlnm._FilterDatabase" localSheetId="0" hidden="1">'Valores'!$A$1:$J$85</definedName>
    <definedName name="_xlnm.Print_Area" localSheetId="1">'Escala Docente'!$C$1:$AO$327</definedName>
    <definedName name="_xlnm.Print_Area" localSheetId="2">'UPC'!$A$2:$J$37</definedName>
    <definedName name="_xlnm.Print_Area" localSheetId="0">'Valores'!$A$1:$G$85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Docente'!$5:$6</definedName>
  </definedNames>
  <calcPr calcId="145621"/>
</workbook>
</file>

<file path=xl/sharedStrings.xml><?xml version="1.0" encoding="utf-8"?>
<sst xmlns="http://schemas.openxmlformats.org/spreadsheetml/2006/main" count="1284" uniqueCount="668">
  <si>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</si>
  <si>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</si>
  <si>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</si>
  <si>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</si>
  <si>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</si>
  <si>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</si>
  <si>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</si>
  <si>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</si>
  <si>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</si>
  <si>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</si>
  <si>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</si>
  <si>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</si>
  <si>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</si>
  <si>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</si>
  <si>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</si>
  <si>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</si>
  <si>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</si>
  <si>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</si>
  <si>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</si>
  <si>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</si>
  <si>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</si>
  <si>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</si>
  <si>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</si>
  <si>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</si>
  <si>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Prom Cgos 1</t>
  </si>
  <si>
    <t>Prom Cgos 2</t>
  </si>
  <si>
    <t>Supl. Cap 01</t>
  </si>
  <si>
    <t>Supl. Cap 02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</si>
  <si>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</si>
  <si>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</si>
  <si>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</si>
  <si>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</si>
  <si>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</si>
  <si>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</si>
  <si>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</si>
  <si>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01</t>
  </si>
  <si>
    <t>Gto. Inh. Lab. Doc 02</t>
  </si>
  <si>
    <t>Gto. Inh. Lab. Doc 03</t>
  </si>
  <si>
    <t>Gto. Inh. Lab. Doc 04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</si>
  <si>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</si>
  <si>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</si>
  <si>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</si>
  <si>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</si>
  <si>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</si>
  <si>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</si>
  <si>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</si>
  <si>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</si>
  <si>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</si>
  <si>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</si>
  <si>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</si>
  <si>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</si>
  <si>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</si>
  <si>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</t>
  </si>
  <si>
    <t>Ap Mat Did Rem. 930</t>
  </si>
  <si>
    <t>Ap Mat Did Rem.Compl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</si>
  <si>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</si>
  <si>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</si>
  <si>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</si>
  <si>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</si>
  <si>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</si>
  <si>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</si>
  <si>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</si>
  <si>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</si>
  <si>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</si>
  <si>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</si>
  <si>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</si>
  <si>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</si>
  <si>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</si>
  <si>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</si>
  <si>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</si>
  <si>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</si>
  <si>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</si>
  <si>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</si>
  <si>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</si>
  <si>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</si>
  <si>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</si>
  <si>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</si>
  <si>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</si>
  <si>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</si>
  <si>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</si>
  <si>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Est. Doc</t>
  </si>
  <si>
    <t>Supl. Cap.</t>
  </si>
  <si>
    <t>Gtos. Inh. Lab. Doc.</t>
  </si>
  <si>
    <t>P.Cal Ed.</t>
  </si>
  <si>
    <t>Func. Jer</t>
  </si>
  <si>
    <t>Pr.Jor Func.</t>
  </si>
  <si>
    <t>Pr.Jor Pts.</t>
  </si>
  <si>
    <t>Bon Minor.</t>
  </si>
  <si>
    <t>Ad R Doc</t>
  </si>
  <si>
    <t>Zona</t>
  </si>
  <si>
    <t>Nuevo  A.R.D.</t>
  </si>
  <si>
    <t>Fun. Dif</t>
  </si>
  <si>
    <t>Ap Mat Did Rem. Compl</t>
  </si>
  <si>
    <t>Total Rem</t>
  </si>
  <si>
    <t>Corrección Pauta Salarial sobre FONID</t>
  </si>
  <si>
    <t>M.Did Men.</t>
  </si>
  <si>
    <t>Adel Inc Docente</t>
  </si>
  <si>
    <t>Total No Rem</t>
  </si>
  <si>
    <t>Ap Pers Jub</t>
  </si>
  <si>
    <t>Ap Pers Jub Compl</t>
  </si>
  <si>
    <t>APROSS</t>
  </si>
  <si>
    <t>OS DIPE</t>
  </si>
  <si>
    <t>DIPE ANSSAL</t>
  </si>
  <si>
    <t>LIQUIDO C/ OS APROSS</t>
  </si>
  <si>
    <t>LIQUIDO C/ OS DIPE</t>
  </si>
  <si>
    <t>Contr Patronal Jub</t>
  </si>
  <si>
    <t>Contr Patr Jub Adic</t>
  </si>
  <si>
    <t>HS FONID</t>
  </si>
  <si>
    <t>HS SEM</t>
  </si>
  <si>
    <t>LIQ PN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</si>
  <si>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</si>
  <si>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</si>
  <si>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</si>
  <si>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</si>
  <si>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</si>
  <si>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</si>
  <si>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</si>
  <si>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</si>
  <si>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</si>
  <si>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</si>
  <si>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</si>
  <si>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</si>
  <si>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</si>
  <si>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</si>
  <si>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</si>
  <si>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</si>
  <si>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</si>
  <si>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</si>
  <si>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</si>
  <si>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</si>
  <si>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</si>
  <si>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</si>
  <si>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</si>
  <si>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</si>
  <si>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</si>
  <si>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</si>
  <si>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</si>
  <si>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</si>
  <si>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</si>
  <si>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</si>
  <si>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</si>
  <si>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C117530</t>
  </si>
  <si>
    <t>C130030</t>
  </si>
  <si>
    <t>TNR</t>
  </si>
  <si>
    <t>C660060</t>
  </si>
  <si>
    <t>C660070</t>
  </si>
  <si>
    <t>C660300</t>
  </si>
  <si>
    <t>C672400</t>
  </si>
  <si>
    <t>C672440</t>
  </si>
  <si>
    <t>C662200</t>
  </si>
  <si>
    <t>C662300</t>
  </si>
  <si>
    <t>C662400</t>
  </si>
  <si>
    <t>C670920</t>
  </si>
  <si>
    <t>C661460</t>
  </si>
  <si>
    <t>C661470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</si>
  <si>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</si>
  <si>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</si>
  <si>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</si>
  <si>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</si>
  <si>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</si>
  <si>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</si>
  <si>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</si>
  <si>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</si>
  <si>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</si>
  <si>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</si>
  <si>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</si>
  <si>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</si>
  <si>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</si>
  <si>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</si>
  <si>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</si>
  <si>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</si>
  <si>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</si>
  <si>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</si>
  <si>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</si>
  <si>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</si>
  <si>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</si>
  <si>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</si>
  <si>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</si>
  <si>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</si>
  <si>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</si>
  <si>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</si>
  <si>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</si>
  <si>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</si>
  <si>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</si>
  <si>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</si>
  <si>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</si>
  <si>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</si>
  <si>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</si>
  <si>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</si>
  <si>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</si>
  <si>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</si>
  <si>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</si>
  <si>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</si>
  <si>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</si>
  <si>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</si>
  <si>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</si>
  <si>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</si>
  <si>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</si>
  <si>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</si>
  <si>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</si>
  <si>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</si>
  <si>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</si>
  <si>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</si>
  <si>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</si>
  <si>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</si>
  <si>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</si>
  <si>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</si>
  <si>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</si>
  <si>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</si>
  <si>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</si>
  <si>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</si>
  <si>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</si>
  <si>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</si>
  <si>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</si>
  <si>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</si>
  <si>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</si>
  <si>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</si>
  <si>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</si>
  <si>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</si>
  <si>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</si>
  <si>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</si>
  <si>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</si>
  <si>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</si>
  <si>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</si>
  <si>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</si>
  <si>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</si>
  <si>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</si>
  <si>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</si>
  <si>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</si>
  <si>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</si>
  <si>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</si>
  <si>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</si>
  <si>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</si>
  <si>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</si>
  <si>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</si>
  <si>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</si>
  <si>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</si>
  <si>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</si>
  <si>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</si>
  <si>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</si>
  <si>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</si>
  <si>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</si>
  <si>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</si>
  <si>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</si>
  <si>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</si>
  <si>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</si>
  <si>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</si>
  <si>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</si>
  <si>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</si>
  <si>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</si>
  <si>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</si>
  <si>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</si>
  <si>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</si>
  <si>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</si>
  <si>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</si>
  <si>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</si>
  <si>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</si>
  <si>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</si>
  <si>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</si>
  <si>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</si>
  <si>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</si>
  <si>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</si>
  <si>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</si>
  <si>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</si>
  <si>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</si>
  <si>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</si>
  <si>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</si>
  <si>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</si>
  <si>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</si>
  <si>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</si>
  <si>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</si>
  <si>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</si>
  <si>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</si>
  <si>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</si>
  <si>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</si>
  <si>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</si>
  <si>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</si>
  <si>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</si>
  <si>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</si>
  <si>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</si>
  <si>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</si>
  <si>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</si>
  <si>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</si>
  <si>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</si>
  <si>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</si>
  <si>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</si>
  <si>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</si>
  <si>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</si>
  <si>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</si>
  <si>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</si>
  <si>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</si>
  <si>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</si>
  <si>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</si>
  <si>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</si>
  <si>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</si>
  <si>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</si>
  <si>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</si>
  <si>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</si>
  <si>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</si>
  <si>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</si>
  <si>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</si>
  <si>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</si>
  <si>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</si>
  <si>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</si>
  <si>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</si>
  <si>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</si>
  <si>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</si>
  <si>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</si>
  <si>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</si>
  <si>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</si>
  <si>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</si>
  <si>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</si>
  <si>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</si>
  <si>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</si>
  <si>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</si>
  <si>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</si>
  <si>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</si>
  <si>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</si>
  <si>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</si>
  <si>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</si>
  <si>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</si>
  <si>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</si>
  <si>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</si>
  <si>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</si>
  <si>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</si>
  <si>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</si>
  <si>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</si>
  <si>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</si>
  <si>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</si>
  <si>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</si>
  <si>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</si>
  <si>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</si>
  <si>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</si>
  <si>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</si>
  <si>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</si>
  <si>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</si>
  <si>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</si>
  <si>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</si>
  <si>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</si>
  <si>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</si>
  <si>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</si>
  <si>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</si>
  <si>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</si>
  <si>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</si>
  <si>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</si>
  <si>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</si>
  <si>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</si>
  <si>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</si>
  <si>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</si>
  <si>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</si>
  <si>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</si>
  <si>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</si>
  <si>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</si>
  <si>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</si>
  <si>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</si>
  <si>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</si>
  <si>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</si>
  <si>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</si>
  <si>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</si>
  <si>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</si>
  <si>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</si>
  <si>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</si>
  <si>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</si>
  <si>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</si>
  <si>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</si>
  <si>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</si>
  <si>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</si>
  <si>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</si>
  <si>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</si>
  <si>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</si>
  <si>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</si>
  <si>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</si>
  <si>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</si>
  <si>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</si>
  <si>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</si>
  <si>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</si>
  <si>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</si>
  <si>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</si>
  <si>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</si>
  <si>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</si>
  <si>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</si>
  <si>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</si>
  <si>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</si>
  <si>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</si>
  <si>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</si>
  <si>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</si>
  <si>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</si>
  <si>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</si>
  <si>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</si>
  <si>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</si>
  <si>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</si>
  <si>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</si>
  <si>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</si>
  <si>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</si>
  <si>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</si>
  <si>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</si>
  <si>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</si>
  <si>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</si>
  <si>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</si>
  <si>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</si>
  <si>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</si>
  <si>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</si>
  <si>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</si>
  <si>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</si>
  <si>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</si>
  <si>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</si>
  <si>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</si>
  <si>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</si>
  <si>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</si>
  <si>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</si>
  <si>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</si>
  <si>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</si>
  <si>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</si>
  <si>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</si>
  <si>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</si>
  <si>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</si>
  <si>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</si>
  <si>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</si>
  <si>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</si>
  <si>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</si>
  <si>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</si>
  <si>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</si>
  <si>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</si>
  <si>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</si>
  <si>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</si>
  <si>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</si>
  <si>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</si>
  <si>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</si>
  <si>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</si>
  <si>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</si>
  <si>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</si>
  <si>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</si>
  <si>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</si>
  <si>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</si>
  <si>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</si>
  <si>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</si>
  <si>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</si>
  <si>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</si>
  <si>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</si>
  <si>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</si>
  <si>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</si>
  <si>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</si>
  <si>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</si>
  <si>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</si>
  <si>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</si>
  <si>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</si>
  <si>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</si>
  <si>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</si>
  <si>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</si>
  <si>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</si>
  <si>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</si>
  <si>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</si>
  <si>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</si>
  <si>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</si>
  <si>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</si>
  <si>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</si>
  <si>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</si>
  <si>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</si>
  <si>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</si>
  <si>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Maestro Mat. Esp. - Ex. Cons. Menor Jubilado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</si>
  <si>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</si>
  <si>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</si>
  <si>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</si>
  <si>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</si>
  <si>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</si>
  <si>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</si>
  <si>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</si>
  <si>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</si>
  <si>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</si>
  <si>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</si>
  <si>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</si>
  <si>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</si>
  <si>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</si>
  <si>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</si>
  <si>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</si>
  <si>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</si>
  <si>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</si>
  <si>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</si>
  <si>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</si>
  <si>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</si>
  <si>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</si>
  <si>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</si>
  <si>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</si>
  <si>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</si>
  <si>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</si>
  <si>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</si>
  <si>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</si>
  <si>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</si>
  <si>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</si>
  <si>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</si>
  <si>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</si>
  <si>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</si>
  <si>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</si>
  <si>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</si>
  <si>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</si>
  <si>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</si>
  <si>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</si>
  <si>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</si>
  <si>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</si>
  <si>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</si>
  <si>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</si>
  <si>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</si>
  <si>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</si>
  <si>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</si>
  <si>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</si>
  <si>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</si>
  <si>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</si>
  <si>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</si>
  <si>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</si>
  <si>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</si>
  <si>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</si>
  <si>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</si>
  <si>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</si>
  <si>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</si>
  <si>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</si>
  <si>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</si>
  <si>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</si>
  <si>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</si>
  <si>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</si>
  <si>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</si>
  <si>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</si>
  <si>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</si>
  <si>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</si>
  <si>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</si>
  <si>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</si>
  <si>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</si>
  <si>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</si>
  <si>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</si>
  <si>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</si>
  <si>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</si>
  <si>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</si>
  <si>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</si>
  <si>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</si>
  <si>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</si>
  <si>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</si>
  <si>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</si>
  <si>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</si>
  <si>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</si>
  <si>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</si>
  <si>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</si>
  <si>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</si>
  <si>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</si>
  <si>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</si>
  <si>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</si>
  <si>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</si>
  <si>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</si>
  <si>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</si>
  <si>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</si>
  <si>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</si>
  <si>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</si>
  <si>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</si>
  <si>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</si>
  <si>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</si>
  <si>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</si>
  <si>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</si>
  <si>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</si>
  <si>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</si>
  <si>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</si>
  <si>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</si>
  <si>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</si>
  <si>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</si>
  <si>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</si>
  <si>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</si>
  <si>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</si>
  <si>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</si>
  <si>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</si>
  <si>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</si>
  <si>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</si>
  <si>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</si>
  <si>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</si>
  <si>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</si>
  <si>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</si>
  <si>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</si>
  <si>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</si>
  <si>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</si>
  <si>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</si>
  <si>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</si>
  <si>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</si>
  <si>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</si>
  <si>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</si>
  <si>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</si>
  <si>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</si>
  <si>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</si>
  <si>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</si>
  <si>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</si>
  <si>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</si>
  <si>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</si>
  <si>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</si>
  <si>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</si>
  <si>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</si>
  <si>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</si>
  <si>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</si>
  <si>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</si>
  <si>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</si>
  <si>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</si>
  <si>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</si>
  <si>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</si>
  <si>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</si>
  <si>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</si>
  <si>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</si>
  <si>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</si>
  <si>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</si>
  <si>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</si>
  <si>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</si>
  <si>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</si>
  <si>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</si>
  <si>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</si>
  <si>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</si>
  <si>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</si>
  <si>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</si>
  <si>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</si>
  <si>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</si>
  <si>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</si>
  <si>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</si>
  <si>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</si>
  <si>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</si>
  <si>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</si>
  <si>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</si>
  <si>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</si>
  <si>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</si>
  <si>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</si>
  <si>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</si>
  <si>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</si>
  <si>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</si>
  <si>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</si>
  <si>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</si>
  <si>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</si>
  <si>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</si>
  <si>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</si>
  <si>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</si>
  <si>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</si>
  <si>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</si>
  <si>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</si>
  <si>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</si>
  <si>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</si>
  <si>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</si>
  <si>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</si>
  <si>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</si>
  <si>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</si>
  <si>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</si>
  <si>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</si>
  <si>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</si>
  <si>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</si>
  <si>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</si>
  <si>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</si>
  <si>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</si>
  <si>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</si>
  <si>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</si>
  <si>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</si>
  <si>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</si>
  <si>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</si>
  <si>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</si>
  <si>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</si>
  <si>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</si>
  <si>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</si>
  <si>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</si>
  <si>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</si>
  <si>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Bon Compensatoria Cargos</t>
  </si>
  <si>
    <t>Bon Compe Cargos Dir Med Esp y Sup</t>
  </si>
  <si>
    <t>Bon Compe Cargos Superv y Jor Completa</t>
  </si>
  <si>
    <t>Bon Compensatoria Hs</t>
  </si>
  <si>
    <t>Bon Compensatoria Jornada Extendida</t>
  </si>
  <si>
    <t>Bonificación Compensatoria</t>
  </si>
  <si>
    <t>C102190</t>
  </si>
  <si>
    <t>X</t>
  </si>
  <si>
    <t>AUMENTO</t>
  </si>
  <si>
    <t>Adicional extraordinario</t>
  </si>
  <si>
    <t>C119600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</si>
</sst>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0.000000"/>
    <numFmt numFmtId="165" formatCode="_ * #,##0.00_ ;_ * \-#,##0.00_ ;_ * \-??_ ;_ @_ "/>
    <numFmt numFmtId="166" formatCode="0.00000"/>
    <numFmt numFmtId="167" formatCode="_-* #,##0.00\ _€_-;\-* #,##0.00\ _€_-;_-* \-??\ _€_-;_-@_-"/>
    <numFmt numFmtId="168" formatCode="_ * #,##0.00000_ ;_ * \-#,##0.00000_ ;_ * \-??_ ;_ @_ "/>
    <numFmt numFmtId="169" formatCode="0\ %"/>
    <numFmt numFmtId="170" formatCode="0.0000%"/>
    <numFmt numFmtId="171" formatCode="0.00\ %"/>
    <numFmt numFmtId="172" formatCode="_-* #,##0_-;\-* #,##0_-;_-* \-_-;_-@_-"/>
    <numFmt numFmtId="173" formatCode="_ &quot;$ &quot;* #,##0.00_ ;_ &quot;$ &quot;* \-#,##0.00_ ;_ &quot;$ &quot;* \-??_ ;_ @_ "/>
    <numFmt numFmtId="174" formatCode="_ * #,##0_ ;_ * \-#,##0_ ;_ * \-??_ ;_ @_ "/>
    <numFmt numFmtId="175" formatCode="0_ ;\-0\ "/>
    <numFmt numFmtId="176" formatCode="0.0000"/>
    <numFmt numFmtId="177" formatCode="0.00000000"/>
    <numFmt numFmtId="178" formatCode="#,##0.00000000_ ;\-#,##0.00000000\ "/>
    <numFmt numFmtId="179" formatCode="0.0000_ ;\-0.0000\ "/>
    <numFmt numFmtId="180" formatCode="#,##0.0000_ ;\-#,##0.0000\ "/>
  </numFmts>
  <fonts count="23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sz val="6"/>
      <color rgb="FFFFFFFF"/>
      <name val="Times New Roman"/>
      <family val="1"/>
    </font>
    <font>
      <u val="single"/>
      <sz val="10"/>
      <color rgb="FF0000FF"/>
      <name val="Arial"/>
      <family val="2"/>
    </font>
    <font>
      <sz val="5"/>
      <color rgb="FF000000"/>
      <name val="Times New Roman"/>
      <family val="1"/>
    </font>
    <font>
      <sz val="7"/>
      <color rgb="FFFFFFFF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color rgb="FFC6D9F1"/>
      <name val="Times New Roman"/>
      <family val="1"/>
    </font>
    <font>
      <sz val="10"/>
      <color rgb="FF000000"/>
      <name val="Times New Roman"/>
      <family val="1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173" fontId="0" fillId="0" borderId="0" applyBorder="0" applyProtection="0">
      <alignment/>
    </xf>
    <xf numFmtId="169" fontId="0" fillId="0" borderId="0" applyBorder="0" applyProtection="0">
      <alignment/>
    </xf>
    <xf numFmtId="0" fontId="9" fillId="0" borderId="0" applyBorder="0" applyProtection="0">
      <alignment/>
    </xf>
    <xf numFmtId="0" fontId="1" fillId="0" borderId="0">
      <alignment/>
      <protection/>
    </xf>
  </cellStyleXfs>
  <cellXfs count="241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5" fontId="0" fillId="0" borderId="0" xfId="20" applyFont="1" applyBorder="1" applyAlignment="1" applyProtection="1">
      <alignment/>
      <protection/>
    </xf>
    <xf numFmtId="165" fontId="0" fillId="0" borderId="0" xfId="0" applyNumberFormat="1"/>
    <xf numFmtId="165" fontId="0" fillId="0" borderId="0" xfId="20" applyFont="1" applyBorder="1" applyAlignment="1" applyProtection="1">
      <alignment/>
      <protection/>
    </xf>
    <xf numFmtId="167" fontId="0" fillId="0" borderId="0" xfId="0" applyNumberFormat="1"/>
    <xf numFmtId="4" fontId="0" fillId="0" borderId="0" xfId="0" applyNumberFormat="1"/>
    <xf numFmtId="164" fontId="0" fillId="0" borderId="0" xfId="0" applyNumberFormat="1"/>
    <xf numFmtId="170" fontId="0" fillId="0" borderId="0" xfId="22" applyNumberFormat="1" applyFont="1" applyBorder="1" applyAlignment="1" applyProtection="1">
      <alignment/>
      <protection/>
    </xf>
    <xf numFmtId="171" fontId="0" fillId="0" borderId="0" xfId="22" applyNumberFormat="1" applyFont="1" applyBorder="1" applyAlignment="1" applyProtection="1">
      <alignment/>
      <protection/>
    </xf>
    <xf numFmtId="0" fontId="2" fillId="0" borderId="0" xfId="24" applyFont="1" applyBorder="1" applyAlignment="1">
      <alignment horizontal="center"/>
      <protection/>
    </xf>
    <xf numFmtId="0" fontId="2" fillId="0" borderId="0" xfId="24" applyFont="1" applyBorder="1">
      <alignment/>
      <protection/>
    </xf>
    <xf numFmtId="0" fontId="3" fillId="0" borderId="0" xfId="24" applyFont="1" applyBorder="1" applyAlignment="1">
      <alignment horizontal="right"/>
      <protection/>
    </xf>
    <xf numFmtId="165" fontId="2" fillId="0" borderId="0" xfId="24" applyNumberFormat="1" applyFont="1" applyBorder="1" applyAlignment="1" applyProtection="1">
      <alignment/>
      <protection/>
    </xf>
    <xf numFmtId="172" fontId="2" fillId="0" borderId="0" xfId="24" applyNumberFormat="1" applyFont="1" applyBorder="1" applyAlignment="1">
      <alignment horizontal="right" wrapText="1"/>
      <protection/>
    </xf>
    <xf numFmtId="165" fontId="2" fillId="0" borderId="0" xfId="24" applyNumberFormat="1" applyFont="1" applyBorder="1" applyAlignment="1">
      <alignment/>
      <protection/>
    </xf>
    <xf numFmtId="174" fontId="2" fillId="0" borderId="0" xfId="21" applyNumberFormat="1" applyFont="1" applyBorder="1" applyAlignment="1" applyProtection="1">
      <alignment horizontal="right"/>
      <protection/>
    </xf>
    <xf numFmtId="165" fontId="2" fillId="0" borderId="0" xfId="24" applyNumberFormat="1" applyFont="1" applyBorder="1">
      <alignment/>
      <protection/>
    </xf>
    <xf numFmtId="174" fontId="2" fillId="0" borderId="0" xfId="24" applyNumberFormat="1" applyFont="1" applyBorder="1" applyAlignment="1">
      <alignment horizontal="right"/>
      <protection/>
    </xf>
    <xf numFmtId="172" fontId="2" fillId="0" borderId="0" xfId="24" applyNumberFormat="1" applyFont="1" applyBorder="1" applyAlignment="1">
      <alignment horizontal="right"/>
      <protection/>
    </xf>
    <xf numFmtId="165" fontId="2" fillId="0" borderId="0" xfId="20" applyFont="1" applyBorder="1" applyAlignment="1" applyProtection="1">
      <alignment/>
      <protection/>
    </xf>
    <xf numFmtId="165" fontId="3" fillId="0" borderId="0" xfId="24" applyNumberFormat="1" applyFont="1" applyBorder="1">
      <alignment/>
      <protection/>
    </xf>
    <xf numFmtId="0" fontId="4" fillId="0" borderId="0" xfId="24" applyFont="1" applyBorder="1">
      <alignment/>
      <protection/>
    </xf>
    <xf numFmtId="0" fontId="6" fillId="0" borderId="0" xfId="24" applyFont="1" applyBorder="1" applyAlignment="1">
      <alignment horizontal="center" vertical="center" wrapText="1"/>
      <protection/>
    </xf>
    <xf numFmtId="0" fontId="7" fillId="0" borderId="0" xfId="24" applyFont="1" applyBorder="1" applyAlignment="1">
      <alignment horizontal="center"/>
      <protection/>
    </xf>
    <xf numFmtId="0" fontId="7" fillId="0" borderId="0" xfId="24" applyFont="1" applyBorder="1" applyAlignment="1">
      <alignment/>
      <protection/>
    </xf>
    <xf numFmtId="165" fontId="8" fillId="0" borderId="0" xfId="24" applyNumberFormat="1" applyFont="1" applyBorder="1">
      <alignment/>
      <protection/>
    </xf>
    <xf numFmtId="165" fontId="9" fillId="0" borderId="0" xfId="23" applyNumberFormat="1" applyBorder="1" applyAlignment="1" applyProtection="1">
      <alignment/>
      <protection/>
    </xf>
    <xf numFmtId="0" fontId="11" fillId="0" borderId="0" xfId="24" applyFont="1" applyBorder="1">
      <alignment/>
      <protection/>
    </xf>
    <xf numFmtId="176" fontId="14" fillId="0" borderId="0" xfId="21" applyNumberFormat="1" applyFont="1" applyBorder="1" applyAlignment="1" applyProtection="1">
      <alignment vertical="center"/>
      <protection/>
    </xf>
    <xf numFmtId="176" fontId="15" fillId="0" borderId="0" xfId="21" applyNumberFormat="1" applyFont="1" applyBorder="1" applyAlignment="1" applyProtection="1">
      <alignment vertical="center"/>
      <protection/>
    </xf>
    <xf numFmtId="176" fontId="15" fillId="0" borderId="0" xfId="21" applyNumberFormat="1" applyFont="1" applyBorder="1" applyAlignment="1" applyProtection="1">
      <alignment horizontal="center"/>
      <protection/>
    </xf>
    <xf numFmtId="176" fontId="14" fillId="0" borderId="0" xfId="21" applyNumberFormat="1" applyFont="1" applyBorder="1" applyAlignment="1" applyProtection="1">
      <alignment horizontal="center"/>
      <protection/>
    </xf>
    <xf numFmtId="176" fontId="16" fillId="0" borderId="0" xfId="21" applyNumberFormat="1" applyFont="1" applyBorder="1" applyAlignment="1" applyProtection="1">
      <alignment horizontal="center"/>
      <protection/>
    </xf>
    <xf numFmtId="0" fontId="7" fillId="0" borderId="0" xfId="24" applyFont="1" applyAlignment="1">
      <alignment horizontal="center"/>
      <protection/>
    </xf>
    <xf numFmtId="165" fontId="2" fillId="0" borderId="0" xfId="20" applyFont="1" applyBorder="1" applyAlignment="1" applyProtection="1">
      <alignment horizontal="center"/>
      <protection/>
    </xf>
    <xf numFmtId="2" fontId="2" fillId="0" borderId="0" xfId="24" applyNumberFormat="1" applyFont="1" applyBorder="1" applyAlignment="1">
      <alignment horizontal="center"/>
      <protection/>
    </xf>
    <xf numFmtId="0" fontId="2" fillId="0" borderId="1" xfId="24" applyFont="1" applyBorder="1">
      <alignment/>
      <protection/>
    </xf>
    <xf numFmtId="165" fontId="3" fillId="0" borderId="1" xfId="24" applyNumberFormat="1" applyFont="1" applyBorder="1" applyAlignment="1">
      <alignment horizontal="center" vertical="center" wrapText="1"/>
      <protection/>
    </xf>
    <xf numFmtId="165" fontId="3" fillId="0" borderId="1" xfId="24" applyNumberFormat="1" applyFont="1" applyBorder="1" applyAlignment="1">
      <alignment horizontal="center" vertical="center"/>
      <protection/>
    </xf>
    <xf numFmtId="165" fontId="3" fillId="0" borderId="1" xfId="20" applyFont="1" applyBorder="1" applyAlignment="1" applyProtection="1">
      <alignment vertical="center" wrapText="1"/>
      <protection/>
    </xf>
    <xf numFmtId="165" fontId="17" fillId="0" borderId="1" xfId="24" applyNumberFormat="1" applyFont="1" applyBorder="1" applyAlignment="1">
      <alignment horizontal="center" vertical="center" wrapText="1"/>
      <protection/>
    </xf>
    <xf numFmtId="165" fontId="3" fillId="0" borderId="1" xfId="20" applyFont="1" applyBorder="1" applyAlignment="1" applyProtection="1">
      <alignment horizontal="center" vertical="center" wrapText="1"/>
      <protection/>
    </xf>
    <xf numFmtId="165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0" xfId="24" applyFont="1" applyBorder="1" applyAlignment="1">
      <alignment horizontal="center"/>
      <protection/>
    </xf>
    <xf numFmtId="0" fontId="4" fillId="0" borderId="2" xfId="24" applyFont="1" applyBorder="1" applyAlignment="1">
      <alignment/>
      <protection/>
    </xf>
    <xf numFmtId="0" fontId="4" fillId="0" borderId="0" xfId="24" applyFont="1" applyBorder="1" applyAlignment="1">
      <alignment/>
      <protection/>
    </xf>
    <xf numFmtId="165" fontId="4" fillId="0" borderId="2" xfId="24" applyNumberFormat="1" applyFont="1" applyBorder="1" applyAlignment="1">
      <alignment/>
      <protection/>
    </xf>
    <xf numFmtId="0" fontId="17" fillId="0" borderId="3" xfId="24" applyFont="1" applyBorder="1" applyAlignment="1">
      <alignment horizontal="right"/>
      <protection/>
    </xf>
    <xf numFmtId="165" fontId="4" fillId="0" borderId="4" xfId="24" applyNumberFormat="1" applyFont="1" applyBorder="1" applyAlignment="1" applyProtection="1">
      <alignment/>
      <protection/>
    </xf>
    <xf numFmtId="172" fontId="17" fillId="0" borderId="3" xfId="24" applyNumberFormat="1" applyFont="1" applyBorder="1" applyAlignment="1">
      <alignment horizontal="right" wrapText="1"/>
      <protection/>
    </xf>
    <xf numFmtId="165" fontId="4" fillId="0" borderId="4" xfId="24" applyNumberFormat="1" applyFont="1" applyBorder="1" applyAlignment="1">
      <alignment/>
      <protection/>
    </xf>
    <xf numFmtId="174" fontId="17" fillId="0" borderId="3" xfId="21" applyNumberFormat="1" applyFont="1" applyBorder="1" applyAlignment="1" applyProtection="1">
      <alignment horizontal="right"/>
      <protection/>
    </xf>
    <xf numFmtId="174" fontId="17" fillId="0" borderId="3" xfId="24" applyNumberFormat="1" applyFont="1" applyBorder="1" applyAlignment="1">
      <alignment horizontal="right"/>
      <protection/>
    </xf>
    <xf numFmtId="165" fontId="4" fillId="0" borderId="0" xfId="24" applyNumberFormat="1" applyFont="1" applyBorder="1" applyAlignment="1">
      <alignment/>
      <protection/>
    </xf>
    <xf numFmtId="172" fontId="17" fillId="0" borderId="3" xfId="24" applyNumberFormat="1" applyFont="1" applyBorder="1" applyAlignment="1">
      <alignment horizontal="right"/>
      <protection/>
    </xf>
    <xf numFmtId="165" fontId="4" fillId="0" borderId="2" xfId="20" applyFont="1" applyBorder="1" applyAlignment="1" applyProtection="1">
      <alignment/>
      <protection/>
    </xf>
    <xf numFmtId="165" fontId="17" fillId="0" borderId="2" xfId="24" applyNumberFormat="1" applyFont="1" applyBorder="1" applyAlignment="1">
      <alignment horizontal="center" vertical="center"/>
      <protection/>
    </xf>
    <xf numFmtId="165" fontId="4" fillId="0" borderId="2" xfId="24" applyNumberFormat="1" applyFont="1" applyBorder="1" applyAlignment="1">
      <alignment horizontal="center" vertical="center"/>
      <protection/>
    </xf>
    <xf numFmtId="165" fontId="17" fillId="0" borderId="2" xfId="24" applyNumberFormat="1" applyFont="1" applyBorder="1" applyAlignment="1">
      <alignment horizontal="center" vertical="center" wrapText="1"/>
      <protection/>
    </xf>
    <xf numFmtId="165" fontId="4" fillId="0" borderId="2" xfId="24" applyNumberFormat="1" applyFont="1" applyBorder="1" applyAlignment="1">
      <alignment horizontal="center" vertical="center" wrapText="1"/>
      <protection/>
    </xf>
    <xf numFmtId="165" fontId="17" fillId="0" borderId="2" xfId="24" applyNumberFormat="1" applyFont="1" applyBorder="1" applyAlignment="1">
      <alignment/>
      <protection/>
    </xf>
    <xf numFmtId="0" fontId="4" fillId="0" borderId="2" xfId="24" applyFont="1" applyBorder="1" applyAlignment="1">
      <alignment horizontal="center"/>
      <protection/>
    </xf>
    <xf numFmtId="0" fontId="4" fillId="0" borderId="2" xfId="24" applyFont="1" applyBorder="1">
      <alignment/>
      <protection/>
    </xf>
    <xf numFmtId="0" fontId="4" fillId="0" borderId="0" xfId="24" applyFont="1" applyBorder="1" applyAlignment="1">
      <alignment horizontal="left" wrapText="1"/>
      <protection/>
    </xf>
    <xf numFmtId="174" fontId="17" fillId="0" borderId="0" xfId="24" applyNumberFormat="1" applyFont="1" applyBorder="1" applyAlignment="1">
      <alignment horizontal="right"/>
      <protection/>
    </xf>
    <xf numFmtId="165" fontId="4" fillId="0" borderId="0" xfId="24" applyNumberFormat="1" applyFont="1" applyBorder="1" applyAlignment="1" applyProtection="1">
      <alignment/>
      <protection/>
    </xf>
    <xf numFmtId="172" fontId="17" fillId="0" borderId="0" xfId="24" applyNumberFormat="1" applyFont="1" applyBorder="1" applyAlignment="1">
      <alignment horizontal="right" wrapText="1"/>
      <protection/>
    </xf>
    <xf numFmtId="165" fontId="4" fillId="0" borderId="0" xfId="24" applyNumberFormat="1" applyFont="1" applyBorder="1" applyAlignment="1" applyProtection="1">
      <alignment horizontal="right"/>
      <protection/>
    </xf>
    <xf numFmtId="174" fontId="17" fillId="0" borderId="0" xfId="21" applyNumberFormat="1" applyFont="1" applyBorder="1" applyAlignment="1" applyProtection="1">
      <alignment horizontal="right" wrapText="1"/>
      <protection/>
    </xf>
    <xf numFmtId="165" fontId="4" fillId="0" borderId="0" xfId="24" applyNumberFormat="1" applyFont="1" applyBorder="1" applyAlignment="1">
      <alignment horizontal="right" wrapText="1"/>
      <protection/>
    </xf>
    <xf numFmtId="165" fontId="18" fillId="0" borderId="0" xfId="24" applyNumberFormat="1" applyFont="1" applyBorder="1" applyAlignment="1" applyProtection="1">
      <alignment horizontal="right"/>
      <protection/>
    </xf>
    <xf numFmtId="172" fontId="17" fillId="0" borderId="0" xfId="24" applyNumberFormat="1" applyFont="1" applyBorder="1" applyAlignment="1" applyProtection="1">
      <alignment horizontal="right"/>
      <protection/>
    </xf>
    <xf numFmtId="165" fontId="4" fillId="0" borderId="0" xfId="20" applyFont="1" applyBorder="1" applyAlignment="1" applyProtection="1">
      <alignment horizontal="right"/>
      <protection/>
    </xf>
    <xf numFmtId="165" fontId="17" fillId="0" borderId="0" xfId="24" applyNumberFormat="1" applyFont="1" applyBorder="1" applyAlignment="1">
      <alignment horizontal="right" wrapText="1"/>
      <protection/>
    </xf>
    <xf numFmtId="165" fontId="17" fillId="0" borderId="0" xfId="24" applyNumberFormat="1" applyFont="1" applyBorder="1" applyAlignment="1">
      <alignment wrapText="1"/>
      <protection/>
    </xf>
    <xf numFmtId="165" fontId="4" fillId="0" borderId="0" xfId="24" applyNumberFormat="1" applyFont="1" applyBorder="1" applyAlignment="1">
      <alignment wrapText="1"/>
      <protection/>
    </xf>
    <xf numFmtId="165" fontId="18" fillId="0" borderId="0" xfId="24" applyNumberFormat="1" applyFont="1" applyBorder="1" applyAlignment="1" applyProtection="1">
      <alignment/>
      <protection/>
    </xf>
    <xf numFmtId="0" fontId="4" fillId="0" borderId="5" xfId="24" applyFont="1" applyBorder="1" applyAlignment="1">
      <alignment horizontal="center"/>
      <protection/>
    </xf>
    <xf numFmtId="0" fontId="4" fillId="0" borderId="5" xfId="24" applyFont="1" applyBorder="1">
      <alignment/>
      <protection/>
    </xf>
    <xf numFmtId="0" fontId="4" fillId="0" borderId="5" xfId="24" applyFont="1" applyBorder="1" applyAlignment="1">
      <alignment horizontal="left" wrapText="1"/>
      <protection/>
    </xf>
    <xf numFmtId="174" fontId="17" fillId="0" borderId="5" xfId="24" applyNumberFormat="1" applyFont="1" applyBorder="1" applyAlignment="1">
      <alignment horizontal="right"/>
      <protection/>
    </xf>
    <xf numFmtId="165" fontId="4" fillId="0" borderId="5" xfId="24" applyNumberFormat="1" applyFont="1" applyBorder="1" applyAlignment="1" applyProtection="1">
      <alignment/>
      <protection/>
    </xf>
    <xf numFmtId="172" fontId="17" fillId="0" borderId="5" xfId="24" applyNumberFormat="1" applyFont="1" applyBorder="1" applyAlignment="1">
      <alignment horizontal="right" wrapText="1"/>
      <protection/>
    </xf>
    <xf numFmtId="165" fontId="4" fillId="0" borderId="5" xfId="24" applyNumberFormat="1" applyFont="1" applyBorder="1" applyAlignment="1" applyProtection="1">
      <alignment horizontal="right"/>
      <protection/>
    </xf>
    <xf numFmtId="174" fontId="17" fillId="0" borderId="5" xfId="21" applyNumberFormat="1" applyFont="1" applyBorder="1" applyAlignment="1" applyProtection="1">
      <alignment horizontal="right" wrapText="1"/>
      <protection/>
    </xf>
    <xf numFmtId="165" fontId="4" fillId="0" borderId="5" xfId="24" applyNumberFormat="1" applyFont="1" applyBorder="1" applyAlignment="1">
      <alignment horizontal="right" wrapText="1"/>
      <protection/>
    </xf>
    <xf numFmtId="165" fontId="18" fillId="0" borderId="5" xfId="24" applyNumberFormat="1" applyFont="1" applyBorder="1" applyAlignment="1" applyProtection="1">
      <alignment horizontal="right"/>
      <protection/>
    </xf>
    <xf numFmtId="172" fontId="17" fillId="0" borderId="5" xfId="24" applyNumberFormat="1" applyFont="1" applyBorder="1" applyAlignment="1" applyProtection="1">
      <alignment horizontal="right"/>
      <protection/>
    </xf>
    <xf numFmtId="165" fontId="4" fillId="0" borderId="5" xfId="20" applyFont="1" applyBorder="1" applyAlignment="1" applyProtection="1">
      <alignment horizontal="right"/>
      <protection/>
    </xf>
    <xf numFmtId="165" fontId="17" fillId="0" borderId="5" xfId="24" applyNumberFormat="1" applyFont="1" applyBorder="1" applyAlignment="1">
      <alignment horizontal="right" wrapText="1"/>
      <protection/>
    </xf>
    <xf numFmtId="165" fontId="17" fillId="0" borderId="5" xfId="24" applyNumberFormat="1" applyFont="1" applyBorder="1" applyAlignment="1">
      <alignment wrapText="1"/>
      <protection/>
    </xf>
    <xf numFmtId="165" fontId="4" fillId="0" borderId="5" xfId="24" applyNumberFormat="1" applyFont="1" applyBorder="1" applyAlignment="1">
      <alignment wrapText="1"/>
      <protection/>
    </xf>
    <xf numFmtId="174" fontId="17" fillId="0" borderId="0" xfId="24" applyNumberFormat="1" applyFont="1" applyBorder="1" applyAlignment="1" applyProtection="1">
      <alignment horizontal="right"/>
      <protection/>
    </xf>
    <xf numFmtId="165" fontId="4" fillId="0" borderId="0" xfId="24" applyNumberFormat="1" applyFont="1" applyBorder="1" applyAlignment="1">
      <alignment horizontal="right"/>
      <protection/>
    </xf>
    <xf numFmtId="174" fontId="17" fillId="0" borderId="0" xfId="21" applyNumberFormat="1" applyFont="1" applyBorder="1" applyAlignment="1" applyProtection="1">
      <alignment horizontal="right"/>
      <protection/>
    </xf>
    <xf numFmtId="172" fontId="17" fillId="0" borderId="5" xfId="24" applyNumberFormat="1" applyFont="1" applyBorder="1" applyAlignment="1" applyProtection="1">
      <alignment horizontal="right" wrapText="1"/>
      <protection/>
    </xf>
    <xf numFmtId="174" fontId="17" fillId="0" borderId="5" xfId="21" applyNumberFormat="1" applyFont="1" applyBorder="1" applyAlignment="1" applyProtection="1">
      <alignment horizontal="right"/>
      <protection/>
    </xf>
    <xf numFmtId="174" fontId="17" fillId="0" borderId="5" xfId="24" applyNumberFormat="1" applyFont="1" applyBorder="1" applyAlignment="1" applyProtection="1">
      <alignment horizontal="right"/>
      <protection/>
    </xf>
    <xf numFmtId="165" fontId="18" fillId="0" borderId="0" xfId="24" applyNumberFormat="1" applyFont="1" applyBorder="1" applyAlignment="1">
      <alignment horizontal="right"/>
      <protection/>
    </xf>
    <xf numFmtId="165" fontId="4" fillId="0" borderId="5" xfId="24" applyNumberFormat="1" applyFont="1" applyBorder="1" applyAlignment="1">
      <alignment horizontal="right"/>
      <protection/>
    </xf>
    <xf numFmtId="165" fontId="18" fillId="0" borderId="5" xfId="24" applyNumberFormat="1" applyFont="1" applyBorder="1" applyAlignment="1">
      <alignment horizontal="right"/>
      <protection/>
    </xf>
    <xf numFmtId="165" fontId="18" fillId="0" borderId="0" xfId="24" applyNumberFormat="1" applyFont="1" applyBorder="1" applyAlignment="1">
      <alignment horizontal="right" wrapText="1"/>
      <protection/>
    </xf>
    <xf numFmtId="165" fontId="18" fillId="0" borderId="5" xfId="24" applyNumberFormat="1" applyFont="1" applyBorder="1" applyAlignment="1">
      <alignment horizontal="right" wrapText="1"/>
      <protection/>
    </xf>
    <xf numFmtId="165" fontId="18" fillId="2" borderId="0" xfId="24" applyNumberFormat="1" applyFont="1" applyFill="1" applyBorder="1" applyAlignment="1" applyProtection="1">
      <alignment horizontal="right"/>
      <protection/>
    </xf>
    <xf numFmtId="172" fontId="17" fillId="0" borderId="0" xfId="24" applyNumberFormat="1" applyFont="1" applyBorder="1" applyAlignment="1" applyProtection="1">
      <alignment horizontal="right" wrapText="1"/>
      <protection/>
    </xf>
    <xf numFmtId="172" fontId="19" fillId="0" borderId="0" xfId="24" applyNumberFormat="1" applyFont="1" applyBorder="1" applyAlignment="1" applyProtection="1">
      <alignment horizontal="right"/>
      <protection/>
    </xf>
    <xf numFmtId="165" fontId="17" fillId="0" borderId="0" xfId="24" applyNumberFormat="1" applyFont="1" applyBorder="1" applyAlignment="1">
      <alignment horizontal="right"/>
      <protection/>
    </xf>
    <xf numFmtId="165" fontId="17" fillId="0" borderId="5" xfId="24" applyNumberFormat="1" applyFont="1" applyBorder="1" applyAlignment="1">
      <alignment horizontal="right"/>
      <protection/>
    </xf>
    <xf numFmtId="165" fontId="4" fillId="0" borderId="5" xfId="24" applyNumberFormat="1" applyFont="1" applyBorder="1" applyAlignment="1">
      <alignment/>
      <protection/>
    </xf>
    <xf numFmtId="165" fontId="18" fillId="2" borderId="0" xfId="24" applyNumberFormat="1" applyFont="1" applyFill="1" applyBorder="1" applyAlignment="1">
      <alignment horizontal="right"/>
      <protection/>
    </xf>
    <xf numFmtId="165" fontId="17" fillId="0" borderId="0" xfId="24" applyNumberFormat="1" applyFont="1" applyBorder="1" applyAlignment="1" applyProtection="1">
      <alignment horizontal="right"/>
      <protection/>
    </xf>
    <xf numFmtId="165" fontId="17" fillId="0" borderId="5" xfId="24" applyNumberFormat="1" applyFont="1" applyBorder="1" applyAlignment="1" applyProtection="1">
      <alignment horizontal="right"/>
      <protection/>
    </xf>
    <xf numFmtId="0" fontId="4" fillId="0" borderId="6" xfId="24" applyFont="1" applyBorder="1" applyAlignment="1">
      <alignment horizontal="center"/>
      <protection/>
    </xf>
    <xf numFmtId="0" fontId="17" fillId="0" borderId="0" xfId="24" applyFont="1" applyBorder="1" applyAlignment="1">
      <alignment horizontal="right"/>
      <protection/>
    </xf>
    <xf numFmtId="172" fontId="4" fillId="0" borderId="0" xfId="24" applyNumberFormat="1" applyFont="1" applyBorder="1" applyAlignment="1">
      <alignment horizontal="right" wrapText="1"/>
      <protection/>
    </xf>
    <xf numFmtId="174" fontId="4" fillId="0" borderId="0" xfId="21" applyNumberFormat="1" applyFont="1" applyBorder="1" applyAlignment="1" applyProtection="1">
      <alignment horizontal="right"/>
      <protection/>
    </xf>
    <xf numFmtId="174" fontId="4" fillId="0" borderId="0" xfId="24" applyNumberFormat="1" applyFont="1" applyBorder="1" applyAlignment="1">
      <alignment horizontal="right"/>
      <protection/>
    </xf>
    <xf numFmtId="172" fontId="4" fillId="0" borderId="0" xfId="24" applyNumberFormat="1" applyFont="1" applyBorder="1" applyAlignment="1">
      <alignment horizontal="right"/>
      <protection/>
    </xf>
    <xf numFmtId="174" fontId="17" fillId="0" borderId="0" xfId="20" applyNumberFormat="1" applyFont="1" applyBorder="1" applyAlignment="1" applyProtection="1">
      <alignment horizontal="right"/>
      <protection/>
    </xf>
    <xf numFmtId="0" fontId="3" fillId="0" borderId="0" xfId="24" applyFont="1" applyBorder="1" applyAlignment="1">
      <alignment horizontal="left"/>
      <protection/>
    </xf>
    <xf numFmtId="1" fontId="0" fillId="0" borderId="0" xfId="0" applyNumberFormat="1" applyBorder="1"/>
    <xf numFmtId="0" fontId="2" fillId="0" borderId="5" xfId="24" applyFont="1" applyBorder="1" applyAlignment="1">
      <alignment horizontal="center"/>
      <protection/>
    </xf>
    <xf numFmtId="1" fontId="0" fillId="0" borderId="5" xfId="0" applyNumberFormat="1" applyBorder="1"/>
    <xf numFmtId="0" fontId="4" fillId="0" borderId="5" xfId="24" applyFont="1" applyBorder="1" applyAlignment="1">
      <alignment/>
      <protection/>
    </xf>
    <xf numFmtId="174" fontId="17" fillId="0" borderId="5" xfId="20" applyNumberFormat="1" applyFont="1" applyBorder="1" applyAlignment="1" applyProtection="1">
      <alignment horizontal="right"/>
      <protection/>
    </xf>
    <xf numFmtId="0" fontId="2" fillId="0" borderId="5" xfId="24" applyFont="1" applyBorder="1">
      <alignment/>
      <protection/>
    </xf>
    <xf numFmtId="0" fontId="8" fillId="0" borderId="0" xfId="24" applyFont="1" applyBorder="1">
      <alignment/>
      <protection/>
    </xf>
    <xf numFmtId="0" fontId="20" fillId="0" borderId="0" xfId="24" applyFont="1" applyBorder="1">
      <alignment/>
      <protection/>
    </xf>
    <xf numFmtId="0" fontId="8" fillId="0" borderId="5" xfId="24" applyFont="1" applyBorder="1">
      <alignment/>
      <protection/>
    </xf>
    <xf numFmtId="172" fontId="2" fillId="0" borderId="0" xfId="24" applyNumberFormat="1" applyFont="1" applyBorder="1" applyAlignment="1" applyProtection="1">
      <alignment/>
      <protection/>
    </xf>
    <xf numFmtId="165" fontId="12" fillId="0" borderId="0" xfId="24" applyNumberFormat="1" applyFont="1" applyBorder="1">
      <alignment/>
      <protection/>
    </xf>
    <xf numFmtId="165" fontId="21" fillId="0" borderId="0" xfId="24" applyNumberFormat="1" applyFont="1" applyBorder="1">
      <alignment/>
      <protection/>
    </xf>
    <xf numFmtId="0" fontId="5" fillId="0" borderId="0" xfId="24" applyFont="1" applyBorder="1" applyAlignment="1">
      <alignment vertical="center" wrapText="1"/>
      <protection/>
    </xf>
    <xf numFmtId="0" fontId="7" fillId="0" borderId="7" xfId="24" applyFont="1" applyBorder="1" applyAlignment="1">
      <alignment/>
      <protection/>
    </xf>
    <xf numFmtId="0" fontId="7" fillId="0" borderId="8" xfId="24" applyFont="1" applyBorder="1" applyAlignment="1">
      <alignment/>
      <protection/>
    </xf>
    <xf numFmtId="175" fontId="2" fillId="0" borderId="7" xfId="24" applyNumberFormat="1" applyFont="1" applyBorder="1" applyAlignment="1" applyProtection="1">
      <alignment/>
      <protection/>
    </xf>
    <xf numFmtId="0" fontId="0" fillId="0" borderId="7" xfId="0" applyBorder="1"/>
    <xf numFmtId="0" fontId="0" fillId="0" borderId="9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3" fillId="0" borderId="10" xfId="24" applyFont="1" applyBorder="1" applyAlignment="1">
      <alignment horizontal="center"/>
      <protection/>
    </xf>
    <xf numFmtId="165" fontId="3" fillId="0" borderId="11" xfId="24" applyNumberFormat="1" applyFont="1" applyBorder="1" applyAlignment="1">
      <alignment horizontal="center" wrapText="1"/>
      <protection/>
    </xf>
    <xf numFmtId="165" fontId="3" fillId="0" borderId="4" xfId="24" applyNumberFormat="1" applyFont="1" applyBorder="1" applyAlignment="1">
      <alignment horizontal="center"/>
      <protection/>
    </xf>
    <xf numFmtId="165" fontId="3" fillId="0" borderId="2" xfId="24" applyNumberFormat="1" applyFont="1" applyBorder="1" applyAlignment="1">
      <alignment horizontal="center" wrapText="1"/>
      <protection/>
    </xf>
    <xf numFmtId="165" fontId="17" fillId="0" borderId="12" xfId="24" applyNumberFormat="1" applyFont="1" applyBorder="1" applyAlignment="1">
      <alignment horizontal="center" vertical="center" wrapText="1"/>
      <protection/>
    </xf>
    <xf numFmtId="165" fontId="3" fillId="0" borderId="4" xfId="24" applyNumberFormat="1" applyFont="1" applyBorder="1" applyAlignment="1">
      <alignment horizontal="center" wrapText="1"/>
      <protection/>
    </xf>
    <xf numFmtId="165" fontId="3" fillId="0" borderId="12" xfId="24" applyNumberFormat="1" applyFont="1" applyBorder="1" applyAlignment="1">
      <alignment horizontal="center" vertical="center" wrapText="1"/>
      <protection/>
    </xf>
    <xf numFmtId="0" fontId="3" fillId="3" borderId="11" xfId="24" applyFont="1" applyFill="1" applyBorder="1" applyAlignment="1">
      <alignment horizontal="center" wrapText="1"/>
      <protection/>
    </xf>
    <xf numFmtId="0" fontId="3" fillId="3" borderId="10" xfId="24" applyFont="1" applyFill="1" applyBorder="1" applyAlignment="1">
      <alignment horizontal="center" wrapText="1"/>
      <protection/>
    </xf>
    <xf numFmtId="0" fontId="3" fillId="4" borderId="11" xfId="24" applyFont="1" applyFill="1" applyBorder="1" applyAlignment="1">
      <alignment horizontal="center" wrapText="1"/>
      <protection/>
    </xf>
    <xf numFmtId="0" fontId="3" fillId="4" borderId="10" xfId="24" applyFont="1" applyFill="1" applyBorder="1" applyAlignment="1">
      <alignment horizontal="center" wrapText="1"/>
      <protection/>
    </xf>
    <xf numFmtId="0" fontId="3" fillId="0" borderId="0" xfId="24" applyFont="1" applyBorder="1" applyAlignment="1">
      <alignment horizontal="center" wrapText="1"/>
      <protection/>
    </xf>
    <xf numFmtId="165" fontId="4" fillId="0" borderId="11" xfId="24" applyNumberFormat="1" applyFont="1" applyBorder="1" applyAlignment="1" applyProtection="1">
      <alignment horizontal="center"/>
      <protection/>
    </xf>
    <xf numFmtId="165" fontId="4" fillId="0" borderId="11" xfId="24" applyNumberFormat="1" applyFont="1" applyBorder="1" applyAlignment="1">
      <alignment horizontal="center"/>
      <protection/>
    </xf>
    <xf numFmtId="165" fontId="4" fillId="0" borderId="2" xfId="24" applyNumberFormat="1" applyFont="1" applyBorder="1" applyAlignment="1">
      <alignment horizontal="center"/>
      <protection/>
    </xf>
    <xf numFmtId="165" fontId="17" fillId="0" borderId="2" xfId="24" applyNumberFormat="1" applyFont="1" applyBorder="1" applyAlignment="1">
      <alignment horizontal="center"/>
      <protection/>
    </xf>
    <xf numFmtId="165" fontId="4" fillId="0" borderId="4" xfId="24" applyNumberFormat="1" applyFont="1" applyBorder="1" applyAlignment="1">
      <alignment horizontal="center"/>
      <protection/>
    </xf>
    <xf numFmtId="165" fontId="4" fillId="0" borderId="13" xfId="24" applyNumberFormat="1" applyFont="1" applyBorder="1" applyAlignment="1">
      <alignment horizontal="center"/>
      <protection/>
    </xf>
    <xf numFmtId="171" fontId="4" fillId="3" borderId="2" xfId="22" applyNumberFormat="1" applyFont="1" applyFill="1" applyBorder="1" applyAlignment="1" applyProtection="1">
      <alignment horizontal="center"/>
      <protection/>
    </xf>
    <xf numFmtId="171" fontId="4" fillId="3" borderId="4" xfId="22" applyNumberFormat="1" applyFont="1" applyFill="1" applyBorder="1" applyAlignment="1" applyProtection="1">
      <alignment horizontal="center"/>
      <protection/>
    </xf>
    <xf numFmtId="171" fontId="4" fillId="3" borderId="4" xfId="24" applyNumberFormat="1" applyFont="1" applyFill="1" applyBorder="1" applyAlignment="1">
      <alignment horizontal="center"/>
      <protection/>
    </xf>
    <xf numFmtId="171" fontId="4" fillId="4" borderId="2" xfId="22" applyNumberFormat="1" applyFont="1" applyFill="1" applyBorder="1" applyAlignment="1" applyProtection="1">
      <alignment horizontal="center"/>
      <protection/>
    </xf>
    <xf numFmtId="171" fontId="4" fillId="4" borderId="4" xfId="22" applyNumberFormat="1" applyFont="1" applyFill="1" applyBorder="1" applyAlignment="1" applyProtection="1">
      <alignment horizontal="center"/>
      <protection/>
    </xf>
    <xf numFmtId="171" fontId="4" fillId="4" borderId="4" xfId="24" applyNumberFormat="1" applyFont="1" applyFill="1" applyBorder="1" applyAlignment="1">
      <alignment horizontal="center"/>
      <protection/>
    </xf>
    <xf numFmtId="0" fontId="18" fillId="0" borderId="0" xfId="0" applyFont="1"/>
    <xf numFmtId="2" fontId="4" fillId="0" borderId="0" xfId="24" applyNumberFormat="1" applyFont="1" applyBorder="1" applyAlignment="1">
      <alignment horizontal="right" wrapText="1"/>
      <protection/>
    </xf>
    <xf numFmtId="0" fontId="4" fillId="2" borderId="0" xfId="24" applyFont="1" applyFill="1" applyBorder="1">
      <alignment/>
      <protection/>
    </xf>
    <xf numFmtId="0" fontId="4" fillId="2" borderId="0" xfId="24" applyFont="1" applyFill="1" applyBorder="1" applyAlignment="1">
      <alignment horizontal="left" wrapText="1"/>
      <protection/>
    </xf>
    <xf numFmtId="165" fontId="4" fillId="2" borderId="0" xfId="24" applyNumberFormat="1" applyFont="1" applyFill="1" applyBorder="1" applyAlignment="1" applyProtection="1">
      <alignment/>
      <protection/>
    </xf>
    <xf numFmtId="165" fontId="17" fillId="2" borderId="0" xfId="24" applyNumberFormat="1" applyFont="1" applyFill="1" applyBorder="1" applyAlignment="1">
      <alignment horizontal="right" wrapText="1"/>
      <protection/>
    </xf>
    <xf numFmtId="165" fontId="17" fillId="2" borderId="0" xfId="24" applyNumberFormat="1" applyFont="1" applyFill="1" applyBorder="1" applyAlignment="1">
      <alignment wrapText="1"/>
      <protection/>
    </xf>
    <xf numFmtId="0" fontId="17" fillId="0" borderId="0" xfId="24" applyFont="1" applyBorder="1" applyAlignment="1">
      <alignment horizontal="left" wrapText="1"/>
      <protection/>
    </xf>
    <xf numFmtId="2" fontId="17" fillId="0" borderId="0" xfId="24" applyNumberFormat="1" applyFont="1" applyBorder="1" applyAlignment="1">
      <alignment horizontal="right" wrapText="1"/>
      <protection/>
    </xf>
    <xf numFmtId="0" fontId="18" fillId="5" borderId="0" xfId="0" applyFont="1" applyFill="1"/>
    <xf numFmtId="0" fontId="4" fillId="5" borderId="0" xfId="24" applyFont="1" applyFill="1" applyBorder="1" applyAlignment="1">
      <alignment horizontal="left" wrapText="1"/>
      <protection/>
    </xf>
    <xf numFmtId="165" fontId="4" fillId="5" borderId="0" xfId="24" applyNumberFormat="1" applyFont="1" applyFill="1" applyBorder="1" applyAlignment="1" applyProtection="1">
      <alignment/>
      <protection/>
    </xf>
    <xf numFmtId="165" fontId="17" fillId="5" borderId="0" xfId="24" applyNumberFormat="1" applyFont="1" applyFill="1" applyBorder="1" applyAlignment="1">
      <alignment horizontal="right" wrapText="1"/>
      <protection/>
    </xf>
    <xf numFmtId="165" fontId="17" fillId="5" borderId="0" xfId="24" applyNumberFormat="1" applyFont="1" applyFill="1" applyBorder="1" applyAlignment="1">
      <alignment wrapText="1"/>
      <protection/>
    </xf>
    <xf numFmtId="171" fontId="4" fillId="0" borderId="11" xfId="22" applyNumberFormat="1" applyFont="1" applyBorder="1" applyAlignment="1" applyProtection="1">
      <alignment horizontal="center"/>
      <protection/>
    </xf>
    <xf numFmtId="171" fontId="4" fillId="0" borderId="11" xfId="24" applyNumberFormat="1" applyFont="1" applyBorder="1" applyAlignment="1">
      <alignment horizontal="center"/>
      <protection/>
    </xf>
    <xf numFmtId="171" fontId="4" fillId="0" borderId="2" xfId="22" applyNumberFormat="1" applyFont="1" applyBorder="1" applyAlignment="1" applyProtection="1">
      <alignment horizontal="center"/>
      <protection/>
    </xf>
    <xf numFmtId="171" fontId="4" fillId="0" borderId="4" xfId="22" applyNumberFormat="1" applyFont="1" applyBorder="1" applyAlignment="1" applyProtection="1">
      <alignment horizontal="center"/>
      <protection/>
    </xf>
    <xf numFmtId="171" fontId="4" fillId="0" borderId="4" xfId="24" applyNumberFormat="1" applyFont="1" applyBorder="1" applyAlignment="1">
      <alignment horizontal="center"/>
      <protection/>
    </xf>
    <xf numFmtId="49" fontId="4" fillId="0" borderId="0" xfId="24" applyNumberFormat="1" applyFont="1" applyBorder="1" applyAlignment="1" applyProtection="1">
      <alignment/>
      <protection/>
    </xf>
    <xf numFmtId="169" fontId="0" fillId="0" borderId="0" xfId="22" applyBorder="1" applyProtection="1">
      <alignment/>
      <protection/>
    </xf>
    <xf numFmtId="43" fontId="0" fillId="0" borderId="0" xfId="0" applyNumberFormat="1"/>
    <xf numFmtId="0" fontId="0" fillId="0" borderId="0" xfId="0" applyFont="1"/>
    <xf numFmtId="0" fontId="0" fillId="6" borderId="0" xfId="0" applyFill="1"/>
    <xf numFmtId="165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178" fontId="0" fillId="0" borderId="0" xfId="0" applyNumberFormat="1"/>
    <xf numFmtId="165" fontId="4" fillId="6" borderId="0" xfId="24" applyNumberFormat="1" applyFont="1" applyFill="1" applyBorder="1" applyAlignment="1" applyProtection="1">
      <alignment/>
      <protection/>
    </xf>
    <xf numFmtId="165" fontId="4" fillId="6" borderId="0" xfId="24" applyNumberFormat="1" applyFont="1" applyFill="1" applyBorder="1" applyAlignment="1">
      <alignment horizontal="right"/>
      <protection/>
    </xf>
    <xf numFmtId="0" fontId="0" fillId="7" borderId="0" xfId="0" applyFill="1"/>
    <xf numFmtId="175" fontId="21" fillId="0" borderId="11" xfId="24" applyNumberFormat="1" applyFont="1" applyBorder="1" applyAlignment="1" applyProtection="1">
      <alignment horizontal="center"/>
      <protection/>
    </xf>
    <xf numFmtId="165" fontId="2" fillId="0" borderId="11" xfId="20" applyFont="1" applyBorder="1" applyAlignment="1" applyProtection="1">
      <alignment horizontal="center"/>
      <protection/>
    </xf>
    <xf numFmtId="0" fontId="0" fillId="0" borderId="0" xfId="0" applyFont="1" applyBorder="1"/>
    <xf numFmtId="0" fontId="0" fillId="0" borderId="0" xfId="0" applyBorder="1"/>
    <xf numFmtId="176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0" fontId="0" fillId="6" borderId="0" xfId="0" applyFill="1" applyBorder="1"/>
    <xf numFmtId="166" fontId="0" fillId="0" borderId="0" xfId="0" applyNumberFormat="1" applyBorder="1"/>
    <xf numFmtId="0" fontId="0" fillId="0" borderId="0" xfId="0" applyFont="1" applyBorder="1"/>
    <xf numFmtId="4" fontId="0" fillId="0" borderId="0" xfId="0" applyNumberFormat="1" applyBorder="1"/>
    <xf numFmtId="167" fontId="0" fillId="0" borderId="0" xfId="0" applyNumberFormat="1" applyBorder="1"/>
    <xf numFmtId="177" fontId="0" fillId="0" borderId="0" xfId="0" applyNumberFormat="1" applyBorder="1"/>
    <xf numFmtId="43" fontId="0" fillId="0" borderId="0" xfId="0" applyNumberFormat="1" applyBorder="1"/>
    <xf numFmtId="178" fontId="0" fillId="0" borderId="0" xfId="0" applyNumberFormat="1" applyBorder="1"/>
    <xf numFmtId="0" fontId="0" fillId="0" borderId="14" xfId="0" applyFont="1" applyBorder="1"/>
    <xf numFmtId="0" fontId="0" fillId="0" borderId="14" xfId="0" applyBorder="1"/>
    <xf numFmtId="4" fontId="0" fillId="0" borderId="14" xfId="20" applyNumberFormat="1" applyFont="1" applyBorder="1" applyAlignment="1" applyProtection="1">
      <alignment/>
      <protection/>
    </xf>
    <xf numFmtId="4" fontId="0" fillId="0" borderId="14" xfId="0" applyNumberFormat="1" applyBorder="1"/>
    <xf numFmtId="2" fontId="0" fillId="0" borderId="14" xfId="0" applyNumberFormat="1" applyBorder="1"/>
    <xf numFmtId="0" fontId="22" fillId="0" borderId="0" xfId="0" applyFont="1"/>
    <xf numFmtId="4" fontId="22" fillId="0" borderId="0" xfId="20" applyNumberFormat="1" applyFont="1" applyBorder="1" applyAlignment="1" applyProtection="1">
      <alignment/>
      <protection/>
    </xf>
    <xf numFmtId="165" fontId="22" fillId="0" borderId="0" xfId="0" applyNumberFormat="1" applyFont="1"/>
    <xf numFmtId="4" fontId="0" fillId="0" borderId="0" xfId="20" applyNumberFormat="1" applyFont="1" applyBorder="1" applyAlignment="1" applyProtection="1">
      <alignment/>
      <protection/>
    </xf>
    <xf numFmtId="179" fontId="0" fillId="0" borderId="0" xfId="0" applyNumberFormat="1" applyBorder="1"/>
    <xf numFmtId="180" fontId="22" fillId="0" borderId="0" xfId="0" applyNumberFormat="1" applyFont="1"/>
    <xf numFmtId="0" fontId="5" fillId="0" borderId="0" xfId="24" applyFont="1" applyBorder="1" applyAlignment="1">
      <alignment horizontal="left" vertical="center" wrapText="1"/>
      <protection/>
    </xf>
    <xf numFmtId="165" fontId="10" fillId="0" borderId="0" xfId="20" applyFont="1" applyBorder="1" applyAlignment="1" applyProtection="1">
      <alignment horizontal="center" wrapText="1"/>
      <protection/>
    </xf>
    <xf numFmtId="165" fontId="12" fillId="0" borderId="0" xfId="24" applyNumberFormat="1" applyFont="1" applyBorder="1" applyAlignment="1">
      <alignment horizontal="center"/>
      <protection/>
    </xf>
    <xf numFmtId="168" fontId="13" fillId="0" borderId="0" xfId="21" applyNumberFormat="1" applyFont="1" applyBorder="1" applyAlignment="1" applyProtection="1">
      <alignment horizontal="center"/>
      <protection/>
    </xf>
    <xf numFmtId="0" fontId="3" fillId="0" borderId="1" xfId="24" applyFont="1" applyBorder="1" applyAlignment="1">
      <alignment horizontal="center" vertical="center"/>
      <protection/>
    </xf>
    <xf numFmtId="1" fontId="3" fillId="0" borderId="1" xfId="24" applyNumberFormat="1" applyFont="1" applyBorder="1" applyAlignment="1">
      <alignment horizontal="center" vertical="center" wrapText="1"/>
      <protection/>
    </xf>
    <xf numFmtId="173" fontId="3" fillId="0" borderId="1" xfId="24" applyNumberFormat="1" applyFont="1" applyBorder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 wrapText="1"/>
      <protection/>
    </xf>
    <xf numFmtId="172" fontId="3" fillId="0" borderId="1" xfId="24" applyNumberFormat="1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/>
      <protection/>
    </xf>
    <xf numFmtId="0" fontId="0" fillId="3" borderId="0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4" fillId="0" borderId="2" xfId="20" applyNumberFormat="1" applyFont="1" applyBorder="1" applyAlignment="1" applyProtection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Texto explicativo" xfId="24"/>
  </cellStyles>
  <dxfs count="92"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fill>
        <patternFill>
          <bgColor rgb="FFDCE6F2"/>
        </patternFill>
      </fill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fill>
        <patternFill>
          <bgColor rgb="FFDCE6F2"/>
        </patternFill>
      </fill>
      <border/>
    </dxf>
    <dxf>
      <fill>
        <patternFill>
          <bgColor rgb="FFDCE6F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workbookViewId="0" topLeftCell="A1">
      <selection activeCell="E8" sqref="E8"/>
    </sheetView>
  </sheetViews>
  <sheetFormatPr defaultColWidth="9.140625" defaultRowHeight="12.75"/>
  <cols>
    <col min="1" max="1" width="4.7109375" style="0" customWidth="1"/>
    <col min="2" max="2" width="37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5.28125" style="0" customWidth="1"/>
    <col min="10" max="1025" width="10.7109375" style="0" customWidth="1"/>
  </cols>
  <sheetData>
    <row r="1" spans="1:10" ht="12.75">
      <c r="A1" s="1" t="s">
        <v>0</v>
      </c>
      <c r="B1" s="1"/>
      <c r="C1" s="1"/>
      <c r="D1" s="1"/>
      <c r="E1" s="1"/>
      <c r="F1" s="2" t="s">
        <v>1</v>
      </c>
      <c r="G1" s="1" t="s">
        <v>665</v>
      </c>
      <c r="H1" s="1"/>
      <c r="I1" s="1" t="s">
        <v>2</v>
      </c>
      <c r="J1" s="1" t="s">
        <v>3</v>
      </c>
    </row>
    <row r="2" spans="1:10" s="203" customFormat="1" ht="12.75">
      <c r="A2" s="202" t="s">
        <v>4</v>
      </c>
      <c r="B2" s="203" t="s">
        <v>5</v>
      </c>
      <c r="C2" s="204">
        <v>7.6491</v>
      </c>
      <c r="G2" s="205">
        <v>1.023521</v>
      </c>
      <c r="I2" s="203">
        <v>0</v>
      </c>
      <c r="J2" s="206">
        <v>0</v>
      </c>
    </row>
    <row r="3" spans="1:10" s="203" customFormat="1" ht="12.75">
      <c r="A3" s="202" t="s">
        <v>4</v>
      </c>
      <c r="B3" s="203" t="s">
        <v>6</v>
      </c>
      <c r="C3" s="6">
        <v>0.15</v>
      </c>
      <c r="I3" s="203">
        <v>1</v>
      </c>
      <c r="J3" s="206">
        <v>0.15</v>
      </c>
    </row>
    <row r="4" spans="1:10" s="203" customFormat="1" ht="12.75">
      <c r="A4" s="202" t="s">
        <v>4</v>
      </c>
      <c r="B4" s="203" t="s">
        <v>7</v>
      </c>
      <c r="C4" s="6">
        <v>0.35</v>
      </c>
      <c r="D4" s="207">
        <f>INT(('Escala Docente'!H142*0.35*100)+0.51)/100</f>
        <v>3421.44</v>
      </c>
      <c r="E4" s="207">
        <f>(INT(D4/15*100)/100)+0</f>
        <v>228.09</v>
      </c>
      <c r="F4" s="207"/>
      <c r="G4" s="207"/>
      <c r="H4" s="207"/>
      <c r="I4" s="203">
        <v>2</v>
      </c>
      <c r="J4" s="206">
        <v>0.15</v>
      </c>
    </row>
    <row r="5" spans="1:10" s="203" customFormat="1" ht="12.75">
      <c r="A5" s="208" t="s">
        <v>664</v>
      </c>
      <c r="B5" s="208"/>
      <c r="C5" s="193"/>
      <c r="D5" s="208"/>
      <c r="E5" s="208"/>
      <c r="F5" s="208"/>
      <c r="G5" s="208"/>
      <c r="I5" s="203">
        <v>3</v>
      </c>
      <c r="J5" s="206">
        <v>0.15</v>
      </c>
    </row>
    <row r="6" spans="1:10" s="203" customFormat="1" ht="12.75">
      <c r="A6" s="202" t="s">
        <v>4</v>
      </c>
      <c r="B6" s="203" t="s">
        <v>9</v>
      </c>
      <c r="C6" s="194">
        <v>0</v>
      </c>
      <c r="D6" s="6"/>
      <c r="I6" s="203">
        <v>4</v>
      </c>
      <c r="J6" s="206">
        <v>0.15</v>
      </c>
    </row>
    <row r="7" spans="1:12" s="203" customFormat="1" ht="12.75">
      <c r="A7" s="202" t="s">
        <v>4</v>
      </c>
      <c r="B7" s="203" t="s">
        <v>10</v>
      </c>
      <c r="C7" s="194">
        <v>0</v>
      </c>
      <c r="D7" s="6"/>
      <c r="I7" s="203">
        <v>5</v>
      </c>
      <c r="J7" s="206">
        <v>0.3</v>
      </c>
      <c r="L7" s="209"/>
    </row>
    <row r="8" spans="1:10" s="203" customFormat="1" ht="12.75">
      <c r="A8" s="202" t="s">
        <v>4</v>
      </c>
      <c r="B8" s="203" t="s">
        <v>11</v>
      </c>
      <c r="C8" s="194">
        <v>0</v>
      </c>
      <c r="D8" s="6"/>
      <c r="I8" s="203">
        <v>6</v>
      </c>
      <c r="J8" s="206">
        <v>0.3</v>
      </c>
    </row>
    <row r="9" spans="1:10" s="203" customFormat="1" ht="12.75">
      <c r="A9" s="202" t="s">
        <v>4</v>
      </c>
      <c r="B9" s="203" t="s">
        <v>12</v>
      </c>
      <c r="C9" s="194">
        <v>0</v>
      </c>
      <c r="D9" s="6"/>
      <c r="I9" s="203">
        <v>7</v>
      </c>
      <c r="J9" s="206">
        <v>0.4</v>
      </c>
    </row>
    <row r="10" spans="1:10" s="203" customFormat="1" ht="12.75">
      <c r="A10" s="202" t="s">
        <v>4</v>
      </c>
      <c r="B10" s="203" t="s">
        <v>13</v>
      </c>
      <c r="C10" s="194">
        <v>0</v>
      </c>
      <c r="D10" s="6"/>
      <c r="I10" s="203">
        <v>8</v>
      </c>
      <c r="J10" s="206">
        <v>0.4</v>
      </c>
    </row>
    <row r="11" spans="1:10" s="203" customFormat="1" ht="12.75">
      <c r="A11" s="202" t="s">
        <v>4</v>
      </c>
      <c r="B11" s="203" t="s">
        <v>14</v>
      </c>
      <c r="C11" s="194">
        <v>0</v>
      </c>
      <c r="D11" s="6"/>
      <c r="F11" s="207">
        <f>C9</f>
        <v>0</v>
      </c>
      <c r="I11" s="203">
        <v>9</v>
      </c>
      <c r="J11" s="206">
        <v>0.4</v>
      </c>
    </row>
    <row r="12" spans="1:10" s="203" customFormat="1" ht="12.75">
      <c r="A12" s="202" t="s">
        <v>4</v>
      </c>
      <c r="B12" s="210" t="s">
        <v>15</v>
      </c>
      <c r="C12" s="211">
        <v>0</v>
      </c>
      <c r="D12" s="6"/>
      <c r="I12" s="203">
        <v>10</v>
      </c>
      <c r="J12" s="206">
        <v>0.5</v>
      </c>
    </row>
    <row r="13" spans="1:10" s="203" customFormat="1" ht="12.75">
      <c r="A13" s="208" t="s">
        <v>664</v>
      </c>
      <c r="B13" s="208"/>
      <c r="C13" s="195"/>
      <c r="D13" s="208"/>
      <c r="E13" s="208"/>
      <c r="F13" s="208"/>
      <c r="G13" s="208"/>
      <c r="I13" s="203">
        <v>11</v>
      </c>
      <c r="J13" s="206">
        <v>0.5</v>
      </c>
    </row>
    <row r="14" spans="1:10" s="203" customFormat="1" ht="12.75">
      <c r="A14" s="202" t="s">
        <v>4</v>
      </c>
      <c r="B14" s="203" t="s">
        <v>16</v>
      </c>
      <c r="C14" s="211">
        <v>184.76</v>
      </c>
      <c r="D14" s="212"/>
      <c r="E14" s="213"/>
      <c r="I14" s="203">
        <v>12</v>
      </c>
      <c r="J14" s="206">
        <v>0.6</v>
      </c>
    </row>
    <row r="15" spans="1:10" s="203" customFormat="1" ht="12.75">
      <c r="A15" s="202" t="s">
        <v>4</v>
      </c>
      <c r="B15" s="210" t="s">
        <v>17</v>
      </c>
      <c r="C15" s="211">
        <v>4920.96</v>
      </c>
      <c r="D15" s="212"/>
      <c r="E15" s="213"/>
      <c r="F15" s="214"/>
      <c r="I15" s="203">
        <v>13</v>
      </c>
      <c r="J15" s="206">
        <v>0.6</v>
      </c>
    </row>
    <row r="16" spans="1:10" s="203" customFormat="1" ht="12.75">
      <c r="A16" s="202" t="s">
        <v>4</v>
      </c>
      <c r="B16" s="210" t="s">
        <v>18</v>
      </c>
      <c r="C16" s="194">
        <v>4949.59</v>
      </c>
      <c r="D16" s="212"/>
      <c r="E16" s="213"/>
      <c r="F16" s="214"/>
      <c r="I16" s="203">
        <v>14</v>
      </c>
      <c r="J16" s="206">
        <v>0.6</v>
      </c>
    </row>
    <row r="17" spans="1:10" s="203" customFormat="1" ht="12.75">
      <c r="A17" s="202" t="s">
        <v>4</v>
      </c>
      <c r="B17" s="210" t="s">
        <v>19</v>
      </c>
      <c r="C17" s="194">
        <v>5092.76</v>
      </c>
      <c r="D17" s="212"/>
      <c r="E17" s="213"/>
      <c r="F17" s="214"/>
      <c r="G17" s="207"/>
      <c r="H17" s="207"/>
      <c r="I17" s="203">
        <v>15</v>
      </c>
      <c r="J17" s="206">
        <v>0.7</v>
      </c>
    </row>
    <row r="18" spans="1:10" s="203" customFormat="1" ht="12.75">
      <c r="A18" s="202" t="s">
        <v>4</v>
      </c>
      <c r="B18" s="203" t="s">
        <v>20</v>
      </c>
      <c r="C18" s="194">
        <v>9069.69</v>
      </c>
      <c r="D18" s="212"/>
      <c r="E18" s="213"/>
      <c r="F18" s="214"/>
      <c r="I18" s="203">
        <v>16</v>
      </c>
      <c r="J18" s="206">
        <v>0.7</v>
      </c>
    </row>
    <row r="19" spans="1:10" s="203" customFormat="1" ht="12.75">
      <c r="A19" s="210" t="s">
        <v>4</v>
      </c>
      <c r="B19" s="210" t="s">
        <v>21</v>
      </c>
      <c r="C19" s="194">
        <v>5164.37</v>
      </c>
      <c r="D19" s="212"/>
      <c r="E19" s="213"/>
      <c r="F19" s="214"/>
      <c r="G19" s="207"/>
      <c r="H19" s="207"/>
      <c r="I19" s="203">
        <v>17</v>
      </c>
      <c r="J19" s="206">
        <v>0.8</v>
      </c>
    </row>
    <row r="20" spans="1:10" s="203" customFormat="1" ht="12.75">
      <c r="A20" s="202" t="s">
        <v>4</v>
      </c>
      <c r="B20" s="210" t="s">
        <v>22</v>
      </c>
      <c r="C20" s="211">
        <v>4706.17</v>
      </c>
      <c r="D20" s="212"/>
      <c r="E20" s="213"/>
      <c r="F20" s="215"/>
      <c r="G20" s="207"/>
      <c r="H20" s="207"/>
      <c r="I20" s="203">
        <v>18</v>
      </c>
      <c r="J20" s="206">
        <v>0.8</v>
      </c>
    </row>
    <row r="21" spans="1:10" s="203" customFormat="1" ht="12.75">
      <c r="A21" s="208" t="s">
        <v>664</v>
      </c>
      <c r="B21" s="208"/>
      <c r="C21" s="195"/>
      <c r="D21" s="208"/>
      <c r="E21" s="208"/>
      <c r="F21" s="208"/>
      <c r="G21" s="208"/>
      <c r="H21" s="207"/>
      <c r="I21" s="203">
        <v>19</v>
      </c>
      <c r="J21" s="206">
        <v>0.8</v>
      </c>
    </row>
    <row r="22" spans="1:10" s="203" customFormat="1" ht="12.75">
      <c r="A22" s="202" t="s">
        <v>4</v>
      </c>
      <c r="B22" s="203" t="s">
        <v>23</v>
      </c>
      <c r="C22" s="194">
        <v>65.14</v>
      </c>
      <c r="D22" s="207"/>
      <c r="E22" s="225"/>
      <c r="F22" s="207"/>
      <c r="G22" s="207"/>
      <c r="H22" s="207"/>
      <c r="I22" s="203">
        <v>20</v>
      </c>
      <c r="J22" s="206">
        <v>1</v>
      </c>
    </row>
    <row r="23" spans="1:10" s="203" customFormat="1" ht="12.75">
      <c r="A23" s="202" t="s">
        <v>4</v>
      </c>
      <c r="B23" s="203" t="s">
        <v>24</v>
      </c>
      <c r="C23" s="194">
        <v>3159.22</v>
      </c>
      <c r="D23" s="207"/>
      <c r="E23" s="225"/>
      <c r="F23" s="207"/>
      <c r="G23" s="207"/>
      <c r="H23" s="207"/>
      <c r="I23" s="203">
        <v>21</v>
      </c>
      <c r="J23" s="206">
        <v>1</v>
      </c>
    </row>
    <row r="24" spans="1:10" s="203" customFormat="1" ht="12.75">
      <c r="A24" s="202" t="s">
        <v>4</v>
      </c>
      <c r="B24" s="203" t="s">
        <v>25</v>
      </c>
      <c r="C24" s="194">
        <v>3116.23</v>
      </c>
      <c r="D24" s="207"/>
      <c r="E24" s="225"/>
      <c r="F24" s="207"/>
      <c r="G24" s="207"/>
      <c r="H24" s="207"/>
      <c r="I24" s="203">
        <v>22</v>
      </c>
      <c r="J24" s="206">
        <v>1.1</v>
      </c>
    </row>
    <row r="25" spans="1:10" s="203" customFormat="1" ht="12.75">
      <c r="A25" s="208" t="s">
        <v>664</v>
      </c>
      <c r="B25" s="208"/>
      <c r="C25" s="195"/>
      <c r="D25" s="208"/>
      <c r="E25" s="208"/>
      <c r="F25" s="208"/>
      <c r="G25" s="208"/>
      <c r="H25" s="207"/>
      <c r="I25" s="203">
        <v>23</v>
      </c>
      <c r="J25" s="206">
        <v>1.1</v>
      </c>
    </row>
    <row r="26" spans="1:10" s="203" customFormat="1" ht="12.75">
      <c r="A26" s="202" t="s">
        <v>4</v>
      </c>
      <c r="B26" s="210" t="s">
        <v>26</v>
      </c>
      <c r="C26" s="194">
        <v>3568.39</v>
      </c>
      <c r="D26" s="212"/>
      <c r="I26" s="203">
        <v>24</v>
      </c>
      <c r="J26" s="206">
        <v>1.2</v>
      </c>
    </row>
    <row r="27" spans="1:10" s="203" customFormat="1" ht="12.75">
      <c r="A27" s="202" t="s">
        <v>4</v>
      </c>
      <c r="B27" s="210" t="s">
        <v>27</v>
      </c>
      <c r="C27" s="194">
        <v>3289.21</v>
      </c>
      <c r="D27" s="212"/>
      <c r="I27" s="203">
        <v>25</v>
      </c>
      <c r="J27" s="206">
        <v>1.2</v>
      </c>
    </row>
    <row r="28" spans="1:10" s="203" customFormat="1" ht="12.75">
      <c r="A28" s="208" t="s">
        <v>664</v>
      </c>
      <c r="B28" s="208"/>
      <c r="C28" s="195"/>
      <c r="D28" s="208"/>
      <c r="E28" s="208"/>
      <c r="F28" s="208"/>
      <c r="G28" s="208"/>
      <c r="I28" s="203">
        <v>26</v>
      </c>
      <c r="J28" s="206">
        <v>1.3</v>
      </c>
    </row>
    <row r="29" spans="1:10" s="203" customFormat="1" ht="12.75">
      <c r="A29" s="202" t="s">
        <v>4</v>
      </c>
      <c r="B29" s="210" t="s">
        <v>28</v>
      </c>
      <c r="C29" s="211">
        <v>184.78</v>
      </c>
      <c r="F29" s="211">
        <f>+C29*1.5</f>
        <v>277.17</v>
      </c>
      <c r="I29" s="203">
        <v>27</v>
      </c>
      <c r="J29" s="206">
        <v>1.3</v>
      </c>
    </row>
    <row r="30" spans="1:10" s="203" customFormat="1" ht="12.75">
      <c r="A30" s="202" t="s">
        <v>4</v>
      </c>
      <c r="B30" s="210" t="s">
        <v>29</v>
      </c>
      <c r="C30" s="211">
        <v>184.78</v>
      </c>
      <c r="D30" s="207"/>
      <c r="F30" s="211">
        <f>C30</f>
        <v>184.78</v>
      </c>
      <c r="I30" s="203">
        <v>28</v>
      </c>
      <c r="J30" s="206">
        <v>1.4</v>
      </c>
    </row>
    <row r="31" spans="1:10" s="203" customFormat="1" ht="12.75">
      <c r="A31" s="208" t="s">
        <v>664</v>
      </c>
      <c r="B31" s="208"/>
      <c r="C31" s="195"/>
      <c r="D31" s="208"/>
      <c r="E31" s="208"/>
      <c r="F31" s="208"/>
      <c r="G31" s="208"/>
      <c r="I31" s="203">
        <v>29</v>
      </c>
      <c r="J31" s="206">
        <v>1.4</v>
      </c>
    </row>
    <row r="32" spans="1:13" s="203" customFormat="1" ht="12.75">
      <c r="A32" s="202" t="s">
        <v>4</v>
      </c>
      <c r="B32" s="203" t="s">
        <v>30</v>
      </c>
      <c r="C32" s="194">
        <v>7.4</v>
      </c>
      <c r="F32" s="211">
        <f>F29</f>
        <v>277.17</v>
      </c>
      <c r="I32" s="203">
        <v>30</v>
      </c>
      <c r="J32" s="206">
        <v>1.5</v>
      </c>
      <c r="M32" s="212"/>
    </row>
    <row r="33" spans="1:10" s="217" customFormat="1" ht="13.5" thickBot="1">
      <c r="A33" s="216" t="s">
        <v>4</v>
      </c>
      <c r="B33" s="217" t="s">
        <v>31</v>
      </c>
      <c r="C33" s="218">
        <v>6.16</v>
      </c>
      <c r="F33" s="219">
        <f>F30</f>
        <v>184.78</v>
      </c>
      <c r="I33" s="217">
        <v>31</v>
      </c>
      <c r="J33" s="220">
        <v>1.5</v>
      </c>
    </row>
    <row r="34" spans="1:13" ht="13.5" thickTop="1">
      <c r="A34" s="192" t="s">
        <v>664</v>
      </c>
      <c r="B34" s="192"/>
      <c r="C34" s="195"/>
      <c r="D34" s="192"/>
      <c r="E34" s="192"/>
      <c r="F34" s="192"/>
      <c r="G34" s="192"/>
      <c r="I34">
        <v>32</v>
      </c>
      <c r="J34" s="3">
        <v>1.5</v>
      </c>
      <c r="M34" s="7"/>
    </row>
    <row r="35" spans="1:10" ht="12.75">
      <c r="A35" s="221" t="s">
        <v>4</v>
      </c>
      <c r="B35" s="221" t="s">
        <v>32</v>
      </c>
      <c r="C35" s="222">
        <v>876.57</v>
      </c>
      <c r="D35" s="223">
        <f>C35/C36</f>
        <v>14.999486652977414</v>
      </c>
      <c r="E35" s="226"/>
      <c r="F35" s="223"/>
      <c r="G35" s="226"/>
      <c r="H35" s="5"/>
      <c r="I35">
        <v>33</v>
      </c>
      <c r="J35" s="3">
        <v>1.5</v>
      </c>
    </row>
    <row r="36" spans="1:10" ht="12.75">
      <c r="A36" s="221" t="s">
        <v>4</v>
      </c>
      <c r="B36" s="221" t="s">
        <v>33</v>
      </c>
      <c r="C36" s="222">
        <v>58.44</v>
      </c>
      <c r="D36" s="226"/>
      <c r="E36" s="223"/>
      <c r="F36" s="223">
        <f>C35*2</f>
        <v>1753.14</v>
      </c>
      <c r="G36" s="223"/>
      <c r="H36" s="5"/>
      <c r="I36">
        <v>34</v>
      </c>
      <c r="J36" s="3">
        <v>1.5</v>
      </c>
    </row>
    <row r="37" spans="1:10" ht="12.75">
      <c r="A37" s="192" t="s">
        <v>664</v>
      </c>
      <c r="B37" s="192"/>
      <c r="C37" s="195"/>
      <c r="D37" s="192"/>
      <c r="E37" s="192"/>
      <c r="F37" s="192"/>
      <c r="G37" s="192"/>
      <c r="H37" s="5"/>
      <c r="I37">
        <v>35</v>
      </c>
      <c r="J37" s="3">
        <v>1.5</v>
      </c>
    </row>
    <row r="38" spans="1:10" ht="12.75">
      <c r="A38" s="191" t="s">
        <v>4</v>
      </c>
      <c r="B38" t="s">
        <v>34</v>
      </c>
      <c r="C38" s="194">
        <v>0</v>
      </c>
      <c r="D38" s="5">
        <v>332</v>
      </c>
      <c r="E38" s="5"/>
      <c r="F38" s="5"/>
      <c r="G38" s="5"/>
      <c r="H38" s="5"/>
      <c r="I38">
        <v>36</v>
      </c>
      <c r="J38" s="3">
        <v>1.5</v>
      </c>
    </row>
    <row r="39" spans="1:10" ht="12.75">
      <c r="A39" s="192" t="s">
        <v>664</v>
      </c>
      <c r="B39" s="192"/>
      <c r="C39" s="195"/>
      <c r="D39" s="192"/>
      <c r="E39" s="192"/>
      <c r="F39" s="192"/>
      <c r="G39" s="192"/>
      <c r="H39" s="5"/>
      <c r="I39">
        <v>39</v>
      </c>
      <c r="J39" s="3">
        <v>1.5</v>
      </c>
    </row>
    <row r="40" spans="1:10" ht="12.75">
      <c r="A40" s="191" t="s">
        <v>4</v>
      </c>
      <c r="B40" s="2" t="s">
        <v>35</v>
      </c>
      <c r="C40" s="8">
        <v>1060.77</v>
      </c>
      <c r="D40" s="6"/>
      <c r="E40" s="196"/>
      <c r="F40" s="5"/>
      <c r="G40" s="5"/>
      <c r="H40" s="5"/>
      <c r="I40">
        <v>40</v>
      </c>
      <c r="J40" s="3">
        <v>1.5</v>
      </c>
    </row>
    <row r="41" spans="1:10" ht="12.75">
      <c r="A41" s="191" t="s">
        <v>4</v>
      </c>
      <c r="B41" s="2" t="s">
        <v>36</v>
      </c>
      <c r="C41" s="194">
        <v>1237.58</v>
      </c>
      <c r="D41" s="6"/>
      <c r="E41" s="196"/>
      <c r="F41" s="5"/>
      <c r="G41" s="5"/>
      <c r="H41" s="5"/>
      <c r="I41">
        <v>41</v>
      </c>
      <c r="J41" s="3">
        <v>1.5</v>
      </c>
    </row>
    <row r="42" spans="1:10" ht="12.75">
      <c r="A42" s="191" t="s">
        <v>4</v>
      </c>
      <c r="B42" s="2" t="s">
        <v>37</v>
      </c>
      <c r="C42" s="194">
        <v>1414.4</v>
      </c>
      <c r="D42" s="6"/>
      <c r="E42" s="196"/>
      <c r="I42">
        <v>42</v>
      </c>
      <c r="J42" s="3">
        <v>1.5</v>
      </c>
    </row>
    <row r="43" spans="1:10" ht="12.75">
      <c r="A43" s="191" t="s">
        <v>4</v>
      </c>
      <c r="B43" s="2" t="s">
        <v>38</v>
      </c>
      <c r="C43" s="194">
        <v>2121.57</v>
      </c>
      <c r="D43" s="6"/>
      <c r="E43" s="196"/>
      <c r="I43">
        <v>43</v>
      </c>
      <c r="J43" s="3">
        <v>1.5</v>
      </c>
    </row>
    <row r="44" spans="1:10" ht="12.75">
      <c r="A44" s="191"/>
      <c r="B44" t="s">
        <v>39</v>
      </c>
      <c r="C44" s="194">
        <f>D44*0.25*1.2904</f>
        <v>0</v>
      </c>
      <c r="D44" s="6"/>
      <c r="E44" s="196"/>
      <c r="F44" s="5"/>
      <c r="G44" s="5"/>
      <c r="H44" s="5"/>
      <c r="I44">
        <v>44</v>
      </c>
      <c r="J44" s="3">
        <v>1.5</v>
      </c>
    </row>
    <row r="45" spans="1:10" ht="12.75">
      <c r="A45" s="191" t="s">
        <v>4</v>
      </c>
      <c r="B45" s="2" t="s">
        <v>40</v>
      </c>
      <c r="C45" s="194">
        <v>58.94</v>
      </c>
      <c r="D45" s="6"/>
      <c r="E45" s="196"/>
      <c r="I45">
        <v>45</v>
      </c>
      <c r="J45" s="3">
        <v>1.5</v>
      </c>
    </row>
    <row r="46" spans="1:10" ht="12.75">
      <c r="A46" s="191" t="s">
        <v>4</v>
      </c>
      <c r="B46" s="2" t="s">
        <v>41</v>
      </c>
      <c r="C46" s="194">
        <v>141.42</v>
      </c>
      <c r="D46" s="6"/>
      <c r="E46" s="196"/>
      <c r="I46">
        <v>46</v>
      </c>
      <c r="J46" s="3">
        <v>1.5</v>
      </c>
    </row>
    <row r="47" spans="1:10" ht="12.75">
      <c r="A47" s="192" t="s">
        <v>664</v>
      </c>
      <c r="B47" s="192"/>
      <c r="C47" s="195"/>
      <c r="D47" s="192"/>
      <c r="E47" s="192"/>
      <c r="F47" s="192"/>
      <c r="G47" s="192"/>
      <c r="I47">
        <v>47</v>
      </c>
      <c r="J47" s="3">
        <v>1.5</v>
      </c>
    </row>
    <row r="48" spans="1:12" ht="12.75">
      <c r="A48" s="191" t="s">
        <v>4</v>
      </c>
      <c r="B48" s="191" t="s">
        <v>42</v>
      </c>
      <c r="C48" s="224">
        <f>INT((D48/15*100)+0.49)/100</f>
        <v>80.67</v>
      </c>
      <c r="D48" s="191">
        <f>D49</f>
        <v>1210</v>
      </c>
      <c r="E48" s="191"/>
      <c r="F48" s="191">
        <v>1210</v>
      </c>
      <c r="G48" s="191"/>
      <c r="I48">
        <v>48</v>
      </c>
      <c r="J48" s="3">
        <v>1.5</v>
      </c>
      <c r="L48">
        <f>267.87+5.37</f>
        <v>273.24</v>
      </c>
    </row>
    <row r="49" spans="1:10" ht="12.75">
      <c r="A49" s="191" t="s">
        <v>4</v>
      </c>
      <c r="B49" s="191" t="s">
        <v>43</v>
      </c>
      <c r="C49" s="224">
        <v>1210</v>
      </c>
      <c r="D49" s="191">
        <v>1210</v>
      </c>
      <c r="E49" s="191"/>
      <c r="F49" s="191"/>
      <c r="G49" s="191"/>
      <c r="I49">
        <v>49</v>
      </c>
      <c r="J49" s="3">
        <v>1.5</v>
      </c>
    </row>
    <row r="50" spans="1:10" ht="12" customHeight="1">
      <c r="A50" s="191" t="s">
        <v>4</v>
      </c>
      <c r="B50" s="2" t="s">
        <v>44</v>
      </c>
      <c r="C50" s="8">
        <v>314.98</v>
      </c>
      <c r="I50">
        <v>50</v>
      </c>
      <c r="J50" s="3">
        <v>1.5</v>
      </c>
    </row>
    <row r="51" spans="1:10" ht="12.75">
      <c r="A51" s="191" t="s">
        <v>4</v>
      </c>
      <c r="B51" s="2" t="s">
        <v>45</v>
      </c>
      <c r="C51" s="8">
        <v>157.49</v>
      </c>
      <c r="I51">
        <v>51</v>
      </c>
      <c r="J51" s="3">
        <v>1.5</v>
      </c>
    </row>
    <row r="52" spans="1:10" ht="12.75">
      <c r="A52" s="191" t="s">
        <v>4</v>
      </c>
      <c r="B52" s="2" t="s">
        <v>46</v>
      </c>
      <c r="C52" s="194">
        <v>314.98</v>
      </c>
      <c r="I52">
        <v>52</v>
      </c>
      <c r="J52" s="3">
        <v>1.5</v>
      </c>
    </row>
    <row r="53" spans="1:10" ht="12.75">
      <c r="A53" s="191" t="s">
        <v>4</v>
      </c>
      <c r="B53" s="2" t="s">
        <v>47</v>
      </c>
      <c r="C53" s="194">
        <v>143.48</v>
      </c>
      <c r="I53">
        <v>53</v>
      </c>
      <c r="J53" s="3">
        <v>1.5</v>
      </c>
    </row>
    <row r="54" spans="1:3" ht="12.75">
      <c r="A54" s="191" t="s">
        <v>4</v>
      </c>
      <c r="B54" s="2" t="s">
        <v>48</v>
      </c>
      <c r="C54" s="194">
        <v>143.8</v>
      </c>
    </row>
    <row r="55" spans="1:3" ht="12.75">
      <c r="A55" s="191" t="s">
        <v>4</v>
      </c>
      <c r="B55" s="2" t="s">
        <v>49</v>
      </c>
      <c r="C55" s="194">
        <v>242.95</v>
      </c>
    </row>
    <row r="56" spans="1:6" ht="12.75">
      <c r="A56" s="191" t="s">
        <v>4</v>
      </c>
      <c r="B56" s="2" t="s">
        <v>50</v>
      </c>
      <c r="C56" s="194">
        <v>13.12</v>
      </c>
      <c r="E56" s="190">
        <f>F56/C56</f>
        <v>24.007621951219516</v>
      </c>
      <c r="F56" s="5">
        <f>C50</f>
        <v>314.98</v>
      </c>
    </row>
    <row r="57" spans="1:6" ht="12.75">
      <c r="A57" s="191" t="s">
        <v>4</v>
      </c>
      <c r="B57" s="2" t="s">
        <v>51</v>
      </c>
      <c r="C57" s="194">
        <v>10.5</v>
      </c>
      <c r="E57" s="190">
        <f>F57/C57</f>
        <v>29.99809523809524</v>
      </c>
      <c r="F57" s="5">
        <f>C50</f>
        <v>314.98</v>
      </c>
    </row>
    <row r="58" spans="1:6" ht="12.75">
      <c r="A58" s="191" t="s">
        <v>4</v>
      </c>
      <c r="B58" s="2" t="s">
        <v>52</v>
      </c>
      <c r="C58" s="8">
        <v>375.86</v>
      </c>
      <c r="D58" s="3">
        <v>25.06</v>
      </c>
      <c r="E58" s="199">
        <v>38.47</v>
      </c>
      <c r="F58">
        <f>+C58*2</f>
        <v>751.72</v>
      </c>
    </row>
    <row r="59" spans="1:4" ht="12.75">
      <c r="A59" s="191" t="s">
        <v>4</v>
      </c>
      <c r="B59" s="2" t="s">
        <v>53</v>
      </c>
      <c r="C59" s="8">
        <v>50.11</v>
      </c>
      <c r="D59" s="3"/>
    </row>
    <row r="60" spans="1:6" ht="12.75">
      <c r="A60" s="191" t="s">
        <v>4</v>
      </c>
      <c r="B60" s="2" t="s">
        <v>54</v>
      </c>
      <c r="C60" s="8">
        <v>107.38</v>
      </c>
      <c r="D60" s="8">
        <v>7.16</v>
      </c>
      <c r="E60" s="199">
        <v>10.99</v>
      </c>
      <c r="F60">
        <f>+C60*2</f>
        <v>214.76</v>
      </c>
    </row>
    <row r="61" spans="1:3" ht="12.75">
      <c r="A61" s="191" t="s">
        <v>4</v>
      </c>
      <c r="B61" s="2" t="s">
        <v>55</v>
      </c>
      <c r="C61" s="8">
        <v>14.32</v>
      </c>
    </row>
    <row r="62" spans="1:7" ht="12.75">
      <c r="A62" s="192" t="s">
        <v>664</v>
      </c>
      <c r="B62" s="192"/>
      <c r="C62" s="193"/>
      <c r="D62" s="192"/>
      <c r="E62" s="192"/>
      <c r="F62" s="192"/>
      <c r="G62" s="192"/>
    </row>
    <row r="63" spans="1:4" ht="12.75">
      <c r="A63" s="191" t="s">
        <v>4</v>
      </c>
      <c r="B63" s="2" t="s">
        <v>56</v>
      </c>
      <c r="C63" s="9">
        <v>0</v>
      </c>
      <c r="D63" s="10"/>
    </row>
    <row r="64" spans="1:7" ht="12.75">
      <c r="A64" s="192" t="s">
        <v>664</v>
      </c>
      <c r="B64" s="192"/>
      <c r="C64" s="193"/>
      <c r="D64" s="192"/>
      <c r="E64" s="192"/>
      <c r="F64" s="192"/>
      <c r="G64" s="192"/>
    </row>
    <row r="65" spans="1:3" ht="12.75">
      <c r="A65" s="191" t="s">
        <v>4</v>
      </c>
      <c r="B65" t="s">
        <v>57</v>
      </c>
      <c r="C65" s="11">
        <v>0.13</v>
      </c>
    </row>
    <row r="66" spans="1:3" ht="12.75">
      <c r="A66" s="191" t="s">
        <v>4</v>
      </c>
      <c r="B66" t="s">
        <v>58</v>
      </c>
      <c r="C66" s="11">
        <v>0.005</v>
      </c>
    </row>
    <row r="67" spans="1:3" ht="12.75">
      <c r="A67" s="191" t="s">
        <v>4</v>
      </c>
      <c r="B67" t="s">
        <v>59</v>
      </c>
      <c r="C67" s="11">
        <v>0.045</v>
      </c>
    </row>
    <row r="68" spans="1:3" ht="12.75">
      <c r="A68" s="191" t="s">
        <v>4</v>
      </c>
      <c r="B68" t="s">
        <v>60</v>
      </c>
      <c r="C68" s="11">
        <v>0.027</v>
      </c>
    </row>
    <row r="69" spans="1:3" ht="12.75">
      <c r="A69" s="191" t="s">
        <v>4</v>
      </c>
      <c r="B69" t="s">
        <v>61</v>
      </c>
      <c r="C69" s="11">
        <v>0.003</v>
      </c>
    </row>
    <row r="70" spans="1:7" ht="12.75">
      <c r="A70" s="192" t="s">
        <v>664</v>
      </c>
      <c r="B70" s="192"/>
      <c r="C70" s="193"/>
      <c r="D70" s="192"/>
      <c r="E70" s="192"/>
      <c r="F70" s="192"/>
      <c r="G70" s="192"/>
    </row>
    <row r="71" spans="1:3" ht="12.75">
      <c r="A71" s="191" t="s">
        <v>4</v>
      </c>
      <c r="B71" t="s">
        <v>62</v>
      </c>
      <c r="C71" s="11">
        <v>0.16</v>
      </c>
    </row>
    <row r="72" spans="1:3" ht="12.75">
      <c r="A72" s="191" t="s">
        <v>4</v>
      </c>
      <c r="B72" t="s">
        <v>63</v>
      </c>
      <c r="C72" s="11">
        <v>0.045</v>
      </c>
    </row>
    <row r="73" spans="1:3" ht="12.75">
      <c r="A73" s="191" t="s">
        <v>4</v>
      </c>
      <c r="B73" t="s">
        <v>64</v>
      </c>
      <c r="C73" s="11">
        <v>0.01</v>
      </c>
    </row>
    <row r="74" spans="1:7" ht="12.75">
      <c r="A74" s="192" t="s">
        <v>664</v>
      </c>
      <c r="B74" s="192"/>
      <c r="C74" s="193"/>
      <c r="D74" s="192"/>
      <c r="E74" s="192"/>
      <c r="F74" s="192"/>
      <c r="G74" s="192"/>
    </row>
    <row r="75" spans="1:3" ht="12.75">
      <c r="A75" s="191" t="s">
        <v>4</v>
      </c>
      <c r="B75" t="s">
        <v>65</v>
      </c>
      <c r="C75" s="11">
        <v>0.035</v>
      </c>
    </row>
    <row r="76" spans="1:3" ht="12.75">
      <c r="A76" s="191" t="s">
        <v>4</v>
      </c>
      <c r="B76" t="s">
        <v>66</v>
      </c>
      <c r="C76" s="11">
        <v>0.006</v>
      </c>
    </row>
    <row r="77" spans="1:3" ht="12.75">
      <c r="A77" s="191" t="s">
        <v>4</v>
      </c>
      <c r="B77" t="s">
        <v>67</v>
      </c>
      <c r="C77" s="11">
        <v>0.054</v>
      </c>
    </row>
    <row r="78" spans="1:7" ht="12.75">
      <c r="A78" s="192" t="s">
        <v>664</v>
      </c>
      <c r="B78" s="192"/>
      <c r="C78" s="193"/>
      <c r="D78" s="192"/>
      <c r="E78" s="192"/>
      <c r="F78" s="192"/>
      <c r="G78" s="192"/>
    </row>
    <row r="79" spans="1:3" ht="12.75">
      <c r="A79" s="191" t="s">
        <v>4</v>
      </c>
      <c r="B79" t="s">
        <v>68</v>
      </c>
      <c r="C79" s="4">
        <v>0.5</v>
      </c>
    </row>
    <row r="80" spans="1:7" ht="12.75">
      <c r="A80" s="192" t="s">
        <v>664</v>
      </c>
      <c r="B80" s="192"/>
      <c r="C80" s="193"/>
      <c r="D80" s="192"/>
      <c r="E80" s="192"/>
      <c r="F80" s="192"/>
      <c r="G80" s="192"/>
    </row>
    <row r="81" spans="1:3" ht="12.75">
      <c r="A81" s="191" t="s">
        <v>4</v>
      </c>
      <c r="B81" s="191" t="s">
        <v>657</v>
      </c>
      <c r="C81" s="8">
        <v>1500</v>
      </c>
    </row>
    <row r="82" spans="1:3" ht="12.75">
      <c r="A82" s="191" t="s">
        <v>4</v>
      </c>
      <c r="B82" s="191" t="s">
        <v>658</v>
      </c>
      <c r="C82" s="8">
        <v>1800</v>
      </c>
    </row>
    <row r="83" spans="1:3" ht="12.75">
      <c r="A83" s="191" t="s">
        <v>4</v>
      </c>
      <c r="B83" s="191" t="s">
        <v>659</v>
      </c>
      <c r="C83" s="8">
        <v>3000</v>
      </c>
    </row>
    <row r="84" spans="1:3" ht="12.75">
      <c r="A84" s="191" t="s">
        <v>4</v>
      </c>
      <c r="B84" s="191" t="s">
        <v>660</v>
      </c>
      <c r="C84" s="8">
        <v>75</v>
      </c>
    </row>
    <row r="85" spans="1:3" ht="12.75">
      <c r="A85" s="191" t="s">
        <v>4</v>
      </c>
      <c r="B85" s="191" t="s">
        <v>661</v>
      </c>
      <c r="C85" s="8">
        <f>C84*2</f>
        <v>150</v>
      </c>
    </row>
  </sheetData>
  <autoFilter ref="A1:J85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9"/>
  <sheetViews>
    <sheetView showGridLines="0" tabSelected="1" zoomScale="130" zoomScaleNormal="130" workbookViewId="0" topLeftCell="A1">
      <pane xSplit="6" ySplit="6" topLeftCell="G7" activePane="bottomRight" state="frozen"/>
      <selection pane="topRight" activeCell="U1" sqref="U1"/>
      <selection pane="bottomLeft" activeCell="A69" sqref="A69"/>
      <selection pane="bottomRight" activeCell="AF11" sqref="AF11"/>
    </sheetView>
  </sheetViews>
  <sheetFormatPr defaultColWidth="9.140625" defaultRowHeight="12.75"/>
  <cols>
    <col min="1" max="1" width="6.57421875" style="12" hidden="1" customWidth="1"/>
    <col min="2" max="2" width="8.7109375" style="12" hidden="1" customWidth="1"/>
    <col min="3" max="3" width="4.7109375" style="13" customWidth="1"/>
    <col min="4" max="5" width="3.7109375" style="13" hidden="1" customWidth="1"/>
    <col min="6" max="6" width="28.421875" style="13" customWidth="1"/>
    <col min="7" max="7" width="4.8515625" style="14" customWidth="1"/>
    <col min="8" max="8" width="8.00390625" style="15" customWidth="1"/>
    <col min="9" max="9" width="8.28125" style="16" hidden="1" customWidth="1"/>
    <col min="10" max="10" width="7.28125" style="17" customWidth="1"/>
    <col min="11" max="11" width="5.28125" style="18" hidden="1" customWidth="1"/>
    <col min="12" max="12" width="7.28125" style="19" customWidth="1"/>
    <col min="13" max="13" width="6.28125" style="20" hidden="1" customWidth="1"/>
    <col min="14" max="14" width="6.7109375" style="19" customWidth="1"/>
    <col min="15" max="15" width="7.8515625" style="19" customWidth="1"/>
    <col min="16" max="16" width="8.421875" style="19" customWidth="1"/>
    <col min="17" max="18" width="6.57421875" style="19" customWidth="1"/>
    <col min="19" max="19" width="7.140625" style="19" customWidth="1"/>
    <col min="20" max="20" width="7.7109375" style="19" customWidth="1"/>
    <col min="21" max="21" width="8.7109375" style="17" hidden="1" customWidth="1"/>
    <col min="22" max="22" width="7.140625" style="19" customWidth="1"/>
    <col min="23" max="23" width="7.00390625" style="19" customWidth="1"/>
    <col min="24" max="24" width="7.57421875" style="19" customWidth="1"/>
    <col min="25" max="25" width="4.28125" style="21" customWidth="1"/>
    <col min="26" max="26" width="7.140625" style="19" customWidth="1"/>
    <col min="27" max="27" width="7.421875" style="19" customWidth="1"/>
    <col min="28" max="28" width="6.140625" style="22" customWidth="1"/>
    <col min="29" max="29" width="7.140625" style="19" customWidth="1"/>
    <col min="30" max="30" width="6.28125" style="19" customWidth="1"/>
    <col min="31" max="31" width="4.421875" style="21" customWidth="1"/>
    <col min="32" max="32" width="6.28125" style="19" customWidth="1"/>
    <col min="33" max="33" width="6.00390625" style="19" customWidth="1"/>
    <col min="34" max="34" width="6.28125" style="19" customWidth="1"/>
    <col min="35" max="35" width="7.8515625" style="19" customWidth="1"/>
    <col min="36" max="36" width="6.421875" style="19" customWidth="1"/>
    <col min="37" max="38" width="6.140625" style="22" customWidth="1"/>
    <col min="39" max="39" width="7.7109375" style="22" customWidth="1"/>
    <col min="40" max="40" width="5.7109375" style="22" customWidth="1"/>
    <col min="41" max="41" width="7.28125" style="19" customWidth="1"/>
    <col min="42" max="42" width="8.421875" style="19" customWidth="1"/>
    <col min="43" max="43" width="6.7109375" style="19" customWidth="1"/>
    <col min="44" max="44" width="7.421875" style="19" customWidth="1"/>
    <col min="45" max="45" width="7.8515625" style="19" customWidth="1"/>
    <col min="46" max="47" width="7.8515625" style="23" customWidth="1"/>
    <col min="48" max="53" width="7.140625" style="19" customWidth="1"/>
    <col min="54" max="54" width="7.140625" style="22" customWidth="1"/>
    <col min="55" max="55" width="5.00390625" style="12" customWidth="1"/>
    <col min="56" max="56" width="3.7109375" style="12" customWidth="1"/>
    <col min="57" max="57" width="3.421875" style="24" customWidth="1"/>
    <col min="58" max="58" width="9.8515625" style="13" customWidth="1"/>
    <col min="59" max="1025" width="11.421875" style="13" customWidth="1"/>
  </cols>
  <sheetData>
    <row r="1" spans="3:42" ht="50.25" customHeight="1">
      <c r="C1" s="227" t="str">
        <f ca="1">MID(CELL("FILENAME",N33),FIND("[",CELL("FILENAME",N33))+1,FIND("]",CELL("FILENAME",N33))-FIND("[",CELL("FILENAME",N33))-1)</f>
        <v>Esc Doc 2019 09 Cba v1 1.xlsx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5"/>
      <c r="AP1" s="25"/>
    </row>
    <row r="2" spans="2:57" ht="11.25" customHeight="1">
      <c r="B2" s="26"/>
      <c r="C2" s="27" t="s">
        <v>69</v>
      </c>
      <c r="D2" s="27"/>
      <c r="E2" s="27"/>
      <c r="F2" s="27"/>
      <c r="H2" s="200">
        <v>0</v>
      </c>
      <c r="J2" s="189">
        <f>LOOKUP(H2,Valores!I:I,Valores!J:J)</f>
        <v>0</v>
      </c>
      <c r="O2" s="28">
        <v>0.15</v>
      </c>
      <c r="P2" s="29"/>
      <c r="AN2" s="228"/>
      <c r="BE2" s="30">
        <f>(((H139+U139)*1.15)+Q139+R139+S139+AB139+AD139)*0.05</f>
        <v>1166.1358499999997</v>
      </c>
    </row>
    <row r="3" spans="2:53" ht="11.25" customHeight="1">
      <c r="B3" s="26"/>
      <c r="C3" s="27" t="s">
        <v>70</v>
      </c>
      <c r="D3" s="27"/>
      <c r="E3" s="27"/>
      <c r="F3" s="27"/>
      <c r="H3" s="200">
        <v>0</v>
      </c>
      <c r="I3" s="229" t="s">
        <v>71</v>
      </c>
      <c r="J3" s="229"/>
      <c r="K3" s="230">
        <f>Valores!C2</f>
        <v>7.6491</v>
      </c>
      <c r="L3" s="230"/>
      <c r="AN3" s="228"/>
      <c r="AO3" s="32" t="s">
        <v>4</v>
      </c>
      <c r="AP3" s="31"/>
      <c r="AQ3" s="33">
        <f>Valores!C2</f>
        <v>7.6491</v>
      </c>
      <c r="AR3" s="34"/>
      <c r="AS3" s="34"/>
      <c r="AT3" s="35"/>
      <c r="AU3" s="35"/>
      <c r="AV3" s="34"/>
      <c r="AW3" s="34"/>
      <c r="AX3" s="34"/>
      <c r="AY3" s="34"/>
      <c r="AZ3" s="34"/>
      <c r="BA3" s="34"/>
    </row>
    <row r="4" spans="1:53" ht="11.25" customHeight="1">
      <c r="A4" s="36"/>
      <c r="B4" s="26"/>
      <c r="C4" s="27" t="s">
        <v>72</v>
      </c>
      <c r="D4" s="26"/>
      <c r="E4" s="26"/>
      <c r="F4" s="26"/>
      <c r="H4" s="201" t="s">
        <v>8</v>
      </c>
      <c r="AN4" s="37"/>
      <c r="AO4" s="32" t="s">
        <v>8</v>
      </c>
      <c r="AP4" s="31"/>
      <c r="AQ4" s="34"/>
      <c r="AR4" s="34"/>
      <c r="AS4" s="34"/>
      <c r="AT4" s="35"/>
      <c r="AU4" s="35"/>
      <c r="AV4" s="34"/>
      <c r="AW4" s="34"/>
      <c r="AX4" s="34"/>
      <c r="AY4" s="34"/>
      <c r="AZ4" s="34"/>
      <c r="BA4" s="34"/>
    </row>
    <row r="5" spans="1:57" ht="48" customHeight="1">
      <c r="A5" s="38"/>
      <c r="B5" s="38"/>
      <c r="C5" s="39"/>
      <c r="F5" s="39"/>
      <c r="G5" s="231" t="s">
        <v>73</v>
      </c>
      <c r="H5" s="231"/>
      <c r="I5" s="232" t="s">
        <v>74</v>
      </c>
      <c r="J5" s="232"/>
      <c r="K5" s="233" t="s">
        <v>75</v>
      </c>
      <c r="L5" s="233"/>
      <c r="M5" s="234" t="s">
        <v>76</v>
      </c>
      <c r="N5" s="234"/>
      <c r="O5" s="40" t="s">
        <v>77</v>
      </c>
      <c r="P5" s="41" t="s">
        <v>78</v>
      </c>
      <c r="Q5" s="40" t="s">
        <v>79</v>
      </c>
      <c r="R5" s="40" t="s">
        <v>80</v>
      </c>
      <c r="S5" s="40" t="s">
        <v>81</v>
      </c>
      <c r="T5" s="40" t="s">
        <v>82</v>
      </c>
      <c r="U5" s="41" t="s">
        <v>83</v>
      </c>
      <c r="V5" s="40" t="s">
        <v>83</v>
      </c>
      <c r="W5" s="40" t="s">
        <v>84</v>
      </c>
      <c r="X5" s="40" t="s">
        <v>85</v>
      </c>
      <c r="Y5" s="235" t="s">
        <v>86</v>
      </c>
      <c r="Z5" s="235"/>
      <c r="AA5" s="40" t="s">
        <v>87</v>
      </c>
      <c r="AB5" s="42" t="s">
        <v>88</v>
      </c>
      <c r="AC5" s="40" t="s">
        <v>89</v>
      </c>
      <c r="AD5" s="40" t="s">
        <v>90</v>
      </c>
      <c r="AE5" s="234" t="s">
        <v>91</v>
      </c>
      <c r="AF5" s="234"/>
      <c r="AG5" s="40" t="s">
        <v>52</v>
      </c>
      <c r="AH5" s="40" t="s">
        <v>92</v>
      </c>
      <c r="AI5" s="43" t="s">
        <v>93</v>
      </c>
      <c r="AJ5" s="40" t="s">
        <v>94</v>
      </c>
      <c r="AK5" s="44" t="s">
        <v>95</v>
      </c>
      <c r="AL5" s="44" t="s">
        <v>662</v>
      </c>
      <c r="AM5" s="44" t="s">
        <v>666</v>
      </c>
      <c r="AN5" s="44" t="s">
        <v>96</v>
      </c>
      <c r="AO5" s="43" t="s">
        <v>97</v>
      </c>
      <c r="AP5" s="45" t="s">
        <v>98</v>
      </c>
      <c r="AQ5" s="45" t="s">
        <v>99</v>
      </c>
      <c r="AR5" s="45" t="s">
        <v>100</v>
      </c>
      <c r="AS5" s="45" t="s">
        <v>101</v>
      </c>
      <c r="AT5" s="45" t="s">
        <v>102</v>
      </c>
      <c r="AU5" s="43" t="s">
        <v>103</v>
      </c>
      <c r="AV5" s="43" t="s">
        <v>104</v>
      </c>
      <c r="AW5" s="45" t="s">
        <v>105</v>
      </c>
      <c r="AX5" s="45" t="s">
        <v>63</v>
      </c>
      <c r="AY5" s="45" t="s">
        <v>106</v>
      </c>
      <c r="AZ5" s="45" t="s">
        <v>65</v>
      </c>
      <c r="BA5" s="45" t="s">
        <v>66</v>
      </c>
      <c r="BB5" s="45" t="s">
        <v>67</v>
      </c>
      <c r="BC5" s="44" t="s">
        <v>107</v>
      </c>
      <c r="BD5" s="44" t="s">
        <v>108</v>
      </c>
      <c r="BE5" s="46" t="s">
        <v>109</v>
      </c>
    </row>
    <row r="6" spans="1:57" s="49" customFormat="1" ht="11.25" customHeight="1">
      <c r="A6" s="47" t="s">
        <v>110</v>
      </c>
      <c r="B6" s="47"/>
      <c r="C6" s="48" t="s">
        <v>111</v>
      </c>
      <c r="F6" s="50" t="s">
        <v>112</v>
      </c>
      <c r="G6" s="51" t="s">
        <v>113</v>
      </c>
      <c r="H6" s="52" t="s">
        <v>114</v>
      </c>
      <c r="I6" s="53" t="s">
        <v>115</v>
      </c>
      <c r="J6" s="54" t="s">
        <v>116</v>
      </c>
      <c r="K6" s="55" t="s">
        <v>117</v>
      </c>
      <c r="L6" s="54" t="s">
        <v>118</v>
      </c>
      <c r="M6" s="56" t="s">
        <v>119</v>
      </c>
      <c r="N6" s="54" t="s">
        <v>120</v>
      </c>
      <c r="O6" s="50" t="s">
        <v>121</v>
      </c>
      <c r="P6" s="50" t="s">
        <v>122</v>
      </c>
      <c r="Q6" s="50" t="s">
        <v>123</v>
      </c>
      <c r="R6" s="50" t="s">
        <v>124</v>
      </c>
      <c r="S6" s="50" t="s">
        <v>125</v>
      </c>
      <c r="T6" s="50" t="s">
        <v>126</v>
      </c>
      <c r="U6" s="57" t="s">
        <v>127</v>
      </c>
      <c r="V6" s="50" t="s">
        <v>127</v>
      </c>
      <c r="W6" s="50" t="s">
        <v>128</v>
      </c>
      <c r="X6" s="50" t="s">
        <v>129</v>
      </c>
      <c r="Y6" s="58" t="s">
        <v>130</v>
      </c>
      <c r="Z6" s="54" t="s">
        <v>131</v>
      </c>
      <c r="AA6" s="50" t="s">
        <v>132</v>
      </c>
      <c r="AB6" s="59" t="s">
        <v>133</v>
      </c>
      <c r="AC6" s="59" t="s">
        <v>134</v>
      </c>
      <c r="AD6" s="50" t="s">
        <v>135</v>
      </c>
      <c r="AE6" s="58" t="s">
        <v>136</v>
      </c>
      <c r="AF6" s="54" t="s">
        <v>137</v>
      </c>
      <c r="AG6" s="50" t="s">
        <v>138</v>
      </c>
      <c r="AH6" s="50" t="s">
        <v>139</v>
      </c>
      <c r="AI6" s="60" t="s">
        <v>140</v>
      </c>
      <c r="AJ6" s="61" t="s">
        <v>663</v>
      </c>
      <c r="AK6" s="59" t="s">
        <v>141</v>
      </c>
      <c r="AL6" s="59"/>
      <c r="AM6" s="240" t="s">
        <v>667</v>
      </c>
      <c r="AN6" s="59" t="s">
        <v>142</v>
      </c>
      <c r="AO6" s="62" t="s">
        <v>143</v>
      </c>
      <c r="AP6" s="63" t="s">
        <v>144</v>
      </c>
      <c r="AQ6" s="63" t="s">
        <v>145</v>
      </c>
      <c r="AR6" s="50" t="s">
        <v>146</v>
      </c>
      <c r="AS6" s="50" t="s">
        <v>147</v>
      </c>
      <c r="AT6" s="50" t="s">
        <v>148</v>
      </c>
      <c r="AU6" s="64"/>
      <c r="AV6" s="64"/>
      <c r="AW6" s="50" t="s">
        <v>149</v>
      </c>
      <c r="AX6" s="50" t="s">
        <v>150</v>
      </c>
      <c r="AY6" s="50" t="s">
        <v>151</v>
      </c>
      <c r="AZ6" s="50" t="s">
        <v>152</v>
      </c>
      <c r="BA6" s="50" t="s">
        <v>153</v>
      </c>
      <c r="BB6" s="50" t="s">
        <v>154</v>
      </c>
      <c r="BC6" s="65"/>
      <c r="BD6" s="65"/>
      <c r="BE6" s="66"/>
    </row>
    <row r="7" spans="1:57" s="24" customFormat="1" ht="11.25" customHeight="1">
      <c r="A7" s="47">
        <v>6</v>
      </c>
      <c r="B7" s="47"/>
      <c r="C7" s="24" t="s">
        <v>155</v>
      </c>
      <c r="E7" s="24">
        <f aca="true" t="shared" si="0" ref="E7:E70">LEN(F7)</f>
        <v>19</v>
      </c>
      <c r="F7" s="67" t="s">
        <v>156</v>
      </c>
      <c r="G7" s="68">
        <v>107</v>
      </c>
      <c r="H7" s="69">
        <f>INT((G7*Valores!$C$2*100)+0.5)/100</f>
        <v>818.45</v>
      </c>
      <c r="I7" s="70">
        <v>3779</v>
      </c>
      <c r="J7" s="71">
        <f>INT((I7*Valores!$C$2*100)+0.5)/100</f>
        <v>28905.95</v>
      </c>
      <c r="K7" s="72">
        <v>219</v>
      </c>
      <c r="L7" s="71">
        <f>INT((K7*Valores!$C$2*100)+0.5)/100</f>
        <v>1675.15</v>
      </c>
      <c r="M7" s="68">
        <v>0</v>
      </c>
      <c r="N7" s="71">
        <f>INT((M7*Valores!$C$2*100)+0.5)/100</f>
        <v>0</v>
      </c>
      <c r="O7" s="71">
        <f aca="true" t="shared" si="1" ref="O7:O70">IF($J$2=0,IF(C7&lt;&gt;"13-930",(SUM(H7,J7,L7,N7,Z7,U7,T7)*$O$2),0),0)</f>
        <v>5028.168000000001</v>
      </c>
      <c r="P7" s="71">
        <f aca="true" t="shared" si="2" ref="P7:P70">SUM(H7,J7,L7,N7,Z7,T7)*$J$2</f>
        <v>0</v>
      </c>
      <c r="Q7" s="73">
        <f>Valores!$C$16</f>
        <v>4949.59</v>
      </c>
      <c r="R7" s="73">
        <f>Valores!$D$4</f>
        <v>3421.44</v>
      </c>
      <c r="S7" s="71">
        <v>0</v>
      </c>
      <c r="T7" s="74">
        <f>Valores!$C$43</f>
        <v>2121.57</v>
      </c>
      <c r="U7" s="71">
        <v>0</v>
      </c>
      <c r="V7" s="71">
        <f aca="true" t="shared" si="3" ref="V7:V44">U7*(1+$J$2)</f>
        <v>0</v>
      </c>
      <c r="W7" s="73">
        <f>SUM(H7,J7,L7)</f>
        <v>31399.550000000003</v>
      </c>
      <c r="X7" s="73">
        <f>INT((SUM(H7,J7,L7)*0.4*100)+0.49)/100</f>
        <v>12559.82</v>
      </c>
      <c r="Y7" s="75">
        <v>0</v>
      </c>
      <c r="Z7" s="71">
        <f>Y7*Valores!$C$2</f>
        <v>0</v>
      </c>
      <c r="AA7" s="71">
        <v>0</v>
      </c>
      <c r="AB7" s="76">
        <f>Valores!$C$29</f>
        <v>184.78</v>
      </c>
      <c r="AC7" s="71">
        <f>SUM(H7,J7,L7,Z7,T7)*$H$3/100</f>
        <v>0</v>
      </c>
      <c r="AD7" s="71">
        <f>Valores!$C$30</f>
        <v>184.78</v>
      </c>
      <c r="AE7" s="75">
        <v>0</v>
      </c>
      <c r="AF7" s="71">
        <f>AE7*Valores!$C$2</f>
        <v>0</v>
      </c>
      <c r="AG7" s="71">
        <f>Valores!$C$58</f>
        <v>375.86</v>
      </c>
      <c r="AH7" s="71">
        <f>Valores!$C$60</f>
        <v>107.38</v>
      </c>
      <c r="AI7" s="77">
        <f>SUM(H7,J7,L7,N7,O7,P7,Q7,R7,S7,V7,W7,X7,Z7,AA7,AB7,AC7,AD7,AF7,T7,AG7,AH7)</f>
        <v>91732.48800000003</v>
      </c>
      <c r="AJ7" s="73">
        <f>Valores!$C$35</f>
        <v>876.57</v>
      </c>
      <c r="AK7" s="74">
        <f>Valores!$C$9</f>
        <v>0</v>
      </c>
      <c r="AL7" s="74">
        <f>Valores!$C$81</f>
        <v>1500</v>
      </c>
      <c r="AM7" s="74">
        <v>1400</v>
      </c>
      <c r="AN7" s="76">
        <f>Valores!$C$50</f>
        <v>314.98</v>
      </c>
      <c r="AO7" s="78">
        <f>IF($H$4="SI",SUM(AJ7:AL7,AN7),SUM(AJ7:AL7))</f>
        <v>2376.57</v>
      </c>
      <c r="AP7" s="79">
        <f>AI7*-Valores!$C$65</f>
        <v>-11925.223440000003</v>
      </c>
      <c r="AQ7" s="57">
        <f>AI7*-Valores!$C$66</f>
        <v>-458.6624400000001</v>
      </c>
      <c r="AR7" s="73">
        <f>AI7*-Valores!$C$67</f>
        <v>-4127.961960000001</v>
      </c>
      <c r="AS7" s="73">
        <f>AI7*-Valores!$C$68</f>
        <v>-2476.7771760000005</v>
      </c>
      <c r="AT7" s="73">
        <f>AI7*-Valores!$C$69</f>
        <v>-275.1974640000001</v>
      </c>
      <c r="AU7" s="77">
        <f aca="true" t="shared" si="4" ref="AU7:AU70">AI7+AO7+AQ7+AR7+AP7</f>
        <v>77597.21016000003</v>
      </c>
      <c r="AV7" s="77">
        <f aca="true" t="shared" si="5" ref="AV7:AV70">AI7+AO7+AQ7+AS7+AP7+AT7</f>
        <v>78973.19748000003</v>
      </c>
      <c r="AW7" s="73">
        <f>AI7*Valores!$C$71</f>
        <v>14677.198080000004</v>
      </c>
      <c r="AX7" s="73">
        <f>AI7*Valores!$C$72</f>
        <v>4127.961960000001</v>
      </c>
      <c r="AY7" s="73">
        <f>AI7*Valores!$C$73</f>
        <v>917.3248800000002</v>
      </c>
      <c r="AZ7" s="73">
        <f>AI7*Valores!$C$75</f>
        <v>3210.6370800000013</v>
      </c>
      <c r="BA7" s="73">
        <f>AI7*Valores!$C$76</f>
        <v>550.3949280000002</v>
      </c>
      <c r="BB7" s="73">
        <f>AI7*5.4/100</f>
        <v>4953.554352000002</v>
      </c>
      <c r="BC7" s="47">
        <v>33</v>
      </c>
      <c r="BD7" s="47">
        <v>45</v>
      </c>
      <c r="BE7" s="24" t="s">
        <v>8</v>
      </c>
    </row>
    <row r="8" spans="1:57" s="24" customFormat="1" ht="11.25" customHeight="1">
      <c r="A8" s="47">
        <v>7</v>
      </c>
      <c r="B8" s="47"/>
      <c r="C8" s="24" t="s">
        <v>157</v>
      </c>
      <c r="E8" s="24">
        <f t="shared" si="0"/>
        <v>20</v>
      </c>
      <c r="F8" s="67" t="s">
        <v>158</v>
      </c>
      <c r="G8" s="68">
        <v>107</v>
      </c>
      <c r="H8" s="69">
        <f>INT((G8*Valores!$C$2*100)+0.5)/100</f>
        <v>818.45</v>
      </c>
      <c r="I8" s="70">
        <v>3779</v>
      </c>
      <c r="J8" s="71">
        <f>INT((I8*Valores!$C$2*100)+0.5)/100</f>
        <v>28905.95</v>
      </c>
      <c r="K8" s="72">
        <v>219</v>
      </c>
      <c r="L8" s="71">
        <f>INT((K8*Valores!$C$2*100)+0.5)/100</f>
        <v>1675.15</v>
      </c>
      <c r="M8" s="68">
        <v>0</v>
      </c>
      <c r="N8" s="71">
        <f>INT((M8*Valores!$C$2*100)+0.5)/100</f>
        <v>0</v>
      </c>
      <c r="O8" s="71">
        <f t="shared" si="1"/>
        <v>5028.168000000001</v>
      </c>
      <c r="P8" s="71">
        <f t="shared" si="2"/>
        <v>0</v>
      </c>
      <c r="Q8" s="73">
        <f>Valores!$C$16</f>
        <v>4949.59</v>
      </c>
      <c r="R8" s="73">
        <f>Valores!$D$4</f>
        <v>3421.44</v>
      </c>
      <c r="S8" s="71">
        <v>0</v>
      </c>
      <c r="T8" s="74">
        <f>Valores!$C$43</f>
        <v>2121.57</v>
      </c>
      <c r="U8" s="71">
        <v>0</v>
      </c>
      <c r="V8" s="71">
        <f t="shared" si="3"/>
        <v>0</v>
      </c>
      <c r="W8" s="73">
        <f>SUM(H8,J8,L8)</f>
        <v>31399.550000000003</v>
      </c>
      <c r="X8" s="73">
        <f>INT((SUM(H8,J8,L8)*0.4*100)+0.49)/100</f>
        <v>12559.82</v>
      </c>
      <c r="Y8" s="75">
        <v>0</v>
      </c>
      <c r="Z8" s="71">
        <f>Y8*Valores!$C$2</f>
        <v>0</v>
      </c>
      <c r="AA8" s="71">
        <v>0</v>
      </c>
      <c r="AB8" s="76">
        <f>Valores!$C$29</f>
        <v>184.78</v>
      </c>
      <c r="AC8" s="71">
        <f aca="true" t="shared" si="6" ref="AC8:AC71">SUM(H8,J8,L8,Z8,T8)*$H$3/100</f>
        <v>0</v>
      </c>
      <c r="AD8" s="71">
        <f>Valores!$C$30</f>
        <v>184.78</v>
      </c>
      <c r="AE8" s="75">
        <v>0</v>
      </c>
      <c r="AF8" s="71">
        <f>INT(((AE8*Valores!$C$2)*100)+0.5)/100</f>
        <v>0</v>
      </c>
      <c r="AG8" s="71">
        <f>Valores!$C$58</f>
        <v>375.86</v>
      </c>
      <c r="AH8" s="71">
        <f>Valores!$C$60</f>
        <v>107.38</v>
      </c>
      <c r="AI8" s="77">
        <f aca="true" t="shared" si="7" ref="AI8:AI71">SUM(H8,J8,L8,N8,O8,P8,Q8,R8,S8,V8,W8,X8,Z8,AA8,AB8,AC8,AD8,AF8,T8,AG8,AH8)</f>
        <v>91732.48800000003</v>
      </c>
      <c r="AJ8" s="73">
        <f>Valores!$C$35</f>
        <v>876.57</v>
      </c>
      <c r="AK8" s="74">
        <f>Valores!$C$9</f>
        <v>0</v>
      </c>
      <c r="AL8" s="74">
        <f>Valores!$C$81</f>
        <v>1500</v>
      </c>
      <c r="AM8" s="74">
        <v>1400</v>
      </c>
      <c r="AN8" s="76">
        <f>Valores!$C$50</f>
        <v>314.98</v>
      </c>
      <c r="AO8" s="78">
        <f aca="true" t="shared" si="8" ref="AO8:AO71">IF($H$4="SI",SUM(AJ8:AL8,AN8),SUM(AJ8:AL8))</f>
        <v>2376.57</v>
      </c>
      <c r="AP8" s="79">
        <f>AI8*-Valores!$C$65</f>
        <v>-11925.223440000003</v>
      </c>
      <c r="AQ8" s="79">
        <f>AI8*-Valores!$C$66</f>
        <v>-458.6624400000001</v>
      </c>
      <c r="AR8" s="73">
        <f>AI8*-Valores!$C$67</f>
        <v>-4127.961960000001</v>
      </c>
      <c r="AS8" s="73">
        <f>AI8*-Valores!$C$68</f>
        <v>-2476.7771760000005</v>
      </c>
      <c r="AT8" s="73">
        <f>AI8*-Valores!$C$69</f>
        <v>-275.1974640000001</v>
      </c>
      <c r="AU8" s="77">
        <f t="shared" si="4"/>
        <v>77597.21016000003</v>
      </c>
      <c r="AV8" s="77">
        <f t="shared" si="5"/>
        <v>78973.19748000003</v>
      </c>
      <c r="AW8" s="73">
        <f>AI8*Valores!$C$71</f>
        <v>14677.198080000004</v>
      </c>
      <c r="AX8" s="73">
        <f>AI8*Valores!$C$72</f>
        <v>4127.961960000001</v>
      </c>
      <c r="AY8" s="73">
        <f>AI8*Valores!$C$73</f>
        <v>917.3248800000002</v>
      </c>
      <c r="AZ8" s="73">
        <f>AI8*Valores!$C$75</f>
        <v>3210.6370800000013</v>
      </c>
      <c r="BA8" s="73">
        <f>AI8*Valores!$C$76</f>
        <v>550.3949280000002</v>
      </c>
      <c r="BB8" s="73">
        <f>AI8*Valores!$C$77</f>
        <v>4953.554352000001</v>
      </c>
      <c r="BC8" s="47">
        <v>33</v>
      </c>
      <c r="BD8" s="47">
        <v>45</v>
      </c>
      <c r="BE8" s="24" t="s">
        <v>8</v>
      </c>
    </row>
    <row r="9" spans="1:57" s="24" customFormat="1" ht="11.25" customHeight="1">
      <c r="A9" s="47">
        <v>8</v>
      </c>
      <c r="B9" s="47"/>
      <c r="C9" s="24" t="s">
        <v>159</v>
      </c>
      <c r="E9" s="24">
        <f t="shared" si="0"/>
        <v>14</v>
      </c>
      <c r="F9" s="67" t="s">
        <v>160</v>
      </c>
      <c r="G9" s="68">
        <v>107</v>
      </c>
      <c r="H9" s="80">
        <f>INT((G9*Valores!$C$2*100)+0.5)/100</f>
        <v>818.45</v>
      </c>
      <c r="I9" s="70">
        <v>3720</v>
      </c>
      <c r="J9" s="71">
        <f>INT((I9*Valores!$C$2*100)+0.5)/100</f>
        <v>28454.65</v>
      </c>
      <c r="K9" s="72">
        <v>1226</v>
      </c>
      <c r="L9" s="71">
        <f>INT((K9*Valores!$C$2*100)+0.5)/100</f>
        <v>9377.8</v>
      </c>
      <c r="M9" s="68">
        <v>0</v>
      </c>
      <c r="N9" s="71">
        <f>INT((M9*Valores!$C$2*100)+0.5)/100</f>
        <v>0</v>
      </c>
      <c r="O9" s="71">
        <f t="shared" si="1"/>
        <v>6589.7535</v>
      </c>
      <c r="P9" s="71">
        <f t="shared" si="2"/>
        <v>0</v>
      </c>
      <c r="Q9" s="73">
        <f>Valores!$C$19</f>
        <v>5164.37</v>
      </c>
      <c r="R9" s="73">
        <f>Valores!$D$4</f>
        <v>3421.44</v>
      </c>
      <c r="S9" s="71">
        <v>0</v>
      </c>
      <c r="T9" s="74">
        <f>Valores!$C$43</f>
        <v>2121.57</v>
      </c>
      <c r="U9" s="71">
        <f>Valores!$C$23</f>
        <v>3159.22</v>
      </c>
      <c r="V9" s="71">
        <f t="shared" si="3"/>
        <v>3159.22</v>
      </c>
      <c r="W9" s="71">
        <v>0</v>
      </c>
      <c r="X9" s="71">
        <v>0</v>
      </c>
      <c r="Y9" s="75">
        <v>0</v>
      </c>
      <c r="Z9" s="71">
        <f>Y9*Valores!$C$2</f>
        <v>0</v>
      </c>
      <c r="AA9" s="71">
        <v>0</v>
      </c>
      <c r="AB9" s="76">
        <f>Valores!$C$29</f>
        <v>184.78</v>
      </c>
      <c r="AC9" s="71">
        <f t="shared" si="6"/>
        <v>0</v>
      </c>
      <c r="AD9" s="71">
        <f>Valores!$C$30</f>
        <v>184.78</v>
      </c>
      <c r="AE9" s="75">
        <v>0</v>
      </c>
      <c r="AF9" s="71">
        <f>INT(((AE9*Valores!$C$2)*100)+0.5)/100</f>
        <v>0</v>
      </c>
      <c r="AG9" s="71">
        <f>Valores!$C$58</f>
        <v>375.86</v>
      </c>
      <c r="AH9" s="71">
        <f>Valores!$C$60</f>
        <v>107.38</v>
      </c>
      <c r="AI9" s="77">
        <f t="shared" si="7"/>
        <v>59960.0535</v>
      </c>
      <c r="AJ9" s="73">
        <f>Valores!$C$35</f>
        <v>876.57</v>
      </c>
      <c r="AK9" s="74">
        <f>Valores!$C$9</f>
        <v>0</v>
      </c>
      <c r="AL9" s="74">
        <f>Valores!$C$81</f>
        <v>1500</v>
      </c>
      <c r="AM9" s="74">
        <v>1400</v>
      </c>
      <c r="AN9" s="76">
        <f>Valores!$C$50</f>
        <v>314.98</v>
      </c>
      <c r="AO9" s="78">
        <f t="shared" si="8"/>
        <v>2376.57</v>
      </c>
      <c r="AP9" s="79">
        <f>AI9*-Valores!$C$65</f>
        <v>-7794.806955000001</v>
      </c>
      <c r="AQ9" s="79">
        <f>AI9*-Valores!$C$66</f>
        <v>-299.8002675</v>
      </c>
      <c r="AR9" s="73">
        <f>AI9*-Valores!$C$67</f>
        <v>-2698.2024075</v>
      </c>
      <c r="AS9" s="73">
        <f>AI9*-Valores!$C$68</f>
        <v>-1618.9214445</v>
      </c>
      <c r="AT9" s="73">
        <f>AI9*-Valores!$C$69</f>
        <v>-179.88016050000002</v>
      </c>
      <c r="AU9" s="77">
        <f t="shared" si="4"/>
        <v>51543.81387</v>
      </c>
      <c r="AV9" s="77">
        <f t="shared" si="5"/>
        <v>52443.2146725</v>
      </c>
      <c r="AW9" s="73">
        <f>AI9*Valores!$C$71</f>
        <v>9593.60856</v>
      </c>
      <c r="AX9" s="73">
        <f>AI9*Valores!$C$72</f>
        <v>2698.2024075</v>
      </c>
      <c r="AY9" s="73">
        <f>AI9*Valores!$C$73</f>
        <v>599.600535</v>
      </c>
      <c r="AZ9" s="73">
        <f>AI9*Valores!$C$75</f>
        <v>2098.6018725000004</v>
      </c>
      <c r="BA9" s="73">
        <f>AI9*Valores!$C$76</f>
        <v>359.76032100000003</v>
      </c>
      <c r="BB9" s="73">
        <f aca="true" t="shared" si="9" ref="BB9:BB72">AI9*5.4/100</f>
        <v>3237.8428890000005</v>
      </c>
      <c r="BC9" s="47">
        <v>35</v>
      </c>
      <c r="BD9" s="47">
        <v>45</v>
      </c>
      <c r="BE9" s="24" t="s">
        <v>4</v>
      </c>
    </row>
    <row r="10" spans="1:57" s="24" customFormat="1" ht="11.25" customHeight="1">
      <c r="A10" s="47">
        <v>9</v>
      </c>
      <c r="B10" s="47"/>
      <c r="C10" s="24" t="s">
        <v>161</v>
      </c>
      <c r="E10" s="24">
        <f t="shared" si="0"/>
        <v>17</v>
      </c>
      <c r="F10" s="67" t="s">
        <v>162</v>
      </c>
      <c r="G10" s="68">
        <v>107</v>
      </c>
      <c r="H10" s="69">
        <f>INT((G10*Valores!$C$2*100)+0.5)/100</f>
        <v>818.45</v>
      </c>
      <c r="I10" s="70">
        <v>3779</v>
      </c>
      <c r="J10" s="71">
        <f>INT((I10*Valores!$C$2*100)+0.5)/100</f>
        <v>28905.95</v>
      </c>
      <c r="K10" s="72">
        <v>219</v>
      </c>
      <c r="L10" s="71">
        <f>INT((K10*Valores!$C$2*100)+0.5)/100</f>
        <v>1675.15</v>
      </c>
      <c r="M10" s="68">
        <v>0</v>
      </c>
      <c r="N10" s="71">
        <f>INT((M10*Valores!$C$2*100)+0.5)/100</f>
        <v>0</v>
      </c>
      <c r="O10" s="71">
        <f t="shared" si="1"/>
        <v>5028.168000000001</v>
      </c>
      <c r="P10" s="71">
        <f t="shared" si="2"/>
        <v>0</v>
      </c>
      <c r="Q10" s="73">
        <f>Valores!$C$16</f>
        <v>4949.59</v>
      </c>
      <c r="R10" s="73">
        <f>Valores!$D$4</f>
        <v>3421.44</v>
      </c>
      <c r="S10" s="71">
        <v>0</v>
      </c>
      <c r="T10" s="74">
        <f>Valores!$C$43</f>
        <v>2121.57</v>
      </c>
      <c r="U10" s="71">
        <v>0</v>
      </c>
      <c r="V10" s="71">
        <f t="shared" si="3"/>
        <v>0</v>
      </c>
      <c r="W10" s="73">
        <f aca="true" t="shared" si="10" ref="W10:W19">SUM(H10,J10,L10)</f>
        <v>31399.550000000003</v>
      </c>
      <c r="X10" s="73">
        <f aca="true" t="shared" si="11" ref="X10:X19">INT((SUM(H10,J10,L10)*0.4*100)+0.49)/100</f>
        <v>12559.82</v>
      </c>
      <c r="Y10" s="75">
        <v>0</v>
      </c>
      <c r="Z10" s="71">
        <f>Y10*Valores!$C$2</f>
        <v>0</v>
      </c>
      <c r="AA10" s="71">
        <v>0</v>
      </c>
      <c r="AB10" s="76">
        <f>Valores!$C$29</f>
        <v>184.78</v>
      </c>
      <c r="AC10" s="71">
        <f t="shared" si="6"/>
        <v>0</v>
      </c>
      <c r="AD10" s="71">
        <f>Valores!$C$30</f>
        <v>184.78</v>
      </c>
      <c r="AE10" s="75">
        <v>0</v>
      </c>
      <c r="AF10" s="71">
        <f>INT(((AE10*Valores!$C$2)*100)+0.5)/100</f>
        <v>0</v>
      </c>
      <c r="AG10" s="71">
        <f>Valores!$C$58</f>
        <v>375.86</v>
      </c>
      <c r="AH10" s="71">
        <f>Valores!$C$60</f>
        <v>107.38</v>
      </c>
      <c r="AI10" s="77">
        <f t="shared" si="7"/>
        <v>91732.48800000003</v>
      </c>
      <c r="AJ10" s="73">
        <f>Valores!$C$35</f>
        <v>876.57</v>
      </c>
      <c r="AK10" s="74">
        <f>Valores!$C$9</f>
        <v>0</v>
      </c>
      <c r="AL10" s="74">
        <f>Valores!$C$81</f>
        <v>1500</v>
      </c>
      <c r="AM10" s="74">
        <v>1400</v>
      </c>
      <c r="AN10" s="76">
        <f>Valores!$C$50</f>
        <v>314.98</v>
      </c>
      <c r="AO10" s="78">
        <f t="shared" si="8"/>
        <v>2376.57</v>
      </c>
      <c r="AP10" s="79">
        <f>AI10*-Valores!$C$65</f>
        <v>-11925.223440000003</v>
      </c>
      <c r="AQ10" s="79">
        <f>AI10*-Valores!$C$66</f>
        <v>-458.6624400000001</v>
      </c>
      <c r="AR10" s="73">
        <f>AI10*-Valores!$C$67</f>
        <v>-4127.961960000001</v>
      </c>
      <c r="AS10" s="73">
        <f>AI10*-Valores!$C$68</f>
        <v>-2476.7771760000005</v>
      </c>
      <c r="AT10" s="73">
        <f>AI10*-Valores!$C$69</f>
        <v>-275.1974640000001</v>
      </c>
      <c r="AU10" s="77">
        <f t="shared" si="4"/>
        <v>77597.21016000003</v>
      </c>
      <c r="AV10" s="77">
        <f t="shared" si="5"/>
        <v>78973.19748000003</v>
      </c>
      <c r="AW10" s="73">
        <f>AI10*Valores!$C$71</f>
        <v>14677.198080000004</v>
      </c>
      <c r="AX10" s="73">
        <f>AI10*Valores!$C$72</f>
        <v>4127.961960000001</v>
      </c>
      <c r="AY10" s="73">
        <f>AI10*Valores!$C$73</f>
        <v>917.3248800000002</v>
      </c>
      <c r="AZ10" s="73">
        <f>AI10*Valores!$C$75</f>
        <v>3210.6370800000013</v>
      </c>
      <c r="BA10" s="73">
        <f>AI10*Valores!$C$76</f>
        <v>550.3949280000002</v>
      </c>
      <c r="BB10" s="73">
        <f t="shared" si="9"/>
        <v>4953.554352000002</v>
      </c>
      <c r="BC10" s="47">
        <v>33</v>
      </c>
      <c r="BD10" s="47">
        <v>45</v>
      </c>
      <c r="BE10" s="24" t="s">
        <v>8</v>
      </c>
    </row>
    <row r="11" spans="1:57" s="24" customFormat="1" ht="11.25" customHeight="1">
      <c r="A11" s="81">
        <v>10</v>
      </c>
      <c r="B11" s="81" t="s">
        <v>163</v>
      </c>
      <c r="C11" s="82" t="s">
        <v>164</v>
      </c>
      <c r="D11" s="82"/>
      <c r="E11" s="82">
        <f t="shared" si="0"/>
        <v>17</v>
      </c>
      <c r="F11" s="83" t="s">
        <v>165</v>
      </c>
      <c r="G11" s="84">
        <v>107</v>
      </c>
      <c r="H11" s="85">
        <f>INT((G11*Valores!$C$2*100)+0.5)/100</f>
        <v>818.45</v>
      </c>
      <c r="I11" s="86">
        <v>3779</v>
      </c>
      <c r="J11" s="87">
        <f>INT((I11*Valores!$C$2*100)+0.5)/100</f>
        <v>28905.95</v>
      </c>
      <c r="K11" s="88">
        <v>219</v>
      </c>
      <c r="L11" s="87">
        <f>INT((K11*Valores!$C$2*100)+0.5)/100</f>
        <v>1675.15</v>
      </c>
      <c r="M11" s="84">
        <v>0</v>
      </c>
      <c r="N11" s="87">
        <f>INT((M11*Valores!$C$2*100)+0.5)/100</f>
        <v>0</v>
      </c>
      <c r="O11" s="87">
        <f t="shared" si="1"/>
        <v>5028.168000000001</v>
      </c>
      <c r="P11" s="87">
        <f t="shared" si="2"/>
        <v>0</v>
      </c>
      <c r="Q11" s="89">
        <f>Valores!$C$16</f>
        <v>4949.59</v>
      </c>
      <c r="R11" s="89">
        <f>Valores!$D$4</f>
        <v>3421.44</v>
      </c>
      <c r="S11" s="87">
        <v>0</v>
      </c>
      <c r="T11" s="90">
        <f>Valores!$C$43</f>
        <v>2121.57</v>
      </c>
      <c r="U11" s="87">
        <v>0</v>
      </c>
      <c r="V11" s="87">
        <f t="shared" si="3"/>
        <v>0</v>
      </c>
      <c r="W11" s="89">
        <f t="shared" si="10"/>
        <v>31399.550000000003</v>
      </c>
      <c r="X11" s="89">
        <f t="shared" si="11"/>
        <v>12559.82</v>
      </c>
      <c r="Y11" s="91">
        <v>0</v>
      </c>
      <c r="Z11" s="87">
        <f>Y11*Valores!$C$2</f>
        <v>0</v>
      </c>
      <c r="AA11" s="87">
        <v>0</v>
      </c>
      <c r="AB11" s="92">
        <f>Valores!$C$29</f>
        <v>184.78</v>
      </c>
      <c r="AC11" s="87">
        <f t="shared" si="6"/>
        <v>0</v>
      </c>
      <c r="AD11" s="87">
        <f>Valores!$C$30</f>
        <v>184.78</v>
      </c>
      <c r="AE11" s="91">
        <v>0</v>
      </c>
      <c r="AF11" s="87">
        <f>INT(((AE11*Valores!$C$2)*100)+0.5)/100</f>
        <v>0</v>
      </c>
      <c r="AG11" s="87">
        <f>Valores!$C$58</f>
        <v>375.86</v>
      </c>
      <c r="AH11" s="87">
        <f>Valores!$C$60</f>
        <v>107.38</v>
      </c>
      <c r="AI11" s="93">
        <f t="shared" si="7"/>
        <v>91732.48800000003</v>
      </c>
      <c r="AJ11" s="89">
        <f>Valores!$C$35</f>
        <v>876.57</v>
      </c>
      <c r="AK11" s="90">
        <f>Valores!$C$9</f>
        <v>0</v>
      </c>
      <c r="AL11" s="90">
        <f>Valores!$C$81</f>
        <v>1500</v>
      </c>
      <c r="AM11" s="74">
        <v>1400</v>
      </c>
      <c r="AN11" s="92">
        <f>Valores!$C$50</f>
        <v>314.98</v>
      </c>
      <c r="AO11" s="94">
        <f t="shared" si="8"/>
        <v>2376.57</v>
      </c>
      <c r="AP11" s="95">
        <f>AI11*-Valores!$C$65</f>
        <v>-11925.223440000003</v>
      </c>
      <c r="AQ11" s="95">
        <f>AI11*-Valores!$C$66</f>
        <v>-458.6624400000001</v>
      </c>
      <c r="AR11" s="89">
        <f>AI11*-Valores!$C$67</f>
        <v>-4127.961960000001</v>
      </c>
      <c r="AS11" s="89">
        <f>AI11*-Valores!$C$68</f>
        <v>-2476.7771760000005</v>
      </c>
      <c r="AT11" s="89">
        <f>AI11*-Valores!$C$69</f>
        <v>-275.1974640000001</v>
      </c>
      <c r="AU11" s="93">
        <f t="shared" si="4"/>
        <v>77597.21016000003</v>
      </c>
      <c r="AV11" s="93">
        <f t="shared" si="5"/>
        <v>78973.19748000003</v>
      </c>
      <c r="AW11" s="89">
        <f>AI11*Valores!$C$71</f>
        <v>14677.198080000004</v>
      </c>
      <c r="AX11" s="89">
        <f>AI11*Valores!$C$72</f>
        <v>4127.961960000001</v>
      </c>
      <c r="AY11" s="89">
        <f>AI11*Valores!$C$73</f>
        <v>917.3248800000002</v>
      </c>
      <c r="AZ11" s="89">
        <f>AI11*Valores!$C$75</f>
        <v>3210.6370800000013</v>
      </c>
      <c r="BA11" s="89">
        <f>AI11*Valores!$C$76</f>
        <v>550.3949280000002</v>
      </c>
      <c r="BB11" s="89">
        <f t="shared" si="9"/>
        <v>4953.554352000002</v>
      </c>
      <c r="BC11" s="81">
        <v>33</v>
      </c>
      <c r="BD11" s="81">
        <v>45</v>
      </c>
      <c r="BE11" s="82" t="s">
        <v>8</v>
      </c>
    </row>
    <row r="12" spans="1:57" s="24" customFormat="1" ht="11.25" customHeight="1">
      <c r="A12" s="47">
        <v>11</v>
      </c>
      <c r="B12" s="47"/>
      <c r="C12" s="24" t="s">
        <v>166</v>
      </c>
      <c r="E12" s="24">
        <f t="shared" si="0"/>
        <v>17</v>
      </c>
      <c r="F12" s="67" t="s">
        <v>167</v>
      </c>
      <c r="G12" s="68">
        <v>107</v>
      </c>
      <c r="H12" s="69">
        <f>INT((G12*Valores!$C$2*100)+0.5)/100</f>
        <v>818.45</v>
      </c>
      <c r="I12" s="70">
        <v>3779</v>
      </c>
      <c r="J12" s="71">
        <f>INT((I12*Valores!$C$2*100)+0.5)/100</f>
        <v>28905.95</v>
      </c>
      <c r="K12" s="72">
        <v>219</v>
      </c>
      <c r="L12" s="71">
        <f>INT((K12*Valores!$C$2*100)+0.5)/100</f>
        <v>1675.15</v>
      </c>
      <c r="M12" s="68">
        <v>0</v>
      </c>
      <c r="N12" s="71">
        <f>INT((M12*Valores!$C$2*100)+0.5)/100</f>
        <v>0</v>
      </c>
      <c r="O12" s="71">
        <f t="shared" si="1"/>
        <v>5028.168000000001</v>
      </c>
      <c r="P12" s="71">
        <f t="shared" si="2"/>
        <v>0</v>
      </c>
      <c r="Q12" s="73">
        <f>Valores!$C$16</f>
        <v>4949.59</v>
      </c>
      <c r="R12" s="73">
        <f>Valores!$D$4</f>
        <v>3421.44</v>
      </c>
      <c r="S12" s="71">
        <v>0</v>
      </c>
      <c r="T12" s="74">
        <f>Valores!$C$43</f>
        <v>2121.57</v>
      </c>
      <c r="U12" s="71">
        <v>0</v>
      </c>
      <c r="V12" s="71">
        <f t="shared" si="3"/>
        <v>0</v>
      </c>
      <c r="W12" s="73">
        <f t="shared" si="10"/>
        <v>31399.550000000003</v>
      </c>
      <c r="X12" s="73">
        <f t="shared" si="11"/>
        <v>12559.82</v>
      </c>
      <c r="Y12" s="75">
        <v>0</v>
      </c>
      <c r="Z12" s="71">
        <f>Y12*Valores!$C$2</f>
        <v>0</v>
      </c>
      <c r="AA12" s="71">
        <v>0</v>
      </c>
      <c r="AB12" s="76">
        <f>Valores!$C$29</f>
        <v>184.78</v>
      </c>
      <c r="AC12" s="71">
        <f t="shared" si="6"/>
        <v>0</v>
      </c>
      <c r="AD12" s="71">
        <f>Valores!$C$30</f>
        <v>184.78</v>
      </c>
      <c r="AE12" s="75">
        <v>0</v>
      </c>
      <c r="AF12" s="71">
        <f>INT(((AE12*Valores!$C$2)*100)+0.5)/100</f>
        <v>0</v>
      </c>
      <c r="AG12" s="71">
        <f>Valores!$C$58</f>
        <v>375.86</v>
      </c>
      <c r="AH12" s="71">
        <f>Valores!$C$60</f>
        <v>107.38</v>
      </c>
      <c r="AI12" s="77">
        <f t="shared" si="7"/>
        <v>91732.48800000003</v>
      </c>
      <c r="AJ12" s="73">
        <f>Valores!$C$35</f>
        <v>876.57</v>
      </c>
      <c r="AK12" s="74">
        <f>Valores!$C$9</f>
        <v>0</v>
      </c>
      <c r="AL12" s="74">
        <f>Valores!$C$81</f>
        <v>1500</v>
      </c>
      <c r="AM12" s="74">
        <v>1400</v>
      </c>
      <c r="AN12" s="76">
        <f>Valores!$C$50</f>
        <v>314.98</v>
      </c>
      <c r="AO12" s="78">
        <f t="shared" si="8"/>
        <v>2376.57</v>
      </c>
      <c r="AP12" s="79">
        <f>AI12*-Valores!$C$65</f>
        <v>-11925.223440000003</v>
      </c>
      <c r="AQ12" s="79">
        <f>AI12*-Valores!$C$66</f>
        <v>-458.6624400000001</v>
      </c>
      <c r="AR12" s="73">
        <f>AI12*-Valores!$C$67</f>
        <v>-4127.961960000001</v>
      </c>
      <c r="AS12" s="73">
        <f>AI12*-Valores!$C$68</f>
        <v>-2476.7771760000005</v>
      </c>
      <c r="AT12" s="73">
        <f>AI12*-Valores!$C$69</f>
        <v>-275.1974640000001</v>
      </c>
      <c r="AU12" s="77">
        <f t="shared" si="4"/>
        <v>77597.21016000003</v>
      </c>
      <c r="AV12" s="77">
        <f t="shared" si="5"/>
        <v>78973.19748000003</v>
      </c>
      <c r="AW12" s="73">
        <f>AI12*Valores!$C$71</f>
        <v>14677.198080000004</v>
      </c>
      <c r="AX12" s="73">
        <f>AI12*Valores!$C$72</f>
        <v>4127.961960000001</v>
      </c>
      <c r="AY12" s="73">
        <f>AI12*Valores!$C$73</f>
        <v>917.3248800000002</v>
      </c>
      <c r="AZ12" s="73">
        <f>AI12*Valores!$C$75</f>
        <v>3210.6370800000013</v>
      </c>
      <c r="BA12" s="73">
        <f>AI12*Valores!$C$76</f>
        <v>550.3949280000002</v>
      </c>
      <c r="BB12" s="73">
        <f t="shared" si="9"/>
        <v>4953.554352000002</v>
      </c>
      <c r="BC12" s="47">
        <v>33</v>
      </c>
      <c r="BD12" s="47">
        <v>45</v>
      </c>
      <c r="BE12" s="24" t="s">
        <v>8</v>
      </c>
    </row>
    <row r="13" spans="1:57" s="24" customFormat="1" ht="11.25" customHeight="1">
      <c r="A13" s="47">
        <v>12</v>
      </c>
      <c r="B13" s="47"/>
      <c r="C13" s="24" t="s">
        <v>168</v>
      </c>
      <c r="E13" s="24">
        <f t="shared" si="0"/>
        <v>14</v>
      </c>
      <c r="F13" s="67" t="s">
        <v>169</v>
      </c>
      <c r="G13" s="68">
        <v>107</v>
      </c>
      <c r="H13" s="69">
        <f>INT((G13*Valores!$C$2*100)+0.5)/100</f>
        <v>818.45</v>
      </c>
      <c r="I13" s="70">
        <v>3779</v>
      </c>
      <c r="J13" s="71">
        <f>INT((I13*Valores!$C$2*100)+0.5)/100</f>
        <v>28905.95</v>
      </c>
      <c r="K13" s="72">
        <v>219</v>
      </c>
      <c r="L13" s="71">
        <f>INT((K13*Valores!$C$2*100)+0.5)/100</f>
        <v>1675.15</v>
      </c>
      <c r="M13" s="68">
        <v>0</v>
      </c>
      <c r="N13" s="71">
        <f>INT((M13*Valores!$C$2*100)+0.5)/100</f>
        <v>0</v>
      </c>
      <c r="O13" s="71">
        <f t="shared" si="1"/>
        <v>5028.168000000001</v>
      </c>
      <c r="P13" s="71">
        <f t="shared" si="2"/>
        <v>0</v>
      </c>
      <c r="Q13" s="73">
        <f>Valores!$C$16</f>
        <v>4949.59</v>
      </c>
      <c r="R13" s="73">
        <f>Valores!$D$4</f>
        <v>3421.44</v>
      </c>
      <c r="S13" s="71">
        <v>0</v>
      </c>
      <c r="T13" s="74">
        <f>Valores!$C$43</f>
        <v>2121.57</v>
      </c>
      <c r="U13" s="71">
        <v>0</v>
      </c>
      <c r="V13" s="71">
        <f t="shared" si="3"/>
        <v>0</v>
      </c>
      <c r="W13" s="73">
        <f t="shared" si="10"/>
        <v>31399.550000000003</v>
      </c>
      <c r="X13" s="73">
        <f t="shared" si="11"/>
        <v>12559.82</v>
      </c>
      <c r="Y13" s="75">
        <v>0</v>
      </c>
      <c r="Z13" s="71">
        <f>Y13*Valores!$C$2</f>
        <v>0</v>
      </c>
      <c r="AA13" s="71">
        <v>0</v>
      </c>
      <c r="AB13" s="76">
        <f>Valores!$C$29</f>
        <v>184.78</v>
      </c>
      <c r="AC13" s="71">
        <f t="shared" si="6"/>
        <v>0</v>
      </c>
      <c r="AD13" s="71">
        <f>Valores!$C$30</f>
        <v>184.78</v>
      </c>
      <c r="AE13" s="75">
        <v>0</v>
      </c>
      <c r="AF13" s="71">
        <f>INT(((AE13*Valores!$C$2)*100)+0.5)/100</f>
        <v>0</v>
      </c>
      <c r="AG13" s="71">
        <f>Valores!$C$58</f>
        <v>375.86</v>
      </c>
      <c r="AH13" s="71">
        <f>Valores!$C$60</f>
        <v>107.38</v>
      </c>
      <c r="AI13" s="77">
        <f t="shared" si="7"/>
        <v>91732.48800000003</v>
      </c>
      <c r="AJ13" s="73">
        <f>Valores!$C$35</f>
        <v>876.57</v>
      </c>
      <c r="AK13" s="74">
        <f>Valores!$C$9</f>
        <v>0</v>
      </c>
      <c r="AL13" s="74">
        <f>Valores!$C$81</f>
        <v>1500</v>
      </c>
      <c r="AM13" s="74">
        <v>1400</v>
      </c>
      <c r="AN13" s="76">
        <f>Valores!$C$50</f>
        <v>314.98</v>
      </c>
      <c r="AO13" s="78">
        <f t="shared" si="8"/>
        <v>2376.57</v>
      </c>
      <c r="AP13" s="79">
        <f>AI13*-Valores!$C$65</f>
        <v>-11925.223440000003</v>
      </c>
      <c r="AQ13" s="79">
        <f>AI13*-Valores!$C$66</f>
        <v>-458.6624400000001</v>
      </c>
      <c r="AR13" s="73">
        <f>AI13*-Valores!$C$67</f>
        <v>-4127.961960000001</v>
      </c>
      <c r="AS13" s="73">
        <f>AI13*-Valores!$C$68</f>
        <v>-2476.7771760000005</v>
      </c>
      <c r="AT13" s="73">
        <f>AI13*-Valores!$C$69</f>
        <v>-275.1974640000001</v>
      </c>
      <c r="AU13" s="77">
        <f t="shared" si="4"/>
        <v>77597.21016000003</v>
      </c>
      <c r="AV13" s="77">
        <f t="shared" si="5"/>
        <v>78973.19748000003</v>
      </c>
      <c r="AW13" s="73">
        <f>AI13*Valores!$C$71</f>
        <v>14677.198080000004</v>
      </c>
      <c r="AX13" s="73">
        <f>AI13*Valores!$C$72</f>
        <v>4127.961960000001</v>
      </c>
      <c r="AY13" s="73">
        <f>AI13*Valores!$C$73</f>
        <v>917.3248800000002</v>
      </c>
      <c r="AZ13" s="73">
        <f>AI13*Valores!$C$75</f>
        <v>3210.6370800000013</v>
      </c>
      <c r="BA13" s="73">
        <f>AI13*Valores!$C$76</f>
        <v>550.3949280000002</v>
      </c>
      <c r="BB13" s="73">
        <f t="shared" si="9"/>
        <v>4953.554352000002</v>
      </c>
      <c r="BC13" s="47">
        <v>33</v>
      </c>
      <c r="BD13" s="47">
        <v>45</v>
      </c>
      <c r="BE13" s="24" t="s">
        <v>8</v>
      </c>
    </row>
    <row r="14" spans="1:57" s="24" customFormat="1" ht="11.25" customHeight="1">
      <c r="A14" s="47">
        <v>13</v>
      </c>
      <c r="B14" s="47"/>
      <c r="C14" s="24" t="s">
        <v>170</v>
      </c>
      <c r="E14" s="24">
        <f t="shared" si="0"/>
        <v>15</v>
      </c>
      <c r="F14" s="67" t="s">
        <v>171</v>
      </c>
      <c r="G14" s="68">
        <v>107</v>
      </c>
      <c r="H14" s="69">
        <f>INT((G14*Valores!$C$2*100)+0.5)/100</f>
        <v>818.45</v>
      </c>
      <c r="I14" s="70">
        <v>3779</v>
      </c>
      <c r="J14" s="71">
        <f>INT((I14*Valores!$C$2*100)+0.5)/100</f>
        <v>28905.95</v>
      </c>
      <c r="K14" s="72">
        <v>219</v>
      </c>
      <c r="L14" s="71">
        <f>INT((K14*Valores!$C$2*100)+0.5)/100</f>
        <v>1675.15</v>
      </c>
      <c r="M14" s="68">
        <v>0</v>
      </c>
      <c r="N14" s="71">
        <f>INT((M14*Valores!$C$2*100)+0.5)/100</f>
        <v>0</v>
      </c>
      <c r="O14" s="71">
        <f t="shared" si="1"/>
        <v>5028.168000000001</v>
      </c>
      <c r="P14" s="71">
        <f t="shared" si="2"/>
        <v>0</v>
      </c>
      <c r="Q14" s="73">
        <f>Valores!$C$16</f>
        <v>4949.59</v>
      </c>
      <c r="R14" s="73">
        <f>Valores!$D$4</f>
        <v>3421.44</v>
      </c>
      <c r="S14" s="71">
        <v>0</v>
      </c>
      <c r="T14" s="74">
        <f>Valores!$C$43</f>
        <v>2121.57</v>
      </c>
      <c r="U14" s="71">
        <v>0</v>
      </c>
      <c r="V14" s="71">
        <f t="shared" si="3"/>
        <v>0</v>
      </c>
      <c r="W14" s="73">
        <f t="shared" si="10"/>
        <v>31399.550000000003</v>
      </c>
      <c r="X14" s="73">
        <f t="shared" si="11"/>
        <v>12559.82</v>
      </c>
      <c r="Y14" s="75">
        <v>0</v>
      </c>
      <c r="Z14" s="71">
        <f>Y14*Valores!$C$2</f>
        <v>0</v>
      </c>
      <c r="AA14" s="71">
        <v>0</v>
      </c>
      <c r="AB14" s="76">
        <f>Valores!$C$29</f>
        <v>184.78</v>
      </c>
      <c r="AC14" s="71">
        <f t="shared" si="6"/>
        <v>0</v>
      </c>
      <c r="AD14" s="71">
        <f>Valores!$C$30</f>
        <v>184.78</v>
      </c>
      <c r="AE14" s="75">
        <v>0</v>
      </c>
      <c r="AF14" s="71">
        <f>INT(((AE14*Valores!$C$2)*100)+0.5)/100</f>
        <v>0</v>
      </c>
      <c r="AG14" s="71">
        <f>Valores!$C$58</f>
        <v>375.86</v>
      </c>
      <c r="AH14" s="71">
        <f>Valores!$C$60</f>
        <v>107.38</v>
      </c>
      <c r="AI14" s="77">
        <f t="shared" si="7"/>
        <v>91732.48800000003</v>
      </c>
      <c r="AJ14" s="73">
        <f>Valores!$C$35</f>
        <v>876.57</v>
      </c>
      <c r="AK14" s="74">
        <f>Valores!$C$9</f>
        <v>0</v>
      </c>
      <c r="AL14" s="74">
        <f>Valores!$C$81</f>
        <v>1500</v>
      </c>
      <c r="AM14" s="74">
        <v>1400</v>
      </c>
      <c r="AN14" s="76">
        <f>Valores!$C$50</f>
        <v>314.98</v>
      </c>
      <c r="AO14" s="78">
        <f t="shared" si="8"/>
        <v>2376.57</v>
      </c>
      <c r="AP14" s="79">
        <f>AI14*-Valores!$C$65</f>
        <v>-11925.223440000003</v>
      </c>
      <c r="AQ14" s="79">
        <f>AI14*-Valores!$C$66</f>
        <v>-458.6624400000001</v>
      </c>
      <c r="AR14" s="73">
        <f>AI14*-Valores!$C$67</f>
        <v>-4127.961960000001</v>
      </c>
      <c r="AS14" s="73">
        <f>AI14*-Valores!$C$68</f>
        <v>-2476.7771760000005</v>
      </c>
      <c r="AT14" s="73">
        <f>AI14*-Valores!$C$69</f>
        <v>-275.1974640000001</v>
      </c>
      <c r="AU14" s="77">
        <f t="shared" si="4"/>
        <v>77597.21016000003</v>
      </c>
      <c r="AV14" s="77">
        <f t="shared" si="5"/>
        <v>78973.19748000003</v>
      </c>
      <c r="AW14" s="73">
        <f>AI14*Valores!$C$71</f>
        <v>14677.198080000004</v>
      </c>
      <c r="AX14" s="73">
        <f>AI14*Valores!$C$72</f>
        <v>4127.961960000001</v>
      </c>
      <c r="AY14" s="73">
        <f>AI14*Valores!$C$73</f>
        <v>917.3248800000002</v>
      </c>
      <c r="AZ14" s="73">
        <f>AI14*Valores!$C$75</f>
        <v>3210.6370800000013</v>
      </c>
      <c r="BA14" s="73">
        <f>AI14*Valores!$C$76</f>
        <v>550.3949280000002</v>
      </c>
      <c r="BB14" s="73">
        <f t="shared" si="9"/>
        <v>4953.554352000002</v>
      </c>
      <c r="BC14" s="47">
        <v>33</v>
      </c>
      <c r="BD14" s="47">
        <v>45</v>
      </c>
      <c r="BE14" s="24" t="s">
        <v>8</v>
      </c>
    </row>
    <row r="15" spans="1:57" s="24" customFormat="1" ht="11.25" customHeight="1">
      <c r="A15" s="47">
        <v>14</v>
      </c>
      <c r="B15" s="47"/>
      <c r="C15" s="24" t="s">
        <v>172</v>
      </c>
      <c r="E15" s="24">
        <f t="shared" si="0"/>
        <v>20</v>
      </c>
      <c r="F15" s="67" t="s">
        <v>173</v>
      </c>
      <c r="G15" s="68">
        <v>100</v>
      </c>
      <c r="H15" s="69">
        <f>INT((G15*Valores!$C$2*100)+0.5)/100</f>
        <v>764.91</v>
      </c>
      <c r="I15" s="70">
        <v>3727</v>
      </c>
      <c r="J15" s="71">
        <f>INT((I15*Valores!$C$2*100)+0.5)/100</f>
        <v>28508.2</v>
      </c>
      <c r="K15" s="72">
        <v>219</v>
      </c>
      <c r="L15" s="71">
        <f>INT((K15*Valores!$C$2*100)+0.5)/100</f>
        <v>1675.15</v>
      </c>
      <c r="M15" s="68">
        <v>0</v>
      </c>
      <c r="N15" s="71">
        <f>INT((M15*Valores!$C$2*100)+0.5)/100</f>
        <v>0</v>
      </c>
      <c r="O15" s="71">
        <f t="shared" si="1"/>
        <v>4960.4745</v>
      </c>
      <c r="P15" s="71">
        <f t="shared" si="2"/>
        <v>0</v>
      </c>
      <c r="Q15" s="73">
        <f>Valores!$C$16</f>
        <v>4949.59</v>
      </c>
      <c r="R15" s="73">
        <f>Valores!$D$4</f>
        <v>3421.44</v>
      </c>
      <c r="S15" s="71">
        <v>0</v>
      </c>
      <c r="T15" s="74">
        <f>Valores!$C$43</f>
        <v>2121.57</v>
      </c>
      <c r="U15" s="71">
        <v>0</v>
      </c>
      <c r="V15" s="71">
        <f t="shared" si="3"/>
        <v>0</v>
      </c>
      <c r="W15" s="73">
        <f t="shared" si="10"/>
        <v>30948.260000000002</v>
      </c>
      <c r="X15" s="73">
        <f t="shared" si="11"/>
        <v>12379.3</v>
      </c>
      <c r="Y15" s="75">
        <v>0</v>
      </c>
      <c r="Z15" s="71">
        <f>Y15*Valores!$C$2</f>
        <v>0</v>
      </c>
      <c r="AA15" s="71">
        <v>0</v>
      </c>
      <c r="AB15" s="76">
        <f>Valores!$C$29</f>
        <v>184.78</v>
      </c>
      <c r="AC15" s="71">
        <f t="shared" si="6"/>
        <v>0</v>
      </c>
      <c r="AD15" s="71">
        <f>Valores!$C$30</f>
        <v>184.78</v>
      </c>
      <c r="AE15" s="75">
        <v>0</v>
      </c>
      <c r="AF15" s="71">
        <f>INT(((AE15*Valores!$C$2)*100)+0.5)/100</f>
        <v>0</v>
      </c>
      <c r="AG15" s="71">
        <f>Valores!$C$58</f>
        <v>375.86</v>
      </c>
      <c r="AH15" s="71">
        <f>Valores!$C$60</f>
        <v>107.38</v>
      </c>
      <c r="AI15" s="77">
        <f t="shared" si="7"/>
        <v>90581.69450000001</v>
      </c>
      <c r="AJ15" s="73">
        <f>Valores!$C$35</f>
        <v>876.57</v>
      </c>
      <c r="AK15" s="74">
        <f>Valores!$C$9</f>
        <v>0</v>
      </c>
      <c r="AL15" s="74">
        <f>Valores!$C$81</f>
        <v>1500</v>
      </c>
      <c r="AM15" s="74">
        <v>1400</v>
      </c>
      <c r="AN15" s="76">
        <f>Valores!$C$50</f>
        <v>314.98</v>
      </c>
      <c r="AO15" s="78">
        <f t="shared" si="8"/>
        <v>2376.57</v>
      </c>
      <c r="AP15" s="79">
        <f>AI15*-Valores!$C$65</f>
        <v>-11775.620285000003</v>
      </c>
      <c r="AQ15" s="79">
        <f>AI15*-Valores!$C$66</f>
        <v>-452.9084725000001</v>
      </c>
      <c r="AR15" s="73">
        <f>AI15*-Valores!$C$67</f>
        <v>-4076.1762525000004</v>
      </c>
      <c r="AS15" s="73">
        <f>AI15*-Valores!$C$68</f>
        <v>-2445.7057515</v>
      </c>
      <c r="AT15" s="73">
        <f>AI15*-Valores!$C$69</f>
        <v>-271.7450835</v>
      </c>
      <c r="AU15" s="77">
        <f t="shared" si="4"/>
        <v>76653.55949000003</v>
      </c>
      <c r="AV15" s="77">
        <f t="shared" si="5"/>
        <v>78012.28490750001</v>
      </c>
      <c r="AW15" s="73">
        <f>AI15*Valores!$C$71</f>
        <v>14493.071120000002</v>
      </c>
      <c r="AX15" s="73">
        <f>AI15*Valores!$C$72</f>
        <v>4076.1762525000004</v>
      </c>
      <c r="AY15" s="73">
        <f>AI15*Valores!$C$73</f>
        <v>905.8169450000001</v>
      </c>
      <c r="AZ15" s="73">
        <f>AI15*Valores!$C$75</f>
        <v>3170.359307500001</v>
      </c>
      <c r="BA15" s="73">
        <f>AI15*Valores!$C$76</f>
        <v>543.490167</v>
      </c>
      <c r="BB15" s="73">
        <f t="shared" si="9"/>
        <v>4891.411503000001</v>
      </c>
      <c r="BC15" s="47">
        <v>33</v>
      </c>
      <c r="BD15" s="47">
        <v>45</v>
      </c>
      <c r="BE15" s="24" t="s">
        <v>8</v>
      </c>
    </row>
    <row r="16" spans="1:57" s="24" customFormat="1" ht="11.25" customHeight="1">
      <c r="A16" s="81">
        <v>15</v>
      </c>
      <c r="B16" s="81" t="s">
        <v>163</v>
      </c>
      <c r="C16" s="82" t="s">
        <v>174</v>
      </c>
      <c r="D16" s="82"/>
      <c r="E16" s="82">
        <f t="shared" si="0"/>
        <v>22</v>
      </c>
      <c r="F16" s="83" t="s">
        <v>175</v>
      </c>
      <c r="G16" s="84">
        <v>100</v>
      </c>
      <c r="H16" s="85">
        <f>INT((G16*Valores!$C$2*100)+0.5)/100</f>
        <v>764.91</v>
      </c>
      <c r="I16" s="86">
        <v>3727</v>
      </c>
      <c r="J16" s="87">
        <f>INT((I16*Valores!$C$2*100)+0.5)/100</f>
        <v>28508.2</v>
      </c>
      <c r="K16" s="88">
        <v>219</v>
      </c>
      <c r="L16" s="87">
        <f>INT((K16*Valores!$C$2*100)+0.5)/100</f>
        <v>1675.15</v>
      </c>
      <c r="M16" s="84">
        <v>0</v>
      </c>
      <c r="N16" s="87">
        <f>INT((M16*Valores!$C$2*100)+0.5)/100</f>
        <v>0</v>
      </c>
      <c r="O16" s="87">
        <f t="shared" si="1"/>
        <v>4960.4745</v>
      </c>
      <c r="P16" s="87">
        <f t="shared" si="2"/>
        <v>0</v>
      </c>
      <c r="Q16" s="89">
        <f>Valores!$C$16</f>
        <v>4949.59</v>
      </c>
      <c r="R16" s="89">
        <f>Valores!$D$4</f>
        <v>3421.44</v>
      </c>
      <c r="S16" s="87">
        <v>0</v>
      </c>
      <c r="T16" s="90">
        <f>Valores!$C$43</f>
        <v>2121.57</v>
      </c>
      <c r="U16" s="87">
        <v>0</v>
      </c>
      <c r="V16" s="87">
        <f t="shared" si="3"/>
        <v>0</v>
      </c>
      <c r="W16" s="89">
        <f t="shared" si="10"/>
        <v>30948.260000000002</v>
      </c>
      <c r="X16" s="89">
        <f t="shared" si="11"/>
        <v>12379.3</v>
      </c>
      <c r="Y16" s="91">
        <v>0</v>
      </c>
      <c r="Z16" s="87">
        <f>Y16*Valores!$C$2</f>
        <v>0</v>
      </c>
      <c r="AA16" s="87">
        <v>0</v>
      </c>
      <c r="AB16" s="92">
        <f>Valores!$C$29</f>
        <v>184.78</v>
      </c>
      <c r="AC16" s="87">
        <f t="shared" si="6"/>
        <v>0</v>
      </c>
      <c r="AD16" s="87">
        <f>Valores!$C$30</f>
        <v>184.78</v>
      </c>
      <c r="AE16" s="91">
        <v>0</v>
      </c>
      <c r="AF16" s="87">
        <f>INT(((AE16*Valores!$C$2)*100)+0.5)/100</f>
        <v>0</v>
      </c>
      <c r="AG16" s="87">
        <f>Valores!$C$58</f>
        <v>375.86</v>
      </c>
      <c r="AH16" s="87">
        <f>Valores!$C$60</f>
        <v>107.38</v>
      </c>
      <c r="AI16" s="93">
        <f t="shared" si="7"/>
        <v>90581.69450000001</v>
      </c>
      <c r="AJ16" s="89">
        <f>Valores!$C$35</f>
        <v>876.57</v>
      </c>
      <c r="AK16" s="90">
        <f>Valores!$C$9</f>
        <v>0</v>
      </c>
      <c r="AL16" s="90">
        <f>Valores!$C$81</f>
        <v>1500</v>
      </c>
      <c r="AM16" s="74">
        <v>1400</v>
      </c>
      <c r="AN16" s="92">
        <f>Valores!$C$50</f>
        <v>314.98</v>
      </c>
      <c r="AO16" s="94">
        <f t="shared" si="8"/>
        <v>2376.57</v>
      </c>
      <c r="AP16" s="95">
        <f>AI16*-Valores!$C$65</f>
        <v>-11775.620285000003</v>
      </c>
      <c r="AQ16" s="95">
        <f>AI16*-Valores!$C$66</f>
        <v>-452.9084725000001</v>
      </c>
      <c r="AR16" s="89">
        <f>AI16*-Valores!$C$67</f>
        <v>-4076.1762525000004</v>
      </c>
      <c r="AS16" s="89">
        <f>AI16*-Valores!$C$68</f>
        <v>-2445.7057515</v>
      </c>
      <c r="AT16" s="89">
        <f>AI16*-Valores!$C$69</f>
        <v>-271.7450835</v>
      </c>
      <c r="AU16" s="93">
        <f t="shared" si="4"/>
        <v>76653.55949000003</v>
      </c>
      <c r="AV16" s="93">
        <f t="shared" si="5"/>
        <v>78012.28490750001</v>
      </c>
      <c r="AW16" s="89">
        <f>AI16*Valores!$C$71</f>
        <v>14493.071120000002</v>
      </c>
      <c r="AX16" s="89">
        <f>AI16*Valores!$C$72</f>
        <v>4076.1762525000004</v>
      </c>
      <c r="AY16" s="89">
        <f>AI16*Valores!$C$73</f>
        <v>905.8169450000001</v>
      </c>
      <c r="AZ16" s="89">
        <f>AI16*Valores!$C$75</f>
        <v>3170.359307500001</v>
      </c>
      <c r="BA16" s="89">
        <f>AI16*Valores!$C$76</f>
        <v>543.490167</v>
      </c>
      <c r="BB16" s="89">
        <f t="shared" si="9"/>
        <v>4891.411503000001</v>
      </c>
      <c r="BC16" s="81">
        <v>33</v>
      </c>
      <c r="BD16" s="81">
        <v>45</v>
      </c>
      <c r="BE16" s="82" t="s">
        <v>8</v>
      </c>
    </row>
    <row r="17" spans="1:57" s="24" customFormat="1" ht="11.25" customHeight="1">
      <c r="A17" s="47">
        <v>16</v>
      </c>
      <c r="B17" s="47"/>
      <c r="C17" s="24" t="s">
        <v>176</v>
      </c>
      <c r="E17" s="24">
        <f t="shared" si="0"/>
        <v>30</v>
      </c>
      <c r="F17" s="67" t="s">
        <v>177</v>
      </c>
      <c r="G17" s="68">
        <v>100</v>
      </c>
      <c r="H17" s="69">
        <f>INT((G17*Valores!$C$2*100)+0.5)/100</f>
        <v>764.91</v>
      </c>
      <c r="I17" s="70">
        <v>3727</v>
      </c>
      <c r="J17" s="71">
        <f>INT((I17*Valores!$C$2*100)+0.5)/100</f>
        <v>28508.2</v>
      </c>
      <c r="K17" s="72">
        <v>219</v>
      </c>
      <c r="L17" s="71">
        <f>INT((K17*Valores!$C$2*100)+0.5)/100</f>
        <v>1675.15</v>
      </c>
      <c r="M17" s="68">
        <v>0</v>
      </c>
      <c r="N17" s="71">
        <f>INT((M17*Valores!$C$2*100)+0.5)/100</f>
        <v>0</v>
      </c>
      <c r="O17" s="71">
        <f t="shared" si="1"/>
        <v>4960.4745</v>
      </c>
      <c r="P17" s="71">
        <f t="shared" si="2"/>
        <v>0</v>
      </c>
      <c r="Q17" s="73">
        <f>Valores!$C$16</f>
        <v>4949.59</v>
      </c>
      <c r="R17" s="73">
        <f>Valores!$D$4</f>
        <v>3421.44</v>
      </c>
      <c r="S17" s="71">
        <v>0</v>
      </c>
      <c r="T17" s="74">
        <f>Valores!$C$43</f>
        <v>2121.57</v>
      </c>
      <c r="U17" s="71">
        <v>0</v>
      </c>
      <c r="V17" s="71">
        <f t="shared" si="3"/>
        <v>0</v>
      </c>
      <c r="W17" s="73">
        <f t="shared" si="10"/>
        <v>30948.260000000002</v>
      </c>
      <c r="X17" s="73">
        <f t="shared" si="11"/>
        <v>12379.3</v>
      </c>
      <c r="Y17" s="75">
        <v>0</v>
      </c>
      <c r="Z17" s="71">
        <f>Y17*Valores!$C$2</f>
        <v>0</v>
      </c>
      <c r="AA17" s="71">
        <v>0</v>
      </c>
      <c r="AB17" s="76">
        <f>Valores!$C$29</f>
        <v>184.78</v>
      </c>
      <c r="AC17" s="71">
        <f t="shared" si="6"/>
        <v>0</v>
      </c>
      <c r="AD17" s="71">
        <f>Valores!$C$30</f>
        <v>184.78</v>
      </c>
      <c r="AE17" s="75">
        <v>0</v>
      </c>
      <c r="AF17" s="71">
        <f>INT(((AE17*Valores!$C$2)*100)+0.5)/100</f>
        <v>0</v>
      </c>
      <c r="AG17" s="71">
        <f>Valores!$C$58</f>
        <v>375.86</v>
      </c>
      <c r="AH17" s="71">
        <f>Valores!$C$60</f>
        <v>107.38</v>
      </c>
      <c r="AI17" s="77">
        <f t="shared" si="7"/>
        <v>90581.69450000001</v>
      </c>
      <c r="AJ17" s="73">
        <f>Valores!$C$35</f>
        <v>876.57</v>
      </c>
      <c r="AK17" s="74">
        <f>Valores!$C$9</f>
        <v>0</v>
      </c>
      <c r="AL17" s="74">
        <f>Valores!$C$81</f>
        <v>1500</v>
      </c>
      <c r="AM17" s="74">
        <v>1400</v>
      </c>
      <c r="AN17" s="76">
        <f>Valores!$C$50</f>
        <v>314.98</v>
      </c>
      <c r="AO17" s="78">
        <f t="shared" si="8"/>
        <v>2376.57</v>
      </c>
      <c r="AP17" s="79">
        <f>AI17*-Valores!$C$65</f>
        <v>-11775.620285000003</v>
      </c>
      <c r="AQ17" s="79">
        <f>AI17*-Valores!$C$66</f>
        <v>-452.9084725000001</v>
      </c>
      <c r="AR17" s="73">
        <f>AI17*-Valores!$C$67</f>
        <v>-4076.1762525000004</v>
      </c>
      <c r="AS17" s="73">
        <f>AI17*-Valores!$C$68</f>
        <v>-2445.7057515</v>
      </c>
      <c r="AT17" s="73">
        <f>AI17*-Valores!$C$69</f>
        <v>-271.7450835</v>
      </c>
      <c r="AU17" s="77">
        <f t="shared" si="4"/>
        <v>76653.55949000003</v>
      </c>
      <c r="AV17" s="77">
        <f t="shared" si="5"/>
        <v>78012.28490750001</v>
      </c>
      <c r="AW17" s="73">
        <f>AI17*Valores!$C$71</f>
        <v>14493.071120000002</v>
      </c>
      <c r="AX17" s="73">
        <f>AI17*Valores!$C$72</f>
        <v>4076.1762525000004</v>
      </c>
      <c r="AY17" s="73">
        <f>AI17*Valores!$C$73</f>
        <v>905.8169450000001</v>
      </c>
      <c r="AZ17" s="73">
        <f>AI17*Valores!$C$75</f>
        <v>3170.359307500001</v>
      </c>
      <c r="BA17" s="73">
        <f>AI17*Valores!$C$76</f>
        <v>543.490167</v>
      </c>
      <c r="BB17" s="73">
        <f t="shared" si="9"/>
        <v>4891.411503000001</v>
      </c>
      <c r="BC17" s="47"/>
      <c r="BD17" s="47">
        <v>45</v>
      </c>
      <c r="BE17" s="24" t="s">
        <v>8</v>
      </c>
    </row>
    <row r="18" spans="1:57" s="24" customFormat="1" ht="11.25" customHeight="1">
      <c r="A18" s="47">
        <v>17</v>
      </c>
      <c r="B18" s="47"/>
      <c r="C18" s="24" t="s">
        <v>178</v>
      </c>
      <c r="E18" s="24">
        <f t="shared" si="0"/>
        <v>24</v>
      </c>
      <c r="F18" s="67" t="s">
        <v>179</v>
      </c>
      <c r="G18" s="68">
        <v>100</v>
      </c>
      <c r="H18" s="69">
        <f>INT((G18*Valores!$C$2*100)+0.5)/100</f>
        <v>764.91</v>
      </c>
      <c r="I18" s="70">
        <v>3727</v>
      </c>
      <c r="J18" s="71">
        <f>INT((I18*Valores!$C$2*100)+0.5)/100</f>
        <v>28508.2</v>
      </c>
      <c r="K18" s="72">
        <v>219</v>
      </c>
      <c r="L18" s="71">
        <f>INT((K18*Valores!$C$2*100)+0.5)/100</f>
        <v>1675.15</v>
      </c>
      <c r="M18" s="68">
        <v>0</v>
      </c>
      <c r="N18" s="71">
        <f>INT((M18*Valores!$C$2*100)+0.5)/100</f>
        <v>0</v>
      </c>
      <c r="O18" s="71">
        <f t="shared" si="1"/>
        <v>4960.4745</v>
      </c>
      <c r="P18" s="71">
        <f t="shared" si="2"/>
        <v>0</v>
      </c>
      <c r="Q18" s="73">
        <f>Valores!$C$16</f>
        <v>4949.59</v>
      </c>
      <c r="R18" s="73">
        <f>Valores!$D$4</f>
        <v>3421.44</v>
      </c>
      <c r="S18" s="71">
        <v>0</v>
      </c>
      <c r="T18" s="74">
        <f>Valores!$C$43</f>
        <v>2121.57</v>
      </c>
      <c r="U18" s="71">
        <v>0</v>
      </c>
      <c r="V18" s="71">
        <f t="shared" si="3"/>
        <v>0</v>
      </c>
      <c r="W18" s="73">
        <f t="shared" si="10"/>
        <v>30948.260000000002</v>
      </c>
      <c r="X18" s="73">
        <f t="shared" si="11"/>
        <v>12379.3</v>
      </c>
      <c r="Y18" s="75">
        <v>0</v>
      </c>
      <c r="Z18" s="71">
        <f>Y18*Valores!$C$2</f>
        <v>0</v>
      </c>
      <c r="AA18" s="71">
        <v>0</v>
      </c>
      <c r="AB18" s="76">
        <f>Valores!$C$29</f>
        <v>184.78</v>
      </c>
      <c r="AC18" s="71">
        <f t="shared" si="6"/>
        <v>0</v>
      </c>
      <c r="AD18" s="71">
        <f>Valores!$C$30</f>
        <v>184.78</v>
      </c>
      <c r="AE18" s="75">
        <v>0</v>
      </c>
      <c r="AF18" s="71">
        <f>INT(((AE18*Valores!$C$2)*100)+0.5)/100</f>
        <v>0</v>
      </c>
      <c r="AG18" s="71">
        <f>Valores!$C$58</f>
        <v>375.86</v>
      </c>
      <c r="AH18" s="71">
        <f>Valores!$C$60</f>
        <v>107.38</v>
      </c>
      <c r="AI18" s="77">
        <f t="shared" si="7"/>
        <v>90581.69450000001</v>
      </c>
      <c r="AJ18" s="73">
        <f>Valores!$C$35</f>
        <v>876.57</v>
      </c>
      <c r="AK18" s="74">
        <f>Valores!$C$9</f>
        <v>0</v>
      </c>
      <c r="AL18" s="74">
        <f>Valores!$C$81</f>
        <v>1500</v>
      </c>
      <c r="AM18" s="74">
        <v>1400</v>
      </c>
      <c r="AN18" s="76">
        <f>Valores!$C$50</f>
        <v>314.98</v>
      </c>
      <c r="AO18" s="78">
        <f t="shared" si="8"/>
        <v>2376.57</v>
      </c>
      <c r="AP18" s="79">
        <f>AI18*-Valores!$C$65</f>
        <v>-11775.620285000003</v>
      </c>
      <c r="AQ18" s="79">
        <f>AI18*-Valores!$C$66</f>
        <v>-452.9084725000001</v>
      </c>
      <c r="AR18" s="73">
        <f>AI18*-Valores!$C$67</f>
        <v>-4076.1762525000004</v>
      </c>
      <c r="AS18" s="73">
        <f>AI18*-Valores!$C$68</f>
        <v>-2445.7057515</v>
      </c>
      <c r="AT18" s="73">
        <f>AI18*-Valores!$C$69</f>
        <v>-271.7450835</v>
      </c>
      <c r="AU18" s="77">
        <f t="shared" si="4"/>
        <v>76653.55949000003</v>
      </c>
      <c r="AV18" s="77">
        <f t="shared" si="5"/>
        <v>78012.28490750001</v>
      </c>
      <c r="AW18" s="73">
        <f>AI18*Valores!$C$71</f>
        <v>14493.071120000002</v>
      </c>
      <c r="AX18" s="73">
        <f>AI18*Valores!$C$72</f>
        <v>4076.1762525000004</v>
      </c>
      <c r="AY18" s="73">
        <f>AI18*Valores!$C$73</f>
        <v>905.8169450000001</v>
      </c>
      <c r="AZ18" s="73">
        <f>AI18*Valores!$C$75</f>
        <v>3170.359307500001</v>
      </c>
      <c r="BA18" s="73">
        <f>AI18*Valores!$C$76</f>
        <v>543.490167</v>
      </c>
      <c r="BB18" s="73">
        <f t="shared" si="9"/>
        <v>4891.411503000001</v>
      </c>
      <c r="BC18" s="47"/>
      <c r="BD18" s="47">
        <v>45</v>
      </c>
      <c r="BE18" s="24" t="s">
        <v>8</v>
      </c>
    </row>
    <row r="19" spans="1:57" s="24" customFormat="1" ht="11.25" customHeight="1">
      <c r="A19" s="47">
        <v>18</v>
      </c>
      <c r="B19" s="47"/>
      <c r="C19" s="24" t="s">
        <v>180</v>
      </c>
      <c r="E19" s="24">
        <f t="shared" si="0"/>
        <v>20</v>
      </c>
      <c r="F19" s="67" t="s">
        <v>181</v>
      </c>
      <c r="G19" s="68">
        <v>100</v>
      </c>
      <c r="H19" s="69">
        <f>INT((G19*Valores!$C$2*100)+0.5)/100</f>
        <v>764.91</v>
      </c>
      <c r="I19" s="70">
        <v>3727</v>
      </c>
      <c r="J19" s="71">
        <f>INT((I19*Valores!$C$2*100)+0.5)/100</f>
        <v>28508.2</v>
      </c>
      <c r="K19" s="72">
        <v>219</v>
      </c>
      <c r="L19" s="71">
        <f>INT((K19*Valores!$C$2*100)+0.5)/100</f>
        <v>1675.15</v>
      </c>
      <c r="M19" s="68">
        <v>0</v>
      </c>
      <c r="N19" s="71">
        <f>INT((M19*Valores!$C$2*100)+0.5)/100</f>
        <v>0</v>
      </c>
      <c r="O19" s="71">
        <f t="shared" si="1"/>
        <v>4960.4745</v>
      </c>
      <c r="P19" s="71">
        <f t="shared" si="2"/>
        <v>0</v>
      </c>
      <c r="Q19" s="73">
        <f>Valores!$C$16</f>
        <v>4949.59</v>
      </c>
      <c r="R19" s="73">
        <f>Valores!$D$4</f>
        <v>3421.44</v>
      </c>
      <c r="S19" s="71">
        <v>0</v>
      </c>
      <c r="T19" s="74">
        <f>Valores!$C$43</f>
        <v>2121.57</v>
      </c>
      <c r="U19" s="71">
        <v>0</v>
      </c>
      <c r="V19" s="71">
        <f t="shared" si="3"/>
        <v>0</v>
      </c>
      <c r="W19" s="73">
        <f t="shared" si="10"/>
        <v>30948.260000000002</v>
      </c>
      <c r="X19" s="73">
        <f t="shared" si="11"/>
        <v>12379.3</v>
      </c>
      <c r="Y19" s="75">
        <v>0</v>
      </c>
      <c r="Z19" s="71">
        <f>Y19*Valores!$C$2</f>
        <v>0</v>
      </c>
      <c r="AA19" s="71">
        <v>0</v>
      </c>
      <c r="AB19" s="76">
        <f>Valores!$C$29</f>
        <v>184.78</v>
      </c>
      <c r="AC19" s="71">
        <f t="shared" si="6"/>
        <v>0</v>
      </c>
      <c r="AD19" s="71">
        <f>Valores!$C$30</f>
        <v>184.78</v>
      </c>
      <c r="AE19" s="75">
        <v>0</v>
      </c>
      <c r="AF19" s="71">
        <f>INT(((AE19*Valores!$C$2)*100)+0.5)/100</f>
        <v>0</v>
      </c>
      <c r="AG19" s="71">
        <f>Valores!$C$58</f>
        <v>375.86</v>
      </c>
      <c r="AH19" s="71">
        <f>Valores!$C$60</f>
        <v>107.38</v>
      </c>
      <c r="AI19" s="77">
        <f t="shared" si="7"/>
        <v>90581.69450000001</v>
      </c>
      <c r="AJ19" s="73">
        <f>Valores!$C$35</f>
        <v>876.57</v>
      </c>
      <c r="AK19" s="74">
        <f>Valores!$C$9</f>
        <v>0</v>
      </c>
      <c r="AL19" s="74">
        <f>Valores!$C$81</f>
        <v>1500</v>
      </c>
      <c r="AM19" s="74">
        <v>1400</v>
      </c>
      <c r="AN19" s="76">
        <f>Valores!$C$50</f>
        <v>314.98</v>
      </c>
      <c r="AO19" s="78">
        <f t="shared" si="8"/>
        <v>2376.57</v>
      </c>
      <c r="AP19" s="79">
        <f>AI19*-Valores!$C$65</f>
        <v>-11775.620285000003</v>
      </c>
      <c r="AQ19" s="79">
        <f>AI19*-Valores!$C$66</f>
        <v>-452.9084725000001</v>
      </c>
      <c r="AR19" s="73">
        <f>AI19*-Valores!$C$67</f>
        <v>-4076.1762525000004</v>
      </c>
      <c r="AS19" s="73">
        <f>AI19*-Valores!$C$68</f>
        <v>-2445.7057515</v>
      </c>
      <c r="AT19" s="73">
        <f>AI19*-Valores!$C$69</f>
        <v>-271.7450835</v>
      </c>
      <c r="AU19" s="77">
        <f t="shared" si="4"/>
        <v>76653.55949000003</v>
      </c>
      <c r="AV19" s="77">
        <f t="shared" si="5"/>
        <v>78012.28490750001</v>
      </c>
      <c r="AW19" s="73">
        <f>AI19*Valores!$C$71</f>
        <v>14493.071120000002</v>
      </c>
      <c r="AX19" s="73">
        <f>AI19*Valores!$C$72</f>
        <v>4076.1762525000004</v>
      </c>
      <c r="AY19" s="73">
        <f>AI19*Valores!$C$73</f>
        <v>905.8169450000001</v>
      </c>
      <c r="AZ19" s="73">
        <f>AI19*Valores!$C$75</f>
        <v>3170.359307500001</v>
      </c>
      <c r="BA19" s="73">
        <f>AI19*Valores!$C$76</f>
        <v>543.490167</v>
      </c>
      <c r="BB19" s="73">
        <f t="shared" si="9"/>
        <v>4891.411503000001</v>
      </c>
      <c r="BC19" s="47"/>
      <c r="BD19" s="47">
        <v>45</v>
      </c>
      <c r="BE19" s="24" t="s">
        <v>8</v>
      </c>
    </row>
    <row r="20" spans="1:57" s="24" customFormat="1" ht="11.25" customHeight="1">
      <c r="A20" s="47">
        <v>19</v>
      </c>
      <c r="B20" s="47"/>
      <c r="C20" s="24" t="s">
        <v>182</v>
      </c>
      <c r="E20" s="24">
        <f t="shared" si="0"/>
        <v>29</v>
      </c>
      <c r="F20" s="67" t="s">
        <v>183</v>
      </c>
      <c r="G20" s="68">
        <v>107</v>
      </c>
      <c r="H20" s="69">
        <f>INT((G20*Valores!$C$2*100)+0.5)/100</f>
        <v>818.45</v>
      </c>
      <c r="I20" s="70">
        <v>3720</v>
      </c>
      <c r="J20" s="71">
        <f>INT((I20*Valores!$C$2*100)+0.5)/100</f>
        <v>28454.65</v>
      </c>
      <c r="K20" s="72">
        <v>1226</v>
      </c>
      <c r="L20" s="71">
        <f>INT((K20*Valores!$C$2*100)+0.5)/100</f>
        <v>9377.8</v>
      </c>
      <c r="M20" s="68">
        <v>0</v>
      </c>
      <c r="N20" s="71">
        <f>INT((M20*Valores!$C$2*100)+0.5)/100</f>
        <v>0</v>
      </c>
      <c r="O20" s="71">
        <f t="shared" si="1"/>
        <v>6589.7535</v>
      </c>
      <c r="P20" s="71">
        <f t="shared" si="2"/>
        <v>0</v>
      </c>
      <c r="Q20" s="73">
        <f>Valores!$C$19</f>
        <v>5164.37</v>
      </c>
      <c r="R20" s="73">
        <f>Valores!$D$4</f>
        <v>3421.44</v>
      </c>
      <c r="S20" s="71">
        <v>0</v>
      </c>
      <c r="T20" s="74">
        <f>Valores!$C$43</f>
        <v>2121.57</v>
      </c>
      <c r="U20" s="71">
        <f>Valores!$C$23</f>
        <v>3159.22</v>
      </c>
      <c r="V20" s="71">
        <f t="shared" si="3"/>
        <v>3159.22</v>
      </c>
      <c r="W20" s="71">
        <v>0</v>
      </c>
      <c r="X20" s="71">
        <v>0</v>
      </c>
      <c r="Y20" s="75">
        <v>0</v>
      </c>
      <c r="Z20" s="71">
        <f>Y20*Valores!$C$2</f>
        <v>0</v>
      </c>
      <c r="AA20" s="71">
        <v>0</v>
      </c>
      <c r="AB20" s="76">
        <f>Valores!$C$29</f>
        <v>184.78</v>
      </c>
      <c r="AC20" s="71">
        <f t="shared" si="6"/>
        <v>0</v>
      </c>
      <c r="AD20" s="71">
        <f>Valores!$C$30</f>
        <v>184.78</v>
      </c>
      <c r="AE20" s="75">
        <v>0</v>
      </c>
      <c r="AF20" s="71">
        <f>INT(((AE20*Valores!$C$2)*100)+0.5)/100</f>
        <v>0</v>
      </c>
      <c r="AG20" s="71">
        <f>Valores!$C$58</f>
        <v>375.86</v>
      </c>
      <c r="AH20" s="71">
        <f>Valores!$C$60</f>
        <v>107.38</v>
      </c>
      <c r="AI20" s="77">
        <f t="shared" si="7"/>
        <v>59960.0535</v>
      </c>
      <c r="AJ20" s="73">
        <f>Valores!$C$35</f>
        <v>876.57</v>
      </c>
      <c r="AK20" s="74">
        <f>Valores!$C$9</f>
        <v>0</v>
      </c>
      <c r="AL20" s="74">
        <f>Valores!$C$81</f>
        <v>1500</v>
      </c>
      <c r="AM20" s="74">
        <v>1400</v>
      </c>
      <c r="AN20" s="76">
        <f>Valores!$C$50</f>
        <v>314.98</v>
      </c>
      <c r="AO20" s="78">
        <f t="shared" si="8"/>
        <v>2376.57</v>
      </c>
      <c r="AP20" s="79">
        <f>AI20*-Valores!$C$65</f>
        <v>-7794.806955000001</v>
      </c>
      <c r="AQ20" s="79">
        <f>AI20*-Valores!$C$66</f>
        <v>-299.8002675</v>
      </c>
      <c r="AR20" s="73">
        <f>AI20*-Valores!$C$67</f>
        <v>-2698.2024075</v>
      </c>
      <c r="AS20" s="73">
        <f>AI20*-Valores!$C$68</f>
        <v>-1618.9214445</v>
      </c>
      <c r="AT20" s="73">
        <f>AI20*-Valores!$C$69</f>
        <v>-179.88016050000002</v>
      </c>
      <c r="AU20" s="77">
        <f t="shared" si="4"/>
        <v>51543.81387</v>
      </c>
      <c r="AV20" s="77">
        <f t="shared" si="5"/>
        <v>52443.2146725</v>
      </c>
      <c r="AW20" s="73">
        <f>AI20*Valores!$C$71</f>
        <v>9593.60856</v>
      </c>
      <c r="AX20" s="73">
        <f>AI20*Valores!$C$72</f>
        <v>2698.2024075</v>
      </c>
      <c r="AY20" s="73">
        <f>AI20*Valores!$C$73</f>
        <v>599.600535</v>
      </c>
      <c r="AZ20" s="73">
        <f>AI20*Valores!$C$75</f>
        <v>2098.6018725000004</v>
      </c>
      <c r="BA20" s="73">
        <f>AI20*Valores!$C$76</f>
        <v>359.76032100000003</v>
      </c>
      <c r="BB20" s="73">
        <f t="shared" si="9"/>
        <v>3237.8428890000005</v>
      </c>
      <c r="BC20" s="47"/>
      <c r="BD20" s="47">
        <v>45</v>
      </c>
      <c r="BE20" s="24" t="s">
        <v>4</v>
      </c>
    </row>
    <row r="21" spans="1:57" s="24" customFormat="1" ht="11.25" customHeight="1">
      <c r="A21" s="81">
        <v>20</v>
      </c>
      <c r="B21" s="81" t="s">
        <v>163</v>
      </c>
      <c r="C21" s="82" t="s">
        <v>184</v>
      </c>
      <c r="D21" s="82"/>
      <c r="E21" s="82">
        <f t="shared" si="0"/>
        <v>20</v>
      </c>
      <c r="F21" s="83" t="s">
        <v>185</v>
      </c>
      <c r="G21" s="84">
        <v>100</v>
      </c>
      <c r="H21" s="85">
        <f>INT((G21*Valores!$C$2*100)+0.5)/100</f>
        <v>764.91</v>
      </c>
      <c r="I21" s="86">
        <v>3727</v>
      </c>
      <c r="J21" s="87">
        <f>INT((I21*Valores!$C$2*100)+0.5)/100</f>
        <v>28508.2</v>
      </c>
      <c r="K21" s="88">
        <v>219</v>
      </c>
      <c r="L21" s="87">
        <f>INT((K21*Valores!$C$2*100)+0.5)/100</f>
        <v>1675.15</v>
      </c>
      <c r="M21" s="84">
        <v>0</v>
      </c>
      <c r="N21" s="87">
        <f>INT((M21*Valores!$C$2*100)+0.5)/100</f>
        <v>0</v>
      </c>
      <c r="O21" s="87">
        <f t="shared" si="1"/>
        <v>4960.4745</v>
      </c>
      <c r="P21" s="87">
        <f t="shared" si="2"/>
        <v>0</v>
      </c>
      <c r="Q21" s="89">
        <f>Valores!$C$16</f>
        <v>4949.59</v>
      </c>
      <c r="R21" s="89">
        <f>Valores!$D$4</f>
        <v>3421.44</v>
      </c>
      <c r="S21" s="87">
        <v>0</v>
      </c>
      <c r="T21" s="90">
        <f>Valores!$C$43</f>
        <v>2121.57</v>
      </c>
      <c r="U21" s="87">
        <v>0</v>
      </c>
      <c r="V21" s="87">
        <f t="shared" si="3"/>
        <v>0</v>
      </c>
      <c r="W21" s="89">
        <f>SUM(H21,J21,L21)</f>
        <v>30948.260000000002</v>
      </c>
      <c r="X21" s="89">
        <f>INT((SUM(H21,J21,L21)*0.4*100)+0.49)/100</f>
        <v>12379.3</v>
      </c>
      <c r="Y21" s="91">
        <v>0</v>
      </c>
      <c r="Z21" s="87">
        <f>Y21*Valores!$C$2</f>
        <v>0</v>
      </c>
      <c r="AA21" s="87">
        <v>0</v>
      </c>
      <c r="AB21" s="92">
        <f>Valores!$C$29</f>
        <v>184.78</v>
      </c>
      <c r="AC21" s="87">
        <f t="shared" si="6"/>
        <v>0</v>
      </c>
      <c r="AD21" s="87">
        <f>Valores!$C$30</f>
        <v>184.78</v>
      </c>
      <c r="AE21" s="91">
        <v>0</v>
      </c>
      <c r="AF21" s="87">
        <f>INT(((AE21*Valores!$C$2)*100)+0.5)/100</f>
        <v>0</v>
      </c>
      <c r="AG21" s="87">
        <f>Valores!$C$58</f>
        <v>375.86</v>
      </c>
      <c r="AH21" s="87">
        <f>Valores!$C$60</f>
        <v>107.38</v>
      </c>
      <c r="AI21" s="93">
        <f t="shared" si="7"/>
        <v>90581.69450000001</v>
      </c>
      <c r="AJ21" s="89">
        <f>Valores!$C$35</f>
        <v>876.57</v>
      </c>
      <c r="AK21" s="90">
        <f>Valores!$C$9</f>
        <v>0</v>
      </c>
      <c r="AL21" s="90">
        <f>Valores!$C$81</f>
        <v>1500</v>
      </c>
      <c r="AM21" s="74">
        <v>1400</v>
      </c>
      <c r="AN21" s="92">
        <f>Valores!$C$50</f>
        <v>314.98</v>
      </c>
      <c r="AO21" s="94">
        <f t="shared" si="8"/>
        <v>2376.57</v>
      </c>
      <c r="AP21" s="95">
        <f>AI21*-Valores!$C$65</f>
        <v>-11775.620285000003</v>
      </c>
      <c r="AQ21" s="95">
        <f>AI21*-Valores!$C$66</f>
        <v>-452.9084725000001</v>
      </c>
      <c r="AR21" s="89">
        <f>AI21*-Valores!$C$67</f>
        <v>-4076.1762525000004</v>
      </c>
      <c r="AS21" s="89">
        <f>AI21*-Valores!$C$68</f>
        <v>-2445.7057515</v>
      </c>
      <c r="AT21" s="89">
        <f>AI21*-Valores!$C$69</f>
        <v>-271.7450835</v>
      </c>
      <c r="AU21" s="93">
        <f t="shared" si="4"/>
        <v>76653.55949000003</v>
      </c>
      <c r="AV21" s="93">
        <f t="shared" si="5"/>
        <v>78012.28490750001</v>
      </c>
      <c r="AW21" s="89">
        <f>AI21*Valores!$C$71</f>
        <v>14493.071120000002</v>
      </c>
      <c r="AX21" s="89">
        <f>AI21*Valores!$C$72</f>
        <v>4076.1762525000004</v>
      </c>
      <c r="AY21" s="89">
        <f>AI21*Valores!$C$73</f>
        <v>905.8169450000001</v>
      </c>
      <c r="AZ21" s="89">
        <f>AI21*Valores!$C$75</f>
        <v>3170.359307500001</v>
      </c>
      <c r="BA21" s="89">
        <f>AI21*Valores!$C$76</f>
        <v>543.490167</v>
      </c>
      <c r="BB21" s="89">
        <f t="shared" si="9"/>
        <v>4891.411503000001</v>
      </c>
      <c r="BC21" s="81"/>
      <c r="BD21" s="81">
        <v>45</v>
      </c>
      <c r="BE21" s="82" t="s">
        <v>8</v>
      </c>
    </row>
    <row r="22" spans="1:57" s="24" customFormat="1" ht="11.25" customHeight="1">
      <c r="A22" s="47">
        <v>21</v>
      </c>
      <c r="B22" s="47"/>
      <c r="C22" s="24" t="s">
        <v>186</v>
      </c>
      <c r="E22" s="24">
        <f t="shared" si="0"/>
        <v>18</v>
      </c>
      <c r="F22" s="67" t="s">
        <v>187</v>
      </c>
      <c r="G22" s="68">
        <v>100</v>
      </c>
      <c r="H22" s="69">
        <f>INT((G22*Valores!$C$2*100)+0.5)/100</f>
        <v>764.91</v>
      </c>
      <c r="I22" s="70">
        <v>3727</v>
      </c>
      <c r="J22" s="71">
        <f>INT((I22*Valores!$C$2*100)+0.5)/100</f>
        <v>28508.2</v>
      </c>
      <c r="K22" s="72">
        <v>219</v>
      </c>
      <c r="L22" s="71">
        <f>INT((K22*Valores!$C$2*100)+0.5)/100</f>
        <v>1675.15</v>
      </c>
      <c r="M22" s="68">
        <v>0</v>
      </c>
      <c r="N22" s="71">
        <f>INT((M22*Valores!$C$2*100)+0.5)/100</f>
        <v>0</v>
      </c>
      <c r="O22" s="71">
        <f t="shared" si="1"/>
        <v>4960.4745</v>
      </c>
      <c r="P22" s="71">
        <f t="shared" si="2"/>
        <v>0</v>
      </c>
      <c r="Q22" s="73">
        <f>Valores!$C$16</f>
        <v>4949.59</v>
      </c>
      <c r="R22" s="73">
        <f>Valores!$D$4</f>
        <v>3421.44</v>
      </c>
      <c r="S22" s="71">
        <v>0</v>
      </c>
      <c r="T22" s="74">
        <f>Valores!$C$43</f>
        <v>2121.57</v>
      </c>
      <c r="U22" s="71">
        <v>0</v>
      </c>
      <c r="V22" s="71">
        <f t="shared" si="3"/>
        <v>0</v>
      </c>
      <c r="W22" s="73">
        <f>SUM(H22,J22,L22)</f>
        <v>30948.260000000002</v>
      </c>
      <c r="X22" s="73">
        <f>INT((SUM(H22,J22,L22)*0.4*100)+0.49)/100</f>
        <v>12379.3</v>
      </c>
      <c r="Y22" s="75">
        <v>0</v>
      </c>
      <c r="Z22" s="71">
        <f>Y22*Valores!$C$2</f>
        <v>0</v>
      </c>
      <c r="AA22" s="71">
        <v>0</v>
      </c>
      <c r="AB22" s="76">
        <f>Valores!$C$29</f>
        <v>184.78</v>
      </c>
      <c r="AC22" s="71">
        <f t="shared" si="6"/>
        <v>0</v>
      </c>
      <c r="AD22" s="71">
        <f>Valores!$C$30</f>
        <v>184.78</v>
      </c>
      <c r="AE22" s="75">
        <v>0</v>
      </c>
      <c r="AF22" s="71">
        <f>INT(((AE22*Valores!$C$2)*100)+0.5)/100</f>
        <v>0</v>
      </c>
      <c r="AG22" s="71">
        <f>Valores!$C$58</f>
        <v>375.86</v>
      </c>
      <c r="AH22" s="71">
        <f>Valores!$C$60</f>
        <v>107.38</v>
      </c>
      <c r="AI22" s="77">
        <f t="shared" si="7"/>
        <v>90581.69450000001</v>
      </c>
      <c r="AJ22" s="73">
        <f>Valores!$C$35</f>
        <v>876.57</v>
      </c>
      <c r="AK22" s="74">
        <f>Valores!$C$9</f>
        <v>0</v>
      </c>
      <c r="AL22" s="74">
        <f>Valores!$C$81</f>
        <v>1500</v>
      </c>
      <c r="AM22" s="74">
        <v>1400</v>
      </c>
      <c r="AN22" s="76">
        <f>Valores!$C$50</f>
        <v>314.98</v>
      </c>
      <c r="AO22" s="78">
        <f t="shared" si="8"/>
        <v>2376.57</v>
      </c>
      <c r="AP22" s="79">
        <f>AI22*-Valores!$C$65</f>
        <v>-11775.620285000003</v>
      </c>
      <c r="AQ22" s="79">
        <f>AI22*-Valores!$C$66</f>
        <v>-452.9084725000001</v>
      </c>
      <c r="AR22" s="73">
        <f>AI22*-Valores!$C$67</f>
        <v>-4076.1762525000004</v>
      </c>
      <c r="AS22" s="73">
        <f>AI22*-Valores!$C$68</f>
        <v>-2445.7057515</v>
      </c>
      <c r="AT22" s="73">
        <f>AI22*-Valores!$C$69</f>
        <v>-271.7450835</v>
      </c>
      <c r="AU22" s="77">
        <f t="shared" si="4"/>
        <v>76653.55949000003</v>
      </c>
      <c r="AV22" s="77">
        <f t="shared" si="5"/>
        <v>78012.28490750001</v>
      </c>
      <c r="AW22" s="73">
        <f>AI22*Valores!$C$71</f>
        <v>14493.071120000002</v>
      </c>
      <c r="AX22" s="73">
        <f>AI22*Valores!$C$72</f>
        <v>4076.1762525000004</v>
      </c>
      <c r="AY22" s="73">
        <f>AI22*Valores!$C$73</f>
        <v>905.8169450000001</v>
      </c>
      <c r="AZ22" s="73">
        <f>AI22*Valores!$C$75</f>
        <v>3170.359307500001</v>
      </c>
      <c r="BA22" s="73">
        <f>AI22*Valores!$C$76</f>
        <v>543.490167</v>
      </c>
      <c r="BB22" s="73">
        <f t="shared" si="9"/>
        <v>4891.411503000001</v>
      </c>
      <c r="BC22" s="47"/>
      <c r="BD22" s="47">
        <v>45</v>
      </c>
      <c r="BE22" s="24" t="s">
        <v>8</v>
      </c>
    </row>
    <row r="23" spans="1:57" s="24" customFormat="1" ht="11.25" customHeight="1">
      <c r="A23" s="47">
        <v>22</v>
      </c>
      <c r="B23" s="47"/>
      <c r="C23" s="24" t="s">
        <v>188</v>
      </c>
      <c r="E23" s="24">
        <f t="shared" si="0"/>
        <v>18</v>
      </c>
      <c r="F23" s="67" t="s">
        <v>189</v>
      </c>
      <c r="G23" s="68">
        <v>100</v>
      </c>
      <c r="H23" s="69">
        <f>INT((G23*Valores!$C$2*100)+0.5)/100</f>
        <v>764.91</v>
      </c>
      <c r="I23" s="70">
        <v>3727</v>
      </c>
      <c r="J23" s="71">
        <f>INT((I23*Valores!$C$2*100)+0.5)/100</f>
        <v>28508.2</v>
      </c>
      <c r="K23" s="72">
        <v>219</v>
      </c>
      <c r="L23" s="71">
        <f>INT((K23*Valores!$C$2*100)+0.5)/100</f>
        <v>1675.15</v>
      </c>
      <c r="M23" s="68">
        <v>0</v>
      </c>
      <c r="N23" s="71">
        <f>INT((M23*Valores!$C$2*100)+0.5)/100</f>
        <v>0</v>
      </c>
      <c r="O23" s="71">
        <f t="shared" si="1"/>
        <v>4960.4745</v>
      </c>
      <c r="P23" s="71">
        <f t="shared" si="2"/>
        <v>0</v>
      </c>
      <c r="Q23" s="73">
        <f>Valores!$C$16</f>
        <v>4949.59</v>
      </c>
      <c r="R23" s="73">
        <f>Valores!$D$4</f>
        <v>3421.44</v>
      </c>
      <c r="S23" s="71">
        <v>0</v>
      </c>
      <c r="T23" s="74">
        <f>Valores!$C$43</f>
        <v>2121.57</v>
      </c>
      <c r="U23" s="71">
        <v>0</v>
      </c>
      <c r="V23" s="71">
        <f t="shared" si="3"/>
        <v>0</v>
      </c>
      <c r="W23" s="73">
        <f>SUM(H23,J23,L23)</f>
        <v>30948.260000000002</v>
      </c>
      <c r="X23" s="73">
        <f>INT((SUM(H23,J23,L23)*0.4*100)+0.49)/100</f>
        <v>12379.3</v>
      </c>
      <c r="Y23" s="75">
        <v>0</v>
      </c>
      <c r="Z23" s="71">
        <f>Y23*Valores!$C$2</f>
        <v>0</v>
      </c>
      <c r="AA23" s="71">
        <v>0</v>
      </c>
      <c r="AB23" s="76">
        <f>Valores!$C$29</f>
        <v>184.78</v>
      </c>
      <c r="AC23" s="71">
        <f t="shared" si="6"/>
        <v>0</v>
      </c>
      <c r="AD23" s="71">
        <f>Valores!$C$30</f>
        <v>184.78</v>
      </c>
      <c r="AE23" s="75">
        <v>0</v>
      </c>
      <c r="AF23" s="71">
        <f>INT(((AE23*Valores!$C$2)*100)+0.5)/100</f>
        <v>0</v>
      </c>
      <c r="AG23" s="71">
        <f>Valores!$C$58</f>
        <v>375.86</v>
      </c>
      <c r="AH23" s="71">
        <f>Valores!$C$60</f>
        <v>107.38</v>
      </c>
      <c r="AI23" s="77">
        <f t="shared" si="7"/>
        <v>90581.69450000001</v>
      </c>
      <c r="AJ23" s="73">
        <f>Valores!$C$35</f>
        <v>876.57</v>
      </c>
      <c r="AK23" s="74">
        <f>Valores!$C$9</f>
        <v>0</v>
      </c>
      <c r="AL23" s="74">
        <f>Valores!$C$81</f>
        <v>1500</v>
      </c>
      <c r="AM23" s="74">
        <v>1400</v>
      </c>
      <c r="AN23" s="76">
        <f>Valores!$C$50</f>
        <v>314.98</v>
      </c>
      <c r="AO23" s="78">
        <f t="shared" si="8"/>
        <v>2376.57</v>
      </c>
      <c r="AP23" s="79">
        <f>AI23*-Valores!$C$65</f>
        <v>-11775.620285000003</v>
      </c>
      <c r="AQ23" s="79">
        <f>AI23*-Valores!$C$66</f>
        <v>-452.9084725000001</v>
      </c>
      <c r="AR23" s="73">
        <f>AI23*-Valores!$C$67</f>
        <v>-4076.1762525000004</v>
      </c>
      <c r="AS23" s="73">
        <f>AI23*-Valores!$C$68</f>
        <v>-2445.7057515</v>
      </c>
      <c r="AT23" s="73">
        <f>AI23*-Valores!$C$69</f>
        <v>-271.7450835</v>
      </c>
      <c r="AU23" s="77">
        <f t="shared" si="4"/>
        <v>76653.55949000003</v>
      </c>
      <c r="AV23" s="77">
        <f t="shared" si="5"/>
        <v>78012.28490750001</v>
      </c>
      <c r="AW23" s="73">
        <f>AI23*Valores!$C$71</f>
        <v>14493.071120000002</v>
      </c>
      <c r="AX23" s="73">
        <f>AI23*Valores!$C$72</f>
        <v>4076.1762525000004</v>
      </c>
      <c r="AY23" s="73">
        <f>AI23*Valores!$C$73</f>
        <v>905.8169450000001</v>
      </c>
      <c r="AZ23" s="73">
        <f>AI23*Valores!$C$75</f>
        <v>3170.359307500001</v>
      </c>
      <c r="BA23" s="73">
        <f>AI23*Valores!$C$76</f>
        <v>543.490167</v>
      </c>
      <c r="BB23" s="73">
        <f t="shared" si="9"/>
        <v>4891.411503000001</v>
      </c>
      <c r="BC23" s="47"/>
      <c r="BD23" s="47">
        <v>45</v>
      </c>
      <c r="BE23" s="24" t="s">
        <v>8</v>
      </c>
    </row>
    <row r="24" spans="1:57" s="24" customFormat="1" ht="11.25" customHeight="1">
      <c r="A24" s="47">
        <v>23</v>
      </c>
      <c r="B24" s="47"/>
      <c r="C24" s="24" t="s">
        <v>190</v>
      </c>
      <c r="E24" s="24">
        <f t="shared" si="0"/>
        <v>25</v>
      </c>
      <c r="F24" s="67" t="s">
        <v>191</v>
      </c>
      <c r="G24" s="68">
        <v>96</v>
      </c>
      <c r="H24" s="69">
        <f>INT((G24*Valores!$C$2*100)+0.5)/100</f>
        <v>734.31</v>
      </c>
      <c r="I24" s="70">
        <v>3737</v>
      </c>
      <c r="J24" s="71">
        <f>INT((I24*Valores!$C$2*100)+0.5)/100</f>
        <v>28584.69</v>
      </c>
      <c r="K24" s="72">
        <v>1220</v>
      </c>
      <c r="L24" s="71">
        <f>INT((K24*Valores!$C$2*100)+0.5)/100</f>
        <v>9331.9</v>
      </c>
      <c r="M24" s="68">
        <v>0</v>
      </c>
      <c r="N24" s="71">
        <f>INT((M24*Valores!$C$2*100)+0.5)/100</f>
        <v>0</v>
      </c>
      <c r="O24" s="71">
        <f t="shared" si="1"/>
        <v>6589.7535</v>
      </c>
      <c r="P24" s="71">
        <f t="shared" si="2"/>
        <v>0</v>
      </c>
      <c r="Q24" s="73">
        <f>Valores!$C$19</f>
        <v>5164.37</v>
      </c>
      <c r="R24" s="73">
        <f>Valores!$D$4</f>
        <v>3421.44</v>
      </c>
      <c r="S24" s="71">
        <v>0</v>
      </c>
      <c r="T24" s="74">
        <f>Valores!$C$43</f>
        <v>2121.57</v>
      </c>
      <c r="U24" s="71">
        <f>Valores!$C$23</f>
        <v>3159.22</v>
      </c>
      <c r="V24" s="71">
        <f t="shared" si="3"/>
        <v>3159.22</v>
      </c>
      <c r="W24" s="71">
        <v>0</v>
      </c>
      <c r="X24" s="71">
        <v>0</v>
      </c>
      <c r="Y24" s="75">
        <v>0</v>
      </c>
      <c r="Z24" s="71">
        <f>Y24*Valores!$C$2</f>
        <v>0</v>
      </c>
      <c r="AA24" s="71">
        <v>0</v>
      </c>
      <c r="AB24" s="76">
        <f>Valores!$C$29</f>
        <v>184.78</v>
      </c>
      <c r="AC24" s="71">
        <f t="shared" si="6"/>
        <v>0</v>
      </c>
      <c r="AD24" s="71">
        <f>Valores!$C$30</f>
        <v>184.78</v>
      </c>
      <c r="AE24" s="75">
        <v>0</v>
      </c>
      <c r="AF24" s="71">
        <f>INT(((AE24*Valores!$C$2)*100)+0.5)/100</f>
        <v>0</v>
      </c>
      <c r="AG24" s="71">
        <f>Valores!$C$58</f>
        <v>375.86</v>
      </c>
      <c r="AH24" s="71">
        <f>Valores!$C$60</f>
        <v>107.38</v>
      </c>
      <c r="AI24" s="77">
        <f t="shared" si="7"/>
        <v>59960.0535</v>
      </c>
      <c r="AJ24" s="73">
        <f>Valores!$C$35</f>
        <v>876.57</v>
      </c>
      <c r="AK24" s="74">
        <f>Valores!$C$9</f>
        <v>0</v>
      </c>
      <c r="AL24" s="74">
        <f>Valores!$C$81</f>
        <v>1500</v>
      </c>
      <c r="AM24" s="74">
        <v>1400</v>
      </c>
      <c r="AN24" s="76">
        <f>Valores!$C$50</f>
        <v>314.98</v>
      </c>
      <c r="AO24" s="78">
        <f t="shared" si="8"/>
        <v>2376.57</v>
      </c>
      <c r="AP24" s="79">
        <f>AI24*-Valores!$C$65</f>
        <v>-7794.806955000001</v>
      </c>
      <c r="AQ24" s="79">
        <f>AI24*-Valores!$C$66</f>
        <v>-299.8002675</v>
      </c>
      <c r="AR24" s="73">
        <f>AI24*-Valores!$C$67</f>
        <v>-2698.2024075</v>
      </c>
      <c r="AS24" s="73">
        <f>AI24*-Valores!$C$68</f>
        <v>-1618.9214445</v>
      </c>
      <c r="AT24" s="73">
        <f>AI24*-Valores!$C$69</f>
        <v>-179.88016050000002</v>
      </c>
      <c r="AU24" s="77">
        <f t="shared" si="4"/>
        <v>51543.81387</v>
      </c>
      <c r="AV24" s="77">
        <f t="shared" si="5"/>
        <v>52443.2146725</v>
      </c>
      <c r="AW24" s="73">
        <f>AI24*Valores!$C$71</f>
        <v>9593.60856</v>
      </c>
      <c r="AX24" s="73">
        <f>AI24*Valores!$C$72</f>
        <v>2698.2024075</v>
      </c>
      <c r="AY24" s="73">
        <f>AI24*Valores!$C$73</f>
        <v>599.600535</v>
      </c>
      <c r="AZ24" s="73">
        <f>AI24*Valores!$C$75</f>
        <v>2098.6018725000004</v>
      </c>
      <c r="BA24" s="73">
        <f>AI24*Valores!$C$76</f>
        <v>359.76032100000003</v>
      </c>
      <c r="BB24" s="73">
        <f t="shared" si="9"/>
        <v>3237.8428890000005</v>
      </c>
      <c r="BC24" s="47"/>
      <c r="BD24" s="47">
        <v>45</v>
      </c>
      <c r="BE24" s="24" t="s">
        <v>4</v>
      </c>
    </row>
    <row r="25" spans="1:57" s="24" customFormat="1" ht="11.25" customHeight="1">
      <c r="A25" s="47">
        <v>24</v>
      </c>
      <c r="B25" s="47"/>
      <c r="C25" s="24" t="s">
        <v>192</v>
      </c>
      <c r="E25" s="24">
        <f t="shared" si="0"/>
        <v>27</v>
      </c>
      <c r="F25" s="67" t="s">
        <v>193</v>
      </c>
      <c r="G25" s="68">
        <v>96</v>
      </c>
      <c r="H25" s="69">
        <f>INT((G25*Valores!$C$2*100)+0.5)/100</f>
        <v>734.31</v>
      </c>
      <c r="I25" s="70">
        <v>3737</v>
      </c>
      <c r="J25" s="71">
        <f>INT((I25*Valores!$C$2*100)+0.5)/100</f>
        <v>28584.69</v>
      </c>
      <c r="K25" s="72">
        <v>1220</v>
      </c>
      <c r="L25" s="71">
        <f>INT((K25*Valores!$C$2*100)+0.5)/100</f>
        <v>9331.9</v>
      </c>
      <c r="M25" s="68">
        <v>0</v>
      </c>
      <c r="N25" s="71">
        <f>INT((M25*Valores!$C$2*100)+0.5)/100</f>
        <v>0</v>
      </c>
      <c r="O25" s="71">
        <f t="shared" si="1"/>
        <v>6589.7535</v>
      </c>
      <c r="P25" s="71">
        <f t="shared" si="2"/>
        <v>0</v>
      </c>
      <c r="Q25" s="73">
        <f>Valores!$C$19</f>
        <v>5164.37</v>
      </c>
      <c r="R25" s="73">
        <f>Valores!$D$4</f>
        <v>3421.44</v>
      </c>
      <c r="S25" s="71">
        <v>0</v>
      </c>
      <c r="T25" s="74">
        <f>Valores!$C$43</f>
        <v>2121.57</v>
      </c>
      <c r="U25" s="71">
        <f>Valores!$C$23</f>
        <v>3159.22</v>
      </c>
      <c r="V25" s="71">
        <f t="shared" si="3"/>
        <v>3159.22</v>
      </c>
      <c r="W25" s="71">
        <v>0</v>
      </c>
      <c r="X25" s="71">
        <v>0</v>
      </c>
      <c r="Y25" s="75">
        <v>0</v>
      </c>
      <c r="Z25" s="71">
        <f>Y25*Valores!$C$2</f>
        <v>0</v>
      </c>
      <c r="AA25" s="71">
        <v>0</v>
      </c>
      <c r="AB25" s="76">
        <f>Valores!$C$29</f>
        <v>184.78</v>
      </c>
      <c r="AC25" s="71">
        <f t="shared" si="6"/>
        <v>0</v>
      </c>
      <c r="AD25" s="71">
        <f>Valores!$C$30</f>
        <v>184.78</v>
      </c>
      <c r="AE25" s="75">
        <v>0</v>
      </c>
      <c r="AF25" s="71">
        <f>INT(((AE25*Valores!$C$2)*100)+0.5)/100</f>
        <v>0</v>
      </c>
      <c r="AG25" s="71">
        <f>Valores!$C$58</f>
        <v>375.86</v>
      </c>
      <c r="AH25" s="71">
        <f>Valores!$C$60</f>
        <v>107.38</v>
      </c>
      <c r="AI25" s="77">
        <f t="shared" si="7"/>
        <v>59960.0535</v>
      </c>
      <c r="AJ25" s="73">
        <f>Valores!$C$35</f>
        <v>876.57</v>
      </c>
      <c r="AK25" s="74">
        <f>Valores!$C$9</f>
        <v>0</v>
      </c>
      <c r="AL25" s="74">
        <f>Valores!$C$81</f>
        <v>1500</v>
      </c>
      <c r="AM25" s="74">
        <v>1400</v>
      </c>
      <c r="AN25" s="76">
        <f>Valores!$C$50</f>
        <v>314.98</v>
      </c>
      <c r="AO25" s="78">
        <f t="shared" si="8"/>
        <v>2376.57</v>
      </c>
      <c r="AP25" s="79">
        <f>AI25*-Valores!$C$65</f>
        <v>-7794.806955000001</v>
      </c>
      <c r="AQ25" s="79">
        <f>AI25*-Valores!$C$66</f>
        <v>-299.8002675</v>
      </c>
      <c r="AR25" s="73">
        <f>AI25*-Valores!$C$67</f>
        <v>-2698.2024075</v>
      </c>
      <c r="AS25" s="73">
        <f>AI25*-Valores!$C$68</f>
        <v>-1618.9214445</v>
      </c>
      <c r="AT25" s="73">
        <f>AI25*-Valores!$C$69</f>
        <v>-179.88016050000002</v>
      </c>
      <c r="AU25" s="77">
        <f t="shared" si="4"/>
        <v>51543.81387</v>
      </c>
      <c r="AV25" s="77">
        <f t="shared" si="5"/>
        <v>52443.2146725</v>
      </c>
      <c r="AW25" s="73">
        <f>AI25*Valores!$C$71</f>
        <v>9593.60856</v>
      </c>
      <c r="AX25" s="73">
        <f>AI25*Valores!$C$72</f>
        <v>2698.2024075</v>
      </c>
      <c r="AY25" s="73">
        <f>AI25*Valores!$C$73</f>
        <v>599.600535</v>
      </c>
      <c r="AZ25" s="73">
        <f>AI25*Valores!$C$75</f>
        <v>2098.6018725000004</v>
      </c>
      <c r="BA25" s="73">
        <f>AI25*Valores!$C$76</f>
        <v>359.76032100000003</v>
      </c>
      <c r="BB25" s="73">
        <f t="shared" si="9"/>
        <v>3237.8428890000005</v>
      </c>
      <c r="BC25" s="47"/>
      <c r="BD25" s="47">
        <v>45</v>
      </c>
      <c r="BE25" s="24" t="s">
        <v>4</v>
      </c>
    </row>
    <row r="26" spans="1:57" s="24" customFormat="1" ht="11.25" customHeight="1">
      <c r="A26" s="81">
        <v>25</v>
      </c>
      <c r="B26" s="81" t="s">
        <v>163</v>
      </c>
      <c r="C26" s="82" t="s">
        <v>194</v>
      </c>
      <c r="D26" s="82"/>
      <c r="E26" s="82">
        <f t="shared" si="0"/>
        <v>24</v>
      </c>
      <c r="F26" s="83" t="s">
        <v>195</v>
      </c>
      <c r="G26" s="84">
        <v>96</v>
      </c>
      <c r="H26" s="85">
        <f>INT((G26*Valores!$C$2*100)+0.5)/100</f>
        <v>734.31</v>
      </c>
      <c r="I26" s="86">
        <v>3737</v>
      </c>
      <c r="J26" s="87">
        <f>INT((I26*Valores!$C$2*100)+0.5)/100</f>
        <v>28584.69</v>
      </c>
      <c r="K26" s="88">
        <v>1220</v>
      </c>
      <c r="L26" s="87">
        <f>INT((K26*Valores!$C$2*100)+0.5)/100</f>
        <v>9331.9</v>
      </c>
      <c r="M26" s="84">
        <v>0</v>
      </c>
      <c r="N26" s="87">
        <f>INT((M26*Valores!$C$2*100)+0.5)/100</f>
        <v>0</v>
      </c>
      <c r="O26" s="87">
        <f t="shared" si="1"/>
        <v>6589.7535</v>
      </c>
      <c r="P26" s="87">
        <f t="shared" si="2"/>
        <v>0</v>
      </c>
      <c r="Q26" s="89">
        <f>Valores!$C$19</f>
        <v>5164.37</v>
      </c>
      <c r="R26" s="89">
        <f>Valores!$D$4</f>
        <v>3421.44</v>
      </c>
      <c r="S26" s="87">
        <v>0</v>
      </c>
      <c r="T26" s="90">
        <f>Valores!$C$43</f>
        <v>2121.57</v>
      </c>
      <c r="U26" s="87">
        <f>Valores!$C$23</f>
        <v>3159.22</v>
      </c>
      <c r="V26" s="87">
        <f t="shared" si="3"/>
        <v>3159.22</v>
      </c>
      <c r="W26" s="87">
        <v>0</v>
      </c>
      <c r="X26" s="87">
        <v>0</v>
      </c>
      <c r="Y26" s="91">
        <v>0</v>
      </c>
      <c r="Z26" s="87">
        <f>Y26*Valores!$C$2</f>
        <v>0</v>
      </c>
      <c r="AA26" s="87">
        <v>0</v>
      </c>
      <c r="AB26" s="92">
        <f>Valores!$C$29</f>
        <v>184.78</v>
      </c>
      <c r="AC26" s="87">
        <f t="shared" si="6"/>
        <v>0</v>
      </c>
      <c r="AD26" s="87">
        <f>Valores!$C$30</f>
        <v>184.78</v>
      </c>
      <c r="AE26" s="91">
        <v>0</v>
      </c>
      <c r="AF26" s="87">
        <f>INT(((AE26*Valores!$C$2)*100)+0.5)/100</f>
        <v>0</v>
      </c>
      <c r="AG26" s="87">
        <f>Valores!$C$58</f>
        <v>375.86</v>
      </c>
      <c r="AH26" s="87">
        <f>Valores!$C$60</f>
        <v>107.38</v>
      </c>
      <c r="AI26" s="93">
        <f t="shared" si="7"/>
        <v>59960.0535</v>
      </c>
      <c r="AJ26" s="89">
        <f>Valores!$C$35</f>
        <v>876.57</v>
      </c>
      <c r="AK26" s="90">
        <f>Valores!$C$9</f>
        <v>0</v>
      </c>
      <c r="AL26" s="90">
        <f>Valores!$C$81</f>
        <v>1500</v>
      </c>
      <c r="AM26" s="74">
        <v>1400</v>
      </c>
      <c r="AN26" s="92">
        <f>Valores!$C$50</f>
        <v>314.98</v>
      </c>
      <c r="AO26" s="94">
        <f t="shared" si="8"/>
        <v>2376.57</v>
      </c>
      <c r="AP26" s="95">
        <f>AI26*-Valores!$C$65</f>
        <v>-7794.806955000001</v>
      </c>
      <c r="AQ26" s="95">
        <f>AI26*-Valores!$C$66</f>
        <v>-299.8002675</v>
      </c>
      <c r="AR26" s="89">
        <f>AI26*-Valores!$C$67</f>
        <v>-2698.2024075</v>
      </c>
      <c r="AS26" s="89">
        <f>AI26*-Valores!$C$68</f>
        <v>-1618.9214445</v>
      </c>
      <c r="AT26" s="89">
        <f>AI26*-Valores!$C$69</f>
        <v>-179.88016050000002</v>
      </c>
      <c r="AU26" s="93">
        <f t="shared" si="4"/>
        <v>51543.81387</v>
      </c>
      <c r="AV26" s="93">
        <f t="shared" si="5"/>
        <v>52443.2146725</v>
      </c>
      <c r="AW26" s="89">
        <f>AI26*Valores!$C$71</f>
        <v>9593.60856</v>
      </c>
      <c r="AX26" s="89">
        <f>AI26*Valores!$C$72</f>
        <v>2698.2024075</v>
      </c>
      <c r="AY26" s="89">
        <f>AI26*Valores!$C$73</f>
        <v>599.600535</v>
      </c>
      <c r="AZ26" s="89">
        <f>AI26*Valores!$C$75</f>
        <v>2098.6018725000004</v>
      </c>
      <c r="BA26" s="89">
        <f>AI26*Valores!$C$76</f>
        <v>359.76032100000003</v>
      </c>
      <c r="BB26" s="89">
        <f t="shared" si="9"/>
        <v>3237.8428890000005</v>
      </c>
      <c r="BC26" s="81"/>
      <c r="BD26" s="81">
        <v>45</v>
      </c>
      <c r="BE26" s="82" t="s">
        <v>4</v>
      </c>
    </row>
    <row r="27" spans="1:57" s="24" customFormat="1" ht="11.25" customHeight="1">
      <c r="A27" s="47">
        <v>26</v>
      </c>
      <c r="B27" s="47"/>
      <c r="C27" s="24" t="s">
        <v>196</v>
      </c>
      <c r="E27" s="24">
        <f t="shared" si="0"/>
        <v>22</v>
      </c>
      <c r="F27" s="67" t="s">
        <v>197</v>
      </c>
      <c r="G27" s="68">
        <v>107</v>
      </c>
      <c r="H27" s="69">
        <f>INT((G27*Valores!$C$2*100)+0.5)/100</f>
        <v>818.45</v>
      </c>
      <c r="I27" s="70">
        <v>3728</v>
      </c>
      <c r="J27" s="71">
        <f>INT((I27*Valores!$C$2*100)+0.5)/100</f>
        <v>28515.84</v>
      </c>
      <c r="K27" s="72">
        <v>1218</v>
      </c>
      <c r="L27" s="71">
        <f>INT((K27*Valores!$C$2*100)+0.5)/100</f>
        <v>9316.6</v>
      </c>
      <c r="M27" s="68">
        <v>0</v>
      </c>
      <c r="N27" s="71">
        <f>INT((M27*Valores!$C$2*100)+0.5)/100</f>
        <v>0</v>
      </c>
      <c r="O27" s="71">
        <f t="shared" si="1"/>
        <v>6589.7519999999995</v>
      </c>
      <c r="P27" s="71">
        <f t="shared" si="2"/>
        <v>0</v>
      </c>
      <c r="Q27" s="73">
        <f>Valores!$C$19</f>
        <v>5164.37</v>
      </c>
      <c r="R27" s="73">
        <f>Valores!$D$4</f>
        <v>3421.44</v>
      </c>
      <c r="S27" s="71">
        <v>0</v>
      </c>
      <c r="T27" s="74">
        <f>Valores!$C$43</f>
        <v>2121.57</v>
      </c>
      <c r="U27" s="71">
        <f>Valores!$C$23</f>
        <v>3159.22</v>
      </c>
      <c r="V27" s="71">
        <f t="shared" si="3"/>
        <v>3159.22</v>
      </c>
      <c r="W27" s="71">
        <v>0</v>
      </c>
      <c r="X27" s="71">
        <v>0</v>
      </c>
      <c r="Y27" s="75">
        <v>0</v>
      </c>
      <c r="Z27" s="71">
        <f>Y27*Valores!$C$2</f>
        <v>0</v>
      </c>
      <c r="AA27" s="71">
        <v>0</v>
      </c>
      <c r="AB27" s="76">
        <f>Valores!$C$29</f>
        <v>184.78</v>
      </c>
      <c r="AC27" s="71">
        <f t="shared" si="6"/>
        <v>0</v>
      </c>
      <c r="AD27" s="71">
        <f>Valores!$C$30</f>
        <v>184.78</v>
      </c>
      <c r="AE27" s="75">
        <v>0</v>
      </c>
      <c r="AF27" s="71">
        <f>INT(((AE27*Valores!$C$2)*100)+0.5)/100</f>
        <v>0</v>
      </c>
      <c r="AG27" s="71">
        <f>Valores!$C$58</f>
        <v>375.86</v>
      </c>
      <c r="AH27" s="71">
        <f>Valores!$C$60</f>
        <v>107.38</v>
      </c>
      <c r="AI27" s="77">
        <f t="shared" si="7"/>
        <v>59960.042</v>
      </c>
      <c r="AJ27" s="73">
        <f>Valores!$C$35</f>
        <v>876.57</v>
      </c>
      <c r="AK27" s="74">
        <f>Valores!$C$9</f>
        <v>0</v>
      </c>
      <c r="AL27" s="74">
        <f>Valores!$C$81</f>
        <v>1500</v>
      </c>
      <c r="AM27" s="74">
        <v>1400</v>
      </c>
      <c r="AN27" s="76">
        <f>Valores!$C$50</f>
        <v>314.98</v>
      </c>
      <c r="AO27" s="78">
        <f t="shared" si="8"/>
        <v>2376.57</v>
      </c>
      <c r="AP27" s="79">
        <f>AI27*-Valores!$C$65</f>
        <v>-7794.8054600000005</v>
      </c>
      <c r="AQ27" s="79">
        <f>AI27*-Valores!$C$66</f>
        <v>-299.80021</v>
      </c>
      <c r="AR27" s="73">
        <f>AI27*-Valores!$C$67</f>
        <v>-2698.20189</v>
      </c>
      <c r="AS27" s="73">
        <f>AI27*-Valores!$C$68</f>
        <v>-1618.921134</v>
      </c>
      <c r="AT27" s="73">
        <f>AI27*-Valores!$C$69</f>
        <v>-179.88012600000002</v>
      </c>
      <c r="AU27" s="77">
        <f t="shared" si="4"/>
        <v>51543.80444</v>
      </c>
      <c r="AV27" s="77">
        <f t="shared" si="5"/>
        <v>52443.205069999996</v>
      </c>
      <c r="AW27" s="73">
        <f>AI27*Valores!$C$71</f>
        <v>9593.60672</v>
      </c>
      <c r="AX27" s="73">
        <f>AI27*Valores!$C$72</f>
        <v>2698.20189</v>
      </c>
      <c r="AY27" s="73">
        <f>AI27*Valores!$C$73</f>
        <v>599.60042</v>
      </c>
      <c r="AZ27" s="73">
        <f>AI27*Valores!$C$75</f>
        <v>2098.60147</v>
      </c>
      <c r="BA27" s="73">
        <f>AI27*Valores!$C$76</f>
        <v>359.76025200000004</v>
      </c>
      <c r="BB27" s="73">
        <f t="shared" si="9"/>
        <v>3237.842268</v>
      </c>
      <c r="BC27" s="47"/>
      <c r="BD27" s="47">
        <v>45</v>
      </c>
      <c r="BE27" s="24" t="s">
        <v>8</v>
      </c>
    </row>
    <row r="28" spans="1:57" s="24" customFormat="1" ht="11.25" customHeight="1">
      <c r="A28" s="47">
        <v>27</v>
      </c>
      <c r="B28" s="47"/>
      <c r="C28" s="24" t="s">
        <v>198</v>
      </c>
      <c r="E28" s="24">
        <f t="shared" si="0"/>
        <v>29</v>
      </c>
      <c r="F28" s="67" t="s">
        <v>199</v>
      </c>
      <c r="G28" s="68">
        <v>94</v>
      </c>
      <c r="H28" s="69">
        <f>INT((G28*Valores!$C$2*100)+0.5)/100</f>
        <v>719.02</v>
      </c>
      <c r="I28" s="70">
        <v>3624</v>
      </c>
      <c r="J28" s="71">
        <f>INT((I28*Valores!$C$2*100)+0.5)/100</f>
        <v>27720.34</v>
      </c>
      <c r="K28" s="72">
        <v>1219</v>
      </c>
      <c r="L28" s="71">
        <f>INT((K28*Valores!$C$2*100)+0.5)/100</f>
        <v>9324.25</v>
      </c>
      <c r="M28" s="68">
        <v>0</v>
      </c>
      <c r="N28" s="71">
        <f>INT((M28*Valores!$C$2*100)+0.5)/100</f>
        <v>0</v>
      </c>
      <c r="O28" s="71">
        <f t="shared" si="1"/>
        <v>6456.66</v>
      </c>
      <c r="P28" s="71">
        <f t="shared" si="2"/>
        <v>0</v>
      </c>
      <c r="Q28" s="73">
        <f>Valores!$C$17</f>
        <v>5092.76</v>
      </c>
      <c r="R28" s="73">
        <f>Valores!$D$4</f>
        <v>3421.44</v>
      </c>
      <c r="S28" s="71">
        <v>0</v>
      </c>
      <c r="T28" s="74">
        <f>Valores!$C$43</f>
        <v>2121.57</v>
      </c>
      <c r="U28" s="71">
        <f>Valores!$C$23</f>
        <v>3159.22</v>
      </c>
      <c r="V28" s="71">
        <f t="shared" si="3"/>
        <v>3159.22</v>
      </c>
      <c r="W28" s="71">
        <v>0</v>
      </c>
      <c r="X28" s="71">
        <v>0</v>
      </c>
      <c r="Y28" s="75">
        <v>0</v>
      </c>
      <c r="Z28" s="71">
        <f>Y28*Valores!$C$2</f>
        <v>0</v>
      </c>
      <c r="AA28" s="71">
        <v>0</v>
      </c>
      <c r="AB28" s="76">
        <f>Valores!$C$29</f>
        <v>184.78</v>
      </c>
      <c r="AC28" s="71">
        <f t="shared" si="6"/>
        <v>0</v>
      </c>
      <c r="AD28" s="71">
        <f>Valores!$C$30</f>
        <v>184.78</v>
      </c>
      <c r="AE28" s="75">
        <v>0</v>
      </c>
      <c r="AF28" s="71">
        <f>INT(((AE28*Valores!$C$2)*100)+0.5)/100</f>
        <v>0</v>
      </c>
      <c r="AG28" s="71">
        <f>Valores!$C$58</f>
        <v>375.86</v>
      </c>
      <c r="AH28" s="71">
        <f>Valores!$C$60</f>
        <v>107.38</v>
      </c>
      <c r="AI28" s="77">
        <f t="shared" si="7"/>
        <v>58868.060000000005</v>
      </c>
      <c r="AJ28" s="73">
        <f>Valores!$C$35</f>
        <v>876.57</v>
      </c>
      <c r="AK28" s="74">
        <f>Valores!$C$9</f>
        <v>0</v>
      </c>
      <c r="AL28" s="74">
        <f>Valores!$C$81</f>
        <v>1500</v>
      </c>
      <c r="AM28" s="74">
        <v>1400</v>
      </c>
      <c r="AN28" s="76">
        <f>Valores!$C$50</f>
        <v>314.98</v>
      </c>
      <c r="AO28" s="78">
        <f t="shared" si="8"/>
        <v>2376.57</v>
      </c>
      <c r="AP28" s="79">
        <f>AI28*-Valores!$C$65</f>
        <v>-7652.8478000000005</v>
      </c>
      <c r="AQ28" s="79">
        <f>AI28*-Valores!$C$66</f>
        <v>-294.3403</v>
      </c>
      <c r="AR28" s="73">
        <f>AI28*-Valores!$C$67</f>
        <v>-2649.0627</v>
      </c>
      <c r="AS28" s="73">
        <f>AI28*-Valores!$C$68</f>
        <v>-1589.4376200000002</v>
      </c>
      <c r="AT28" s="73">
        <f>AI28*-Valores!$C$69</f>
        <v>-176.60418</v>
      </c>
      <c r="AU28" s="77">
        <f t="shared" si="4"/>
        <v>50648.379199999996</v>
      </c>
      <c r="AV28" s="77">
        <f t="shared" si="5"/>
        <v>51531.4001</v>
      </c>
      <c r="AW28" s="73">
        <f>AI28*Valores!$C$71</f>
        <v>9418.8896</v>
      </c>
      <c r="AX28" s="73">
        <f>AI28*Valores!$C$72</f>
        <v>2649.0627</v>
      </c>
      <c r="AY28" s="73">
        <f>AI28*Valores!$C$73</f>
        <v>588.6806</v>
      </c>
      <c r="AZ28" s="73">
        <f>AI28*Valores!$C$75</f>
        <v>2060.3821000000003</v>
      </c>
      <c r="BA28" s="73">
        <f>AI28*Valores!$C$76</f>
        <v>353.20836</v>
      </c>
      <c r="BB28" s="73">
        <f t="shared" si="9"/>
        <v>3178.8752400000003</v>
      </c>
      <c r="BC28" s="47"/>
      <c r="BD28" s="47">
        <v>45</v>
      </c>
      <c r="BE28" s="24" t="s">
        <v>4</v>
      </c>
    </row>
    <row r="29" spans="1:57" s="24" customFormat="1" ht="11.25" customHeight="1">
      <c r="A29" s="47">
        <v>28</v>
      </c>
      <c r="B29" s="47"/>
      <c r="C29" s="24" t="s">
        <v>200</v>
      </c>
      <c r="E29" s="24">
        <f t="shared" si="0"/>
        <v>25</v>
      </c>
      <c r="F29" s="67" t="s">
        <v>201</v>
      </c>
      <c r="G29" s="68">
        <v>93</v>
      </c>
      <c r="H29" s="69">
        <f>INT((G29*Valores!$C$2*100)+0.5)/100</f>
        <v>711.37</v>
      </c>
      <c r="I29" s="70">
        <v>3627</v>
      </c>
      <c r="J29" s="71">
        <f>INT((I29*Valores!$C$2*100)+0.5)/100</f>
        <v>27743.29</v>
      </c>
      <c r="K29" s="72">
        <v>210</v>
      </c>
      <c r="L29" s="71">
        <f>INT((K29*Valores!$C$2*100)+0.5)/100</f>
        <v>1606.31</v>
      </c>
      <c r="M29" s="68">
        <v>0</v>
      </c>
      <c r="N29" s="71">
        <f>INT((M29*Valores!$C$2*100)+0.5)/100</f>
        <v>0</v>
      </c>
      <c r="O29" s="71">
        <f t="shared" si="1"/>
        <v>5301.264</v>
      </c>
      <c r="P29" s="71">
        <f t="shared" si="2"/>
        <v>0</v>
      </c>
      <c r="Q29" s="73">
        <f>Valores!$C$17</f>
        <v>5092.76</v>
      </c>
      <c r="R29" s="73">
        <f>Valores!$D$4</f>
        <v>3421.44</v>
      </c>
      <c r="S29" s="71">
        <v>0</v>
      </c>
      <c r="T29" s="74">
        <f>Valores!$C$43</f>
        <v>2121.57</v>
      </c>
      <c r="U29" s="71">
        <f>Valores!$C$23</f>
        <v>3159.22</v>
      </c>
      <c r="V29" s="71">
        <f t="shared" si="3"/>
        <v>3159.22</v>
      </c>
      <c r="W29" s="71">
        <v>0</v>
      </c>
      <c r="X29" s="71">
        <v>0</v>
      </c>
      <c r="Y29" s="75">
        <v>0</v>
      </c>
      <c r="Z29" s="71">
        <f>Y29*Valores!$C$2</f>
        <v>0</v>
      </c>
      <c r="AA29" s="71">
        <v>0</v>
      </c>
      <c r="AB29" s="76">
        <f>Valores!$C$29</f>
        <v>184.78</v>
      </c>
      <c r="AC29" s="71">
        <f t="shared" si="6"/>
        <v>0</v>
      </c>
      <c r="AD29" s="71">
        <f>Valores!$C$30</f>
        <v>184.78</v>
      </c>
      <c r="AE29" s="75">
        <v>0</v>
      </c>
      <c r="AF29" s="71">
        <f>INT(((AE29*Valores!$C$2)*100)+0.5)/100</f>
        <v>0</v>
      </c>
      <c r="AG29" s="71">
        <f>Valores!$C$58</f>
        <v>375.86</v>
      </c>
      <c r="AH29" s="71">
        <f>Valores!$C$60</f>
        <v>107.38</v>
      </c>
      <c r="AI29" s="77">
        <f t="shared" si="7"/>
        <v>50010.024000000005</v>
      </c>
      <c r="AJ29" s="73">
        <f>Valores!$C$35</f>
        <v>876.57</v>
      </c>
      <c r="AK29" s="74">
        <f>Valores!$C$9</f>
        <v>0</v>
      </c>
      <c r="AL29" s="74">
        <f>Valores!$C$81</f>
        <v>1500</v>
      </c>
      <c r="AM29" s="74">
        <v>1400</v>
      </c>
      <c r="AN29" s="76">
        <f>Valores!$C$50</f>
        <v>314.98</v>
      </c>
      <c r="AO29" s="78">
        <f t="shared" si="8"/>
        <v>2376.57</v>
      </c>
      <c r="AP29" s="79">
        <f>AI29*-Valores!$C$65</f>
        <v>-6501.3031200000005</v>
      </c>
      <c r="AQ29" s="79">
        <f>AI29*-Valores!$C$66</f>
        <v>-250.05012000000002</v>
      </c>
      <c r="AR29" s="73">
        <f>AI29*-Valores!$C$67</f>
        <v>-2250.4510800000003</v>
      </c>
      <c r="AS29" s="73">
        <f>AI29*-Valores!$C$68</f>
        <v>-1350.2706480000002</v>
      </c>
      <c r="AT29" s="73">
        <f>AI29*-Valores!$C$69</f>
        <v>-150.03007200000002</v>
      </c>
      <c r="AU29" s="77">
        <f t="shared" si="4"/>
        <v>43384.78968</v>
      </c>
      <c r="AV29" s="77">
        <f t="shared" si="5"/>
        <v>44134.94004000001</v>
      </c>
      <c r="AW29" s="73">
        <f>AI29*Valores!$C$71</f>
        <v>8001.603840000001</v>
      </c>
      <c r="AX29" s="73">
        <f>AI29*Valores!$C$72</f>
        <v>2250.4510800000003</v>
      </c>
      <c r="AY29" s="73">
        <f>AI29*Valores!$C$73</f>
        <v>500.10024000000004</v>
      </c>
      <c r="AZ29" s="73">
        <f>AI29*Valores!$C$75</f>
        <v>1750.3508400000003</v>
      </c>
      <c r="BA29" s="73">
        <f>AI29*Valores!$C$76</f>
        <v>300.06014400000004</v>
      </c>
      <c r="BB29" s="73">
        <f t="shared" si="9"/>
        <v>2700.5412960000003</v>
      </c>
      <c r="BC29" s="47"/>
      <c r="BD29" s="47">
        <v>45</v>
      </c>
      <c r="BE29" s="24" t="s">
        <v>8</v>
      </c>
    </row>
    <row r="30" spans="1:57" s="24" customFormat="1" ht="11.25" customHeight="1">
      <c r="A30" s="47">
        <v>29</v>
      </c>
      <c r="B30" s="47"/>
      <c r="C30" s="24" t="s">
        <v>202</v>
      </c>
      <c r="E30" s="24">
        <f t="shared" si="0"/>
        <v>32</v>
      </c>
      <c r="F30" s="67" t="s">
        <v>203</v>
      </c>
      <c r="G30" s="68">
        <v>93</v>
      </c>
      <c r="H30" s="69">
        <f>INT((G30*Valores!$C$2*100)+0.5)/100</f>
        <v>711.37</v>
      </c>
      <c r="I30" s="70">
        <v>3630</v>
      </c>
      <c r="J30" s="71">
        <f>INT((I30*Valores!$C$2*100)+0.5)/100</f>
        <v>27766.23</v>
      </c>
      <c r="K30" s="72">
        <v>1214</v>
      </c>
      <c r="L30" s="71">
        <f>INT((K30*Valores!$C$2*100)+0.5)/100</f>
        <v>9286.01</v>
      </c>
      <c r="M30" s="68">
        <v>0</v>
      </c>
      <c r="N30" s="71">
        <f>INT((M30*Valores!$C$2*100)+0.5)/100</f>
        <v>0</v>
      </c>
      <c r="O30" s="71">
        <f t="shared" si="1"/>
        <v>6456.66</v>
      </c>
      <c r="P30" s="71">
        <f t="shared" si="2"/>
        <v>0</v>
      </c>
      <c r="Q30" s="73">
        <f>Valores!$C$17</f>
        <v>5092.76</v>
      </c>
      <c r="R30" s="73">
        <f>Valores!$D$4</f>
        <v>3421.44</v>
      </c>
      <c r="S30" s="71">
        <v>0</v>
      </c>
      <c r="T30" s="74">
        <f>Valores!$C$43</f>
        <v>2121.57</v>
      </c>
      <c r="U30" s="71">
        <f>Valores!$C$23</f>
        <v>3159.22</v>
      </c>
      <c r="V30" s="71">
        <f t="shared" si="3"/>
        <v>3159.22</v>
      </c>
      <c r="W30" s="71">
        <v>0</v>
      </c>
      <c r="X30" s="71">
        <v>0</v>
      </c>
      <c r="Y30" s="75">
        <v>0</v>
      </c>
      <c r="Z30" s="71">
        <f>Y30*Valores!$C$2</f>
        <v>0</v>
      </c>
      <c r="AA30" s="71">
        <v>0</v>
      </c>
      <c r="AB30" s="76">
        <f>Valores!$C$29</f>
        <v>184.78</v>
      </c>
      <c r="AC30" s="71">
        <f t="shared" si="6"/>
        <v>0</v>
      </c>
      <c r="AD30" s="71">
        <f>Valores!$C$30</f>
        <v>184.78</v>
      </c>
      <c r="AE30" s="75">
        <v>0</v>
      </c>
      <c r="AF30" s="71">
        <f>INT(((AE30*Valores!$C$2)*100)+0.5)/100</f>
        <v>0</v>
      </c>
      <c r="AG30" s="71">
        <f>Valores!$C$58</f>
        <v>375.86</v>
      </c>
      <c r="AH30" s="71">
        <f>Valores!$C$60</f>
        <v>107.38</v>
      </c>
      <c r="AI30" s="77">
        <f t="shared" si="7"/>
        <v>58868.060000000005</v>
      </c>
      <c r="AJ30" s="73">
        <f>Valores!$C$35</f>
        <v>876.57</v>
      </c>
      <c r="AK30" s="74">
        <f>Valores!$C$9</f>
        <v>0</v>
      </c>
      <c r="AL30" s="74">
        <f>Valores!$C$81</f>
        <v>1500</v>
      </c>
      <c r="AM30" s="74">
        <v>1400</v>
      </c>
      <c r="AN30" s="76">
        <f>Valores!$C$50</f>
        <v>314.98</v>
      </c>
      <c r="AO30" s="78">
        <f t="shared" si="8"/>
        <v>2376.57</v>
      </c>
      <c r="AP30" s="79">
        <f>AI30*-Valores!$C$65</f>
        <v>-7652.8478000000005</v>
      </c>
      <c r="AQ30" s="79">
        <f>AI30*-Valores!$C$66</f>
        <v>-294.3403</v>
      </c>
      <c r="AR30" s="73">
        <f>AI30*-Valores!$C$67</f>
        <v>-2649.0627</v>
      </c>
      <c r="AS30" s="73">
        <f>AI30*-Valores!$C$68</f>
        <v>-1589.4376200000002</v>
      </c>
      <c r="AT30" s="73">
        <f>AI30*-Valores!$C$69</f>
        <v>-176.60418</v>
      </c>
      <c r="AU30" s="77">
        <f t="shared" si="4"/>
        <v>50648.379199999996</v>
      </c>
      <c r="AV30" s="77">
        <f t="shared" si="5"/>
        <v>51531.4001</v>
      </c>
      <c r="AW30" s="73">
        <f>AI30*Valores!$C$71</f>
        <v>9418.8896</v>
      </c>
      <c r="AX30" s="73">
        <f>AI30*Valores!$C$72</f>
        <v>2649.0627</v>
      </c>
      <c r="AY30" s="73">
        <f>AI30*Valores!$C$73</f>
        <v>588.6806</v>
      </c>
      <c r="AZ30" s="73">
        <f>AI30*Valores!$C$75</f>
        <v>2060.3821000000003</v>
      </c>
      <c r="BA30" s="73">
        <f>AI30*Valores!$C$76</f>
        <v>353.20836</v>
      </c>
      <c r="BB30" s="73">
        <f t="shared" si="9"/>
        <v>3178.8752400000003</v>
      </c>
      <c r="BC30" s="47"/>
      <c r="BD30" s="47">
        <v>45</v>
      </c>
      <c r="BE30" s="24" t="s">
        <v>4</v>
      </c>
    </row>
    <row r="31" spans="1:57" s="24" customFormat="1" ht="11.25" customHeight="1">
      <c r="A31" s="81">
        <v>30</v>
      </c>
      <c r="B31" s="81" t="s">
        <v>163</v>
      </c>
      <c r="C31" s="82" t="s">
        <v>204</v>
      </c>
      <c r="D31" s="82"/>
      <c r="E31" s="82">
        <f t="shared" si="0"/>
        <v>35</v>
      </c>
      <c r="F31" s="83" t="s">
        <v>205</v>
      </c>
      <c r="G31" s="84">
        <v>96</v>
      </c>
      <c r="H31" s="85">
        <f>INT((G31*Valores!$C$2*100)+0.5)/100</f>
        <v>734.31</v>
      </c>
      <c r="I31" s="86">
        <v>3737</v>
      </c>
      <c r="J31" s="87">
        <f>INT((I31*Valores!$C$2*100)+0.5)/100</f>
        <v>28584.69</v>
      </c>
      <c r="K31" s="88">
        <v>1220</v>
      </c>
      <c r="L31" s="87">
        <f>INT((K31*Valores!$C$2*100)+0.5)/100</f>
        <v>9331.9</v>
      </c>
      <c r="M31" s="84">
        <v>0</v>
      </c>
      <c r="N31" s="87">
        <f>INT((M31*Valores!$C$2*100)+0.5)/100</f>
        <v>0</v>
      </c>
      <c r="O31" s="87">
        <f t="shared" si="1"/>
        <v>6589.7535</v>
      </c>
      <c r="P31" s="87">
        <f t="shared" si="2"/>
        <v>0</v>
      </c>
      <c r="Q31" s="89">
        <f>Valores!$C$19</f>
        <v>5164.37</v>
      </c>
      <c r="R31" s="89">
        <f>Valores!$D$4</f>
        <v>3421.44</v>
      </c>
      <c r="S31" s="87">
        <v>0</v>
      </c>
      <c r="T31" s="90">
        <f>Valores!$C$43</f>
        <v>2121.57</v>
      </c>
      <c r="U31" s="87">
        <f>Valores!$C$23</f>
        <v>3159.22</v>
      </c>
      <c r="V31" s="87">
        <f t="shared" si="3"/>
        <v>3159.22</v>
      </c>
      <c r="W31" s="87">
        <v>0</v>
      </c>
      <c r="X31" s="87">
        <v>0</v>
      </c>
      <c r="Y31" s="91">
        <v>0</v>
      </c>
      <c r="Z31" s="87">
        <f>Y31*Valores!$C$2</f>
        <v>0</v>
      </c>
      <c r="AA31" s="87">
        <f>SUM(L31,J31,H31,T31)*Valores!$C$3</f>
        <v>6115.870499999999</v>
      </c>
      <c r="AB31" s="92">
        <f>Valores!$C$29</f>
        <v>184.78</v>
      </c>
      <c r="AC31" s="87">
        <f t="shared" si="6"/>
        <v>0</v>
      </c>
      <c r="AD31" s="87">
        <f>Valores!$C$30</f>
        <v>184.78</v>
      </c>
      <c r="AE31" s="91">
        <v>0</v>
      </c>
      <c r="AF31" s="87">
        <f>INT(((AE31*Valores!$C$2)*100)+0.5)/100</f>
        <v>0</v>
      </c>
      <c r="AG31" s="87">
        <f>Valores!$C$58</f>
        <v>375.86</v>
      </c>
      <c r="AH31" s="87">
        <f>Valores!$C$60</f>
        <v>107.38</v>
      </c>
      <c r="AI31" s="93">
        <f t="shared" si="7"/>
        <v>66075.92400000001</v>
      </c>
      <c r="AJ31" s="89">
        <f>Valores!$C$35</f>
        <v>876.57</v>
      </c>
      <c r="AK31" s="90">
        <f>Valores!$C$9</f>
        <v>0</v>
      </c>
      <c r="AL31" s="90">
        <f>Valores!$C$81</f>
        <v>1500</v>
      </c>
      <c r="AM31" s="74">
        <v>1400</v>
      </c>
      <c r="AN31" s="92">
        <f>Valores!$C$50</f>
        <v>314.98</v>
      </c>
      <c r="AO31" s="94">
        <f t="shared" si="8"/>
        <v>2376.57</v>
      </c>
      <c r="AP31" s="95">
        <f>AI31*-Valores!$C$65</f>
        <v>-8589.870120000001</v>
      </c>
      <c r="AQ31" s="95">
        <f>AI31*-Valores!$C$66</f>
        <v>-330.3796200000001</v>
      </c>
      <c r="AR31" s="89">
        <f>AI31*-Valores!$C$67</f>
        <v>-2973.4165800000005</v>
      </c>
      <c r="AS31" s="89">
        <f>AI31*-Valores!$C$68</f>
        <v>-1784.0499480000003</v>
      </c>
      <c r="AT31" s="89">
        <f>AI31*-Valores!$C$69</f>
        <v>-198.22777200000004</v>
      </c>
      <c r="AU31" s="93">
        <f t="shared" si="4"/>
        <v>56558.82768000002</v>
      </c>
      <c r="AV31" s="93">
        <f t="shared" si="5"/>
        <v>57549.966540000016</v>
      </c>
      <c r="AW31" s="89">
        <f>AI31*Valores!$C$71</f>
        <v>10572.147840000003</v>
      </c>
      <c r="AX31" s="89">
        <f>AI31*Valores!$C$72</f>
        <v>2973.4165800000005</v>
      </c>
      <c r="AY31" s="89">
        <f>AI31*Valores!$C$73</f>
        <v>660.7592400000002</v>
      </c>
      <c r="AZ31" s="89">
        <f>AI31*Valores!$C$75</f>
        <v>2312.6573400000007</v>
      </c>
      <c r="BA31" s="89">
        <f>AI31*Valores!$C$76</f>
        <v>396.4555440000001</v>
      </c>
      <c r="BB31" s="89">
        <f t="shared" si="9"/>
        <v>3568.099896000001</v>
      </c>
      <c r="BC31" s="81"/>
      <c r="BD31" s="81">
        <v>45</v>
      </c>
      <c r="BE31" s="82" t="s">
        <v>8</v>
      </c>
    </row>
    <row r="32" spans="1:57" s="24" customFormat="1" ht="11.25" customHeight="1">
      <c r="A32" s="47">
        <v>31</v>
      </c>
      <c r="B32" s="47"/>
      <c r="C32" s="24" t="s">
        <v>206</v>
      </c>
      <c r="E32" s="24">
        <f t="shared" si="0"/>
        <v>20</v>
      </c>
      <c r="F32" s="67" t="s">
        <v>207</v>
      </c>
      <c r="G32" s="68">
        <v>92</v>
      </c>
      <c r="H32" s="69">
        <f>INT((G32*Valores!$C$2*100)+0.5)/100</f>
        <v>703.72</v>
      </c>
      <c r="I32" s="70">
        <v>3483</v>
      </c>
      <c r="J32" s="71">
        <f>INT((I32*Valores!$C$2*100)+0.5)/100</f>
        <v>26641.82</v>
      </c>
      <c r="K32" s="72">
        <v>1217</v>
      </c>
      <c r="L32" s="71">
        <f>INT((K32*Valores!$C$2*100)+0.5)/100</f>
        <v>9308.95</v>
      </c>
      <c r="M32" s="68">
        <v>0</v>
      </c>
      <c r="N32" s="71">
        <f>INT((M32*Valores!$C$2*100)+0.5)/100</f>
        <v>0</v>
      </c>
      <c r="O32" s="71">
        <f t="shared" si="1"/>
        <v>6290.292</v>
      </c>
      <c r="P32" s="71">
        <f t="shared" si="2"/>
        <v>0</v>
      </c>
      <c r="Q32" s="73">
        <f>Valores!$C$18</f>
        <v>9069.69</v>
      </c>
      <c r="R32" s="73">
        <f>Valores!$D$4</f>
        <v>3421.44</v>
      </c>
      <c r="S32" s="71">
        <v>0</v>
      </c>
      <c r="T32" s="74">
        <f>Valores!$C$43</f>
        <v>2121.57</v>
      </c>
      <c r="U32" s="71">
        <f>Valores!$C$23</f>
        <v>3159.22</v>
      </c>
      <c r="V32" s="71">
        <f t="shared" si="3"/>
        <v>3159.22</v>
      </c>
      <c r="W32" s="71">
        <v>0</v>
      </c>
      <c r="X32" s="71">
        <v>0</v>
      </c>
      <c r="Y32" s="75">
        <v>0</v>
      </c>
      <c r="Z32" s="71">
        <f>Y32*Valores!$C$2</f>
        <v>0</v>
      </c>
      <c r="AA32" s="71">
        <v>0</v>
      </c>
      <c r="AB32" s="76">
        <f>Valores!$C$29</f>
        <v>184.78</v>
      </c>
      <c r="AC32" s="71">
        <f t="shared" si="6"/>
        <v>0</v>
      </c>
      <c r="AD32" s="71">
        <f>Valores!$C$30</f>
        <v>184.78</v>
      </c>
      <c r="AE32" s="75">
        <v>0</v>
      </c>
      <c r="AF32" s="71">
        <f>INT(((AE32*Valores!$C$2)*100)+0.5)/100</f>
        <v>0</v>
      </c>
      <c r="AG32" s="71">
        <f>Valores!$C$58</f>
        <v>375.86</v>
      </c>
      <c r="AH32" s="71">
        <f>Valores!$C$60</f>
        <v>107.38</v>
      </c>
      <c r="AI32" s="77">
        <f t="shared" si="7"/>
        <v>61569.50200000001</v>
      </c>
      <c r="AJ32" s="73">
        <f>Valores!$C$35</f>
        <v>876.57</v>
      </c>
      <c r="AK32" s="74">
        <f>Valores!$C$9</f>
        <v>0</v>
      </c>
      <c r="AL32" s="74">
        <f>Valores!$C$83</f>
        <v>3000</v>
      </c>
      <c r="AM32" s="74">
        <v>2800</v>
      </c>
      <c r="AN32" s="76">
        <f>Valores!$C$50</f>
        <v>314.98</v>
      </c>
      <c r="AO32" s="78">
        <f t="shared" si="8"/>
        <v>3876.57</v>
      </c>
      <c r="AP32" s="79">
        <f>AI32*-Valores!$C$65</f>
        <v>-8004.0352600000015</v>
      </c>
      <c r="AQ32" s="79">
        <f>AI32*-Valores!$C$66</f>
        <v>-307.84751000000006</v>
      </c>
      <c r="AR32" s="73">
        <f>AI32*-Valores!$C$67</f>
        <v>-2770.62759</v>
      </c>
      <c r="AS32" s="73">
        <f>AI32*-Valores!$C$68</f>
        <v>-1662.3765540000002</v>
      </c>
      <c r="AT32" s="73">
        <f>AI32*-Valores!$C$69</f>
        <v>-184.70850600000003</v>
      </c>
      <c r="AU32" s="77">
        <f t="shared" si="4"/>
        <v>54363.56164</v>
      </c>
      <c r="AV32" s="77">
        <f t="shared" si="5"/>
        <v>55287.10417</v>
      </c>
      <c r="AW32" s="73">
        <f>AI32*Valores!$C$71</f>
        <v>9851.120320000002</v>
      </c>
      <c r="AX32" s="73">
        <f>AI32*Valores!$C$72</f>
        <v>2770.62759</v>
      </c>
      <c r="AY32" s="73">
        <f>AI32*Valores!$C$73</f>
        <v>615.6950200000001</v>
      </c>
      <c r="AZ32" s="73">
        <f>AI32*Valores!$C$75</f>
        <v>2154.9325700000004</v>
      </c>
      <c r="BA32" s="73">
        <f>AI32*Valores!$C$76</f>
        <v>369.41701200000006</v>
      </c>
      <c r="BB32" s="73">
        <f t="shared" si="9"/>
        <v>3324.7531080000003</v>
      </c>
      <c r="BC32" s="47"/>
      <c r="BD32" s="47">
        <v>45</v>
      </c>
      <c r="BE32" s="24" t="s">
        <v>4</v>
      </c>
    </row>
    <row r="33" spans="1:57" s="24" customFormat="1" ht="11.25" customHeight="1">
      <c r="A33" s="47">
        <v>32</v>
      </c>
      <c r="B33" s="47"/>
      <c r="C33" s="24" t="s">
        <v>208</v>
      </c>
      <c r="E33" s="24">
        <f t="shared" si="0"/>
        <v>30</v>
      </c>
      <c r="F33" s="67" t="s">
        <v>209</v>
      </c>
      <c r="G33" s="68">
        <v>85</v>
      </c>
      <c r="H33" s="69">
        <f>INT((G33*Valores!$C$2*100)+0.5)/100</f>
        <v>650.17</v>
      </c>
      <c r="I33" s="70">
        <v>3498</v>
      </c>
      <c r="J33" s="71">
        <f>INT((I33*Valores!$C$2*100)+0.5)/100</f>
        <v>26756.55</v>
      </c>
      <c r="K33" s="72">
        <v>1209</v>
      </c>
      <c r="L33" s="71">
        <f>INT((K33*Valores!$C$2*100)+0.5)/100</f>
        <v>9247.76</v>
      </c>
      <c r="M33" s="68">
        <v>0</v>
      </c>
      <c r="N33" s="71">
        <f>INT((M33*Valores!$C$2*100)+0.5)/100</f>
        <v>0</v>
      </c>
      <c r="O33" s="71">
        <f t="shared" si="1"/>
        <v>6290.290499999999</v>
      </c>
      <c r="P33" s="71">
        <f t="shared" si="2"/>
        <v>0</v>
      </c>
      <c r="Q33" s="73">
        <f>Valores!$C$18</f>
        <v>9069.69</v>
      </c>
      <c r="R33" s="73">
        <f>Valores!$D$4</f>
        <v>3421.44</v>
      </c>
      <c r="S33" s="71">
        <v>0</v>
      </c>
      <c r="T33" s="74">
        <f>Valores!$C$43</f>
        <v>2121.57</v>
      </c>
      <c r="U33" s="71">
        <f>Valores!$C$23</f>
        <v>3159.22</v>
      </c>
      <c r="V33" s="71">
        <f t="shared" si="3"/>
        <v>3159.22</v>
      </c>
      <c r="W33" s="71">
        <v>0</v>
      </c>
      <c r="X33" s="71">
        <v>0</v>
      </c>
      <c r="Y33" s="75">
        <v>0</v>
      </c>
      <c r="Z33" s="71">
        <f>Y33*Valores!$C$2</f>
        <v>0</v>
      </c>
      <c r="AA33" s="71">
        <v>0</v>
      </c>
      <c r="AB33" s="76">
        <f>Valores!$C$29</f>
        <v>184.78</v>
      </c>
      <c r="AC33" s="71">
        <f t="shared" si="6"/>
        <v>0</v>
      </c>
      <c r="AD33" s="71">
        <f>Valores!$C$30</f>
        <v>184.78</v>
      </c>
      <c r="AE33" s="75">
        <v>0</v>
      </c>
      <c r="AF33" s="71">
        <f>INT(((AE33*Valores!$C$2)*100)+0.5)/100</f>
        <v>0</v>
      </c>
      <c r="AG33" s="71">
        <f>Valores!$C$58</f>
        <v>375.86</v>
      </c>
      <c r="AH33" s="71">
        <f>Valores!$C$60</f>
        <v>107.38</v>
      </c>
      <c r="AI33" s="77">
        <f t="shared" si="7"/>
        <v>61569.4905</v>
      </c>
      <c r="AJ33" s="73">
        <f>Valores!$C$35</f>
        <v>876.57</v>
      </c>
      <c r="AK33" s="74">
        <f>Valores!$C$9</f>
        <v>0</v>
      </c>
      <c r="AL33" s="74">
        <f>Valores!$C$83</f>
        <v>3000</v>
      </c>
      <c r="AM33" s="74">
        <v>2800</v>
      </c>
      <c r="AN33" s="76">
        <f>Valores!$C$50</f>
        <v>314.98</v>
      </c>
      <c r="AO33" s="78">
        <f t="shared" si="8"/>
        <v>3876.57</v>
      </c>
      <c r="AP33" s="79">
        <f>AI33*-Valores!$C$65</f>
        <v>-8004.033765</v>
      </c>
      <c r="AQ33" s="79">
        <f>AI33*-Valores!$C$66</f>
        <v>-307.84745250000003</v>
      </c>
      <c r="AR33" s="73">
        <f>AI33*-Valores!$C$67</f>
        <v>-2770.6270725</v>
      </c>
      <c r="AS33" s="73">
        <f>AI33*-Valores!$C$68</f>
        <v>-1662.3762434999999</v>
      </c>
      <c r="AT33" s="73">
        <f>AI33*-Valores!$C$69</f>
        <v>-184.7084715</v>
      </c>
      <c r="AU33" s="77">
        <f t="shared" si="4"/>
        <v>54363.55221</v>
      </c>
      <c r="AV33" s="77">
        <f t="shared" si="5"/>
        <v>55287.0945675</v>
      </c>
      <c r="AW33" s="73">
        <f>AI33*Valores!$C$71</f>
        <v>9851.118480000001</v>
      </c>
      <c r="AX33" s="73">
        <f>AI33*Valores!$C$72</f>
        <v>2770.6270725</v>
      </c>
      <c r="AY33" s="73">
        <f>AI33*Valores!$C$73</f>
        <v>615.6949050000001</v>
      </c>
      <c r="AZ33" s="73">
        <f>AI33*Valores!$C$75</f>
        <v>2154.9321675</v>
      </c>
      <c r="BA33" s="73">
        <f>AI33*Valores!$C$76</f>
        <v>369.416943</v>
      </c>
      <c r="BB33" s="73">
        <f t="shared" si="9"/>
        <v>3324.7524869999997</v>
      </c>
      <c r="BC33" s="47"/>
      <c r="BD33" s="47">
        <v>45</v>
      </c>
      <c r="BE33" s="24" t="s">
        <v>4</v>
      </c>
    </row>
    <row r="34" spans="1:57" s="24" customFormat="1" ht="11.25" customHeight="1">
      <c r="A34" s="47">
        <v>33</v>
      </c>
      <c r="B34" s="47"/>
      <c r="C34" s="24" t="s">
        <v>210</v>
      </c>
      <c r="E34" s="24">
        <f t="shared" si="0"/>
        <v>16</v>
      </c>
      <c r="F34" s="67" t="s">
        <v>211</v>
      </c>
      <c r="G34" s="68">
        <v>92</v>
      </c>
      <c r="H34" s="69">
        <f>INT((G34*Valores!$C$2*100)+0.5)/100</f>
        <v>703.72</v>
      </c>
      <c r="I34" s="70">
        <v>3483</v>
      </c>
      <c r="J34" s="71">
        <f>INT((I34*Valores!$C$2*100)+0.5)/100</f>
        <v>26641.82</v>
      </c>
      <c r="K34" s="72">
        <v>1217</v>
      </c>
      <c r="L34" s="71">
        <f>INT((K34*Valores!$C$2*100)+0.5)/100</f>
        <v>9308.95</v>
      </c>
      <c r="M34" s="68">
        <v>0</v>
      </c>
      <c r="N34" s="71">
        <f>INT((M34*Valores!$C$2*100)+0.5)/100</f>
        <v>0</v>
      </c>
      <c r="O34" s="71">
        <f t="shared" si="1"/>
        <v>6290.292</v>
      </c>
      <c r="P34" s="71">
        <f t="shared" si="2"/>
        <v>0</v>
      </c>
      <c r="Q34" s="73">
        <f>Valores!$C$18</f>
        <v>9069.69</v>
      </c>
      <c r="R34" s="73">
        <f>Valores!$D$4</f>
        <v>3421.44</v>
      </c>
      <c r="S34" s="71">
        <v>0</v>
      </c>
      <c r="T34" s="74">
        <f>Valores!$C$43</f>
        <v>2121.57</v>
      </c>
      <c r="U34" s="71">
        <f>Valores!$C$23</f>
        <v>3159.22</v>
      </c>
      <c r="V34" s="71">
        <f t="shared" si="3"/>
        <v>3159.22</v>
      </c>
      <c r="W34" s="71">
        <v>0</v>
      </c>
      <c r="X34" s="71">
        <v>0</v>
      </c>
      <c r="Y34" s="75">
        <v>0</v>
      </c>
      <c r="Z34" s="71">
        <f>Y34*Valores!$C$2</f>
        <v>0</v>
      </c>
      <c r="AA34" s="71">
        <v>0</v>
      </c>
      <c r="AB34" s="76">
        <f>Valores!$C$29</f>
        <v>184.78</v>
      </c>
      <c r="AC34" s="71">
        <f t="shared" si="6"/>
        <v>0</v>
      </c>
      <c r="AD34" s="71">
        <f>Valores!$C$30</f>
        <v>184.78</v>
      </c>
      <c r="AE34" s="75">
        <v>0</v>
      </c>
      <c r="AF34" s="71">
        <f>INT(((AE34*Valores!$C$2)*100)+0.5)/100</f>
        <v>0</v>
      </c>
      <c r="AG34" s="71">
        <f>Valores!$C$58</f>
        <v>375.86</v>
      </c>
      <c r="AH34" s="71">
        <f>Valores!$C$60</f>
        <v>107.38</v>
      </c>
      <c r="AI34" s="77">
        <f t="shared" si="7"/>
        <v>61569.50200000001</v>
      </c>
      <c r="AJ34" s="73">
        <f>Valores!$C$35</f>
        <v>876.57</v>
      </c>
      <c r="AK34" s="74">
        <f>Valores!$C$9</f>
        <v>0</v>
      </c>
      <c r="AL34" s="74">
        <f>Valores!$C$83</f>
        <v>3000</v>
      </c>
      <c r="AM34" s="74">
        <v>2800</v>
      </c>
      <c r="AN34" s="76">
        <f>Valores!$C$50</f>
        <v>314.98</v>
      </c>
      <c r="AO34" s="78">
        <f t="shared" si="8"/>
        <v>3876.57</v>
      </c>
      <c r="AP34" s="79">
        <f>AI34*-Valores!$C$65</f>
        <v>-8004.0352600000015</v>
      </c>
      <c r="AQ34" s="79">
        <f>AI34*-Valores!$C$66</f>
        <v>-307.84751000000006</v>
      </c>
      <c r="AR34" s="73">
        <f>AI34*-Valores!$C$67</f>
        <v>-2770.62759</v>
      </c>
      <c r="AS34" s="73">
        <f>AI34*-Valores!$C$68</f>
        <v>-1662.3765540000002</v>
      </c>
      <c r="AT34" s="73">
        <f>AI34*-Valores!$C$69</f>
        <v>-184.70850600000003</v>
      </c>
      <c r="AU34" s="77">
        <f t="shared" si="4"/>
        <v>54363.56164</v>
      </c>
      <c r="AV34" s="77">
        <f t="shared" si="5"/>
        <v>55287.10417</v>
      </c>
      <c r="AW34" s="73">
        <f>AI34*Valores!$C$71</f>
        <v>9851.120320000002</v>
      </c>
      <c r="AX34" s="73">
        <f>AI34*Valores!$C$72</f>
        <v>2770.62759</v>
      </c>
      <c r="AY34" s="73">
        <f>AI34*Valores!$C$73</f>
        <v>615.6950200000001</v>
      </c>
      <c r="AZ34" s="73">
        <f>AI34*Valores!$C$75</f>
        <v>2154.9325700000004</v>
      </c>
      <c r="BA34" s="73">
        <f>AI34*Valores!$C$76</f>
        <v>369.41701200000006</v>
      </c>
      <c r="BB34" s="73">
        <f t="shared" si="9"/>
        <v>3324.7531080000003</v>
      </c>
      <c r="BC34" s="47"/>
      <c r="BD34" s="47">
        <v>45</v>
      </c>
      <c r="BE34" s="24" t="s">
        <v>4</v>
      </c>
    </row>
    <row r="35" spans="1:57" s="24" customFormat="1" ht="11.25" customHeight="1">
      <c r="A35" s="47">
        <v>34</v>
      </c>
      <c r="B35" s="47"/>
      <c r="C35" s="24" t="s">
        <v>212</v>
      </c>
      <c r="E35" s="24">
        <f t="shared" si="0"/>
        <v>28</v>
      </c>
      <c r="F35" s="67" t="s">
        <v>213</v>
      </c>
      <c r="G35" s="68">
        <v>85</v>
      </c>
      <c r="H35" s="69">
        <f>INT((G35*Valores!$C$2*100)+0.5)/100</f>
        <v>650.17</v>
      </c>
      <c r="I35" s="70">
        <v>3498</v>
      </c>
      <c r="J35" s="71">
        <f>INT((I35*Valores!$C$2*100)+0.5)/100</f>
        <v>26756.55</v>
      </c>
      <c r="K35" s="72">
        <v>1209</v>
      </c>
      <c r="L35" s="71">
        <f>INT((K35*Valores!$C$2*100)+0.5)/100</f>
        <v>9247.76</v>
      </c>
      <c r="M35" s="68">
        <v>0</v>
      </c>
      <c r="N35" s="71">
        <f>INT((M35*Valores!$C$2*100)+0.5)/100</f>
        <v>0</v>
      </c>
      <c r="O35" s="71">
        <f t="shared" si="1"/>
        <v>6290.290499999999</v>
      </c>
      <c r="P35" s="71">
        <f t="shared" si="2"/>
        <v>0</v>
      </c>
      <c r="Q35" s="73">
        <f>Valores!$C$18</f>
        <v>9069.69</v>
      </c>
      <c r="R35" s="73">
        <f>Valores!$D$4</f>
        <v>3421.44</v>
      </c>
      <c r="S35" s="71">
        <v>0</v>
      </c>
      <c r="T35" s="74">
        <f>Valores!$C$43</f>
        <v>2121.57</v>
      </c>
      <c r="U35" s="71">
        <f>Valores!$C$23</f>
        <v>3159.22</v>
      </c>
      <c r="V35" s="71">
        <f t="shared" si="3"/>
        <v>3159.22</v>
      </c>
      <c r="W35" s="71">
        <v>0</v>
      </c>
      <c r="X35" s="71">
        <v>0</v>
      </c>
      <c r="Y35" s="75">
        <v>0</v>
      </c>
      <c r="Z35" s="71">
        <f>Y35*Valores!$C$2</f>
        <v>0</v>
      </c>
      <c r="AA35" s="71">
        <v>0</v>
      </c>
      <c r="AB35" s="76">
        <f>Valores!$C$29</f>
        <v>184.78</v>
      </c>
      <c r="AC35" s="71">
        <f t="shared" si="6"/>
        <v>0</v>
      </c>
      <c r="AD35" s="71">
        <f>Valores!$C$30</f>
        <v>184.78</v>
      </c>
      <c r="AE35" s="75">
        <v>0</v>
      </c>
      <c r="AF35" s="71">
        <f>INT(((AE35*Valores!$C$2)*100)+0.5)/100</f>
        <v>0</v>
      </c>
      <c r="AG35" s="71">
        <f>Valores!$C$58</f>
        <v>375.86</v>
      </c>
      <c r="AH35" s="71">
        <f>Valores!$C$60</f>
        <v>107.38</v>
      </c>
      <c r="AI35" s="77">
        <f t="shared" si="7"/>
        <v>61569.4905</v>
      </c>
      <c r="AJ35" s="73">
        <f>Valores!$C$35</f>
        <v>876.57</v>
      </c>
      <c r="AK35" s="74">
        <f>Valores!$C$9</f>
        <v>0</v>
      </c>
      <c r="AL35" s="74">
        <f>Valores!$C$83</f>
        <v>3000</v>
      </c>
      <c r="AM35" s="74">
        <v>2800</v>
      </c>
      <c r="AN35" s="76">
        <f>Valores!$C$50</f>
        <v>314.98</v>
      </c>
      <c r="AO35" s="78">
        <f t="shared" si="8"/>
        <v>3876.57</v>
      </c>
      <c r="AP35" s="79">
        <f>AI35*-Valores!$C$65</f>
        <v>-8004.033765</v>
      </c>
      <c r="AQ35" s="79">
        <f>AI35*-Valores!$C$66</f>
        <v>-307.84745250000003</v>
      </c>
      <c r="AR35" s="73">
        <f>AI35*-Valores!$C$67</f>
        <v>-2770.6270725</v>
      </c>
      <c r="AS35" s="73">
        <f>AI35*-Valores!$C$68</f>
        <v>-1662.3762434999999</v>
      </c>
      <c r="AT35" s="73">
        <f>AI35*-Valores!$C$69</f>
        <v>-184.7084715</v>
      </c>
      <c r="AU35" s="77">
        <f t="shared" si="4"/>
        <v>54363.55221</v>
      </c>
      <c r="AV35" s="77">
        <f t="shared" si="5"/>
        <v>55287.0945675</v>
      </c>
      <c r="AW35" s="73">
        <f>AI35*Valores!$C$71</f>
        <v>9851.118480000001</v>
      </c>
      <c r="AX35" s="73">
        <f>AI35*Valores!$C$72</f>
        <v>2770.6270725</v>
      </c>
      <c r="AY35" s="73">
        <f>AI35*Valores!$C$73</f>
        <v>615.6949050000001</v>
      </c>
      <c r="AZ35" s="73">
        <f>AI35*Valores!$C$75</f>
        <v>2154.9321675</v>
      </c>
      <c r="BA35" s="73">
        <f>AI35*Valores!$C$76</f>
        <v>369.416943</v>
      </c>
      <c r="BB35" s="73">
        <f t="shared" si="9"/>
        <v>3324.7524869999997</v>
      </c>
      <c r="BC35" s="47"/>
      <c r="BD35" s="47">
        <v>45</v>
      </c>
      <c r="BE35" s="24" t="s">
        <v>8</v>
      </c>
    </row>
    <row r="36" spans="1:57" s="24" customFormat="1" ht="11.25" customHeight="1">
      <c r="A36" s="81">
        <v>35</v>
      </c>
      <c r="B36" s="81" t="s">
        <v>163</v>
      </c>
      <c r="C36" s="82" t="s">
        <v>214</v>
      </c>
      <c r="D36" s="82"/>
      <c r="E36" s="82">
        <f t="shared" si="0"/>
        <v>29</v>
      </c>
      <c r="F36" s="83" t="s">
        <v>215</v>
      </c>
      <c r="G36" s="84">
        <v>92</v>
      </c>
      <c r="H36" s="85">
        <f>INT((G36*Valores!$C$2*100)+0.5)/100</f>
        <v>703.72</v>
      </c>
      <c r="I36" s="86">
        <v>3483</v>
      </c>
      <c r="J36" s="87">
        <f>INT((I36*Valores!$C$2*100)+0.5)/100</f>
        <v>26641.82</v>
      </c>
      <c r="K36" s="88">
        <v>1217</v>
      </c>
      <c r="L36" s="87">
        <f>INT((K36*Valores!$C$2*100)+0.5)/100</f>
        <v>9308.95</v>
      </c>
      <c r="M36" s="84">
        <v>0</v>
      </c>
      <c r="N36" s="87">
        <f>INT((M36*Valores!$C$2*100)+0.5)/100</f>
        <v>0</v>
      </c>
      <c r="O36" s="87">
        <f t="shared" si="1"/>
        <v>6290.292</v>
      </c>
      <c r="P36" s="87">
        <f t="shared" si="2"/>
        <v>0</v>
      </c>
      <c r="Q36" s="89">
        <f>Valores!$C$18</f>
        <v>9069.69</v>
      </c>
      <c r="R36" s="89">
        <f>Valores!$D$4</f>
        <v>3421.44</v>
      </c>
      <c r="S36" s="87">
        <v>0</v>
      </c>
      <c r="T36" s="90">
        <f>Valores!$C$43</f>
        <v>2121.57</v>
      </c>
      <c r="U36" s="87">
        <f>Valores!$C$23</f>
        <v>3159.22</v>
      </c>
      <c r="V36" s="87">
        <f t="shared" si="3"/>
        <v>3159.22</v>
      </c>
      <c r="W36" s="87">
        <v>0</v>
      </c>
      <c r="X36" s="87">
        <v>0</v>
      </c>
      <c r="Y36" s="91">
        <v>0</v>
      </c>
      <c r="Z36" s="87">
        <f>Y36*Valores!$C$2</f>
        <v>0</v>
      </c>
      <c r="AA36" s="87">
        <f>SUM(L36,J36,H36,T36)*Valores!$C$3</f>
        <v>5816.409000000001</v>
      </c>
      <c r="AB36" s="92">
        <f>Valores!$C$29</f>
        <v>184.78</v>
      </c>
      <c r="AC36" s="87">
        <f t="shared" si="6"/>
        <v>0</v>
      </c>
      <c r="AD36" s="87">
        <f>Valores!$C$30</f>
        <v>184.78</v>
      </c>
      <c r="AE36" s="91">
        <v>0</v>
      </c>
      <c r="AF36" s="87">
        <f>INT(((AE36*Valores!$C$2)*100)+0.5)/100</f>
        <v>0</v>
      </c>
      <c r="AG36" s="87">
        <f>Valores!$C$58</f>
        <v>375.86</v>
      </c>
      <c r="AH36" s="87">
        <f>Valores!$C$60</f>
        <v>107.38</v>
      </c>
      <c r="AI36" s="93">
        <f t="shared" si="7"/>
        <v>67385.91100000002</v>
      </c>
      <c r="AJ36" s="89">
        <f>Valores!$C$35</f>
        <v>876.57</v>
      </c>
      <c r="AK36" s="90">
        <f>Valores!$C$9</f>
        <v>0</v>
      </c>
      <c r="AL36" s="90">
        <f>Valores!$C$83</f>
        <v>3000</v>
      </c>
      <c r="AM36" s="90">
        <v>2800</v>
      </c>
      <c r="AN36" s="92">
        <f>Valores!$C$50</f>
        <v>314.98</v>
      </c>
      <c r="AO36" s="94">
        <f t="shared" si="8"/>
        <v>3876.57</v>
      </c>
      <c r="AP36" s="95">
        <f>AI36*-Valores!$C$65</f>
        <v>-8760.168430000003</v>
      </c>
      <c r="AQ36" s="95">
        <f>AI36*-Valores!$C$66</f>
        <v>-336.9295550000001</v>
      </c>
      <c r="AR36" s="89">
        <f>AI36*-Valores!$C$67</f>
        <v>-3032.365995000001</v>
      </c>
      <c r="AS36" s="89">
        <f>AI36*-Valores!$C$68</f>
        <v>-1819.4195970000005</v>
      </c>
      <c r="AT36" s="89">
        <f>AI36*-Valores!$C$69</f>
        <v>-202.15773300000006</v>
      </c>
      <c r="AU36" s="93">
        <f t="shared" si="4"/>
        <v>59133.01702000003</v>
      </c>
      <c r="AV36" s="93">
        <f t="shared" si="5"/>
        <v>60143.80568500003</v>
      </c>
      <c r="AW36" s="89">
        <f>AI36*Valores!$C$71</f>
        <v>10781.745760000003</v>
      </c>
      <c r="AX36" s="89">
        <f>AI36*Valores!$C$72</f>
        <v>3032.365995000001</v>
      </c>
      <c r="AY36" s="89">
        <f>AI36*Valores!$C$73</f>
        <v>673.8591100000002</v>
      </c>
      <c r="AZ36" s="89">
        <f>AI36*Valores!$C$75</f>
        <v>2358.506885000001</v>
      </c>
      <c r="BA36" s="89">
        <f>AI36*Valores!$C$76</f>
        <v>404.31546600000013</v>
      </c>
      <c r="BB36" s="89">
        <f t="shared" si="9"/>
        <v>3638.8391940000015</v>
      </c>
      <c r="BC36" s="81"/>
      <c r="BD36" s="81">
        <v>45</v>
      </c>
      <c r="BE36" s="82" t="s">
        <v>8</v>
      </c>
    </row>
    <row r="37" spans="1:57" s="24" customFormat="1" ht="11.25" customHeight="1">
      <c r="A37" s="47">
        <v>36</v>
      </c>
      <c r="B37" s="47"/>
      <c r="C37" s="24" t="s">
        <v>216</v>
      </c>
      <c r="E37" s="24">
        <f t="shared" si="0"/>
        <v>27</v>
      </c>
      <c r="F37" s="67" t="s">
        <v>217</v>
      </c>
      <c r="G37" s="68">
        <v>85</v>
      </c>
      <c r="H37" s="69">
        <f>INT((G37*Valores!$C$2*100)+0.5)/100</f>
        <v>650.17</v>
      </c>
      <c r="I37" s="70">
        <v>3498</v>
      </c>
      <c r="J37" s="71">
        <f>INT((I37*Valores!$C$2*100)+0.5)/100</f>
        <v>26756.55</v>
      </c>
      <c r="K37" s="72">
        <v>202</v>
      </c>
      <c r="L37" s="71">
        <f>INT((K37*Valores!$C$2*100)+0.5)/100</f>
        <v>1545.12</v>
      </c>
      <c r="M37" s="68">
        <v>0</v>
      </c>
      <c r="N37" s="71">
        <f>INT((M37*Valores!$C$2*100)+0.5)/100</f>
        <v>0</v>
      </c>
      <c r="O37" s="71">
        <f t="shared" si="1"/>
        <v>5134.894499999999</v>
      </c>
      <c r="P37" s="71">
        <f t="shared" si="2"/>
        <v>0</v>
      </c>
      <c r="Q37" s="73">
        <f>Valores!$C$18</f>
        <v>9069.69</v>
      </c>
      <c r="R37" s="73">
        <f>Valores!$D$4</f>
        <v>3421.44</v>
      </c>
      <c r="S37" s="71">
        <v>0</v>
      </c>
      <c r="T37" s="74">
        <f>Valores!$C$43</f>
        <v>2121.57</v>
      </c>
      <c r="U37" s="71">
        <f>Valores!$C$23</f>
        <v>3159.22</v>
      </c>
      <c r="V37" s="71">
        <f t="shared" si="3"/>
        <v>3159.22</v>
      </c>
      <c r="W37" s="71">
        <v>0</v>
      </c>
      <c r="X37" s="71">
        <v>0</v>
      </c>
      <c r="Y37" s="75">
        <v>0</v>
      </c>
      <c r="Z37" s="71">
        <f>Y37*Valores!$C$2</f>
        <v>0</v>
      </c>
      <c r="AA37" s="71">
        <v>0</v>
      </c>
      <c r="AB37" s="76">
        <f>Valores!$C$29</f>
        <v>184.78</v>
      </c>
      <c r="AC37" s="71">
        <f t="shared" si="6"/>
        <v>0</v>
      </c>
      <c r="AD37" s="71">
        <f>Valores!$C$30</f>
        <v>184.78</v>
      </c>
      <c r="AE37" s="75">
        <v>0</v>
      </c>
      <c r="AF37" s="71">
        <f>INT(((AE37*Valores!$C$2)*100)+0.5)/100</f>
        <v>0</v>
      </c>
      <c r="AG37" s="71">
        <f>Valores!$C$58</f>
        <v>375.86</v>
      </c>
      <c r="AH37" s="71">
        <f>Valores!$C$60</f>
        <v>107.38</v>
      </c>
      <c r="AI37" s="77">
        <f t="shared" si="7"/>
        <v>52711.4545</v>
      </c>
      <c r="AJ37" s="73">
        <f>Valores!$C$35</f>
        <v>876.57</v>
      </c>
      <c r="AK37" s="74">
        <f>Valores!$C$9</f>
        <v>0</v>
      </c>
      <c r="AL37" s="74">
        <f>Valores!$C$83</f>
        <v>3000</v>
      </c>
      <c r="AM37" s="74">
        <v>2800</v>
      </c>
      <c r="AN37" s="76">
        <f>Valores!$C$50</f>
        <v>314.98</v>
      </c>
      <c r="AO37" s="78">
        <f t="shared" si="8"/>
        <v>3876.57</v>
      </c>
      <c r="AP37" s="79">
        <f>AI37*-Valores!$C$65</f>
        <v>-6852.489085</v>
      </c>
      <c r="AQ37" s="79">
        <f>AI37*-Valores!$C$66</f>
        <v>-263.5572725</v>
      </c>
      <c r="AR37" s="73">
        <f>AI37*-Valores!$C$67</f>
        <v>-2372.0154525</v>
      </c>
      <c r="AS37" s="73">
        <f>AI37*-Valores!$C$68</f>
        <v>-1423.2092714999999</v>
      </c>
      <c r="AT37" s="73">
        <f>AI37*-Valores!$C$69</f>
        <v>-158.1343635</v>
      </c>
      <c r="AU37" s="77">
        <f t="shared" si="4"/>
        <v>47099.96268999999</v>
      </c>
      <c r="AV37" s="77">
        <f t="shared" si="5"/>
        <v>47890.6345075</v>
      </c>
      <c r="AW37" s="73">
        <f>AI37*Valores!$C$71</f>
        <v>8433.83272</v>
      </c>
      <c r="AX37" s="73">
        <f>AI37*Valores!$C$72</f>
        <v>2372.0154525</v>
      </c>
      <c r="AY37" s="73">
        <f>AI37*Valores!$C$73</f>
        <v>527.114545</v>
      </c>
      <c r="AZ37" s="73">
        <f>AI37*Valores!$C$75</f>
        <v>1844.9009075000001</v>
      </c>
      <c r="BA37" s="73">
        <f>AI37*Valores!$C$76</f>
        <v>316.268727</v>
      </c>
      <c r="BB37" s="73">
        <f t="shared" si="9"/>
        <v>2846.418543</v>
      </c>
      <c r="BC37" s="47"/>
      <c r="BD37" s="47">
        <v>45</v>
      </c>
      <c r="BE37" s="24" t="s">
        <v>8</v>
      </c>
    </row>
    <row r="38" spans="1:57" s="24" customFormat="1" ht="11.25" customHeight="1">
      <c r="A38" s="47">
        <v>37</v>
      </c>
      <c r="B38" s="47"/>
      <c r="C38" s="24" t="s">
        <v>218</v>
      </c>
      <c r="E38" s="24">
        <f t="shared" si="0"/>
        <v>22</v>
      </c>
      <c r="F38" s="67" t="s">
        <v>219</v>
      </c>
      <c r="G38" s="68">
        <v>85</v>
      </c>
      <c r="H38" s="69">
        <f>INT((G38*Valores!$C$2*100)+0.5)/100</f>
        <v>650.17</v>
      </c>
      <c r="I38" s="70">
        <v>3498</v>
      </c>
      <c r="J38" s="71">
        <f>INT((I38*Valores!$C$2*100)+0.5)/100</f>
        <v>26756.55</v>
      </c>
      <c r="K38" s="72">
        <v>1209</v>
      </c>
      <c r="L38" s="71">
        <f>INT((K38*Valores!$C$2*100)+0.5)/100</f>
        <v>9247.76</v>
      </c>
      <c r="M38" s="68">
        <v>0</v>
      </c>
      <c r="N38" s="71">
        <f>INT((M38*Valores!$C$2*100)+0.5)/100</f>
        <v>0</v>
      </c>
      <c r="O38" s="71">
        <f t="shared" si="1"/>
        <v>6290.290499999999</v>
      </c>
      <c r="P38" s="71">
        <f t="shared" si="2"/>
        <v>0</v>
      </c>
      <c r="Q38" s="73">
        <f>Valores!$C$18</f>
        <v>9069.69</v>
      </c>
      <c r="R38" s="73">
        <f>Valores!$D$4</f>
        <v>3421.44</v>
      </c>
      <c r="S38" s="71">
        <v>0</v>
      </c>
      <c r="T38" s="74">
        <f>Valores!$C$43</f>
        <v>2121.57</v>
      </c>
      <c r="U38" s="71">
        <f>Valores!$C$23</f>
        <v>3159.22</v>
      </c>
      <c r="V38" s="71">
        <f t="shared" si="3"/>
        <v>3159.22</v>
      </c>
      <c r="W38" s="71">
        <v>0</v>
      </c>
      <c r="X38" s="71">
        <v>0</v>
      </c>
      <c r="Y38" s="75">
        <v>0</v>
      </c>
      <c r="Z38" s="71">
        <f>Y38*Valores!$C$2</f>
        <v>0</v>
      </c>
      <c r="AA38" s="71">
        <v>0</v>
      </c>
      <c r="AB38" s="76">
        <f>Valores!$C$29</f>
        <v>184.78</v>
      </c>
      <c r="AC38" s="71">
        <f t="shared" si="6"/>
        <v>0</v>
      </c>
      <c r="AD38" s="71">
        <f>Valores!$C$30</f>
        <v>184.78</v>
      </c>
      <c r="AE38" s="75">
        <v>0</v>
      </c>
      <c r="AF38" s="71">
        <f>INT(((AE38*Valores!$C$2)*100)+0.5)/100</f>
        <v>0</v>
      </c>
      <c r="AG38" s="71">
        <f>Valores!$C$58</f>
        <v>375.86</v>
      </c>
      <c r="AH38" s="71">
        <f>Valores!$C$60</f>
        <v>107.38</v>
      </c>
      <c r="AI38" s="77">
        <f t="shared" si="7"/>
        <v>61569.4905</v>
      </c>
      <c r="AJ38" s="73">
        <f>Valores!$C$35</f>
        <v>876.57</v>
      </c>
      <c r="AK38" s="74">
        <f>Valores!$C$9</f>
        <v>0</v>
      </c>
      <c r="AL38" s="74">
        <f>Valores!$C$83</f>
        <v>3000</v>
      </c>
      <c r="AM38" s="74">
        <v>2800</v>
      </c>
      <c r="AN38" s="76">
        <f>Valores!$C$50</f>
        <v>314.98</v>
      </c>
      <c r="AO38" s="78">
        <f t="shared" si="8"/>
        <v>3876.57</v>
      </c>
      <c r="AP38" s="79">
        <f>AI38*-Valores!$C$65</f>
        <v>-8004.033765</v>
      </c>
      <c r="AQ38" s="79">
        <f>AI38*-Valores!$C$66</f>
        <v>-307.84745250000003</v>
      </c>
      <c r="AR38" s="73">
        <f>AI38*-Valores!$C$67</f>
        <v>-2770.6270725</v>
      </c>
      <c r="AS38" s="73">
        <f>AI38*-Valores!$C$68</f>
        <v>-1662.3762434999999</v>
      </c>
      <c r="AT38" s="73">
        <f>AI38*-Valores!$C$69</f>
        <v>-184.7084715</v>
      </c>
      <c r="AU38" s="77">
        <f t="shared" si="4"/>
        <v>54363.55221</v>
      </c>
      <c r="AV38" s="77">
        <f t="shared" si="5"/>
        <v>55287.0945675</v>
      </c>
      <c r="AW38" s="73">
        <f>AI38*Valores!$C$71</f>
        <v>9851.118480000001</v>
      </c>
      <c r="AX38" s="73">
        <f>AI38*Valores!$C$72</f>
        <v>2770.6270725</v>
      </c>
      <c r="AY38" s="73">
        <f>AI38*Valores!$C$73</f>
        <v>615.6949050000001</v>
      </c>
      <c r="AZ38" s="73">
        <f>AI38*Valores!$C$75</f>
        <v>2154.9321675</v>
      </c>
      <c r="BA38" s="73">
        <f>AI38*Valores!$C$76</f>
        <v>369.416943</v>
      </c>
      <c r="BB38" s="73">
        <f t="shared" si="9"/>
        <v>3324.7524869999997</v>
      </c>
      <c r="BC38" s="47"/>
      <c r="BD38" s="47">
        <v>45</v>
      </c>
      <c r="BE38" s="24" t="s">
        <v>4</v>
      </c>
    </row>
    <row r="39" spans="1:57" s="24" customFormat="1" ht="11.25" customHeight="1">
      <c r="A39" s="47">
        <v>38</v>
      </c>
      <c r="B39" s="47"/>
      <c r="C39" s="24" t="s">
        <v>220</v>
      </c>
      <c r="E39" s="24">
        <f t="shared" si="0"/>
        <v>30</v>
      </c>
      <c r="F39" s="67" t="s">
        <v>221</v>
      </c>
      <c r="G39" s="68">
        <v>85</v>
      </c>
      <c r="H39" s="69">
        <f>INT((G39*Valores!$C$2*100)+0.5)/100</f>
        <v>650.17</v>
      </c>
      <c r="I39" s="70">
        <v>3498</v>
      </c>
      <c r="J39" s="71">
        <f>INT((I39*Valores!$C$2*100)+0.5)/100</f>
        <v>26756.55</v>
      </c>
      <c r="K39" s="72">
        <v>1209</v>
      </c>
      <c r="L39" s="71">
        <f>INT((K39*Valores!$C$2*100)+0.5)/100</f>
        <v>9247.76</v>
      </c>
      <c r="M39" s="68">
        <v>0</v>
      </c>
      <c r="N39" s="71">
        <f>INT((M39*Valores!$C$2*100)+0.5)/100</f>
        <v>0</v>
      </c>
      <c r="O39" s="71">
        <f t="shared" si="1"/>
        <v>6290.290499999999</v>
      </c>
      <c r="P39" s="71">
        <f t="shared" si="2"/>
        <v>0</v>
      </c>
      <c r="Q39" s="73">
        <f>Valores!$C$18</f>
        <v>9069.69</v>
      </c>
      <c r="R39" s="73">
        <f>Valores!$D$4</f>
        <v>3421.44</v>
      </c>
      <c r="S39" s="71">
        <v>0</v>
      </c>
      <c r="T39" s="74">
        <f>Valores!$C$43</f>
        <v>2121.57</v>
      </c>
      <c r="U39" s="71">
        <f>Valores!$C$23</f>
        <v>3159.22</v>
      </c>
      <c r="V39" s="71">
        <f t="shared" si="3"/>
        <v>3159.22</v>
      </c>
      <c r="W39" s="71">
        <v>0</v>
      </c>
      <c r="X39" s="71">
        <v>0</v>
      </c>
      <c r="Y39" s="75">
        <v>0</v>
      </c>
      <c r="Z39" s="71">
        <f>Y39*Valores!$C$2</f>
        <v>0</v>
      </c>
      <c r="AA39" s="71">
        <v>0</v>
      </c>
      <c r="AB39" s="76">
        <f>Valores!$C$29</f>
        <v>184.78</v>
      </c>
      <c r="AC39" s="71">
        <f t="shared" si="6"/>
        <v>0</v>
      </c>
      <c r="AD39" s="71">
        <f>Valores!$C$30</f>
        <v>184.78</v>
      </c>
      <c r="AE39" s="75">
        <v>0</v>
      </c>
      <c r="AF39" s="71">
        <f>INT(((AE39*Valores!$C$2)*100)+0.5)/100</f>
        <v>0</v>
      </c>
      <c r="AG39" s="71">
        <f>Valores!$C$58</f>
        <v>375.86</v>
      </c>
      <c r="AH39" s="71">
        <f>Valores!$C$60</f>
        <v>107.38</v>
      </c>
      <c r="AI39" s="77">
        <f t="shared" si="7"/>
        <v>61569.4905</v>
      </c>
      <c r="AJ39" s="73">
        <f>Valores!$C$35</f>
        <v>876.57</v>
      </c>
      <c r="AK39" s="74">
        <f>Valores!$C$9</f>
        <v>0</v>
      </c>
      <c r="AL39" s="74">
        <f>Valores!$C$81</f>
        <v>1500</v>
      </c>
      <c r="AM39" s="74">
        <v>1400</v>
      </c>
      <c r="AN39" s="76">
        <f>Valores!$C$50</f>
        <v>314.98</v>
      </c>
      <c r="AO39" s="78">
        <f t="shared" si="8"/>
        <v>2376.57</v>
      </c>
      <c r="AP39" s="79">
        <f>AI39*-Valores!$C$65</f>
        <v>-8004.033765</v>
      </c>
      <c r="AQ39" s="79">
        <f>AI39*-Valores!$C$66</f>
        <v>-307.84745250000003</v>
      </c>
      <c r="AR39" s="73">
        <f>AI39*-Valores!$C$67</f>
        <v>-2770.6270725</v>
      </c>
      <c r="AS39" s="73">
        <f>AI39*-Valores!$C$68</f>
        <v>-1662.3762434999999</v>
      </c>
      <c r="AT39" s="73">
        <f>AI39*-Valores!$C$69</f>
        <v>-184.7084715</v>
      </c>
      <c r="AU39" s="77">
        <f t="shared" si="4"/>
        <v>52863.55221</v>
      </c>
      <c r="AV39" s="77">
        <f t="shared" si="5"/>
        <v>53787.0945675</v>
      </c>
      <c r="AW39" s="73">
        <f>AI39*Valores!$C$71</f>
        <v>9851.118480000001</v>
      </c>
      <c r="AX39" s="73">
        <f>AI39*Valores!$C$72</f>
        <v>2770.6270725</v>
      </c>
      <c r="AY39" s="73">
        <f>AI39*Valores!$C$73</f>
        <v>615.6949050000001</v>
      </c>
      <c r="AZ39" s="73">
        <f>AI39*Valores!$C$75</f>
        <v>2154.9321675</v>
      </c>
      <c r="BA39" s="73">
        <f>AI39*Valores!$C$76</f>
        <v>369.416943</v>
      </c>
      <c r="BB39" s="73">
        <f t="shared" si="9"/>
        <v>3324.7524869999997</v>
      </c>
      <c r="BC39" s="47"/>
      <c r="BD39" s="47">
        <v>45</v>
      </c>
      <c r="BE39" s="24" t="s">
        <v>8</v>
      </c>
    </row>
    <row r="40" spans="1:57" s="24" customFormat="1" ht="11.25" customHeight="1">
      <c r="A40" s="47">
        <v>39</v>
      </c>
      <c r="B40" s="47"/>
      <c r="C40" s="24" t="s">
        <v>222</v>
      </c>
      <c r="E40" s="24">
        <f t="shared" si="0"/>
        <v>30</v>
      </c>
      <c r="F40" s="67" t="s">
        <v>223</v>
      </c>
      <c r="G40" s="68">
        <v>101</v>
      </c>
      <c r="H40" s="69">
        <f>INT((G40*Valores!$C$2*100)+0.5)/100</f>
        <v>772.56</v>
      </c>
      <c r="I40" s="70">
        <v>2548</v>
      </c>
      <c r="J40" s="71">
        <f>INT((I40*Valores!$C$2*100)+0.5)/100</f>
        <v>19489.91</v>
      </c>
      <c r="K40" s="72">
        <v>216</v>
      </c>
      <c r="L40" s="71">
        <f>INT((K40*Valores!$C$2*100)+0.5)/100</f>
        <v>1652.21</v>
      </c>
      <c r="M40" s="68">
        <v>0</v>
      </c>
      <c r="N40" s="71">
        <f>INT((M40*Valores!$C$2*100)+0.5)/100</f>
        <v>0</v>
      </c>
      <c r="O40" s="71">
        <f t="shared" si="1"/>
        <v>4079.3205</v>
      </c>
      <c r="P40" s="71">
        <f t="shared" si="2"/>
        <v>0</v>
      </c>
      <c r="Q40" s="73">
        <f>Valores!$C$16</f>
        <v>4949.59</v>
      </c>
      <c r="R40" s="73">
        <f>Valores!$D$4</f>
        <v>3421.44</v>
      </c>
      <c r="S40" s="71">
        <v>0</v>
      </c>
      <c r="T40" s="74">
        <f>Valores!$C$43</f>
        <v>2121.57</v>
      </c>
      <c r="U40" s="71">
        <f>Valores!$C$23</f>
        <v>3159.22</v>
      </c>
      <c r="V40" s="71">
        <f t="shared" si="3"/>
        <v>3159.22</v>
      </c>
      <c r="W40" s="71">
        <v>0</v>
      </c>
      <c r="X40" s="71">
        <v>0</v>
      </c>
      <c r="Y40" s="75">
        <v>0</v>
      </c>
      <c r="Z40" s="71">
        <f>Y40*Valores!$C$2</f>
        <v>0</v>
      </c>
      <c r="AA40" s="71">
        <v>0</v>
      </c>
      <c r="AB40" s="76">
        <f>Valores!$C$29</f>
        <v>184.78</v>
      </c>
      <c r="AC40" s="71">
        <f t="shared" si="6"/>
        <v>0</v>
      </c>
      <c r="AD40" s="71">
        <f>Valores!$C$30</f>
        <v>184.78</v>
      </c>
      <c r="AE40" s="75">
        <v>0</v>
      </c>
      <c r="AF40" s="71">
        <f>INT(((AE40*Valores!$C$2)*100)+0.5)/100</f>
        <v>0</v>
      </c>
      <c r="AG40" s="71">
        <f>Valores!$C$58</f>
        <v>375.86</v>
      </c>
      <c r="AH40" s="71">
        <f>Valores!$C$60</f>
        <v>107.38</v>
      </c>
      <c r="AI40" s="77">
        <f t="shared" si="7"/>
        <v>40498.6205</v>
      </c>
      <c r="AJ40" s="73">
        <f>Valores!$C$35</f>
        <v>876.57</v>
      </c>
      <c r="AK40" s="74">
        <f>Valores!$C$9</f>
        <v>0</v>
      </c>
      <c r="AL40" s="74">
        <f>Valores!$C$81</f>
        <v>1500</v>
      </c>
      <c r="AM40" s="74">
        <v>1400</v>
      </c>
      <c r="AN40" s="76">
        <f>Valores!$C$50</f>
        <v>314.98</v>
      </c>
      <c r="AO40" s="78">
        <f t="shared" si="8"/>
        <v>2376.57</v>
      </c>
      <c r="AP40" s="79">
        <f>AI40*-Valores!$C$65</f>
        <v>-5264.820665</v>
      </c>
      <c r="AQ40" s="79">
        <f>AI40*-Valores!$C$66</f>
        <v>-202.4931025</v>
      </c>
      <c r="AR40" s="73">
        <f>AI40*-Valores!$C$67</f>
        <v>-1822.4379224999998</v>
      </c>
      <c r="AS40" s="73">
        <f>AI40*-Valores!$C$68</f>
        <v>-1093.4627535</v>
      </c>
      <c r="AT40" s="73">
        <f>AI40*-Valores!$C$69</f>
        <v>-121.49586149999999</v>
      </c>
      <c r="AU40" s="77">
        <f t="shared" si="4"/>
        <v>35585.43881</v>
      </c>
      <c r="AV40" s="77">
        <f t="shared" si="5"/>
        <v>36192.9181175</v>
      </c>
      <c r="AW40" s="73">
        <f>AI40*Valores!$C$71</f>
        <v>6479.77928</v>
      </c>
      <c r="AX40" s="73">
        <f>AI40*Valores!$C$72</f>
        <v>1822.4379224999998</v>
      </c>
      <c r="AY40" s="73">
        <f>AI40*Valores!$C$73</f>
        <v>404.986205</v>
      </c>
      <c r="AZ40" s="73">
        <f>AI40*Valores!$C$75</f>
        <v>1417.4517175</v>
      </c>
      <c r="BA40" s="73">
        <f>AI40*Valores!$C$76</f>
        <v>242.99172299999998</v>
      </c>
      <c r="BB40" s="73">
        <f t="shared" si="9"/>
        <v>2186.925507</v>
      </c>
      <c r="BC40" s="47"/>
      <c r="BD40" s="47">
        <v>45</v>
      </c>
      <c r="BE40" s="24" t="s">
        <v>8</v>
      </c>
    </row>
    <row r="41" spans="1:57" s="24" customFormat="1" ht="11.25" customHeight="1">
      <c r="A41" s="81">
        <v>40</v>
      </c>
      <c r="B41" s="81" t="s">
        <v>163</v>
      </c>
      <c r="C41" s="82" t="s">
        <v>224</v>
      </c>
      <c r="D41" s="82"/>
      <c r="E41" s="82">
        <f t="shared" si="0"/>
        <v>30</v>
      </c>
      <c r="F41" s="83" t="s">
        <v>223</v>
      </c>
      <c r="G41" s="84">
        <v>101</v>
      </c>
      <c r="H41" s="85">
        <f>INT((G41*Valores!$C$2*100)+0.5)/100</f>
        <v>772.56</v>
      </c>
      <c r="I41" s="86">
        <v>2548</v>
      </c>
      <c r="J41" s="87">
        <f>INT((I41*Valores!$C$2*100)+0.5)/100</f>
        <v>19489.91</v>
      </c>
      <c r="K41" s="88">
        <v>216</v>
      </c>
      <c r="L41" s="87">
        <f>INT((K41*Valores!$C$2*100)+0.5)/100</f>
        <v>1652.21</v>
      </c>
      <c r="M41" s="84">
        <v>0</v>
      </c>
      <c r="N41" s="87">
        <f>INT((M41*Valores!$C$2*100)+0.5)/100</f>
        <v>0</v>
      </c>
      <c r="O41" s="87">
        <f t="shared" si="1"/>
        <v>4079.3205</v>
      </c>
      <c r="P41" s="87">
        <f t="shared" si="2"/>
        <v>0</v>
      </c>
      <c r="Q41" s="89">
        <f>Valores!$C$16</f>
        <v>4949.59</v>
      </c>
      <c r="R41" s="89">
        <f>Valores!$D$4</f>
        <v>3421.44</v>
      </c>
      <c r="S41" s="87">
        <v>0</v>
      </c>
      <c r="T41" s="90">
        <f>Valores!$C$43</f>
        <v>2121.57</v>
      </c>
      <c r="U41" s="87">
        <f>Valores!$C$23</f>
        <v>3159.22</v>
      </c>
      <c r="V41" s="87">
        <f t="shared" si="3"/>
        <v>3159.22</v>
      </c>
      <c r="W41" s="87">
        <v>0</v>
      </c>
      <c r="X41" s="87">
        <v>0</v>
      </c>
      <c r="Y41" s="91">
        <v>0</v>
      </c>
      <c r="Z41" s="87">
        <f>Y41*Valores!$C$2</f>
        <v>0</v>
      </c>
      <c r="AA41" s="87">
        <v>0</v>
      </c>
      <c r="AB41" s="92">
        <f>Valores!$C$29</f>
        <v>184.78</v>
      </c>
      <c r="AC41" s="87">
        <f t="shared" si="6"/>
        <v>0</v>
      </c>
      <c r="AD41" s="87">
        <f>Valores!$C$30</f>
        <v>184.78</v>
      </c>
      <c r="AE41" s="91">
        <v>0</v>
      </c>
      <c r="AF41" s="87">
        <f>INT(((AE41*Valores!$C$2)*100)+0.5)/100</f>
        <v>0</v>
      </c>
      <c r="AG41" s="87">
        <f>Valores!$C$58</f>
        <v>375.86</v>
      </c>
      <c r="AH41" s="87">
        <f>Valores!$C$60</f>
        <v>107.38</v>
      </c>
      <c r="AI41" s="93">
        <f t="shared" si="7"/>
        <v>40498.6205</v>
      </c>
      <c r="AJ41" s="89">
        <f>Valores!$C$35</f>
        <v>876.57</v>
      </c>
      <c r="AK41" s="90">
        <f>Valores!$C$9</f>
        <v>0</v>
      </c>
      <c r="AL41" s="90">
        <f>Valores!$C$81</f>
        <v>1500</v>
      </c>
      <c r="AM41" s="74">
        <v>1400</v>
      </c>
      <c r="AN41" s="92">
        <f>Valores!$C$50</f>
        <v>314.98</v>
      </c>
      <c r="AO41" s="94">
        <f t="shared" si="8"/>
        <v>2376.57</v>
      </c>
      <c r="AP41" s="95">
        <f>AI41*-Valores!$C$65</f>
        <v>-5264.820665</v>
      </c>
      <c r="AQ41" s="95">
        <f>AI41*-Valores!$C$66</f>
        <v>-202.4931025</v>
      </c>
      <c r="AR41" s="89">
        <f>AI41*-Valores!$C$67</f>
        <v>-1822.4379224999998</v>
      </c>
      <c r="AS41" s="89">
        <f>AI41*-Valores!$C$68</f>
        <v>-1093.4627535</v>
      </c>
      <c r="AT41" s="89">
        <f>AI41*-Valores!$C$69</f>
        <v>-121.49586149999999</v>
      </c>
      <c r="AU41" s="93">
        <f t="shared" si="4"/>
        <v>35585.43881</v>
      </c>
      <c r="AV41" s="93">
        <f t="shared" si="5"/>
        <v>36192.9181175</v>
      </c>
      <c r="AW41" s="89">
        <f>AI41*Valores!$C$71</f>
        <v>6479.77928</v>
      </c>
      <c r="AX41" s="89">
        <f>AI41*Valores!$C$72</f>
        <v>1822.4379224999998</v>
      </c>
      <c r="AY41" s="89">
        <f>AI41*Valores!$C$73</f>
        <v>404.986205</v>
      </c>
      <c r="AZ41" s="89">
        <f>AI41*Valores!$C$75</f>
        <v>1417.4517175</v>
      </c>
      <c r="BA41" s="89">
        <f>AI41*Valores!$C$76</f>
        <v>242.99172299999998</v>
      </c>
      <c r="BB41" s="89">
        <f t="shared" si="9"/>
        <v>2186.925507</v>
      </c>
      <c r="BC41" s="81"/>
      <c r="BD41" s="81">
        <v>45</v>
      </c>
      <c r="BE41" s="82" t="s">
        <v>8</v>
      </c>
    </row>
    <row r="42" spans="1:57" s="24" customFormat="1" ht="11.25" customHeight="1">
      <c r="A42" s="47">
        <v>41</v>
      </c>
      <c r="B42" s="47"/>
      <c r="C42" s="24" t="s">
        <v>225</v>
      </c>
      <c r="E42" s="24">
        <f t="shared" si="0"/>
        <v>27</v>
      </c>
      <c r="F42" s="67" t="s">
        <v>226</v>
      </c>
      <c r="G42" s="68">
        <v>96</v>
      </c>
      <c r="H42" s="69">
        <f>INT((G42*Valores!$C$2*100)+0.5)/100</f>
        <v>734.31</v>
      </c>
      <c r="I42" s="70">
        <v>2475</v>
      </c>
      <c r="J42" s="71">
        <f>INT((I42*Valores!$C$2*100)+0.5)/100</f>
        <v>18931.52</v>
      </c>
      <c r="K42" s="72">
        <v>213</v>
      </c>
      <c r="L42" s="71">
        <f>INT((K42*Valores!$C$2*100)+0.5)/100</f>
        <v>1629.26</v>
      </c>
      <c r="M42" s="68">
        <v>0</v>
      </c>
      <c r="N42" s="71">
        <f>INT((M42*Valores!$C$2*100)+0.5)/100</f>
        <v>0</v>
      </c>
      <c r="O42" s="71">
        <f t="shared" si="1"/>
        <v>3880.3065</v>
      </c>
      <c r="P42" s="71">
        <f t="shared" si="2"/>
        <v>0</v>
      </c>
      <c r="Q42" s="73">
        <f>Valores!$C$16</f>
        <v>4949.59</v>
      </c>
      <c r="R42" s="73">
        <f>Valores!$D$4</f>
        <v>3421.44</v>
      </c>
      <c r="S42" s="71">
        <v>0</v>
      </c>
      <c r="T42" s="74">
        <f>Valores!$C$42</f>
        <v>1414.4</v>
      </c>
      <c r="U42" s="71">
        <f>Valores!$C$23</f>
        <v>3159.22</v>
      </c>
      <c r="V42" s="71">
        <f t="shared" si="3"/>
        <v>3159.22</v>
      </c>
      <c r="W42" s="71">
        <v>0</v>
      </c>
      <c r="X42" s="71">
        <v>0</v>
      </c>
      <c r="Y42" s="75">
        <v>0</v>
      </c>
      <c r="Z42" s="71">
        <f>Y42*Valores!$C$2</f>
        <v>0</v>
      </c>
      <c r="AA42" s="71">
        <v>0</v>
      </c>
      <c r="AB42" s="76">
        <f>Valores!$C$29</f>
        <v>184.78</v>
      </c>
      <c r="AC42" s="71">
        <f t="shared" si="6"/>
        <v>0</v>
      </c>
      <c r="AD42" s="71">
        <f>Valores!$C$30</f>
        <v>184.78</v>
      </c>
      <c r="AE42" s="75">
        <v>0</v>
      </c>
      <c r="AF42" s="71">
        <f>INT(((AE42*Valores!$C$2)*100)+0.5)/100</f>
        <v>0</v>
      </c>
      <c r="AG42" s="71">
        <f>Valores!$C$58</f>
        <v>375.86</v>
      </c>
      <c r="AH42" s="71">
        <f>Valores!$C$60</f>
        <v>107.38</v>
      </c>
      <c r="AI42" s="77">
        <f t="shared" si="7"/>
        <v>38972.8465</v>
      </c>
      <c r="AJ42" s="73">
        <f>Valores!$C$35</f>
        <v>876.57</v>
      </c>
      <c r="AK42" s="74">
        <f>Valores!$C$8</f>
        <v>0</v>
      </c>
      <c r="AL42" s="74">
        <f>Valores!$C$81</f>
        <v>1500</v>
      </c>
      <c r="AM42" s="74">
        <v>1400</v>
      </c>
      <c r="AN42" s="76">
        <f>Valores!$C$51</f>
        <v>157.49</v>
      </c>
      <c r="AO42" s="78">
        <f t="shared" si="8"/>
        <v>2376.57</v>
      </c>
      <c r="AP42" s="79">
        <f>AI42*-Valores!$C$65</f>
        <v>-5066.470045</v>
      </c>
      <c r="AQ42" s="79">
        <f>AI42*-Valores!$C$66</f>
        <v>-194.8642325</v>
      </c>
      <c r="AR42" s="73">
        <f>AI42*-Valores!$C$67</f>
        <v>-1753.7780925</v>
      </c>
      <c r="AS42" s="73">
        <f>AI42*-Valores!$C$68</f>
        <v>-1052.2668555</v>
      </c>
      <c r="AT42" s="73">
        <f>AI42*-Valores!$C$69</f>
        <v>-116.9185395</v>
      </c>
      <c r="AU42" s="77">
        <f t="shared" si="4"/>
        <v>34334.304130000004</v>
      </c>
      <c r="AV42" s="77">
        <f t="shared" si="5"/>
        <v>34918.8968275</v>
      </c>
      <c r="AW42" s="73">
        <f>AI42*Valores!$C$71</f>
        <v>6235.65544</v>
      </c>
      <c r="AX42" s="73">
        <f>AI42*Valores!$C$72</f>
        <v>1753.7780925</v>
      </c>
      <c r="AY42" s="73">
        <f>AI42*Valores!$C$73</f>
        <v>389.728465</v>
      </c>
      <c r="AZ42" s="73">
        <f>AI42*Valores!$C$75</f>
        <v>1364.0496275</v>
      </c>
      <c r="BA42" s="73">
        <f>AI42*Valores!$C$76</f>
        <v>233.837079</v>
      </c>
      <c r="BB42" s="73">
        <f t="shared" si="9"/>
        <v>2104.533711</v>
      </c>
      <c r="BC42" s="47"/>
      <c r="BD42" s="47">
        <v>45</v>
      </c>
      <c r="BE42" s="24" t="s">
        <v>4</v>
      </c>
    </row>
    <row r="43" spans="1:57" s="24" customFormat="1" ht="11.25" customHeight="1">
      <c r="A43" s="47">
        <v>42</v>
      </c>
      <c r="B43" s="47"/>
      <c r="C43" s="24" t="s">
        <v>227</v>
      </c>
      <c r="E43" s="24">
        <f t="shared" si="0"/>
        <v>31</v>
      </c>
      <c r="F43" s="67" t="s">
        <v>228</v>
      </c>
      <c r="G43" s="68">
        <v>72</v>
      </c>
      <c r="H43" s="69">
        <f>INT((G43*Valores!$C$2*100)+0.5)/100</f>
        <v>550.74</v>
      </c>
      <c r="I43" s="70">
        <v>2471</v>
      </c>
      <c r="J43" s="71">
        <f>INT((I43*Valores!$C$2*100)+0.5)/100</f>
        <v>18900.93</v>
      </c>
      <c r="K43" s="72">
        <v>199</v>
      </c>
      <c r="L43" s="71">
        <f>INT((K43*Valores!$C$2*100)+0.5)/100</f>
        <v>1522.17</v>
      </c>
      <c r="M43" s="68">
        <v>0</v>
      </c>
      <c r="N43" s="71">
        <f>INT((M43*Valores!$C$2*100)+0.5)/100</f>
        <v>0</v>
      </c>
      <c r="O43" s="71">
        <f t="shared" si="1"/>
        <v>3832.1190000000006</v>
      </c>
      <c r="P43" s="71">
        <f t="shared" si="2"/>
        <v>0</v>
      </c>
      <c r="Q43" s="73">
        <f>Valores!$C$16</f>
        <v>4949.59</v>
      </c>
      <c r="R43" s="73">
        <f>Valores!$D$4</f>
        <v>3421.44</v>
      </c>
      <c r="S43" s="71">
        <v>0</v>
      </c>
      <c r="T43" s="74">
        <f>Valores!$C$42</f>
        <v>1414.4</v>
      </c>
      <c r="U43" s="71">
        <f>Valores!$C$23</f>
        <v>3159.22</v>
      </c>
      <c r="V43" s="71">
        <f t="shared" si="3"/>
        <v>3159.22</v>
      </c>
      <c r="W43" s="71">
        <v>0</v>
      </c>
      <c r="X43" s="71">
        <v>0</v>
      </c>
      <c r="Y43" s="75">
        <v>0</v>
      </c>
      <c r="Z43" s="71">
        <f>Y43*Valores!$C$2</f>
        <v>0</v>
      </c>
      <c r="AA43" s="71">
        <v>0</v>
      </c>
      <c r="AB43" s="76">
        <f>Valores!$C$29</f>
        <v>184.78</v>
      </c>
      <c r="AC43" s="71">
        <f t="shared" si="6"/>
        <v>0</v>
      </c>
      <c r="AD43" s="71">
        <f>Valores!$C$30</f>
        <v>184.78</v>
      </c>
      <c r="AE43" s="75">
        <v>0</v>
      </c>
      <c r="AF43" s="71">
        <f>INT(((AE43*Valores!$C$2)*100)+0.5)/100</f>
        <v>0</v>
      </c>
      <c r="AG43" s="71">
        <f>Valores!$C$58</f>
        <v>375.86</v>
      </c>
      <c r="AH43" s="71">
        <f>Valores!$C$60</f>
        <v>107.38</v>
      </c>
      <c r="AI43" s="77">
        <f t="shared" si="7"/>
        <v>38603.409</v>
      </c>
      <c r="AJ43" s="73">
        <f>Valores!$C$35</f>
        <v>876.57</v>
      </c>
      <c r="AK43" s="74">
        <f>Valores!$C$8</f>
        <v>0</v>
      </c>
      <c r="AL43" s="74">
        <f>Valores!$C$81</f>
        <v>1500</v>
      </c>
      <c r="AM43" s="74">
        <v>1400</v>
      </c>
      <c r="AN43" s="76">
        <f>Valores!$C$51</f>
        <v>157.49</v>
      </c>
      <c r="AO43" s="78">
        <f t="shared" si="8"/>
        <v>2376.57</v>
      </c>
      <c r="AP43" s="79">
        <f>AI43*-Valores!$C$65</f>
        <v>-5018.4431700000005</v>
      </c>
      <c r="AQ43" s="79">
        <f>AI43*-Valores!$C$66</f>
        <v>-193.017045</v>
      </c>
      <c r="AR43" s="73">
        <f>AI43*-Valores!$C$67</f>
        <v>-1737.153405</v>
      </c>
      <c r="AS43" s="73">
        <f>AI43*-Valores!$C$68</f>
        <v>-1042.292043</v>
      </c>
      <c r="AT43" s="73">
        <f>AI43*-Valores!$C$69</f>
        <v>-115.810227</v>
      </c>
      <c r="AU43" s="77">
        <f t="shared" si="4"/>
        <v>34031.36538</v>
      </c>
      <c r="AV43" s="77">
        <f t="shared" si="5"/>
        <v>34610.416515</v>
      </c>
      <c r="AW43" s="73">
        <f>AI43*Valores!$C$71</f>
        <v>6176.54544</v>
      </c>
      <c r="AX43" s="73">
        <f>AI43*Valores!$C$72</f>
        <v>1737.153405</v>
      </c>
      <c r="AY43" s="73">
        <f>AI43*Valores!$C$73</f>
        <v>386.03409</v>
      </c>
      <c r="AZ43" s="73">
        <f>AI43*Valores!$C$75</f>
        <v>1351.1193150000001</v>
      </c>
      <c r="BA43" s="73">
        <f>AI43*Valores!$C$76</f>
        <v>231.620454</v>
      </c>
      <c r="BB43" s="73">
        <f t="shared" si="9"/>
        <v>2084.5840860000003</v>
      </c>
      <c r="BC43" s="47"/>
      <c r="BD43" s="47">
        <v>45</v>
      </c>
      <c r="BE43" s="24" t="s">
        <v>4</v>
      </c>
    </row>
    <row r="44" spans="1:57" s="24" customFormat="1" ht="11.25" customHeight="1">
      <c r="A44" s="47">
        <v>43</v>
      </c>
      <c r="B44" s="47"/>
      <c r="C44" s="24" t="s">
        <v>229</v>
      </c>
      <c r="E44" s="24">
        <f t="shared" si="0"/>
        <v>31</v>
      </c>
      <c r="F44" s="67" t="s">
        <v>230</v>
      </c>
      <c r="G44" s="68">
        <f>G38</f>
        <v>85</v>
      </c>
      <c r="H44" s="69">
        <f>INT((G44*Valores!$C$2*100)+0.5)/100</f>
        <v>650.17</v>
      </c>
      <c r="I44" s="70">
        <f>I38</f>
        <v>3498</v>
      </c>
      <c r="J44" s="71">
        <f>INT((I44*Valores!$C$2*100)+0.5)/100</f>
        <v>26756.55</v>
      </c>
      <c r="K44" s="72">
        <f>K38</f>
        <v>1209</v>
      </c>
      <c r="L44" s="71">
        <f>INT((K44*Valores!$C$2*100)+0.5)/100</f>
        <v>9247.76</v>
      </c>
      <c r="M44" s="96">
        <v>0</v>
      </c>
      <c r="N44" s="71">
        <f>INT((M44*Valores!$C$2*100)+0.5)/100</f>
        <v>0</v>
      </c>
      <c r="O44" s="71">
        <f t="shared" si="1"/>
        <v>6290.290499999999</v>
      </c>
      <c r="P44" s="71">
        <f t="shared" si="2"/>
        <v>0</v>
      </c>
      <c r="Q44" s="73">
        <f>Q38</f>
        <v>9069.69</v>
      </c>
      <c r="R44" s="73">
        <f>R38</f>
        <v>3421.44</v>
      </c>
      <c r="S44" s="97">
        <v>0</v>
      </c>
      <c r="T44" s="97">
        <f>T38</f>
        <v>2121.57</v>
      </c>
      <c r="U44" s="97">
        <f>U38</f>
        <v>3159.22</v>
      </c>
      <c r="V44" s="71">
        <f t="shared" si="3"/>
        <v>3159.22</v>
      </c>
      <c r="W44" s="71">
        <v>0</v>
      </c>
      <c r="X44" s="71">
        <v>0</v>
      </c>
      <c r="Y44" s="75">
        <v>0</v>
      </c>
      <c r="Z44" s="71">
        <f>Y44*Valores!$C$2</f>
        <v>0</v>
      </c>
      <c r="AA44" s="71">
        <v>0</v>
      </c>
      <c r="AB44" s="97">
        <f>Valores!$C$29</f>
        <v>184.78</v>
      </c>
      <c r="AC44" s="71">
        <f t="shared" si="6"/>
        <v>0</v>
      </c>
      <c r="AD44" s="97">
        <f>Valores!$C$30</f>
        <v>184.78</v>
      </c>
      <c r="AE44" s="75">
        <v>0</v>
      </c>
      <c r="AF44" s="73">
        <f>INT(((AE44*Valores!$C$2)*100)+0.5)/100</f>
        <v>0</v>
      </c>
      <c r="AG44" s="73">
        <f>Valores!$C$58</f>
        <v>375.86</v>
      </c>
      <c r="AH44" s="73">
        <f>Valores!$C$60</f>
        <v>107.38</v>
      </c>
      <c r="AI44" s="77">
        <f t="shared" si="7"/>
        <v>61569.4905</v>
      </c>
      <c r="AJ44" s="73">
        <f>Valores!$C$35</f>
        <v>876.57</v>
      </c>
      <c r="AK44" s="74">
        <f>AK38</f>
        <v>0</v>
      </c>
      <c r="AL44" s="73">
        <f>AL38</f>
        <v>3000</v>
      </c>
      <c r="AM44" s="73">
        <v>2800</v>
      </c>
      <c r="AN44" s="76">
        <f>AN38</f>
        <v>314.98</v>
      </c>
      <c r="AO44" s="78">
        <f t="shared" si="8"/>
        <v>3876.57</v>
      </c>
      <c r="AP44" s="79">
        <f>AI44*-Valores!$C$65</f>
        <v>-8004.033765</v>
      </c>
      <c r="AQ44" s="79">
        <f>AI44*-Valores!$C$66</f>
        <v>-307.84745250000003</v>
      </c>
      <c r="AR44" s="73">
        <f>AI44*-Valores!$C$67</f>
        <v>-2770.6270725</v>
      </c>
      <c r="AS44" s="73">
        <f>AI44*-Valores!$C$68</f>
        <v>-1662.3762434999999</v>
      </c>
      <c r="AT44" s="73">
        <f>AI44*-Valores!$C$69</f>
        <v>-184.7084715</v>
      </c>
      <c r="AU44" s="77">
        <f t="shared" si="4"/>
        <v>54363.55221</v>
      </c>
      <c r="AV44" s="77">
        <f t="shared" si="5"/>
        <v>55287.0945675</v>
      </c>
      <c r="AW44" s="73">
        <f>AI44*Valores!$C$71</f>
        <v>9851.118480000001</v>
      </c>
      <c r="AX44" s="73">
        <f>AI44*Valores!$C$72</f>
        <v>2770.6270725</v>
      </c>
      <c r="AY44" s="73">
        <f>AI44*Valores!$C$73</f>
        <v>615.6949050000001</v>
      </c>
      <c r="AZ44" s="73">
        <f>AI44*Valores!$C$75</f>
        <v>2154.9321675</v>
      </c>
      <c r="BA44" s="73">
        <f>AI44*Valores!$C$76</f>
        <v>369.416943</v>
      </c>
      <c r="BB44" s="73">
        <f t="shared" si="9"/>
        <v>3324.7524869999997</v>
      </c>
      <c r="BC44" s="47"/>
      <c r="BD44" s="47">
        <v>45</v>
      </c>
      <c r="BE44" s="24" t="s">
        <v>8</v>
      </c>
    </row>
    <row r="45" spans="1:57" s="24" customFormat="1" ht="11.25" customHeight="1">
      <c r="A45" s="47">
        <v>44</v>
      </c>
      <c r="B45" s="47"/>
      <c r="C45" s="24" t="s">
        <v>231</v>
      </c>
      <c r="E45" s="24">
        <f t="shared" si="0"/>
        <v>26</v>
      </c>
      <c r="F45" s="67" t="s">
        <v>232</v>
      </c>
      <c r="G45" s="68">
        <f>G87+G305</f>
        <v>518</v>
      </c>
      <c r="H45" s="69">
        <f>INT((G45*Valores!$C$2*100)+0.5)/100</f>
        <v>3962.23</v>
      </c>
      <c r="I45" s="70">
        <f>I87+I305</f>
        <v>1997</v>
      </c>
      <c r="J45" s="71">
        <f>INT((I45*Valores!$C$2*100)+0.5)/100</f>
        <v>15275.25</v>
      </c>
      <c r="K45" s="98">
        <v>0</v>
      </c>
      <c r="L45" s="71">
        <f>INT((K45*Valores!$C$2*100)+0.5)/100</f>
        <v>0</v>
      </c>
      <c r="M45" s="96">
        <v>0</v>
      </c>
      <c r="N45" s="71">
        <f>INT((M45*Valores!$C$2*100)+0.5)/100</f>
        <v>0</v>
      </c>
      <c r="O45" s="71">
        <f t="shared" si="1"/>
        <v>3615.87</v>
      </c>
      <c r="P45" s="71">
        <f t="shared" si="2"/>
        <v>0</v>
      </c>
      <c r="Q45" s="73">
        <f aca="true" t="shared" si="12" ref="Q45:V45">Q87+Q305</f>
        <v>4949.59</v>
      </c>
      <c r="R45" s="73">
        <f t="shared" si="12"/>
        <v>3421.44</v>
      </c>
      <c r="S45" s="97">
        <f t="shared" si="12"/>
        <v>3568.39</v>
      </c>
      <c r="T45" s="97">
        <f t="shared" si="12"/>
        <v>1709.1000000000001</v>
      </c>
      <c r="U45" s="97">
        <f t="shared" si="12"/>
        <v>3159.22</v>
      </c>
      <c r="V45" s="73">
        <f t="shared" si="12"/>
        <v>3159.22</v>
      </c>
      <c r="W45" s="71">
        <v>0</v>
      </c>
      <c r="X45" s="71">
        <v>0</v>
      </c>
      <c r="Y45" s="75">
        <v>0</v>
      </c>
      <c r="Z45" s="71">
        <f>Y45*Valores!$C$2</f>
        <v>0</v>
      </c>
      <c r="AA45" s="71">
        <v>0</v>
      </c>
      <c r="AB45" s="73">
        <f>Valores!$C$29</f>
        <v>184.78</v>
      </c>
      <c r="AC45" s="71">
        <f t="shared" si="6"/>
        <v>0</v>
      </c>
      <c r="AD45" s="73">
        <f>Valores!$C$30</f>
        <v>184.78</v>
      </c>
      <c r="AE45" s="75">
        <v>0</v>
      </c>
      <c r="AF45" s="71">
        <f>INT(((AE45*Valores!$C$2)*100)+0.5)/100</f>
        <v>0</v>
      </c>
      <c r="AG45" s="71">
        <f>Valores!$C$58</f>
        <v>375.86</v>
      </c>
      <c r="AH45" s="71">
        <f>Valores!$C$60</f>
        <v>107.38</v>
      </c>
      <c r="AI45" s="77">
        <f t="shared" si="7"/>
        <v>40513.88999999999</v>
      </c>
      <c r="AJ45" s="73">
        <f>Valores!$C$35</f>
        <v>876.57</v>
      </c>
      <c r="AK45" s="73">
        <f>AK87+AK305</f>
        <v>0</v>
      </c>
      <c r="AL45" s="73">
        <f>AL87+AL305</f>
        <v>1500</v>
      </c>
      <c r="AM45" s="73">
        <v>1400</v>
      </c>
      <c r="AN45" s="73">
        <f>AN87+AN305</f>
        <v>157.49</v>
      </c>
      <c r="AO45" s="78">
        <f t="shared" si="8"/>
        <v>2376.57</v>
      </c>
      <c r="AP45" s="79">
        <f>AI45*-Valores!$C$65</f>
        <v>-5266.805699999999</v>
      </c>
      <c r="AQ45" s="79">
        <f>AI45*-Valores!$C$66</f>
        <v>-202.56944999999996</v>
      </c>
      <c r="AR45" s="73">
        <f>AI45*-Valores!$C$67</f>
        <v>-1823.1250499999996</v>
      </c>
      <c r="AS45" s="73">
        <f>AI45*-Valores!$C$68</f>
        <v>-1093.8750299999997</v>
      </c>
      <c r="AT45" s="73">
        <f>AI45*-Valores!$C$69</f>
        <v>-121.54166999999998</v>
      </c>
      <c r="AU45" s="77">
        <f t="shared" si="4"/>
        <v>35597.95979999999</v>
      </c>
      <c r="AV45" s="77">
        <f t="shared" si="5"/>
        <v>36205.66814999999</v>
      </c>
      <c r="AW45" s="73">
        <f>AI45*Valores!$C$71</f>
        <v>6482.222399999999</v>
      </c>
      <c r="AX45" s="73">
        <f>AI45*Valores!$C$72</f>
        <v>1823.1250499999996</v>
      </c>
      <c r="AY45" s="73">
        <f>AI45*Valores!$C$73</f>
        <v>405.1388999999999</v>
      </c>
      <c r="AZ45" s="73">
        <f>AI45*Valores!$C$75</f>
        <v>1417.98615</v>
      </c>
      <c r="BA45" s="73">
        <f>AI45*Valores!$C$76</f>
        <v>243.08333999999996</v>
      </c>
      <c r="BB45" s="73">
        <f t="shared" si="9"/>
        <v>2187.75006</v>
      </c>
      <c r="BC45" s="47"/>
      <c r="BD45" s="47"/>
      <c r="BE45" s="24" t="s">
        <v>8</v>
      </c>
    </row>
    <row r="46" spans="1:57" s="24" customFormat="1" ht="11.25" customHeight="1">
      <c r="A46" s="81">
        <v>45</v>
      </c>
      <c r="B46" s="81" t="s">
        <v>163</v>
      </c>
      <c r="C46" s="82" t="s">
        <v>233</v>
      </c>
      <c r="D46" s="82"/>
      <c r="E46" s="82">
        <f t="shared" si="0"/>
        <v>33</v>
      </c>
      <c r="F46" s="83" t="s">
        <v>234</v>
      </c>
      <c r="G46" s="84">
        <f>G54+G239</f>
        <v>572</v>
      </c>
      <c r="H46" s="85">
        <f>INT((G46*Valores!$C$2*100)+0.5)/100</f>
        <v>4375.29</v>
      </c>
      <c r="I46" s="99">
        <f>I54+I239</f>
        <v>2686</v>
      </c>
      <c r="J46" s="87">
        <f>INT((I46*Valores!$C$2*100)+0.5)/100</f>
        <v>20545.48</v>
      </c>
      <c r="K46" s="100">
        <v>0</v>
      </c>
      <c r="L46" s="87">
        <f>INT((K46*Valores!$C$2*100)+0.5)/100</f>
        <v>0</v>
      </c>
      <c r="M46" s="101">
        <v>0</v>
      </c>
      <c r="N46" s="87">
        <f>INT((M46*Valores!$C$2*100)+0.5)/100</f>
        <v>0</v>
      </c>
      <c r="O46" s="87">
        <f t="shared" si="1"/>
        <v>4535.8305</v>
      </c>
      <c r="P46" s="87">
        <f t="shared" si="2"/>
        <v>0</v>
      </c>
      <c r="Q46" s="87">
        <f>Q54+Q239</f>
        <v>6058.15</v>
      </c>
      <c r="R46" s="89">
        <f>Valores!$D$4</f>
        <v>3421.44</v>
      </c>
      <c r="S46" s="87">
        <f>S54+S239</f>
        <v>3568.39</v>
      </c>
      <c r="T46" s="90">
        <f>T54+T239</f>
        <v>1768.04</v>
      </c>
      <c r="U46" s="87">
        <f>U54+U239</f>
        <v>3550.06</v>
      </c>
      <c r="V46" s="87">
        <f aca="true" t="shared" si="13" ref="V46:V109">U46*(1+$J$2)</f>
        <v>3550.06</v>
      </c>
      <c r="W46" s="87">
        <v>0</v>
      </c>
      <c r="X46" s="87">
        <v>0</v>
      </c>
      <c r="Y46" s="91">
        <v>0</v>
      </c>
      <c r="Z46" s="87">
        <f>Y46*Valores!$C$2</f>
        <v>0</v>
      </c>
      <c r="AA46" s="87">
        <v>0</v>
      </c>
      <c r="AB46" s="87">
        <f>AB54+AB239</f>
        <v>229.18</v>
      </c>
      <c r="AC46" s="87">
        <f t="shared" si="6"/>
        <v>0</v>
      </c>
      <c r="AD46" s="87">
        <f>Valores!$C$30</f>
        <v>184.78</v>
      </c>
      <c r="AE46" s="91">
        <v>0</v>
      </c>
      <c r="AF46" s="87">
        <f>INT(((AE46*Valores!$C$2)*100)+0.5)/100</f>
        <v>0</v>
      </c>
      <c r="AG46" s="92">
        <f>AG54+AG239</f>
        <v>526.22</v>
      </c>
      <c r="AH46" s="92">
        <f>AH54+AH239</f>
        <v>150.34</v>
      </c>
      <c r="AI46" s="93">
        <f t="shared" si="7"/>
        <v>48913.2005</v>
      </c>
      <c r="AJ46" s="92">
        <f>AJ54+AJ239</f>
        <v>1227.21</v>
      </c>
      <c r="AK46" s="90">
        <f>AK54+AK239</f>
        <v>0</v>
      </c>
      <c r="AL46" s="87">
        <f>AL54+AL239</f>
        <v>2250</v>
      </c>
      <c r="AM46" s="87">
        <f>AM54+AM239</f>
        <v>1820</v>
      </c>
      <c r="AN46" s="90">
        <f>AN54+AN239</f>
        <v>220.49</v>
      </c>
      <c r="AO46" s="94">
        <f t="shared" si="8"/>
        <v>3477.21</v>
      </c>
      <c r="AP46" s="95">
        <f>AI46*-Valores!$C$65</f>
        <v>-6358.7160650000005</v>
      </c>
      <c r="AQ46" s="95">
        <f>AI46*-Valores!$C$66</f>
        <v>-244.5660025</v>
      </c>
      <c r="AR46" s="89">
        <f>AI46*-Valores!$C$67</f>
        <v>-2201.0940225</v>
      </c>
      <c r="AS46" s="89">
        <f>AI46*-Valores!$C$68</f>
        <v>-1320.6564134999999</v>
      </c>
      <c r="AT46" s="89">
        <f>AI46*-Valores!$C$69</f>
        <v>-146.7396015</v>
      </c>
      <c r="AU46" s="93">
        <f t="shared" si="4"/>
        <v>43586.03440999999</v>
      </c>
      <c r="AV46" s="93">
        <f t="shared" si="5"/>
        <v>44319.732417499996</v>
      </c>
      <c r="AW46" s="89">
        <f>AI46*Valores!$C$71</f>
        <v>7826.11208</v>
      </c>
      <c r="AX46" s="89">
        <f>AI46*Valores!$C$72</f>
        <v>2201.0940225</v>
      </c>
      <c r="AY46" s="89">
        <f>AI46*Valores!$C$73</f>
        <v>489.132005</v>
      </c>
      <c r="AZ46" s="89">
        <f>AI46*Valores!$C$75</f>
        <v>1711.9620175000002</v>
      </c>
      <c r="BA46" s="89">
        <f>AI46*Valores!$C$76</f>
        <v>293.479203</v>
      </c>
      <c r="BB46" s="89">
        <f t="shared" si="9"/>
        <v>2641.312827</v>
      </c>
      <c r="BC46" s="81"/>
      <c r="BD46" s="81"/>
      <c r="BE46" s="82" t="s">
        <v>8</v>
      </c>
    </row>
    <row r="47" spans="1:57" s="24" customFormat="1" ht="11.25" customHeight="1">
      <c r="A47" s="47">
        <v>46</v>
      </c>
      <c r="B47" s="47"/>
      <c r="C47" s="24" t="s">
        <v>235</v>
      </c>
      <c r="E47" s="24">
        <f t="shared" si="0"/>
        <v>33</v>
      </c>
      <c r="F47" s="67" t="s">
        <v>236</v>
      </c>
      <c r="G47" s="68">
        <v>108</v>
      </c>
      <c r="H47" s="69">
        <f>INT((G47*Valores!$C$2*100)+0.5)/100</f>
        <v>826.1</v>
      </c>
      <c r="I47" s="70">
        <v>2907</v>
      </c>
      <c r="J47" s="71">
        <f>INT((I47*Valores!$C$2*100)+0.5)/100</f>
        <v>22235.93</v>
      </c>
      <c r="K47" s="98">
        <v>0</v>
      </c>
      <c r="L47" s="71">
        <f>INT((K47*Valores!$C$2*100)+0.5)/100</f>
        <v>0</v>
      </c>
      <c r="M47" s="68">
        <v>0</v>
      </c>
      <c r="N47" s="71">
        <f>INT((M47*Valores!$C$2*100)+0.5)/100</f>
        <v>0</v>
      </c>
      <c r="O47" s="71">
        <f t="shared" si="1"/>
        <v>4145.3475</v>
      </c>
      <c r="P47" s="71">
        <f t="shared" si="2"/>
        <v>0</v>
      </c>
      <c r="Q47" s="73">
        <f>Valores!$C$16</f>
        <v>4949.59</v>
      </c>
      <c r="R47" s="73">
        <f>Valores!$D$4</f>
        <v>3421.44</v>
      </c>
      <c r="S47" s="97">
        <f>Valores!$C$26</f>
        <v>3568.39</v>
      </c>
      <c r="T47" s="102">
        <f>Valores!$C$42</f>
        <v>1414.4</v>
      </c>
      <c r="U47" s="71">
        <f>Valores!$C$23</f>
        <v>3159.22</v>
      </c>
      <c r="V47" s="71">
        <f t="shared" si="13"/>
        <v>3159.22</v>
      </c>
      <c r="W47" s="71">
        <v>0</v>
      </c>
      <c r="X47" s="71">
        <v>0</v>
      </c>
      <c r="Y47" s="75">
        <v>0</v>
      </c>
      <c r="Z47" s="71">
        <f>Y47*Valores!$C$2</f>
        <v>0</v>
      </c>
      <c r="AA47" s="71">
        <v>0</v>
      </c>
      <c r="AB47" s="76">
        <f>Valores!$C$29</f>
        <v>184.78</v>
      </c>
      <c r="AC47" s="71">
        <f t="shared" si="6"/>
        <v>0</v>
      </c>
      <c r="AD47" s="71">
        <f>Valores!$C$30</f>
        <v>184.78</v>
      </c>
      <c r="AE47" s="75">
        <v>0</v>
      </c>
      <c r="AF47" s="71">
        <f>INT(((AE47*Valores!$C$2)*100)+0.5)/100</f>
        <v>0</v>
      </c>
      <c r="AG47" s="71">
        <f>Valores!$C$58</f>
        <v>375.86</v>
      </c>
      <c r="AH47" s="71">
        <f>Valores!$C$60</f>
        <v>107.38</v>
      </c>
      <c r="AI47" s="77">
        <f t="shared" si="7"/>
        <v>44573.2175</v>
      </c>
      <c r="AJ47" s="73">
        <f>Valores!$C$35</f>
        <v>876.57</v>
      </c>
      <c r="AK47" s="74">
        <f>Valores!$C$8</f>
        <v>0</v>
      </c>
      <c r="AL47" s="74">
        <f>Valores!$C$82</f>
        <v>1800</v>
      </c>
      <c r="AM47" s="74">
        <v>1400</v>
      </c>
      <c r="AN47" s="76">
        <f>Valores!$C$51</f>
        <v>157.49</v>
      </c>
      <c r="AO47" s="78">
        <f t="shared" si="8"/>
        <v>2676.57</v>
      </c>
      <c r="AP47" s="79">
        <f>AI47*-Valores!$C$65</f>
        <v>-5794.518275</v>
      </c>
      <c r="AQ47" s="79">
        <f>AI47*-Valores!$C$66</f>
        <v>-222.8660875</v>
      </c>
      <c r="AR47" s="73">
        <f>AI47*-Valores!$C$67</f>
        <v>-2005.7947875</v>
      </c>
      <c r="AS47" s="73">
        <f>AI47*-Valores!$C$68</f>
        <v>-1203.4768725</v>
      </c>
      <c r="AT47" s="73">
        <f>AI47*-Valores!$C$69</f>
        <v>-133.7196525</v>
      </c>
      <c r="AU47" s="77">
        <f t="shared" si="4"/>
        <v>39226.608349999995</v>
      </c>
      <c r="AV47" s="77">
        <f t="shared" si="5"/>
        <v>39895.20661249999</v>
      </c>
      <c r="AW47" s="73">
        <f>AI47*Valores!$C$71</f>
        <v>7131.7148</v>
      </c>
      <c r="AX47" s="73">
        <f>AI47*Valores!$C$72</f>
        <v>2005.7947875</v>
      </c>
      <c r="AY47" s="73">
        <f>AI47*Valores!$C$73</f>
        <v>445.732175</v>
      </c>
      <c r="AZ47" s="73">
        <f>AI47*Valores!$C$75</f>
        <v>1560.0626125000001</v>
      </c>
      <c r="BA47" s="73">
        <f>AI47*Valores!$C$76</f>
        <v>267.439305</v>
      </c>
      <c r="BB47" s="73">
        <f t="shared" si="9"/>
        <v>2406.9537450000003</v>
      </c>
      <c r="BC47" s="47"/>
      <c r="BD47" s="47">
        <v>30</v>
      </c>
      <c r="BE47" s="24" t="s">
        <v>4</v>
      </c>
    </row>
    <row r="48" spans="1:57" s="24" customFormat="1" ht="11.25" customHeight="1">
      <c r="A48" s="47">
        <v>47</v>
      </c>
      <c r="B48" s="47"/>
      <c r="C48" s="24" t="s">
        <v>237</v>
      </c>
      <c r="E48" s="24">
        <f t="shared" si="0"/>
        <v>33</v>
      </c>
      <c r="F48" s="67" t="s">
        <v>238</v>
      </c>
      <c r="G48" s="68">
        <v>88</v>
      </c>
      <c r="H48" s="69">
        <f>INT((G48*Valores!$C$2*100)+0.5)/100</f>
        <v>673.12</v>
      </c>
      <c r="I48" s="70">
        <v>2622</v>
      </c>
      <c r="J48" s="71">
        <f>INT((I48*Valores!$C$2*100)+0.5)/100</f>
        <v>20055.94</v>
      </c>
      <c r="K48" s="98">
        <v>0</v>
      </c>
      <c r="L48" s="71">
        <f>INT((K48*Valores!$C$2*100)+0.5)/100</f>
        <v>0</v>
      </c>
      <c r="M48" s="96">
        <v>0</v>
      </c>
      <c r="N48" s="71">
        <f>INT((M48*Valores!$C$2*100)+0.5)/100</f>
        <v>0</v>
      </c>
      <c r="O48" s="71">
        <f t="shared" si="1"/>
        <v>3795.402</v>
      </c>
      <c r="P48" s="71">
        <f t="shared" si="2"/>
        <v>0</v>
      </c>
      <c r="Q48" s="73">
        <f>Valores!$C$16</f>
        <v>4949.59</v>
      </c>
      <c r="R48" s="73">
        <f>Valores!$D$4</f>
        <v>3421.44</v>
      </c>
      <c r="S48" s="97">
        <f>Valores!$C$26</f>
        <v>3568.39</v>
      </c>
      <c r="T48" s="102">
        <f>Valores!$C$42</f>
        <v>1414.4</v>
      </c>
      <c r="U48" s="71">
        <f>Valores!$C$23</f>
        <v>3159.22</v>
      </c>
      <c r="V48" s="71">
        <f t="shared" si="13"/>
        <v>3159.22</v>
      </c>
      <c r="W48" s="71">
        <v>0</v>
      </c>
      <c r="X48" s="71">
        <v>0</v>
      </c>
      <c r="Y48" s="75">
        <v>0</v>
      </c>
      <c r="Z48" s="71">
        <f>Y48*Valores!$C$2</f>
        <v>0</v>
      </c>
      <c r="AA48" s="71">
        <v>0</v>
      </c>
      <c r="AB48" s="76">
        <f>Valores!$C$29</f>
        <v>184.78</v>
      </c>
      <c r="AC48" s="71">
        <f t="shared" si="6"/>
        <v>0</v>
      </c>
      <c r="AD48" s="71">
        <f>Valores!$C$30</f>
        <v>184.78</v>
      </c>
      <c r="AE48" s="75">
        <v>0</v>
      </c>
      <c r="AF48" s="71">
        <f>INT(((AE48*Valores!$C$2)*100)+0.5)/100</f>
        <v>0</v>
      </c>
      <c r="AG48" s="71">
        <f>Valores!$C$58</f>
        <v>375.86</v>
      </c>
      <c r="AH48" s="71">
        <f>Valores!$C$60</f>
        <v>107.38</v>
      </c>
      <c r="AI48" s="77">
        <f t="shared" si="7"/>
        <v>41890.301999999996</v>
      </c>
      <c r="AJ48" s="73">
        <f>Valores!$C$35</f>
        <v>876.57</v>
      </c>
      <c r="AK48" s="74">
        <f>Valores!$C$8</f>
        <v>0</v>
      </c>
      <c r="AL48" s="74">
        <f>Valores!$C$82</f>
        <v>1800</v>
      </c>
      <c r="AM48" s="74">
        <v>1400</v>
      </c>
      <c r="AN48" s="76">
        <f>Valores!$C$51</f>
        <v>157.49</v>
      </c>
      <c r="AO48" s="78">
        <f t="shared" si="8"/>
        <v>2676.57</v>
      </c>
      <c r="AP48" s="79">
        <f>AI48*-Valores!$C$65</f>
        <v>-5445.739259999999</v>
      </c>
      <c r="AQ48" s="79">
        <f>AI48*-Valores!$C$66</f>
        <v>-209.45150999999998</v>
      </c>
      <c r="AR48" s="73">
        <f>AI48*-Valores!$C$67</f>
        <v>-1885.0635899999997</v>
      </c>
      <c r="AS48" s="73">
        <f>AI48*-Valores!$C$68</f>
        <v>-1131.0381539999998</v>
      </c>
      <c r="AT48" s="73">
        <f>AI48*-Valores!$C$69</f>
        <v>-125.67090599999999</v>
      </c>
      <c r="AU48" s="77">
        <f t="shared" si="4"/>
        <v>37026.61764</v>
      </c>
      <c r="AV48" s="77">
        <f t="shared" si="5"/>
        <v>37654.972169999994</v>
      </c>
      <c r="AW48" s="73">
        <f>AI48*Valores!$C$71</f>
        <v>6702.4483199999995</v>
      </c>
      <c r="AX48" s="73">
        <f>AI48*Valores!$C$72</f>
        <v>1885.0635899999997</v>
      </c>
      <c r="AY48" s="73">
        <f>AI48*Valores!$C$73</f>
        <v>418.90301999999997</v>
      </c>
      <c r="AZ48" s="73">
        <f>AI48*Valores!$C$75</f>
        <v>1466.16057</v>
      </c>
      <c r="BA48" s="73">
        <f>AI48*Valores!$C$76</f>
        <v>251.34181199999998</v>
      </c>
      <c r="BB48" s="73">
        <f t="shared" si="9"/>
        <v>2262.0763079999997</v>
      </c>
      <c r="BC48" s="47"/>
      <c r="BD48" s="47">
        <v>30</v>
      </c>
      <c r="BE48" s="24" t="s">
        <v>4</v>
      </c>
    </row>
    <row r="49" spans="1:57" s="24" customFormat="1" ht="11.25" customHeight="1">
      <c r="A49" s="47">
        <v>48</v>
      </c>
      <c r="B49" s="47"/>
      <c r="C49" s="24" t="s">
        <v>239</v>
      </c>
      <c r="E49" s="24">
        <f t="shared" si="0"/>
        <v>31</v>
      </c>
      <c r="F49" s="67" t="s">
        <v>240</v>
      </c>
      <c r="G49" s="68">
        <v>88</v>
      </c>
      <c r="H49" s="69">
        <f>INT((G49*Valores!$C$2*100)+0.5)/100</f>
        <v>673.12</v>
      </c>
      <c r="I49" s="70">
        <v>2622</v>
      </c>
      <c r="J49" s="71">
        <f>INT((I49*Valores!$C$2*100)+0.5)/100</f>
        <v>20055.94</v>
      </c>
      <c r="K49" s="98">
        <v>0</v>
      </c>
      <c r="L49" s="71">
        <f>INT((K49*Valores!$C$2*100)+0.5)/100</f>
        <v>0</v>
      </c>
      <c r="M49" s="96">
        <v>0</v>
      </c>
      <c r="N49" s="71">
        <f>INT((M49*Valores!$C$2*100)+0.5)/100</f>
        <v>0</v>
      </c>
      <c r="O49" s="71">
        <f t="shared" si="1"/>
        <v>3795.402</v>
      </c>
      <c r="P49" s="71">
        <f t="shared" si="2"/>
        <v>0</v>
      </c>
      <c r="Q49" s="73">
        <f>Valores!$C$16</f>
        <v>4949.59</v>
      </c>
      <c r="R49" s="73">
        <f>Valores!$D$4</f>
        <v>3421.44</v>
      </c>
      <c r="S49" s="71">
        <f>Valores!$C$26</f>
        <v>3568.39</v>
      </c>
      <c r="T49" s="74">
        <f>Valores!$C$42</f>
        <v>1414.4</v>
      </c>
      <c r="U49" s="71">
        <f>Valores!$C$23</f>
        <v>3159.22</v>
      </c>
      <c r="V49" s="71">
        <f t="shared" si="13"/>
        <v>3159.22</v>
      </c>
      <c r="W49" s="71">
        <v>0</v>
      </c>
      <c r="X49" s="71">
        <v>0</v>
      </c>
      <c r="Y49" s="75">
        <v>0</v>
      </c>
      <c r="Z49" s="71">
        <f>Y49*Valores!$C$2</f>
        <v>0</v>
      </c>
      <c r="AA49" s="71">
        <v>0</v>
      </c>
      <c r="AB49" s="76">
        <f>Valores!$C$29</f>
        <v>184.78</v>
      </c>
      <c r="AC49" s="71">
        <f t="shared" si="6"/>
        <v>0</v>
      </c>
      <c r="AD49" s="71">
        <f>Valores!$C$30</f>
        <v>184.78</v>
      </c>
      <c r="AE49" s="75">
        <v>0</v>
      </c>
      <c r="AF49" s="71">
        <f>INT(((AE49*Valores!$C$2)*100)+0.5)/100</f>
        <v>0</v>
      </c>
      <c r="AG49" s="71">
        <f>Valores!$C$58</f>
        <v>375.86</v>
      </c>
      <c r="AH49" s="71">
        <f>Valores!$C$60</f>
        <v>107.38</v>
      </c>
      <c r="AI49" s="77">
        <f t="shared" si="7"/>
        <v>41890.301999999996</v>
      </c>
      <c r="AJ49" s="73">
        <f>Valores!$C$35</f>
        <v>876.57</v>
      </c>
      <c r="AK49" s="74">
        <f>Valores!$C$8</f>
        <v>0</v>
      </c>
      <c r="AL49" s="74">
        <f>Valores!$C$82</f>
        <v>1800</v>
      </c>
      <c r="AM49" s="74">
        <v>1400</v>
      </c>
      <c r="AN49" s="76">
        <f>Valores!$C$51</f>
        <v>157.49</v>
      </c>
      <c r="AO49" s="78">
        <f t="shared" si="8"/>
        <v>2676.57</v>
      </c>
      <c r="AP49" s="79">
        <f>AI49*-Valores!$C$65</f>
        <v>-5445.739259999999</v>
      </c>
      <c r="AQ49" s="79">
        <f>AI49*-Valores!$C$66</f>
        <v>-209.45150999999998</v>
      </c>
      <c r="AR49" s="73">
        <f>AI49*-Valores!$C$67</f>
        <v>-1885.0635899999997</v>
      </c>
      <c r="AS49" s="73">
        <f>AI49*-Valores!$C$68</f>
        <v>-1131.0381539999998</v>
      </c>
      <c r="AT49" s="73">
        <f>AI49*-Valores!$C$69</f>
        <v>-125.67090599999999</v>
      </c>
      <c r="AU49" s="77">
        <f t="shared" si="4"/>
        <v>37026.61764</v>
      </c>
      <c r="AV49" s="77">
        <f t="shared" si="5"/>
        <v>37654.972169999994</v>
      </c>
      <c r="AW49" s="73">
        <f>AI49*Valores!$C$71</f>
        <v>6702.4483199999995</v>
      </c>
      <c r="AX49" s="73">
        <f>AI49*Valores!$C$72</f>
        <v>1885.0635899999997</v>
      </c>
      <c r="AY49" s="73">
        <f>AI49*Valores!$C$73</f>
        <v>418.90301999999997</v>
      </c>
      <c r="AZ49" s="73">
        <f>AI49*Valores!$C$75</f>
        <v>1466.16057</v>
      </c>
      <c r="BA49" s="73">
        <f>AI49*Valores!$C$76</f>
        <v>251.34181199999998</v>
      </c>
      <c r="BB49" s="73">
        <f t="shared" si="9"/>
        <v>2262.0763079999997</v>
      </c>
      <c r="BC49" s="47"/>
      <c r="BD49" s="47">
        <v>30</v>
      </c>
      <c r="BE49" s="24" t="s">
        <v>4</v>
      </c>
    </row>
    <row r="50" spans="1:57" s="24" customFormat="1" ht="11.25" customHeight="1">
      <c r="A50" s="47">
        <v>49</v>
      </c>
      <c r="B50" s="47"/>
      <c r="C50" s="24" t="s">
        <v>241</v>
      </c>
      <c r="E50" s="24">
        <f t="shared" si="0"/>
        <v>26</v>
      </c>
      <c r="F50" s="67" t="s">
        <v>242</v>
      </c>
      <c r="G50" s="68">
        <v>80</v>
      </c>
      <c r="H50" s="69">
        <f>INT((G50*Valores!$C$2*100)+0.5)/100</f>
        <v>611.93</v>
      </c>
      <c r="I50" s="70">
        <v>2278</v>
      </c>
      <c r="J50" s="71">
        <f>INT((I50*Valores!$C$2*100)+0.5)/100</f>
        <v>17424.65</v>
      </c>
      <c r="K50" s="98">
        <v>0</v>
      </c>
      <c r="L50" s="71">
        <f>INT((K50*Valores!$C$2*100)+0.5)/100</f>
        <v>0</v>
      </c>
      <c r="M50" s="96">
        <v>0</v>
      </c>
      <c r="N50" s="71">
        <f>INT((M50*Valores!$C$2*100)+0.5)/100</f>
        <v>0</v>
      </c>
      <c r="O50" s="71">
        <f t="shared" si="1"/>
        <v>3391.5300000000007</v>
      </c>
      <c r="P50" s="71">
        <f t="shared" si="2"/>
        <v>0</v>
      </c>
      <c r="Q50" s="73">
        <f>Valores!$C$16</f>
        <v>4949.59</v>
      </c>
      <c r="R50" s="73">
        <f>Valores!$D$4</f>
        <v>3421.44</v>
      </c>
      <c r="S50" s="97">
        <f>Valores!$C$26</f>
        <v>3568.39</v>
      </c>
      <c r="T50" s="102">
        <f>Valores!$C$42</f>
        <v>1414.4</v>
      </c>
      <c r="U50" s="71">
        <f>Valores!$C$23</f>
        <v>3159.22</v>
      </c>
      <c r="V50" s="71">
        <f t="shared" si="13"/>
        <v>3159.22</v>
      </c>
      <c r="W50" s="71">
        <v>0</v>
      </c>
      <c r="X50" s="71">
        <v>0</v>
      </c>
      <c r="Y50" s="75">
        <v>0</v>
      </c>
      <c r="Z50" s="71">
        <f>Y50*Valores!$C$2</f>
        <v>0</v>
      </c>
      <c r="AA50" s="71">
        <v>0</v>
      </c>
      <c r="AB50" s="76">
        <f>Valores!$C$29</f>
        <v>184.78</v>
      </c>
      <c r="AC50" s="71">
        <f t="shared" si="6"/>
        <v>0</v>
      </c>
      <c r="AD50" s="71">
        <f>Valores!$C$30</f>
        <v>184.78</v>
      </c>
      <c r="AE50" s="75">
        <v>0</v>
      </c>
      <c r="AF50" s="71">
        <f>INT(((AE50*Valores!$C$2)*100)+0.5)/100</f>
        <v>0</v>
      </c>
      <c r="AG50" s="71">
        <f>Valores!$C$58</f>
        <v>375.86</v>
      </c>
      <c r="AH50" s="71">
        <f>Valores!$C$60</f>
        <v>107.38</v>
      </c>
      <c r="AI50" s="77">
        <f t="shared" si="7"/>
        <v>38793.95</v>
      </c>
      <c r="AJ50" s="73">
        <f>Valores!$C$35</f>
        <v>876.57</v>
      </c>
      <c r="AK50" s="74">
        <f>Valores!$C$8</f>
        <v>0</v>
      </c>
      <c r="AL50" s="74">
        <f>Valores!$C$82</f>
        <v>1800</v>
      </c>
      <c r="AM50" s="74">
        <v>1400</v>
      </c>
      <c r="AN50" s="76">
        <f>Valores!$C$51</f>
        <v>157.49</v>
      </c>
      <c r="AO50" s="78">
        <f t="shared" si="8"/>
        <v>2676.57</v>
      </c>
      <c r="AP50" s="79">
        <f>AI50*-Valores!$C$65</f>
        <v>-5043.2135</v>
      </c>
      <c r="AQ50" s="79">
        <f>AI50*-Valores!$C$66</f>
        <v>-193.96974999999998</v>
      </c>
      <c r="AR50" s="73">
        <f>AI50*-Valores!$C$67</f>
        <v>-1745.7277499999998</v>
      </c>
      <c r="AS50" s="73">
        <f>AI50*-Valores!$C$68</f>
        <v>-1047.4366499999999</v>
      </c>
      <c r="AT50" s="73">
        <f>AI50*-Valores!$C$69</f>
        <v>-116.38185</v>
      </c>
      <c r="AU50" s="77">
        <f t="shared" si="4"/>
        <v>34487.609000000004</v>
      </c>
      <c r="AV50" s="77">
        <f t="shared" si="5"/>
        <v>35069.51825</v>
      </c>
      <c r="AW50" s="73">
        <f>AI50*Valores!$C$71</f>
        <v>6207.031999999999</v>
      </c>
      <c r="AX50" s="73">
        <f>AI50*Valores!$C$72</f>
        <v>1745.7277499999998</v>
      </c>
      <c r="AY50" s="73">
        <f>AI50*Valores!$C$73</f>
        <v>387.93949999999995</v>
      </c>
      <c r="AZ50" s="73">
        <f>AI50*Valores!$C$75</f>
        <v>1357.78825</v>
      </c>
      <c r="BA50" s="73">
        <f>AI50*Valores!$C$76</f>
        <v>232.7637</v>
      </c>
      <c r="BB50" s="73">
        <f t="shared" si="9"/>
        <v>2094.8732999999997</v>
      </c>
      <c r="BC50" s="47"/>
      <c r="BD50" s="47">
        <v>30</v>
      </c>
      <c r="BE50" s="24" t="s">
        <v>4</v>
      </c>
    </row>
    <row r="51" spans="1:57" s="24" customFormat="1" ht="11.25" customHeight="1">
      <c r="A51" s="81">
        <v>50</v>
      </c>
      <c r="B51" s="81" t="s">
        <v>163</v>
      </c>
      <c r="C51" s="82" t="s">
        <v>243</v>
      </c>
      <c r="D51" s="82"/>
      <c r="E51" s="82">
        <f t="shared" si="0"/>
        <v>33</v>
      </c>
      <c r="F51" s="83" t="s">
        <v>244</v>
      </c>
      <c r="G51" s="84">
        <v>100</v>
      </c>
      <c r="H51" s="85">
        <f>INT((G51*Valores!$C$2*100)+0.5)/100</f>
        <v>764.91</v>
      </c>
      <c r="I51" s="86">
        <v>3620</v>
      </c>
      <c r="J51" s="87">
        <f>INT((I51*Valores!$C$2*100)+0.5)/100</f>
        <v>27689.74</v>
      </c>
      <c r="K51" s="100">
        <v>0</v>
      </c>
      <c r="L51" s="87">
        <f>INT((K51*Valores!$C$2*100)+0.5)/100</f>
        <v>0</v>
      </c>
      <c r="M51" s="101">
        <v>0</v>
      </c>
      <c r="N51" s="87">
        <f>INT((M51*Valores!$C$2*100)+0.5)/100</f>
        <v>0</v>
      </c>
      <c r="O51" s="87">
        <f t="shared" si="1"/>
        <v>5060.316</v>
      </c>
      <c r="P51" s="87">
        <f t="shared" si="2"/>
        <v>0</v>
      </c>
      <c r="Q51" s="89">
        <f>Valores!$C$16</f>
        <v>4949.59</v>
      </c>
      <c r="R51" s="89">
        <f>Valores!$D$4</f>
        <v>3421.44</v>
      </c>
      <c r="S51" s="103">
        <f>Valores!$C$26</f>
        <v>3568.39</v>
      </c>
      <c r="T51" s="104">
        <f>Valores!$C$43</f>
        <v>2121.57</v>
      </c>
      <c r="U51" s="87">
        <f>Valores!$C$23</f>
        <v>3159.22</v>
      </c>
      <c r="V51" s="87">
        <f t="shared" si="13"/>
        <v>3159.22</v>
      </c>
      <c r="W51" s="87">
        <v>0</v>
      </c>
      <c r="X51" s="87">
        <v>0</v>
      </c>
      <c r="Y51" s="91">
        <v>0</v>
      </c>
      <c r="Z51" s="87">
        <f>Y51*Valores!$C$2</f>
        <v>0</v>
      </c>
      <c r="AA51" s="87">
        <v>0</v>
      </c>
      <c r="AB51" s="92">
        <f>Valores!$C$29</f>
        <v>184.78</v>
      </c>
      <c r="AC51" s="87">
        <f t="shared" si="6"/>
        <v>0</v>
      </c>
      <c r="AD51" s="87">
        <f>Valores!$C$30</f>
        <v>184.78</v>
      </c>
      <c r="AE51" s="91">
        <v>0</v>
      </c>
      <c r="AF51" s="87">
        <f>INT(((AE51*Valores!$C$2)*100)+0.5)/100</f>
        <v>0</v>
      </c>
      <c r="AG51" s="87">
        <f>Valores!$C$58</f>
        <v>375.86</v>
      </c>
      <c r="AH51" s="87">
        <f>Valores!$C$60</f>
        <v>107.38</v>
      </c>
      <c r="AI51" s="93">
        <f t="shared" si="7"/>
        <v>51587.975999999995</v>
      </c>
      <c r="AJ51" s="89">
        <f>Valores!$C$35</f>
        <v>876.57</v>
      </c>
      <c r="AK51" s="90">
        <f>Valores!$C$9</f>
        <v>0</v>
      </c>
      <c r="AL51" s="90">
        <f>Valores!$C$83</f>
        <v>3000</v>
      </c>
      <c r="AM51" s="90">
        <v>2800</v>
      </c>
      <c r="AN51" s="92">
        <f>Valores!$C$51</f>
        <v>157.49</v>
      </c>
      <c r="AO51" s="94">
        <f t="shared" si="8"/>
        <v>3876.57</v>
      </c>
      <c r="AP51" s="95">
        <f>AI51*-Valores!$C$65</f>
        <v>-6706.436879999999</v>
      </c>
      <c r="AQ51" s="95">
        <f>AI51*-Valores!$C$66</f>
        <v>-257.93987999999996</v>
      </c>
      <c r="AR51" s="89">
        <f>AI51*-Valores!$C$67</f>
        <v>-2321.4589199999996</v>
      </c>
      <c r="AS51" s="89">
        <f>AI51*-Valores!$C$68</f>
        <v>-1392.8753519999998</v>
      </c>
      <c r="AT51" s="89">
        <f>AI51*-Valores!$C$69</f>
        <v>-154.763928</v>
      </c>
      <c r="AU51" s="93">
        <f t="shared" si="4"/>
        <v>46178.71032</v>
      </c>
      <c r="AV51" s="93">
        <f t="shared" si="5"/>
        <v>46952.52995999999</v>
      </c>
      <c r="AW51" s="89">
        <f>AI51*Valores!$C$71</f>
        <v>8254.076159999999</v>
      </c>
      <c r="AX51" s="89">
        <f>AI51*Valores!$C$72</f>
        <v>2321.4589199999996</v>
      </c>
      <c r="AY51" s="89">
        <f>AI51*Valores!$C$73</f>
        <v>515.8797599999999</v>
      </c>
      <c r="AZ51" s="89">
        <f>AI51*Valores!$C$75</f>
        <v>1805.57916</v>
      </c>
      <c r="BA51" s="89">
        <f>AI51*Valores!$C$76</f>
        <v>309.527856</v>
      </c>
      <c r="BB51" s="89">
        <f t="shared" si="9"/>
        <v>2785.7507039999996</v>
      </c>
      <c r="BC51" s="81"/>
      <c r="BD51" s="81"/>
      <c r="BE51" s="82" t="s">
        <v>4</v>
      </c>
    </row>
    <row r="52" spans="1:57" s="24" customFormat="1" ht="11.25" customHeight="1">
      <c r="A52" s="47">
        <v>51</v>
      </c>
      <c r="B52" s="47"/>
      <c r="C52" s="24" t="s">
        <v>245</v>
      </c>
      <c r="E52" s="24">
        <f t="shared" si="0"/>
        <v>33</v>
      </c>
      <c r="F52" s="67" t="s">
        <v>246</v>
      </c>
      <c r="G52" s="68">
        <v>100</v>
      </c>
      <c r="H52" s="69">
        <f>INT((G52*Valores!$C$2*100)+0.5)/100</f>
        <v>764.91</v>
      </c>
      <c r="I52" s="70">
        <v>3560</v>
      </c>
      <c r="J52" s="71">
        <f>INT((I52*Valores!$C$2*100)+0.5)/100</f>
        <v>27230.8</v>
      </c>
      <c r="K52" s="98">
        <v>0</v>
      </c>
      <c r="L52" s="71">
        <f>INT((K52*Valores!$C$2*100)+0.5)/100</f>
        <v>0</v>
      </c>
      <c r="M52" s="96">
        <v>0</v>
      </c>
      <c r="N52" s="71">
        <f>INT((M52*Valores!$C$2*100)+0.5)/100</f>
        <v>0</v>
      </c>
      <c r="O52" s="71">
        <f t="shared" si="1"/>
        <v>4991.474999999999</v>
      </c>
      <c r="P52" s="71">
        <f t="shared" si="2"/>
        <v>0</v>
      </c>
      <c r="Q52" s="73">
        <f>Valores!$C$16</f>
        <v>4949.59</v>
      </c>
      <c r="R52" s="73">
        <f>Valores!$D$4</f>
        <v>3421.44</v>
      </c>
      <c r="S52" s="71">
        <v>0</v>
      </c>
      <c r="T52" s="74">
        <f>Valores!$C$43</f>
        <v>2121.57</v>
      </c>
      <c r="U52" s="71">
        <f>Valores!$C$23</f>
        <v>3159.22</v>
      </c>
      <c r="V52" s="71">
        <f t="shared" si="13"/>
        <v>3159.22</v>
      </c>
      <c r="W52" s="71">
        <v>0</v>
      </c>
      <c r="X52" s="71">
        <v>0</v>
      </c>
      <c r="Y52" s="75">
        <v>0</v>
      </c>
      <c r="Z52" s="71">
        <f>Y52*Valores!$C$2</f>
        <v>0</v>
      </c>
      <c r="AA52" s="71">
        <v>0</v>
      </c>
      <c r="AB52" s="76">
        <f>Valores!$C$29</f>
        <v>184.78</v>
      </c>
      <c r="AC52" s="71">
        <f t="shared" si="6"/>
        <v>0</v>
      </c>
      <c r="AD52" s="71">
        <f>Valores!$C$30</f>
        <v>184.78</v>
      </c>
      <c r="AE52" s="75">
        <v>0</v>
      </c>
      <c r="AF52" s="71">
        <f>INT(((AE52*Valores!$C$2)*100)+0.5)/100</f>
        <v>0</v>
      </c>
      <c r="AG52" s="71">
        <f>Valores!$C$58</f>
        <v>375.86</v>
      </c>
      <c r="AH52" s="71">
        <f>Valores!$C$60</f>
        <v>107.38</v>
      </c>
      <c r="AI52" s="77">
        <f t="shared" si="7"/>
        <v>47491.80499999999</v>
      </c>
      <c r="AJ52" s="73">
        <f>Valores!$C$35</f>
        <v>876.57</v>
      </c>
      <c r="AK52" s="74">
        <f>Valores!$C$9</f>
        <v>0</v>
      </c>
      <c r="AL52" s="74">
        <f>Valores!$C$83</f>
        <v>3000</v>
      </c>
      <c r="AM52" s="74">
        <v>2800</v>
      </c>
      <c r="AN52" s="76">
        <f>Valores!$C$51</f>
        <v>157.49</v>
      </c>
      <c r="AO52" s="78">
        <f t="shared" si="8"/>
        <v>3876.57</v>
      </c>
      <c r="AP52" s="79">
        <f>AI52*-Valores!$C$65</f>
        <v>-6173.934649999999</v>
      </c>
      <c r="AQ52" s="79">
        <f>AI52*-Valores!$C$66</f>
        <v>-237.45902499999997</v>
      </c>
      <c r="AR52" s="73">
        <f>AI52*-Valores!$C$67</f>
        <v>-2137.1312249999996</v>
      </c>
      <c r="AS52" s="73">
        <f>AI52*-Valores!$C$68</f>
        <v>-1282.2787349999999</v>
      </c>
      <c r="AT52" s="73">
        <f>AI52*-Valores!$C$69</f>
        <v>-142.47541499999997</v>
      </c>
      <c r="AU52" s="77">
        <f t="shared" si="4"/>
        <v>42819.850099999996</v>
      </c>
      <c r="AV52" s="77">
        <f t="shared" si="5"/>
        <v>43532.227175</v>
      </c>
      <c r="AW52" s="73">
        <f>AI52*Valores!$C$71</f>
        <v>7598.688799999999</v>
      </c>
      <c r="AX52" s="73">
        <f>AI52*Valores!$C$72</f>
        <v>2137.1312249999996</v>
      </c>
      <c r="AY52" s="73">
        <f>AI52*Valores!$C$73</f>
        <v>474.91804999999994</v>
      </c>
      <c r="AZ52" s="73">
        <f>AI52*Valores!$C$75</f>
        <v>1662.2131749999999</v>
      </c>
      <c r="BA52" s="73">
        <f>AI52*Valores!$C$76</f>
        <v>284.95082999999994</v>
      </c>
      <c r="BB52" s="73">
        <f t="shared" si="9"/>
        <v>2564.5574699999997</v>
      </c>
      <c r="BC52" s="47"/>
      <c r="BD52" s="47"/>
      <c r="BE52" s="24" t="s">
        <v>8</v>
      </c>
    </row>
    <row r="53" spans="1:57" s="24" customFormat="1" ht="11.25" customHeight="1">
      <c r="A53" s="47">
        <v>52</v>
      </c>
      <c r="B53" s="47"/>
      <c r="C53" s="24" t="s">
        <v>247</v>
      </c>
      <c r="E53" s="24">
        <f t="shared" si="0"/>
        <v>33</v>
      </c>
      <c r="F53" s="67" t="s">
        <v>248</v>
      </c>
      <c r="G53" s="68">
        <v>100</v>
      </c>
      <c r="H53" s="69">
        <f>INT((G53*Valores!$C$2*100)+0.5)/100</f>
        <v>764.91</v>
      </c>
      <c r="I53" s="70">
        <v>3360</v>
      </c>
      <c r="J53" s="71">
        <f>INT((I53*Valores!$C$2*100)+0.5)/100</f>
        <v>25700.98</v>
      </c>
      <c r="K53" s="98">
        <v>0</v>
      </c>
      <c r="L53" s="71">
        <f>INT((K53*Valores!$C$2*100)+0.5)/100</f>
        <v>0</v>
      </c>
      <c r="M53" s="96">
        <v>0</v>
      </c>
      <c r="N53" s="71">
        <f>INT((M53*Valores!$C$2*100)+0.5)/100</f>
        <v>0</v>
      </c>
      <c r="O53" s="71">
        <f t="shared" si="1"/>
        <v>4762.0019999999995</v>
      </c>
      <c r="P53" s="71">
        <f t="shared" si="2"/>
        <v>0</v>
      </c>
      <c r="Q53" s="73">
        <f>Valores!$C$16</f>
        <v>4949.59</v>
      </c>
      <c r="R53" s="73">
        <f>Valores!$D$4</f>
        <v>3421.44</v>
      </c>
      <c r="S53" s="97">
        <f>Valores!$C$26</f>
        <v>3568.39</v>
      </c>
      <c r="T53" s="102">
        <f>Valores!$C$43</f>
        <v>2121.57</v>
      </c>
      <c r="U53" s="71">
        <f>Valores!$C$23</f>
        <v>3159.22</v>
      </c>
      <c r="V53" s="71">
        <f t="shared" si="13"/>
        <v>3159.22</v>
      </c>
      <c r="W53" s="71">
        <v>0</v>
      </c>
      <c r="X53" s="71">
        <v>0</v>
      </c>
      <c r="Y53" s="75">
        <v>0</v>
      </c>
      <c r="Z53" s="71">
        <f>Y53*Valores!$C$2</f>
        <v>0</v>
      </c>
      <c r="AA53" s="71">
        <v>0</v>
      </c>
      <c r="AB53" s="76">
        <f>Valores!$C$29</f>
        <v>184.78</v>
      </c>
      <c r="AC53" s="71">
        <f t="shared" si="6"/>
        <v>0</v>
      </c>
      <c r="AD53" s="71">
        <f>Valores!$C$30</f>
        <v>184.78</v>
      </c>
      <c r="AE53" s="75">
        <v>0</v>
      </c>
      <c r="AF53" s="71">
        <f>INT(((AE53*Valores!$C$2)*100)+0.5)/100</f>
        <v>0</v>
      </c>
      <c r="AG53" s="71">
        <f>Valores!$C$58</f>
        <v>375.86</v>
      </c>
      <c r="AH53" s="71">
        <f>Valores!$C$60</f>
        <v>107.38</v>
      </c>
      <c r="AI53" s="77">
        <f t="shared" si="7"/>
        <v>49300.902</v>
      </c>
      <c r="AJ53" s="73">
        <f>Valores!$C$35</f>
        <v>876.57</v>
      </c>
      <c r="AK53" s="74">
        <f>Valores!$C$9</f>
        <v>0</v>
      </c>
      <c r="AL53" s="74">
        <f>Valores!$C$83</f>
        <v>3000</v>
      </c>
      <c r="AM53" s="74">
        <v>2800</v>
      </c>
      <c r="AN53" s="76">
        <f>Valores!$C$51</f>
        <v>157.49</v>
      </c>
      <c r="AO53" s="78">
        <f t="shared" si="8"/>
        <v>3876.57</v>
      </c>
      <c r="AP53" s="79">
        <f>AI53*-Valores!$C$65</f>
        <v>-6409.117260000001</v>
      </c>
      <c r="AQ53" s="79">
        <f>AI53*-Valores!$C$66</f>
        <v>-246.50451</v>
      </c>
      <c r="AR53" s="73">
        <f>AI53*-Valores!$C$67</f>
        <v>-2218.54059</v>
      </c>
      <c r="AS53" s="73">
        <f>AI53*-Valores!$C$68</f>
        <v>-1331.124354</v>
      </c>
      <c r="AT53" s="73">
        <f>AI53*-Valores!$C$69</f>
        <v>-147.902706</v>
      </c>
      <c r="AU53" s="77">
        <f t="shared" si="4"/>
        <v>44303.30964000001</v>
      </c>
      <c r="AV53" s="77">
        <f t="shared" si="5"/>
        <v>45042.82317</v>
      </c>
      <c r="AW53" s="73">
        <f>AI53*Valores!$C$71</f>
        <v>7888.14432</v>
      </c>
      <c r="AX53" s="73">
        <f>AI53*Valores!$C$72</f>
        <v>2218.54059</v>
      </c>
      <c r="AY53" s="73">
        <f>AI53*Valores!$C$73</f>
        <v>493.00902</v>
      </c>
      <c r="AZ53" s="73">
        <f>AI53*Valores!$C$75</f>
        <v>1725.5315700000003</v>
      </c>
      <c r="BA53" s="73">
        <f>AI53*Valores!$C$76</f>
        <v>295.805412</v>
      </c>
      <c r="BB53" s="73">
        <f t="shared" si="9"/>
        <v>2662.2487080000005</v>
      </c>
      <c r="BC53" s="47"/>
      <c r="BD53" s="47"/>
      <c r="BE53" s="24" t="s">
        <v>4</v>
      </c>
    </row>
    <row r="54" spans="1:57" s="24" customFormat="1" ht="11.25" customHeight="1">
      <c r="A54" s="47">
        <v>53</v>
      </c>
      <c r="B54" s="47"/>
      <c r="C54" s="24" t="s">
        <v>249</v>
      </c>
      <c r="E54" s="24">
        <f t="shared" si="0"/>
        <v>25</v>
      </c>
      <c r="F54" s="67" t="s">
        <v>250</v>
      </c>
      <c r="G54" s="68">
        <v>98</v>
      </c>
      <c r="H54" s="69">
        <f>INT((G54*Valores!$C$2*100)+0.5)/100</f>
        <v>749.61</v>
      </c>
      <c r="I54" s="70">
        <v>2686</v>
      </c>
      <c r="J54" s="71">
        <f>INT((I54*Valores!$C$2*100)+0.5)/100</f>
        <v>20545.48</v>
      </c>
      <c r="K54" s="98">
        <v>0</v>
      </c>
      <c r="L54" s="71">
        <f>INT((K54*Valores!$C$2*100)+0.5)/100</f>
        <v>0</v>
      </c>
      <c r="M54" s="96">
        <v>0</v>
      </c>
      <c r="N54" s="71">
        <f>INT((M54*Valores!$C$2*100)+0.5)/100</f>
        <v>0</v>
      </c>
      <c r="O54" s="71">
        <f t="shared" si="1"/>
        <v>3880.3065</v>
      </c>
      <c r="P54" s="71">
        <f t="shared" si="2"/>
        <v>0</v>
      </c>
      <c r="Q54" s="73">
        <f>Valores!$C$16</f>
        <v>4949.59</v>
      </c>
      <c r="R54" s="73">
        <f>Valores!$D$4</f>
        <v>3421.44</v>
      </c>
      <c r="S54" s="71">
        <f>Valores!$C$26</f>
        <v>3568.39</v>
      </c>
      <c r="T54" s="74">
        <f>Valores!$C$42</f>
        <v>1414.4</v>
      </c>
      <c r="U54" s="71">
        <f>Valores!$C$23</f>
        <v>3159.22</v>
      </c>
      <c r="V54" s="71">
        <f t="shared" si="13"/>
        <v>3159.22</v>
      </c>
      <c r="W54" s="71">
        <v>0</v>
      </c>
      <c r="X54" s="71">
        <v>0</v>
      </c>
      <c r="Y54" s="75">
        <v>0</v>
      </c>
      <c r="Z54" s="71">
        <f>Y54*Valores!$C$2</f>
        <v>0</v>
      </c>
      <c r="AA54" s="71">
        <v>0</v>
      </c>
      <c r="AB54" s="76">
        <f>Valores!$C$29</f>
        <v>184.78</v>
      </c>
      <c r="AC54" s="71">
        <f t="shared" si="6"/>
        <v>0</v>
      </c>
      <c r="AD54" s="71">
        <f>Valores!$C$30</f>
        <v>184.78</v>
      </c>
      <c r="AE54" s="75">
        <v>0</v>
      </c>
      <c r="AF54" s="71">
        <f>INT(((AE54*Valores!$C$2)*100)+0.5)/100</f>
        <v>0</v>
      </c>
      <c r="AG54" s="71">
        <f>Valores!$C$58</f>
        <v>375.86</v>
      </c>
      <c r="AH54" s="71">
        <f>Valores!$C$60</f>
        <v>107.38</v>
      </c>
      <c r="AI54" s="77">
        <f t="shared" si="7"/>
        <v>42541.2365</v>
      </c>
      <c r="AJ54" s="73">
        <f>Valores!$C$35</f>
        <v>876.57</v>
      </c>
      <c r="AK54" s="74">
        <f>Valores!$C$8</f>
        <v>0</v>
      </c>
      <c r="AL54" s="74">
        <f>Valores!$C$82</f>
        <v>1800</v>
      </c>
      <c r="AM54" s="74">
        <v>1400</v>
      </c>
      <c r="AN54" s="76">
        <f>Valores!$C$51</f>
        <v>157.49</v>
      </c>
      <c r="AO54" s="78">
        <f t="shared" si="8"/>
        <v>2676.57</v>
      </c>
      <c r="AP54" s="79">
        <f>AI54*-Valores!$C$65</f>
        <v>-5530.360745</v>
      </c>
      <c r="AQ54" s="79">
        <f>AI54*-Valores!$C$66</f>
        <v>-212.7061825</v>
      </c>
      <c r="AR54" s="73">
        <f>AI54*-Valores!$C$67</f>
        <v>-1914.3556425</v>
      </c>
      <c r="AS54" s="73">
        <f>AI54*-Valores!$C$68</f>
        <v>-1148.6133855</v>
      </c>
      <c r="AT54" s="73">
        <f>AI54*-Valores!$C$69</f>
        <v>-127.6237095</v>
      </c>
      <c r="AU54" s="77">
        <f t="shared" si="4"/>
        <v>37560.38393</v>
      </c>
      <c r="AV54" s="77">
        <f t="shared" si="5"/>
        <v>38198.5024775</v>
      </c>
      <c r="AW54" s="73">
        <f>AI54*Valores!$C$71</f>
        <v>6806.59784</v>
      </c>
      <c r="AX54" s="73">
        <f>AI54*Valores!$C$72</f>
        <v>1914.3556425</v>
      </c>
      <c r="AY54" s="73">
        <f>AI54*Valores!$C$73</f>
        <v>425.412365</v>
      </c>
      <c r="AZ54" s="73">
        <f>AI54*Valores!$C$75</f>
        <v>1488.9432775</v>
      </c>
      <c r="BA54" s="73">
        <f>AI54*Valores!$C$76</f>
        <v>255.247419</v>
      </c>
      <c r="BB54" s="73">
        <f t="shared" si="9"/>
        <v>2297.226771</v>
      </c>
      <c r="BC54" s="47"/>
      <c r="BD54" s="47">
        <v>30</v>
      </c>
      <c r="BE54" s="24" t="s">
        <v>4</v>
      </c>
    </row>
    <row r="55" spans="1:57" s="24" customFormat="1" ht="11.25" customHeight="1">
      <c r="A55" s="47">
        <v>54</v>
      </c>
      <c r="B55" s="47"/>
      <c r="C55" s="24" t="s">
        <v>251</v>
      </c>
      <c r="E55" s="24">
        <f t="shared" si="0"/>
        <v>28</v>
      </c>
      <c r="F55" s="67" t="s">
        <v>252</v>
      </c>
      <c r="G55" s="68">
        <v>94</v>
      </c>
      <c r="H55" s="69">
        <f>INT((G55*Valores!$C$2*100)+0.5)/100</f>
        <v>719.02</v>
      </c>
      <c r="I55" s="70">
        <v>2690</v>
      </c>
      <c r="J55" s="71">
        <f>INT((I55*Valores!$C$2*100)+0.5)/100</f>
        <v>20576.08</v>
      </c>
      <c r="K55" s="98">
        <v>0</v>
      </c>
      <c r="L55" s="71">
        <f>INT((K55*Valores!$C$2*100)+0.5)/100</f>
        <v>0</v>
      </c>
      <c r="M55" s="96">
        <v>0</v>
      </c>
      <c r="N55" s="71">
        <f>INT((M55*Valores!$C$2*100)+0.5)/100</f>
        <v>0</v>
      </c>
      <c r="O55" s="71">
        <f t="shared" si="1"/>
        <v>3880.3080000000004</v>
      </c>
      <c r="P55" s="71">
        <f t="shared" si="2"/>
        <v>0</v>
      </c>
      <c r="Q55" s="73">
        <f>Valores!$C$16</f>
        <v>4949.59</v>
      </c>
      <c r="R55" s="73">
        <f>Valores!$D$4</f>
        <v>3421.44</v>
      </c>
      <c r="S55" s="97">
        <f>Valores!$C$26</f>
        <v>3568.39</v>
      </c>
      <c r="T55" s="102">
        <f>Valores!$C$42</f>
        <v>1414.4</v>
      </c>
      <c r="U55" s="71">
        <f>Valores!$C$23</f>
        <v>3159.22</v>
      </c>
      <c r="V55" s="71">
        <f t="shared" si="13"/>
        <v>3159.22</v>
      </c>
      <c r="W55" s="71">
        <v>0</v>
      </c>
      <c r="X55" s="71">
        <v>0</v>
      </c>
      <c r="Y55" s="75">
        <v>0</v>
      </c>
      <c r="Z55" s="71">
        <f>Y55*Valores!$C$2</f>
        <v>0</v>
      </c>
      <c r="AA55" s="71">
        <v>0</v>
      </c>
      <c r="AB55" s="76">
        <f>Valores!$C$29</f>
        <v>184.78</v>
      </c>
      <c r="AC55" s="71">
        <f t="shared" si="6"/>
        <v>0</v>
      </c>
      <c r="AD55" s="71">
        <f>Valores!$C$30</f>
        <v>184.78</v>
      </c>
      <c r="AE55" s="75">
        <v>94</v>
      </c>
      <c r="AF55" s="71">
        <f>INT(((AE55*Valores!$C$2)*100)+0.5)/100</f>
        <v>719.02</v>
      </c>
      <c r="AG55" s="71">
        <f>Valores!$C$58</f>
        <v>375.86</v>
      </c>
      <c r="AH55" s="71">
        <f>Valores!$C$60</f>
        <v>107.38</v>
      </c>
      <c r="AI55" s="77">
        <f t="shared" si="7"/>
        <v>43260.268</v>
      </c>
      <c r="AJ55" s="73">
        <f>Valores!$C$35</f>
        <v>876.57</v>
      </c>
      <c r="AK55" s="74">
        <f>Valores!$C$8</f>
        <v>0</v>
      </c>
      <c r="AL55" s="74">
        <f>Valores!$C$82</f>
        <v>1800</v>
      </c>
      <c r="AM55" s="74">
        <v>1400</v>
      </c>
      <c r="AN55" s="76">
        <f>Valores!$C$51</f>
        <v>157.49</v>
      </c>
      <c r="AO55" s="78">
        <f t="shared" si="8"/>
        <v>2676.57</v>
      </c>
      <c r="AP55" s="79">
        <f>AI55*-Valores!$C$65</f>
        <v>-5623.8348399999995</v>
      </c>
      <c r="AQ55" s="79">
        <f>AI55*-Valores!$C$66</f>
        <v>-216.30133999999998</v>
      </c>
      <c r="AR55" s="73">
        <f>AI55*-Valores!$C$67</f>
        <v>-1946.7120599999998</v>
      </c>
      <c r="AS55" s="73">
        <f>AI55*-Valores!$C$68</f>
        <v>-1168.027236</v>
      </c>
      <c r="AT55" s="73">
        <f>AI55*-Valores!$C$69</f>
        <v>-129.780804</v>
      </c>
      <c r="AU55" s="77">
        <f t="shared" si="4"/>
        <v>38149.98976</v>
      </c>
      <c r="AV55" s="77">
        <f t="shared" si="5"/>
        <v>38798.89377999999</v>
      </c>
      <c r="AW55" s="73">
        <f>AI55*Valores!$C$71</f>
        <v>6921.642879999999</v>
      </c>
      <c r="AX55" s="73">
        <f>AI55*Valores!$C$72</f>
        <v>1946.7120599999998</v>
      </c>
      <c r="AY55" s="73">
        <f>AI55*Valores!$C$73</f>
        <v>432.60267999999996</v>
      </c>
      <c r="AZ55" s="73">
        <f>AI55*Valores!$C$75</f>
        <v>1514.10938</v>
      </c>
      <c r="BA55" s="73">
        <f>AI55*Valores!$C$76</f>
        <v>259.561608</v>
      </c>
      <c r="BB55" s="73">
        <f t="shared" si="9"/>
        <v>2336.054472</v>
      </c>
      <c r="BC55" s="47"/>
      <c r="BD55" s="47">
        <v>25</v>
      </c>
      <c r="BE55" s="24" t="s">
        <v>4</v>
      </c>
    </row>
    <row r="56" spans="1:57" s="24" customFormat="1" ht="11.25" customHeight="1">
      <c r="A56" s="81">
        <v>55</v>
      </c>
      <c r="B56" s="81" t="s">
        <v>163</v>
      </c>
      <c r="C56" s="82" t="s">
        <v>253</v>
      </c>
      <c r="D56" s="82"/>
      <c r="E56" s="82">
        <f t="shared" si="0"/>
        <v>25</v>
      </c>
      <c r="F56" s="83" t="s">
        <v>254</v>
      </c>
      <c r="G56" s="84">
        <v>93</v>
      </c>
      <c r="H56" s="85">
        <f>INT((G56*Valores!$C$2*100)+0.5)/100</f>
        <v>711.37</v>
      </c>
      <c r="I56" s="86">
        <v>2547</v>
      </c>
      <c r="J56" s="87">
        <f>INT((I56*Valores!$C$2*100)+0.5)/100</f>
        <v>19482.26</v>
      </c>
      <c r="K56" s="100">
        <v>0</v>
      </c>
      <c r="L56" s="87">
        <f>INT((K56*Valores!$C$2*100)+0.5)/100</f>
        <v>0</v>
      </c>
      <c r="M56" s="101">
        <v>0</v>
      </c>
      <c r="N56" s="87">
        <f>INT((M56*Valores!$C$2*100)+0.5)/100</f>
        <v>0</v>
      </c>
      <c r="O56" s="87">
        <f t="shared" si="1"/>
        <v>3715.0874999999996</v>
      </c>
      <c r="P56" s="87">
        <f t="shared" si="2"/>
        <v>0</v>
      </c>
      <c r="Q56" s="89">
        <f>Valores!$C$16</f>
        <v>4949.59</v>
      </c>
      <c r="R56" s="89">
        <f>Valores!$D$4</f>
        <v>3421.44</v>
      </c>
      <c r="S56" s="103">
        <f>Valores!$C$26</f>
        <v>3568.39</v>
      </c>
      <c r="T56" s="104">
        <f>Valores!$C$42</f>
        <v>1414.4</v>
      </c>
      <c r="U56" s="87">
        <f>Valores!$C$23</f>
        <v>3159.22</v>
      </c>
      <c r="V56" s="87">
        <f t="shared" si="13"/>
        <v>3159.22</v>
      </c>
      <c r="W56" s="87">
        <v>0</v>
      </c>
      <c r="X56" s="87">
        <v>0</v>
      </c>
      <c r="Y56" s="91">
        <v>0</v>
      </c>
      <c r="Z56" s="87">
        <f>Y56*Valores!$C$2</f>
        <v>0</v>
      </c>
      <c r="AA56" s="87">
        <v>0</v>
      </c>
      <c r="AB56" s="92">
        <f>Valores!$C$29</f>
        <v>184.78</v>
      </c>
      <c r="AC56" s="87">
        <f t="shared" si="6"/>
        <v>0</v>
      </c>
      <c r="AD56" s="87">
        <f>Valores!$C$30</f>
        <v>184.78</v>
      </c>
      <c r="AE56" s="91">
        <v>0</v>
      </c>
      <c r="AF56" s="87">
        <f>INT(((AE56*Valores!$C$2)*100)+0.5)/100</f>
        <v>0</v>
      </c>
      <c r="AG56" s="87">
        <f>Valores!$C$58</f>
        <v>375.86</v>
      </c>
      <c r="AH56" s="87">
        <f>Valores!$C$60</f>
        <v>107.38</v>
      </c>
      <c r="AI56" s="93">
        <f t="shared" si="7"/>
        <v>41274.557499999995</v>
      </c>
      <c r="AJ56" s="89">
        <f>Valores!$C$35</f>
        <v>876.57</v>
      </c>
      <c r="AK56" s="90">
        <f>Valores!$C$8</f>
        <v>0</v>
      </c>
      <c r="AL56" s="90">
        <f>Valores!$C$82</f>
        <v>1800</v>
      </c>
      <c r="AM56" s="74">
        <v>1400</v>
      </c>
      <c r="AN56" s="92">
        <f>Valores!$C$51</f>
        <v>157.49</v>
      </c>
      <c r="AO56" s="94">
        <f t="shared" si="8"/>
        <v>2676.57</v>
      </c>
      <c r="AP56" s="95">
        <f>AI56*-Valores!$C$65</f>
        <v>-5365.692475</v>
      </c>
      <c r="AQ56" s="95">
        <f>AI56*-Valores!$C$66</f>
        <v>-206.3727875</v>
      </c>
      <c r="AR56" s="89">
        <f>AI56*-Valores!$C$67</f>
        <v>-1857.3550874999996</v>
      </c>
      <c r="AS56" s="89">
        <f>AI56*-Valores!$C$68</f>
        <v>-1114.4130524999998</v>
      </c>
      <c r="AT56" s="89">
        <f>AI56*-Valores!$C$69</f>
        <v>-123.82367249999999</v>
      </c>
      <c r="AU56" s="93">
        <f t="shared" si="4"/>
        <v>36521.70715</v>
      </c>
      <c r="AV56" s="93">
        <f t="shared" si="5"/>
        <v>37140.8255125</v>
      </c>
      <c r="AW56" s="89">
        <f>AI56*Valores!$C$71</f>
        <v>6603.9292</v>
      </c>
      <c r="AX56" s="89">
        <f>AI56*Valores!$C$72</f>
        <v>1857.3550874999996</v>
      </c>
      <c r="AY56" s="89">
        <f>AI56*Valores!$C$73</f>
        <v>412.745575</v>
      </c>
      <c r="AZ56" s="89">
        <f>AI56*Valores!$C$75</f>
        <v>1444.6095125</v>
      </c>
      <c r="BA56" s="89">
        <f>AI56*Valores!$C$76</f>
        <v>247.64734499999997</v>
      </c>
      <c r="BB56" s="89">
        <f t="shared" si="9"/>
        <v>2228.8261049999996</v>
      </c>
      <c r="BC56" s="81"/>
      <c r="BD56" s="81">
        <v>30</v>
      </c>
      <c r="BE56" s="82" t="s">
        <v>4</v>
      </c>
    </row>
    <row r="57" spans="1:57" s="24" customFormat="1" ht="11.25" customHeight="1">
      <c r="A57" s="47">
        <v>56</v>
      </c>
      <c r="B57" s="47"/>
      <c r="C57" s="24" t="s">
        <v>255</v>
      </c>
      <c r="E57" s="24">
        <f t="shared" si="0"/>
        <v>28</v>
      </c>
      <c r="F57" s="67" t="s">
        <v>256</v>
      </c>
      <c r="G57" s="68">
        <v>89</v>
      </c>
      <c r="H57" s="69">
        <f>INT((G57*Valores!$C$2*100)+0.5)/100</f>
        <v>680.77</v>
      </c>
      <c r="I57" s="70">
        <v>2551</v>
      </c>
      <c r="J57" s="71">
        <f>INT((I57*Valores!$C$2*100)+0.5)/100</f>
        <v>19512.85</v>
      </c>
      <c r="K57" s="98">
        <v>0</v>
      </c>
      <c r="L57" s="71">
        <f>INT((K57*Valores!$C$2*100)+0.5)/100</f>
        <v>0</v>
      </c>
      <c r="M57" s="96">
        <v>0</v>
      </c>
      <c r="N57" s="71">
        <f>INT((M57*Valores!$C$2*100)+0.5)/100</f>
        <v>0</v>
      </c>
      <c r="O57" s="71">
        <f t="shared" si="1"/>
        <v>3715.0860000000002</v>
      </c>
      <c r="P57" s="71">
        <f t="shared" si="2"/>
        <v>0</v>
      </c>
      <c r="Q57" s="73">
        <f>Valores!$C$16</f>
        <v>4949.59</v>
      </c>
      <c r="R57" s="73">
        <f>Valores!$D$4</f>
        <v>3421.44</v>
      </c>
      <c r="S57" s="97">
        <f>Valores!$C$26</f>
        <v>3568.39</v>
      </c>
      <c r="T57" s="102">
        <f>Valores!$C$42</f>
        <v>1414.4</v>
      </c>
      <c r="U57" s="71">
        <f>Valores!$C$23</f>
        <v>3159.22</v>
      </c>
      <c r="V57" s="71">
        <f t="shared" si="13"/>
        <v>3159.22</v>
      </c>
      <c r="W57" s="71">
        <v>0</v>
      </c>
      <c r="X57" s="71">
        <v>0</v>
      </c>
      <c r="Y57" s="75">
        <v>0</v>
      </c>
      <c r="Z57" s="71">
        <f>Y57*Valores!$C$2</f>
        <v>0</v>
      </c>
      <c r="AA57" s="71">
        <v>0</v>
      </c>
      <c r="AB57" s="76">
        <f>Valores!$C$29</f>
        <v>184.78</v>
      </c>
      <c r="AC57" s="71">
        <f t="shared" si="6"/>
        <v>0</v>
      </c>
      <c r="AD57" s="71">
        <f>Valores!$C$30</f>
        <v>184.78</v>
      </c>
      <c r="AE57" s="75">
        <v>94</v>
      </c>
      <c r="AF57" s="71">
        <f>INT(((AE57*Valores!$C$2)*100)+0.5)/100</f>
        <v>719.02</v>
      </c>
      <c r="AG57" s="71">
        <f>Valores!$C$58</f>
        <v>375.86</v>
      </c>
      <c r="AH57" s="71">
        <f>Valores!$C$60</f>
        <v>107.38</v>
      </c>
      <c r="AI57" s="77">
        <f t="shared" si="7"/>
        <v>41993.56599999999</v>
      </c>
      <c r="AJ57" s="73">
        <f>Valores!$C$35</f>
        <v>876.57</v>
      </c>
      <c r="AK57" s="74">
        <f>Valores!$C$8</f>
        <v>0</v>
      </c>
      <c r="AL57" s="74">
        <f>Valores!$C$82</f>
        <v>1800</v>
      </c>
      <c r="AM57" s="74">
        <v>1400</v>
      </c>
      <c r="AN57" s="76">
        <f>Valores!$C$51</f>
        <v>157.49</v>
      </c>
      <c r="AO57" s="78">
        <f t="shared" si="8"/>
        <v>2676.57</v>
      </c>
      <c r="AP57" s="79">
        <f>AI57*-Valores!$C$65</f>
        <v>-5459.1635799999995</v>
      </c>
      <c r="AQ57" s="79">
        <f>AI57*-Valores!$C$66</f>
        <v>-209.96782999999996</v>
      </c>
      <c r="AR57" s="73">
        <f>AI57*-Valores!$C$67</f>
        <v>-1889.7104699999995</v>
      </c>
      <c r="AS57" s="73">
        <f>AI57*-Valores!$C$68</f>
        <v>-1133.8262819999998</v>
      </c>
      <c r="AT57" s="73">
        <f>AI57*-Valores!$C$69</f>
        <v>-125.98069799999998</v>
      </c>
      <c r="AU57" s="77">
        <f t="shared" si="4"/>
        <v>37111.29411999999</v>
      </c>
      <c r="AV57" s="77">
        <f t="shared" si="5"/>
        <v>37741.19760999999</v>
      </c>
      <c r="AW57" s="73">
        <f>AI57*Valores!$C$71</f>
        <v>6718.970559999999</v>
      </c>
      <c r="AX57" s="73">
        <f>AI57*Valores!$C$72</f>
        <v>1889.7104699999995</v>
      </c>
      <c r="AY57" s="73">
        <f>AI57*Valores!$C$73</f>
        <v>419.9356599999999</v>
      </c>
      <c r="AZ57" s="73">
        <f>AI57*Valores!$C$75</f>
        <v>1469.77481</v>
      </c>
      <c r="BA57" s="73">
        <f>AI57*Valores!$C$76</f>
        <v>251.96139599999995</v>
      </c>
      <c r="BB57" s="73">
        <f t="shared" si="9"/>
        <v>2267.652564</v>
      </c>
      <c r="BC57" s="47"/>
      <c r="BD57" s="47">
        <v>25</v>
      </c>
      <c r="BE57" s="24" t="s">
        <v>4</v>
      </c>
    </row>
    <row r="58" spans="1:57" s="24" customFormat="1" ht="11.25" customHeight="1">
      <c r="A58" s="47">
        <v>57</v>
      </c>
      <c r="B58" s="47"/>
      <c r="C58" s="24" t="s">
        <v>257</v>
      </c>
      <c r="E58" s="24">
        <f t="shared" si="0"/>
        <v>25</v>
      </c>
      <c r="F58" s="67" t="s">
        <v>258</v>
      </c>
      <c r="G58" s="68">
        <v>89</v>
      </c>
      <c r="H58" s="69">
        <f>INT((G58*Valores!$C$2*100)+0.5)/100</f>
        <v>680.77</v>
      </c>
      <c r="I58" s="70">
        <v>2251</v>
      </c>
      <c r="J58" s="71">
        <f>INT((I58*Valores!$C$2*100)+0.5)/100</f>
        <v>17218.12</v>
      </c>
      <c r="K58" s="98">
        <v>0</v>
      </c>
      <c r="L58" s="71">
        <f>INT((K58*Valores!$C$2*100)+0.5)/100</f>
        <v>0</v>
      </c>
      <c r="M58" s="96">
        <v>0</v>
      </c>
      <c r="N58" s="71">
        <f>INT((M58*Valores!$C$2*100)+0.5)/100</f>
        <v>0</v>
      </c>
      <c r="O58" s="71">
        <f t="shared" si="1"/>
        <v>3370.8765000000003</v>
      </c>
      <c r="P58" s="71">
        <f t="shared" si="2"/>
        <v>0</v>
      </c>
      <c r="Q58" s="73">
        <f>Valores!$C$16</f>
        <v>4949.59</v>
      </c>
      <c r="R58" s="73">
        <f>Valores!$D$4</f>
        <v>3421.44</v>
      </c>
      <c r="S58" s="97">
        <f>Valores!$C$26</f>
        <v>3568.39</v>
      </c>
      <c r="T58" s="102">
        <f>Valores!$C$42</f>
        <v>1414.4</v>
      </c>
      <c r="U58" s="71">
        <f>Valores!$C$23</f>
        <v>3159.22</v>
      </c>
      <c r="V58" s="71">
        <f t="shared" si="13"/>
        <v>3159.22</v>
      </c>
      <c r="W58" s="71">
        <v>0</v>
      </c>
      <c r="X58" s="71">
        <v>0</v>
      </c>
      <c r="Y58" s="75">
        <v>0</v>
      </c>
      <c r="Z58" s="71">
        <f>Y58*Valores!$C$2</f>
        <v>0</v>
      </c>
      <c r="AA58" s="71">
        <v>0</v>
      </c>
      <c r="AB58" s="76">
        <f>Valores!$C$29</f>
        <v>184.78</v>
      </c>
      <c r="AC58" s="71">
        <f t="shared" si="6"/>
        <v>0</v>
      </c>
      <c r="AD58" s="71">
        <f>Valores!$C$30</f>
        <v>184.78</v>
      </c>
      <c r="AE58" s="75">
        <v>0</v>
      </c>
      <c r="AF58" s="71">
        <f>INT(((AE58*Valores!$C$2)*100)+0.5)/100</f>
        <v>0</v>
      </c>
      <c r="AG58" s="71">
        <f>Valores!$C$58</f>
        <v>375.86</v>
      </c>
      <c r="AH58" s="71">
        <f>Valores!$C$60</f>
        <v>107.38</v>
      </c>
      <c r="AI58" s="77">
        <f t="shared" si="7"/>
        <v>38635.606499999994</v>
      </c>
      <c r="AJ58" s="73">
        <f>Valores!$C$35</f>
        <v>876.57</v>
      </c>
      <c r="AK58" s="74">
        <f>Valores!$C$8</f>
        <v>0</v>
      </c>
      <c r="AL58" s="74">
        <f>Valores!$C$82</f>
        <v>1800</v>
      </c>
      <c r="AM58" s="74">
        <v>1400</v>
      </c>
      <c r="AN58" s="76">
        <f>Valores!$C$51</f>
        <v>157.49</v>
      </c>
      <c r="AO58" s="78">
        <f t="shared" si="8"/>
        <v>2676.57</v>
      </c>
      <c r="AP58" s="79">
        <f>AI58*-Valores!$C$65</f>
        <v>-5022.628844999999</v>
      </c>
      <c r="AQ58" s="79">
        <f>AI58*-Valores!$C$66</f>
        <v>-193.17803249999997</v>
      </c>
      <c r="AR58" s="73">
        <f>AI58*-Valores!$C$67</f>
        <v>-1738.6022924999997</v>
      </c>
      <c r="AS58" s="73">
        <f>AI58*-Valores!$C$68</f>
        <v>-1043.1613754999998</v>
      </c>
      <c r="AT58" s="73">
        <f>AI58*-Valores!$C$69</f>
        <v>-115.90681949999998</v>
      </c>
      <c r="AU58" s="77">
        <f t="shared" si="4"/>
        <v>34357.767329999995</v>
      </c>
      <c r="AV58" s="77">
        <f t="shared" si="5"/>
        <v>34937.301427499995</v>
      </c>
      <c r="AW58" s="73">
        <f>AI58*Valores!$C$71</f>
        <v>6181.697039999999</v>
      </c>
      <c r="AX58" s="73">
        <f>AI58*Valores!$C$72</f>
        <v>1738.6022924999997</v>
      </c>
      <c r="AY58" s="73">
        <f>AI58*Valores!$C$73</f>
        <v>386.35606499999994</v>
      </c>
      <c r="AZ58" s="73">
        <f>AI58*Valores!$C$75</f>
        <v>1352.2462275</v>
      </c>
      <c r="BA58" s="73">
        <f>AI58*Valores!$C$76</f>
        <v>231.81363899999997</v>
      </c>
      <c r="BB58" s="73">
        <f t="shared" si="9"/>
        <v>2086.3227509999997</v>
      </c>
      <c r="BC58" s="47"/>
      <c r="BD58" s="47">
        <v>30</v>
      </c>
      <c r="BE58" s="24" t="s">
        <v>4</v>
      </c>
    </row>
    <row r="59" spans="1:57" s="24" customFormat="1" ht="11.25" customHeight="1">
      <c r="A59" s="47">
        <v>58</v>
      </c>
      <c r="B59" s="47"/>
      <c r="C59" s="24" t="s">
        <v>259</v>
      </c>
      <c r="E59" s="24">
        <f t="shared" si="0"/>
        <v>28</v>
      </c>
      <c r="F59" s="67" t="s">
        <v>260</v>
      </c>
      <c r="G59" s="68">
        <v>85</v>
      </c>
      <c r="H59" s="69">
        <f>INT((G59*Valores!$C$2*100)+0.5)/100</f>
        <v>650.17</v>
      </c>
      <c r="I59" s="70">
        <v>2255</v>
      </c>
      <c r="J59" s="71">
        <f>INT((I59*Valores!$C$2*100)+0.5)/100</f>
        <v>17248.72</v>
      </c>
      <c r="K59" s="98">
        <v>0</v>
      </c>
      <c r="L59" s="71">
        <f>INT((K59*Valores!$C$2*100)+0.5)/100</f>
        <v>0</v>
      </c>
      <c r="M59" s="96">
        <v>0</v>
      </c>
      <c r="N59" s="71">
        <f>INT((M59*Valores!$C$2*100)+0.5)/100</f>
        <v>0</v>
      </c>
      <c r="O59" s="71">
        <f t="shared" si="1"/>
        <v>3370.8765000000003</v>
      </c>
      <c r="P59" s="71">
        <f t="shared" si="2"/>
        <v>0</v>
      </c>
      <c r="Q59" s="73">
        <f>Valores!$C$16</f>
        <v>4949.59</v>
      </c>
      <c r="R59" s="73">
        <f>Valores!$D$4</f>
        <v>3421.44</v>
      </c>
      <c r="S59" s="71">
        <f>Valores!$C$26</f>
        <v>3568.39</v>
      </c>
      <c r="T59" s="74">
        <f>Valores!$C$42</f>
        <v>1414.4</v>
      </c>
      <c r="U59" s="71">
        <f>Valores!$C$23</f>
        <v>3159.22</v>
      </c>
      <c r="V59" s="71">
        <f t="shared" si="13"/>
        <v>3159.22</v>
      </c>
      <c r="W59" s="71">
        <v>0</v>
      </c>
      <c r="X59" s="71">
        <v>0</v>
      </c>
      <c r="Y59" s="75">
        <v>0</v>
      </c>
      <c r="Z59" s="71">
        <f>Y59*Valores!$C$2</f>
        <v>0</v>
      </c>
      <c r="AA59" s="71">
        <v>0</v>
      </c>
      <c r="AB59" s="76">
        <f>Valores!$C$29</f>
        <v>184.78</v>
      </c>
      <c r="AC59" s="71">
        <f t="shared" si="6"/>
        <v>0</v>
      </c>
      <c r="AD59" s="71">
        <f>Valores!$C$30</f>
        <v>184.78</v>
      </c>
      <c r="AE59" s="75">
        <v>94</v>
      </c>
      <c r="AF59" s="71">
        <f>INT(((AE59*Valores!$C$2)*100)+0.5)/100</f>
        <v>719.02</v>
      </c>
      <c r="AG59" s="71">
        <f>Valores!$C$58</f>
        <v>375.86</v>
      </c>
      <c r="AH59" s="71">
        <f>Valores!$C$60</f>
        <v>107.38</v>
      </c>
      <c r="AI59" s="77">
        <f t="shared" si="7"/>
        <v>39354.62649999999</v>
      </c>
      <c r="AJ59" s="73">
        <f>Valores!$C$35</f>
        <v>876.57</v>
      </c>
      <c r="AK59" s="74">
        <f>Valores!$C$8</f>
        <v>0</v>
      </c>
      <c r="AL59" s="74">
        <f>Valores!$C$82</f>
        <v>1800</v>
      </c>
      <c r="AM59" s="74">
        <v>1400</v>
      </c>
      <c r="AN59" s="76">
        <f>Valores!$C$51</f>
        <v>157.49</v>
      </c>
      <c r="AO59" s="78">
        <f t="shared" si="8"/>
        <v>2676.57</v>
      </c>
      <c r="AP59" s="79">
        <f>AI59*-Valores!$C$65</f>
        <v>-5116.101444999999</v>
      </c>
      <c r="AQ59" s="79">
        <f>AI59*-Valores!$C$66</f>
        <v>-196.77313249999997</v>
      </c>
      <c r="AR59" s="73">
        <f>AI59*-Valores!$C$67</f>
        <v>-1770.9581924999995</v>
      </c>
      <c r="AS59" s="73">
        <f>AI59*-Valores!$C$68</f>
        <v>-1062.5749154999999</v>
      </c>
      <c r="AT59" s="73">
        <f>AI59*-Valores!$C$69</f>
        <v>-118.06387949999997</v>
      </c>
      <c r="AU59" s="77">
        <f t="shared" si="4"/>
        <v>34947.36372999999</v>
      </c>
      <c r="AV59" s="77">
        <f t="shared" si="5"/>
        <v>35537.68312749999</v>
      </c>
      <c r="AW59" s="73">
        <f>AI59*Valores!$C$71</f>
        <v>6296.740239999999</v>
      </c>
      <c r="AX59" s="73">
        <f>AI59*Valores!$C$72</f>
        <v>1770.9581924999995</v>
      </c>
      <c r="AY59" s="73">
        <f>AI59*Valores!$C$73</f>
        <v>393.54626499999995</v>
      </c>
      <c r="AZ59" s="73">
        <f>AI59*Valores!$C$75</f>
        <v>1377.4119274999998</v>
      </c>
      <c r="BA59" s="73">
        <f>AI59*Valores!$C$76</f>
        <v>236.12775899999994</v>
      </c>
      <c r="BB59" s="73">
        <f t="shared" si="9"/>
        <v>2125.1498309999997</v>
      </c>
      <c r="BC59" s="47"/>
      <c r="BD59" s="47">
        <v>25</v>
      </c>
      <c r="BE59" s="24" t="s">
        <v>4</v>
      </c>
    </row>
    <row r="60" spans="1:57" s="24" customFormat="1" ht="11.25" customHeight="1">
      <c r="A60" s="47">
        <v>59</v>
      </c>
      <c r="B60" s="47"/>
      <c r="C60" s="24" t="s">
        <v>261</v>
      </c>
      <c r="E60" s="24">
        <f t="shared" si="0"/>
        <v>33</v>
      </c>
      <c r="F60" s="67" t="s">
        <v>262</v>
      </c>
      <c r="G60" s="68">
        <v>100</v>
      </c>
      <c r="H60" s="69">
        <f>INT((G60*Valores!$C$2*100)+0.5)/100</f>
        <v>764.91</v>
      </c>
      <c r="I60" s="70">
        <v>3180</v>
      </c>
      <c r="J60" s="71">
        <f>INT((I60*Valores!$C$2*100)+0.5)/100</f>
        <v>24324.14</v>
      </c>
      <c r="K60" s="98">
        <v>0</v>
      </c>
      <c r="L60" s="71">
        <f>INT((K60*Valores!$C$2*100)+0.5)/100</f>
        <v>0</v>
      </c>
      <c r="M60" s="96">
        <v>0</v>
      </c>
      <c r="N60" s="71">
        <f>INT((M60*Valores!$C$2*100)+0.5)/100</f>
        <v>0</v>
      </c>
      <c r="O60" s="71">
        <f t="shared" si="1"/>
        <v>4555.476</v>
      </c>
      <c r="P60" s="71">
        <f t="shared" si="2"/>
        <v>0</v>
      </c>
      <c r="Q60" s="73">
        <f>Valores!$C$16</f>
        <v>4949.59</v>
      </c>
      <c r="R60" s="73">
        <f>Valores!$D$4</f>
        <v>3421.44</v>
      </c>
      <c r="S60" s="97">
        <f>Valores!$C$26</f>
        <v>3568.39</v>
      </c>
      <c r="T60" s="102">
        <f>Valores!$C$43</f>
        <v>2121.57</v>
      </c>
      <c r="U60" s="71">
        <f>Valores!$C$23</f>
        <v>3159.22</v>
      </c>
      <c r="V60" s="71">
        <f t="shared" si="13"/>
        <v>3159.22</v>
      </c>
      <c r="W60" s="71">
        <v>0</v>
      </c>
      <c r="X60" s="71">
        <v>0</v>
      </c>
      <c r="Y60" s="75">
        <v>0</v>
      </c>
      <c r="Z60" s="71">
        <f>Y60*Valores!$C$2</f>
        <v>0</v>
      </c>
      <c r="AA60" s="71">
        <v>0</v>
      </c>
      <c r="AB60" s="76">
        <f>Valores!$C$29</f>
        <v>184.78</v>
      </c>
      <c r="AC60" s="71">
        <f t="shared" si="6"/>
        <v>0</v>
      </c>
      <c r="AD60" s="71">
        <f>Valores!$C$30</f>
        <v>184.78</v>
      </c>
      <c r="AE60" s="75">
        <v>0</v>
      </c>
      <c r="AF60" s="71">
        <f>INT(((AE60*Valores!$C$2)*100)+0.5)/100</f>
        <v>0</v>
      </c>
      <c r="AG60" s="71">
        <f>Valores!$C$58</f>
        <v>375.86</v>
      </c>
      <c r="AH60" s="71">
        <f>Valores!$C$60</f>
        <v>107.38</v>
      </c>
      <c r="AI60" s="77">
        <f t="shared" si="7"/>
        <v>47717.53599999999</v>
      </c>
      <c r="AJ60" s="73">
        <f>Valores!$C$35</f>
        <v>876.57</v>
      </c>
      <c r="AK60" s="74">
        <f>Valores!$C$9</f>
        <v>0</v>
      </c>
      <c r="AL60" s="74">
        <f>Valores!$C$82</f>
        <v>1800</v>
      </c>
      <c r="AM60" s="74">
        <v>1400</v>
      </c>
      <c r="AN60" s="76">
        <f>Valores!$C$51</f>
        <v>157.49</v>
      </c>
      <c r="AO60" s="78">
        <f t="shared" si="8"/>
        <v>2676.57</v>
      </c>
      <c r="AP60" s="79">
        <f>AI60*-Valores!$C$65</f>
        <v>-6203.27968</v>
      </c>
      <c r="AQ60" s="79">
        <f>AI60*-Valores!$C$66</f>
        <v>-238.58767999999998</v>
      </c>
      <c r="AR60" s="73">
        <f>AI60*-Valores!$C$67</f>
        <v>-2147.2891199999995</v>
      </c>
      <c r="AS60" s="73">
        <f>AI60*-Valores!$C$68</f>
        <v>-1288.3734719999998</v>
      </c>
      <c r="AT60" s="73">
        <f>AI60*-Valores!$C$69</f>
        <v>-143.152608</v>
      </c>
      <c r="AU60" s="77">
        <f t="shared" si="4"/>
        <v>41804.949519999995</v>
      </c>
      <c r="AV60" s="77">
        <f t="shared" si="5"/>
        <v>42520.71256</v>
      </c>
      <c r="AW60" s="73">
        <f>AI60*Valores!$C$71</f>
        <v>7634.805759999999</v>
      </c>
      <c r="AX60" s="73">
        <f>AI60*Valores!$C$72</f>
        <v>2147.2891199999995</v>
      </c>
      <c r="AY60" s="73">
        <f>AI60*Valores!$C$73</f>
        <v>477.17535999999996</v>
      </c>
      <c r="AZ60" s="73">
        <f>AI60*Valores!$C$75</f>
        <v>1670.11376</v>
      </c>
      <c r="BA60" s="73">
        <f>AI60*Valores!$C$76</f>
        <v>286.305216</v>
      </c>
      <c r="BB60" s="73">
        <f t="shared" si="9"/>
        <v>2576.746944</v>
      </c>
      <c r="BC60" s="47"/>
      <c r="BD60" s="47"/>
      <c r="BE60" s="24" t="s">
        <v>4</v>
      </c>
    </row>
    <row r="61" spans="1:57" s="24" customFormat="1" ht="11.25" customHeight="1">
      <c r="A61" s="81">
        <v>60</v>
      </c>
      <c r="B61" s="81" t="s">
        <v>163</v>
      </c>
      <c r="C61" s="82" t="s">
        <v>263</v>
      </c>
      <c r="D61" s="82"/>
      <c r="E61" s="82">
        <f t="shared" si="0"/>
        <v>30</v>
      </c>
      <c r="F61" s="83" t="s">
        <v>264</v>
      </c>
      <c r="G61" s="84">
        <v>83</v>
      </c>
      <c r="H61" s="85">
        <f>INT((G61*Valores!$C$2*100)+0.5)/100</f>
        <v>634.88</v>
      </c>
      <c r="I61" s="86">
        <v>2352</v>
      </c>
      <c r="J61" s="87">
        <f>INT((I61*Valores!$C$2*100)+0.5)/100</f>
        <v>17990.68</v>
      </c>
      <c r="K61" s="100">
        <v>0</v>
      </c>
      <c r="L61" s="87">
        <f>INT((K61*Valores!$C$2*100)+0.5)/100</f>
        <v>0</v>
      </c>
      <c r="M61" s="101">
        <v>0</v>
      </c>
      <c r="N61" s="87">
        <f>INT((M61*Valores!$C$2*100)+0.5)/100</f>
        <v>0</v>
      </c>
      <c r="O61" s="87">
        <f t="shared" si="1"/>
        <v>3479.8770000000004</v>
      </c>
      <c r="P61" s="87">
        <f t="shared" si="2"/>
        <v>0</v>
      </c>
      <c r="Q61" s="89">
        <f>Valores!$C$16</f>
        <v>4949.59</v>
      </c>
      <c r="R61" s="89">
        <f>Valores!$D$4</f>
        <v>3421.44</v>
      </c>
      <c r="S61" s="103">
        <f>Valores!$C$26</f>
        <v>3568.39</v>
      </c>
      <c r="T61" s="104">
        <f>Valores!$C$42</f>
        <v>1414.4</v>
      </c>
      <c r="U61" s="87">
        <f>Valores!$C$23</f>
        <v>3159.22</v>
      </c>
      <c r="V61" s="87">
        <f t="shared" si="13"/>
        <v>3159.22</v>
      </c>
      <c r="W61" s="87">
        <v>0</v>
      </c>
      <c r="X61" s="87">
        <v>0</v>
      </c>
      <c r="Y61" s="91">
        <v>0</v>
      </c>
      <c r="Z61" s="87">
        <f>Y61*Valores!$C$2</f>
        <v>0</v>
      </c>
      <c r="AA61" s="87">
        <v>0</v>
      </c>
      <c r="AB61" s="92">
        <f>Valores!$C$29</f>
        <v>184.78</v>
      </c>
      <c r="AC61" s="87">
        <f t="shared" si="6"/>
        <v>0</v>
      </c>
      <c r="AD61" s="87">
        <f>Valores!$C$30</f>
        <v>184.78</v>
      </c>
      <c r="AE61" s="91">
        <v>0</v>
      </c>
      <c r="AF61" s="87">
        <f>INT(((AE61*Valores!$C$2)*100)+0.5)/100</f>
        <v>0</v>
      </c>
      <c r="AG61" s="87">
        <f>Valores!$C$58</f>
        <v>375.86</v>
      </c>
      <c r="AH61" s="87">
        <f>Valores!$C$60</f>
        <v>107.38</v>
      </c>
      <c r="AI61" s="93">
        <f t="shared" si="7"/>
        <v>39471.277</v>
      </c>
      <c r="AJ61" s="89">
        <f>Valores!$C$35</f>
        <v>876.57</v>
      </c>
      <c r="AK61" s="90">
        <f>Valores!$C$8</f>
        <v>0</v>
      </c>
      <c r="AL61" s="90">
        <f>Valores!$C$82</f>
        <v>1800</v>
      </c>
      <c r="AM61" s="74">
        <v>1400</v>
      </c>
      <c r="AN61" s="92">
        <f>Valores!$C$51</f>
        <v>157.49</v>
      </c>
      <c r="AO61" s="94">
        <f t="shared" si="8"/>
        <v>2676.57</v>
      </c>
      <c r="AP61" s="95">
        <f>AI61*-Valores!$C$65</f>
        <v>-5131.26601</v>
      </c>
      <c r="AQ61" s="95">
        <f>AI61*-Valores!$C$66</f>
        <v>-197.35638500000002</v>
      </c>
      <c r="AR61" s="89">
        <f>AI61*-Valores!$C$67</f>
        <v>-1776.207465</v>
      </c>
      <c r="AS61" s="89">
        <f>AI61*-Valores!$C$68</f>
        <v>-1065.724479</v>
      </c>
      <c r="AT61" s="89">
        <f>AI61*-Valores!$C$69</f>
        <v>-118.413831</v>
      </c>
      <c r="AU61" s="93">
        <f t="shared" si="4"/>
        <v>35043.01714</v>
      </c>
      <c r="AV61" s="93">
        <f t="shared" si="5"/>
        <v>35635.08629500001</v>
      </c>
      <c r="AW61" s="89">
        <f>AI61*Valores!$C$71</f>
        <v>6315.404320000001</v>
      </c>
      <c r="AX61" s="89">
        <f>AI61*Valores!$C$72</f>
        <v>1776.207465</v>
      </c>
      <c r="AY61" s="89">
        <f>AI61*Valores!$C$73</f>
        <v>394.71277000000003</v>
      </c>
      <c r="AZ61" s="89">
        <f>AI61*Valores!$C$75</f>
        <v>1381.494695</v>
      </c>
      <c r="BA61" s="89">
        <f>AI61*Valores!$C$76</f>
        <v>236.827662</v>
      </c>
      <c r="BB61" s="89">
        <f t="shared" si="9"/>
        <v>2131.4489580000004</v>
      </c>
      <c r="BC61" s="81"/>
      <c r="BD61" s="81">
        <v>30</v>
      </c>
      <c r="BE61" s="82" t="s">
        <v>4</v>
      </c>
    </row>
    <row r="62" spans="1:57" s="24" customFormat="1" ht="11.25" customHeight="1">
      <c r="A62" s="47">
        <v>61</v>
      </c>
      <c r="B62" s="47"/>
      <c r="C62" s="24" t="s">
        <v>265</v>
      </c>
      <c r="E62" s="24">
        <f t="shared" si="0"/>
        <v>33</v>
      </c>
      <c r="F62" s="67" t="s">
        <v>266</v>
      </c>
      <c r="G62" s="68">
        <v>81</v>
      </c>
      <c r="H62" s="69">
        <f>INT((G62*Valores!$C$2*100)+0.5)/100</f>
        <v>619.58</v>
      </c>
      <c r="I62" s="70">
        <v>2354</v>
      </c>
      <c r="J62" s="71">
        <f>INT((I62*Valores!$C$2*100)+0.5)/100</f>
        <v>18005.98</v>
      </c>
      <c r="K62" s="98">
        <v>0</v>
      </c>
      <c r="L62" s="71">
        <f>INT((K62*Valores!$C$2*100)+0.5)/100</f>
        <v>0</v>
      </c>
      <c r="M62" s="96">
        <v>0</v>
      </c>
      <c r="N62" s="71">
        <f>INT((M62*Valores!$C$2*100)+0.5)/100</f>
        <v>0</v>
      </c>
      <c r="O62" s="71">
        <f t="shared" si="1"/>
        <v>3479.8770000000004</v>
      </c>
      <c r="P62" s="71">
        <f t="shared" si="2"/>
        <v>0</v>
      </c>
      <c r="Q62" s="73">
        <f>Valores!$C$16</f>
        <v>4949.59</v>
      </c>
      <c r="R62" s="73">
        <f>Valores!$D$4</f>
        <v>3421.44</v>
      </c>
      <c r="S62" s="97">
        <f>Valores!$C$26</f>
        <v>3568.39</v>
      </c>
      <c r="T62" s="102">
        <f>Valores!$C$42</f>
        <v>1414.4</v>
      </c>
      <c r="U62" s="71">
        <f>Valores!$C$23</f>
        <v>3159.22</v>
      </c>
      <c r="V62" s="71">
        <f t="shared" si="13"/>
        <v>3159.22</v>
      </c>
      <c r="W62" s="71">
        <v>0</v>
      </c>
      <c r="X62" s="71">
        <v>0</v>
      </c>
      <c r="Y62" s="75">
        <v>0</v>
      </c>
      <c r="Z62" s="71">
        <f>Y62*Valores!$C$2</f>
        <v>0</v>
      </c>
      <c r="AA62" s="71">
        <v>0</v>
      </c>
      <c r="AB62" s="76">
        <f>Valores!$C$29</f>
        <v>184.78</v>
      </c>
      <c r="AC62" s="71">
        <f t="shared" si="6"/>
        <v>0</v>
      </c>
      <c r="AD62" s="71">
        <f>Valores!$C$30</f>
        <v>184.78</v>
      </c>
      <c r="AE62" s="75">
        <v>94</v>
      </c>
      <c r="AF62" s="71">
        <f>INT(((AE62*Valores!$C$2)*100)+0.5)/100</f>
        <v>719.02</v>
      </c>
      <c r="AG62" s="71">
        <f>Valores!$C$58</f>
        <v>375.86</v>
      </c>
      <c r="AH62" s="71">
        <f>Valores!$C$60</f>
        <v>107.38</v>
      </c>
      <c r="AI62" s="77">
        <f t="shared" si="7"/>
        <v>40190.297</v>
      </c>
      <c r="AJ62" s="73">
        <f>Valores!$C$35</f>
        <v>876.57</v>
      </c>
      <c r="AK62" s="74">
        <f>Valores!$C$8</f>
        <v>0</v>
      </c>
      <c r="AL62" s="74">
        <f>Valores!$C$82</f>
        <v>1800</v>
      </c>
      <c r="AM62" s="74">
        <v>1400</v>
      </c>
      <c r="AN62" s="76">
        <f>Valores!$C$51</f>
        <v>157.49</v>
      </c>
      <c r="AO62" s="78">
        <f t="shared" si="8"/>
        <v>2676.57</v>
      </c>
      <c r="AP62" s="79">
        <f>AI62*-Valores!$C$65</f>
        <v>-5224.73861</v>
      </c>
      <c r="AQ62" s="79">
        <f>AI62*-Valores!$C$66</f>
        <v>-200.951485</v>
      </c>
      <c r="AR62" s="73">
        <f>AI62*-Valores!$C$67</f>
        <v>-1808.563365</v>
      </c>
      <c r="AS62" s="73">
        <f>AI62*-Valores!$C$68</f>
        <v>-1085.138019</v>
      </c>
      <c r="AT62" s="73">
        <f>AI62*-Valores!$C$69</f>
        <v>-120.570891</v>
      </c>
      <c r="AU62" s="77">
        <f t="shared" si="4"/>
        <v>35632.61354</v>
      </c>
      <c r="AV62" s="77">
        <f t="shared" si="5"/>
        <v>36235.467995</v>
      </c>
      <c r="AW62" s="73">
        <f>AI62*Valores!$C$71</f>
        <v>6430.44752</v>
      </c>
      <c r="AX62" s="73">
        <f>AI62*Valores!$C$72</f>
        <v>1808.563365</v>
      </c>
      <c r="AY62" s="73">
        <f>AI62*Valores!$C$73</f>
        <v>401.90297</v>
      </c>
      <c r="AZ62" s="73">
        <f>AI62*Valores!$C$75</f>
        <v>1406.660395</v>
      </c>
      <c r="BA62" s="73">
        <f>AI62*Valores!$C$76</f>
        <v>241.141782</v>
      </c>
      <c r="BB62" s="73">
        <f t="shared" si="9"/>
        <v>2170.276038</v>
      </c>
      <c r="BC62" s="47"/>
      <c r="BD62" s="47">
        <v>25</v>
      </c>
      <c r="BE62" s="24" t="s">
        <v>4</v>
      </c>
    </row>
    <row r="63" spans="1:57" s="24" customFormat="1" ht="11.25" customHeight="1">
      <c r="A63" s="47">
        <v>62</v>
      </c>
      <c r="B63" s="47"/>
      <c r="C63" s="24" t="s">
        <v>267</v>
      </c>
      <c r="E63" s="24">
        <f t="shared" si="0"/>
        <v>30</v>
      </c>
      <c r="F63" s="67" t="s">
        <v>268</v>
      </c>
      <c r="G63" s="68">
        <v>81</v>
      </c>
      <c r="H63" s="69">
        <f>INT((G63*Valores!$C$2*100)+0.5)/100</f>
        <v>619.58</v>
      </c>
      <c r="I63" s="70">
        <v>2094</v>
      </c>
      <c r="J63" s="71">
        <f>INT((I63*Valores!$C$2*100)+0.5)/100</f>
        <v>16017.22</v>
      </c>
      <c r="K63" s="98">
        <v>0</v>
      </c>
      <c r="L63" s="71">
        <f>INT((K63*Valores!$C$2*100)+0.5)/100</f>
        <v>0</v>
      </c>
      <c r="M63" s="96">
        <v>0</v>
      </c>
      <c r="N63" s="71">
        <f>INT((M63*Valores!$C$2*100)+0.5)/100</f>
        <v>0</v>
      </c>
      <c r="O63" s="71">
        <f t="shared" si="1"/>
        <v>3181.563</v>
      </c>
      <c r="P63" s="71">
        <f t="shared" si="2"/>
        <v>0</v>
      </c>
      <c r="Q63" s="73">
        <f>Valores!$C$16</f>
        <v>4949.59</v>
      </c>
      <c r="R63" s="73">
        <f>Valores!$D$4</f>
        <v>3421.44</v>
      </c>
      <c r="S63" s="97">
        <f>Valores!$C$26</f>
        <v>3568.39</v>
      </c>
      <c r="T63" s="102">
        <f>Valores!$C$42</f>
        <v>1414.4</v>
      </c>
      <c r="U63" s="71">
        <f>Valores!$C$23</f>
        <v>3159.22</v>
      </c>
      <c r="V63" s="71">
        <f t="shared" si="13"/>
        <v>3159.22</v>
      </c>
      <c r="W63" s="71">
        <v>0</v>
      </c>
      <c r="X63" s="71">
        <v>0</v>
      </c>
      <c r="Y63" s="75">
        <v>0</v>
      </c>
      <c r="Z63" s="71">
        <f>Y63*Valores!$C$2</f>
        <v>0</v>
      </c>
      <c r="AA63" s="71">
        <v>0</v>
      </c>
      <c r="AB63" s="76">
        <f>Valores!$C$29</f>
        <v>184.78</v>
      </c>
      <c r="AC63" s="71">
        <f t="shared" si="6"/>
        <v>0</v>
      </c>
      <c r="AD63" s="71">
        <f>Valores!$C$30</f>
        <v>184.78</v>
      </c>
      <c r="AE63" s="75">
        <v>0</v>
      </c>
      <c r="AF63" s="71">
        <f>INT(((AE63*Valores!$C$2)*100)+0.5)/100</f>
        <v>0</v>
      </c>
      <c r="AG63" s="71">
        <f>Valores!$C$58</f>
        <v>375.86</v>
      </c>
      <c r="AH63" s="71">
        <f>Valores!$C$60</f>
        <v>107.38</v>
      </c>
      <c r="AI63" s="77">
        <f t="shared" si="7"/>
        <v>37184.202999999994</v>
      </c>
      <c r="AJ63" s="73">
        <f>Valores!$C$35</f>
        <v>876.57</v>
      </c>
      <c r="AK63" s="74">
        <f>Valores!$C$8</f>
        <v>0</v>
      </c>
      <c r="AL63" s="74">
        <f>Valores!$C$82</f>
        <v>1800</v>
      </c>
      <c r="AM63" s="74">
        <v>1400</v>
      </c>
      <c r="AN63" s="76">
        <f>Valores!$C$51</f>
        <v>157.49</v>
      </c>
      <c r="AO63" s="78">
        <f t="shared" si="8"/>
        <v>2676.57</v>
      </c>
      <c r="AP63" s="79">
        <f>AI63*-Valores!$C$65</f>
        <v>-4833.946389999999</v>
      </c>
      <c r="AQ63" s="79">
        <f>AI63*-Valores!$C$66</f>
        <v>-185.92101499999998</v>
      </c>
      <c r="AR63" s="73">
        <f>AI63*-Valores!$C$67</f>
        <v>-1673.2891349999998</v>
      </c>
      <c r="AS63" s="73">
        <f>AI63*-Valores!$C$68</f>
        <v>-1003.9734809999999</v>
      </c>
      <c r="AT63" s="73">
        <f>AI63*-Valores!$C$69</f>
        <v>-111.55260899999999</v>
      </c>
      <c r="AU63" s="77">
        <f t="shared" si="4"/>
        <v>33167.61646</v>
      </c>
      <c r="AV63" s="77">
        <f t="shared" si="5"/>
        <v>33725.379505</v>
      </c>
      <c r="AW63" s="73">
        <f>AI63*Valores!$C$71</f>
        <v>5949.472479999999</v>
      </c>
      <c r="AX63" s="73">
        <f>AI63*Valores!$C$72</f>
        <v>1673.2891349999998</v>
      </c>
      <c r="AY63" s="73">
        <f>AI63*Valores!$C$73</f>
        <v>371.84202999999997</v>
      </c>
      <c r="AZ63" s="73">
        <f>AI63*Valores!$C$75</f>
        <v>1301.447105</v>
      </c>
      <c r="BA63" s="73">
        <f>AI63*Valores!$C$76</f>
        <v>223.10521799999998</v>
      </c>
      <c r="BB63" s="73">
        <f t="shared" si="9"/>
        <v>2007.9469619999998</v>
      </c>
      <c r="BC63" s="47"/>
      <c r="BD63" s="47">
        <v>30</v>
      </c>
      <c r="BE63" s="24" t="s">
        <v>4</v>
      </c>
    </row>
    <row r="64" spans="1:57" s="24" customFormat="1" ht="11.25" customHeight="1">
      <c r="A64" s="47">
        <v>63</v>
      </c>
      <c r="B64" s="47"/>
      <c r="C64" s="24" t="s">
        <v>269</v>
      </c>
      <c r="E64" s="24">
        <f t="shared" si="0"/>
        <v>33</v>
      </c>
      <c r="F64" s="67" t="s">
        <v>270</v>
      </c>
      <c r="G64" s="68">
        <v>80</v>
      </c>
      <c r="H64" s="69">
        <f>INT((G64*Valores!$C$2*100)+0.5)/100</f>
        <v>611.93</v>
      </c>
      <c r="I64" s="70">
        <v>2095</v>
      </c>
      <c r="J64" s="71">
        <f>INT((I64*Valores!$C$2*100)+0.5)/100</f>
        <v>16024.86</v>
      </c>
      <c r="K64" s="98">
        <v>0</v>
      </c>
      <c r="L64" s="71">
        <f>INT((K64*Valores!$C$2*100)+0.5)/100</f>
        <v>0</v>
      </c>
      <c r="M64" s="96">
        <v>0</v>
      </c>
      <c r="N64" s="71">
        <f>INT((M64*Valores!$C$2*100)+0.5)/100</f>
        <v>0</v>
      </c>
      <c r="O64" s="71">
        <f t="shared" si="1"/>
        <v>3181.5615000000003</v>
      </c>
      <c r="P64" s="71">
        <f t="shared" si="2"/>
        <v>0</v>
      </c>
      <c r="Q64" s="73">
        <f>Valores!$C$16</f>
        <v>4949.59</v>
      </c>
      <c r="R64" s="73">
        <f>Valores!$D$4</f>
        <v>3421.44</v>
      </c>
      <c r="S64" s="71">
        <f>Valores!$C$26</f>
        <v>3568.39</v>
      </c>
      <c r="T64" s="74">
        <f>Valores!$C$42</f>
        <v>1414.4</v>
      </c>
      <c r="U64" s="71">
        <f>Valores!$C$23</f>
        <v>3159.22</v>
      </c>
      <c r="V64" s="71">
        <f t="shared" si="13"/>
        <v>3159.22</v>
      </c>
      <c r="W64" s="71">
        <v>0</v>
      </c>
      <c r="X64" s="71">
        <v>0</v>
      </c>
      <c r="Y64" s="75">
        <v>0</v>
      </c>
      <c r="Z64" s="71">
        <f>Y64*Valores!$C$2</f>
        <v>0</v>
      </c>
      <c r="AA64" s="71">
        <v>0</v>
      </c>
      <c r="AB64" s="76">
        <f>Valores!$C$29</f>
        <v>184.78</v>
      </c>
      <c r="AC64" s="71">
        <f t="shared" si="6"/>
        <v>0</v>
      </c>
      <c r="AD64" s="71">
        <f>Valores!$C$30</f>
        <v>184.78</v>
      </c>
      <c r="AE64" s="75">
        <v>94</v>
      </c>
      <c r="AF64" s="71">
        <f>INT(((AE64*Valores!$C$2)*100)+0.5)/100</f>
        <v>719.02</v>
      </c>
      <c r="AG64" s="71">
        <f>Valores!$C$58</f>
        <v>375.86</v>
      </c>
      <c r="AH64" s="71">
        <f>Valores!$C$60</f>
        <v>107.38</v>
      </c>
      <c r="AI64" s="77">
        <f t="shared" si="7"/>
        <v>37903.21149999999</v>
      </c>
      <c r="AJ64" s="73">
        <f>Valores!$C$35</f>
        <v>876.57</v>
      </c>
      <c r="AK64" s="74">
        <f>Valores!$C$8</f>
        <v>0</v>
      </c>
      <c r="AL64" s="74">
        <f>Valores!$C$82</f>
        <v>1800</v>
      </c>
      <c r="AM64" s="74">
        <v>1400</v>
      </c>
      <c r="AN64" s="76">
        <f>Valores!$C$51</f>
        <v>157.49</v>
      </c>
      <c r="AO64" s="78">
        <f t="shared" si="8"/>
        <v>2676.57</v>
      </c>
      <c r="AP64" s="79">
        <f>AI64*-Valores!$C$65</f>
        <v>-4927.417494999999</v>
      </c>
      <c r="AQ64" s="79">
        <f>AI64*-Valores!$C$66</f>
        <v>-189.51605749999996</v>
      </c>
      <c r="AR64" s="73">
        <f>AI64*-Valores!$C$67</f>
        <v>-1705.6445174999994</v>
      </c>
      <c r="AS64" s="73">
        <f>AI64*-Valores!$C$68</f>
        <v>-1023.3867104999997</v>
      </c>
      <c r="AT64" s="73">
        <f>AI64*-Valores!$C$69</f>
        <v>-113.70963449999998</v>
      </c>
      <c r="AU64" s="77">
        <f t="shared" si="4"/>
        <v>33757.203429999994</v>
      </c>
      <c r="AV64" s="77">
        <f t="shared" si="5"/>
        <v>34325.751602499986</v>
      </c>
      <c r="AW64" s="73">
        <f>AI64*Valores!$C$71</f>
        <v>6064.513839999999</v>
      </c>
      <c r="AX64" s="73">
        <f>AI64*Valores!$C$72</f>
        <v>1705.6445174999994</v>
      </c>
      <c r="AY64" s="73">
        <f>AI64*Valores!$C$73</f>
        <v>379.0321149999999</v>
      </c>
      <c r="AZ64" s="73">
        <f>AI64*Valores!$C$75</f>
        <v>1326.6124024999997</v>
      </c>
      <c r="BA64" s="73">
        <f>AI64*Valores!$C$76</f>
        <v>227.41926899999996</v>
      </c>
      <c r="BB64" s="73">
        <f t="shared" si="9"/>
        <v>2046.7734209999994</v>
      </c>
      <c r="BC64" s="47"/>
      <c r="BD64" s="47">
        <v>25</v>
      </c>
      <c r="BE64" s="24" t="s">
        <v>4</v>
      </c>
    </row>
    <row r="65" spans="1:57" s="24" customFormat="1" ht="11.25" customHeight="1">
      <c r="A65" s="47">
        <v>64</v>
      </c>
      <c r="B65" s="47"/>
      <c r="C65" s="24" t="s">
        <v>271</v>
      </c>
      <c r="E65" s="24">
        <f t="shared" si="0"/>
        <v>30</v>
      </c>
      <c r="F65" s="67" t="s">
        <v>272</v>
      </c>
      <c r="G65" s="68">
        <v>79</v>
      </c>
      <c r="H65" s="69">
        <f>INT((G65*Valores!$C$2*100)+0.5)/100</f>
        <v>604.28</v>
      </c>
      <c r="I65" s="70">
        <v>1944</v>
      </c>
      <c r="J65" s="71">
        <f>INT((I65*Valores!$C$2*100)+0.5)/100</f>
        <v>14869.85</v>
      </c>
      <c r="K65" s="98">
        <v>0</v>
      </c>
      <c r="L65" s="71">
        <f>INT((K65*Valores!$C$2*100)+0.5)/100</f>
        <v>0</v>
      </c>
      <c r="M65" s="96">
        <v>0</v>
      </c>
      <c r="N65" s="71">
        <f>INT((M65*Valores!$C$2*100)+0.5)/100</f>
        <v>0</v>
      </c>
      <c r="O65" s="71">
        <f t="shared" si="1"/>
        <v>3007.1625000000004</v>
      </c>
      <c r="P65" s="71">
        <f t="shared" si="2"/>
        <v>0</v>
      </c>
      <c r="Q65" s="73">
        <f>Valores!$C$16</f>
        <v>4949.59</v>
      </c>
      <c r="R65" s="73">
        <f>Valores!$D$4</f>
        <v>3421.44</v>
      </c>
      <c r="S65" s="97">
        <f>Valores!$C$26</f>
        <v>3568.39</v>
      </c>
      <c r="T65" s="102">
        <f>Valores!$C$42</f>
        <v>1414.4</v>
      </c>
      <c r="U65" s="71">
        <f>Valores!$C$23</f>
        <v>3159.22</v>
      </c>
      <c r="V65" s="71">
        <f t="shared" si="13"/>
        <v>3159.22</v>
      </c>
      <c r="W65" s="71">
        <v>0</v>
      </c>
      <c r="X65" s="71">
        <v>0</v>
      </c>
      <c r="Y65" s="75">
        <v>0</v>
      </c>
      <c r="Z65" s="71">
        <f>Y65*Valores!$C$2</f>
        <v>0</v>
      </c>
      <c r="AA65" s="71">
        <v>0</v>
      </c>
      <c r="AB65" s="76">
        <f>Valores!$C$29</f>
        <v>184.78</v>
      </c>
      <c r="AC65" s="71">
        <f t="shared" si="6"/>
        <v>0</v>
      </c>
      <c r="AD65" s="71">
        <f>Valores!$C$30</f>
        <v>184.78</v>
      </c>
      <c r="AE65" s="75">
        <v>0</v>
      </c>
      <c r="AF65" s="71">
        <f>INT(((AE65*Valores!$C$2)*100)+0.5)/100</f>
        <v>0</v>
      </c>
      <c r="AG65" s="71">
        <f>Valores!$C$58</f>
        <v>375.86</v>
      </c>
      <c r="AH65" s="71">
        <f>Valores!$C$60</f>
        <v>107.38</v>
      </c>
      <c r="AI65" s="77">
        <f t="shared" si="7"/>
        <v>35847.1325</v>
      </c>
      <c r="AJ65" s="73">
        <f>Valores!$C$35</f>
        <v>876.57</v>
      </c>
      <c r="AK65" s="74">
        <f>Valores!$C$8</f>
        <v>0</v>
      </c>
      <c r="AL65" s="74">
        <f>Valores!$C$82</f>
        <v>1800</v>
      </c>
      <c r="AM65" s="74">
        <v>1400</v>
      </c>
      <c r="AN65" s="76">
        <f>Valores!$C$51</f>
        <v>157.49</v>
      </c>
      <c r="AO65" s="78">
        <f t="shared" si="8"/>
        <v>2676.57</v>
      </c>
      <c r="AP65" s="79">
        <f>AI65*-Valores!$C$65</f>
        <v>-4660.127225</v>
      </c>
      <c r="AQ65" s="79">
        <f>AI65*-Valores!$C$66</f>
        <v>-179.2356625</v>
      </c>
      <c r="AR65" s="73">
        <f>AI65*-Valores!$C$67</f>
        <v>-1613.1209625</v>
      </c>
      <c r="AS65" s="73">
        <f>AI65*-Valores!$C$68</f>
        <v>-967.8725775</v>
      </c>
      <c r="AT65" s="73">
        <f>AI65*-Valores!$C$69</f>
        <v>-107.5413975</v>
      </c>
      <c r="AU65" s="77">
        <f t="shared" si="4"/>
        <v>32071.21865</v>
      </c>
      <c r="AV65" s="77">
        <f t="shared" si="5"/>
        <v>32608.925637499997</v>
      </c>
      <c r="AW65" s="73">
        <f>AI65*Valores!$C$71</f>
        <v>5735.5412</v>
      </c>
      <c r="AX65" s="73">
        <f>AI65*Valores!$C$72</f>
        <v>1613.1209625</v>
      </c>
      <c r="AY65" s="73">
        <f>AI65*Valores!$C$73</f>
        <v>358.471325</v>
      </c>
      <c r="AZ65" s="73">
        <f>AI65*Valores!$C$75</f>
        <v>1254.6496375000002</v>
      </c>
      <c r="BA65" s="73">
        <f>AI65*Valores!$C$76</f>
        <v>215.082795</v>
      </c>
      <c r="BB65" s="73">
        <f t="shared" si="9"/>
        <v>1935.745155</v>
      </c>
      <c r="BC65" s="47"/>
      <c r="BD65" s="47">
        <v>30</v>
      </c>
      <c r="BE65" s="24" t="s">
        <v>4</v>
      </c>
    </row>
    <row r="66" spans="1:57" s="24" customFormat="1" ht="11.25" customHeight="1">
      <c r="A66" s="81">
        <v>65</v>
      </c>
      <c r="B66" s="81" t="s">
        <v>163</v>
      </c>
      <c r="C66" s="82" t="s">
        <v>273</v>
      </c>
      <c r="D66" s="82"/>
      <c r="E66" s="82">
        <f t="shared" si="0"/>
        <v>33</v>
      </c>
      <c r="F66" s="83" t="s">
        <v>274</v>
      </c>
      <c r="G66" s="84">
        <v>79</v>
      </c>
      <c r="H66" s="85">
        <f>INT((G66*Valores!$C$2*100)+0.5)/100</f>
        <v>604.28</v>
      </c>
      <c r="I66" s="86">
        <v>1944</v>
      </c>
      <c r="J66" s="87">
        <f>INT((I66*Valores!$C$2*100)+0.5)/100</f>
        <v>14869.85</v>
      </c>
      <c r="K66" s="100">
        <v>0</v>
      </c>
      <c r="L66" s="87">
        <f>INT((K66*Valores!$C$2*100)+0.5)/100</f>
        <v>0</v>
      </c>
      <c r="M66" s="101">
        <v>0</v>
      </c>
      <c r="N66" s="87">
        <f>INT((M66*Valores!$C$2*100)+0.5)/100</f>
        <v>0</v>
      </c>
      <c r="O66" s="87">
        <f t="shared" si="1"/>
        <v>3007.1625000000004</v>
      </c>
      <c r="P66" s="87">
        <f t="shared" si="2"/>
        <v>0</v>
      </c>
      <c r="Q66" s="89">
        <f>Valores!$C$16</f>
        <v>4949.59</v>
      </c>
      <c r="R66" s="89">
        <f>Valores!$D$4</f>
        <v>3421.44</v>
      </c>
      <c r="S66" s="103">
        <f>Valores!$C$26</f>
        <v>3568.39</v>
      </c>
      <c r="T66" s="104">
        <f>Valores!$C$42</f>
        <v>1414.4</v>
      </c>
      <c r="U66" s="87">
        <f>Valores!$C$23</f>
        <v>3159.22</v>
      </c>
      <c r="V66" s="87">
        <f t="shared" si="13"/>
        <v>3159.22</v>
      </c>
      <c r="W66" s="87">
        <v>0</v>
      </c>
      <c r="X66" s="87">
        <v>0</v>
      </c>
      <c r="Y66" s="91">
        <v>0</v>
      </c>
      <c r="Z66" s="87">
        <f>Y66*Valores!$C$2</f>
        <v>0</v>
      </c>
      <c r="AA66" s="87">
        <v>0</v>
      </c>
      <c r="AB66" s="92">
        <f>Valores!$C$29</f>
        <v>184.78</v>
      </c>
      <c r="AC66" s="87">
        <f t="shared" si="6"/>
        <v>0</v>
      </c>
      <c r="AD66" s="87">
        <f>Valores!$C$30</f>
        <v>184.78</v>
      </c>
      <c r="AE66" s="91">
        <v>94</v>
      </c>
      <c r="AF66" s="87">
        <f>INT(((AE66*Valores!$C$2)*100)+0.5)/100</f>
        <v>719.02</v>
      </c>
      <c r="AG66" s="87">
        <f>Valores!$C$58</f>
        <v>375.86</v>
      </c>
      <c r="AH66" s="87">
        <f>Valores!$C$60</f>
        <v>107.38</v>
      </c>
      <c r="AI66" s="93">
        <f t="shared" si="7"/>
        <v>36566.1525</v>
      </c>
      <c r="AJ66" s="89">
        <f>Valores!$C$35</f>
        <v>876.57</v>
      </c>
      <c r="AK66" s="90">
        <f>Valores!$C$8</f>
        <v>0</v>
      </c>
      <c r="AL66" s="90">
        <f>Valores!$C$82</f>
        <v>1800</v>
      </c>
      <c r="AM66" s="74">
        <v>1400</v>
      </c>
      <c r="AN66" s="92">
        <f>Valores!$C$51</f>
        <v>157.49</v>
      </c>
      <c r="AO66" s="94">
        <f t="shared" si="8"/>
        <v>2676.57</v>
      </c>
      <c r="AP66" s="95">
        <f>AI66*-Valores!$C$65</f>
        <v>-4753.599824999999</v>
      </c>
      <c r="AQ66" s="95">
        <f>AI66*-Valores!$C$66</f>
        <v>-182.8307625</v>
      </c>
      <c r="AR66" s="89">
        <f>AI66*-Valores!$C$67</f>
        <v>-1645.4768624999997</v>
      </c>
      <c r="AS66" s="89">
        <f>AI66*-Valores!$C$68</f>
        <v>-987.2861174999999</v>
      </c>
      <c r="AT66" s="89">
        <f>AI66*-Valores!$C$69</f>
        <v>-109.69845749999999</v>
      </c>
      <c r="AU66" s="93">
        <f t="shared" si="4"/>
        <v>32660.815049999997</v>
      </c>
      <c r="AV66" s="93">
        <f t="shared" si="5"/>
        <v>33209.307337499995</v>
      </c>
      <c r="AW66" s="89">
        <f>AI66*Valores!$C$71</f>
        <v>5850.5844</v>
      </c>
      <c r="AX66" s="89">
        <f>AI66*Valores!$C$72</f>
        <v>1645.4768624999997</v>
      </c>
      <c r="AY66" s="89">
        <f>AI66*Valores!$C$73</f>
        <v>365.661525</v>
      </c>
      <c r="AZ66" s="89">
        <f>AI66*Valores!$C$75</f>
        <v>1279.8153375</v>
      </c>
      <c r="BA66" s="89">
        <f>AI66*Valores!$C$76</f>
        <v>219.39691499999998</v>
      </c>
      <c r="BB66" s="89">
        <f t="shared" si="9"/>
        <v>1974.5722349999999</v>
      </c>
      <c r="BC66" s="81"/>
      <c r="BD66" s="81">
        <v>25</v>
      </c>
      <c r="BE66" s="82" t="s">
        <v>8</v>
      </c>
    </row>
    <row r="67" spans="1:57" s="24" customFormat="1" ht="11.25" customHeight="1">
      <c r="A67" s="47">
        <v>66</v>
      </c>
      <c r="B67" s="47"/>
      <c r="C67" s="24" t="s">
        <v>275</v>
      </c>
      <c r="E67" s="24">
        <f t="shared" si="0"/>
        <v>29</v>
      </c>
      <c r="F67" s="67" t="s">
        <v>276</v>
      </c>
      <c r="G67" s="68">
        <v>100</v>
      </c>
      <c r="H67" s="69">
        <f>INT((G67*Valores!$C$2*100)+0.5)/100</f>
        <v>764.91</v>
      </c>
      <c r="I67" s="70">
        <v>2864</v>
      </c>
      <c r="J67" s="71">
        <f>INT((I67*Valores!$C$2*100)+0.5)/100</f>
        <v>21907.02</v>
      </c>
      <c r="K67" s="98">
        <v>0</v>
      </c>
      <c r="L67" s="71">
        <f>INT((K67*Valores!$C$2*100)+0.5)/100</f>
        <v>0</v>
      </c>
      <c r="M67" s="96">
        <v>0</v>
      </c>
      <c r="N67" s="71">
        <f>INT((M67*Valores!$C$2*100)+0.5)/100</f>
        <v>0</v>
      </c>
      <c r="O67" s="71">
        <f t="shared" si="1"/>
        <v>4086.8325000000004</v>
      </c>
      <c r="P67" s="71">
        <f t="shared" si="2"/>
        <v>0</v>
      </c>
      <c r="Q67" s="73">
        <f>Valores!$C$16</f>
        <v>4949.59</v>
      </c>
      <c r="R67" s="73">
        <f>Valores!$D$4</f>
        <v>3421.44</v>
      </c>
      <c r="S67" s="71">
        <v>0</v>
      </c>
      <c r="T67" s="74">
        <f>Valores!$C$42</f>
        <v>1414.4</v>
      </c>
      <c r="U67" s="71">
        <f>Valores!$C$23</f>
        <v>3159.22</v>
      </c>
      <c r="V67" s="71">
        <f t="shared" si="13"/>
        <v>3159.22</v>
      </c>
      <c r="W67" s="71">
        <v>0</v>
      </c>
      <c r="X67" s="71">
        <v>0</v>
      </c>
      <c r="Y67" s="75">
        <v>0</v>
      </c>
      <c r="Z67" s="71">
        <f>Y67*Valores!$C$2</f>
        <v>0</v>
      </c>
      <c r="AA67" s="71">
        <v>0</v>
      </c>
      <c r="AB67" s="76">
        <f>Valores!$C$29</f>
        <v>184.78</v>
      </c>
      <c r="AC67" s="71">
        <f t="shared" si="6"/>
        <v>0</v>
      </c>
      <c r="AD67" s="71">
        <f>Valores!$C$30</f>
        <v>184.78</v>
      </c>
      <c r="AE67" s="75">
        <v>0</v>
      </c>
      <c r="AF67" s="71">
        <f>INT(((AE67*Valores!$C$2)*100)+0.5)/100</f>
        <v>0</v>
      </c>
      <c r="AG67" s="71">
        <f>Valores!$C$58</f>
        <v>375.86</v>
      </c>
      <c r="AH67" s="71">
        <f>Valores!$C$60</f>
        <v>107.38</v>
      </c>
      <c r="AI67" s="77">
        <f t="shared" si="7"/>
        <v>40556.2125</v>
      </c>
      <c r="AJ67" s="73">
        <f>Valores!$C$35</f>
        <v>876.57</v>
      </c>
      <c r="AK67" s="74">
        <f>Valores!$C$8</f>
        <v>0</v>
      </c>
      <c r="AL67" s="74">
        <f>Valores!$C$81</f>
        <v>1500</v>
      </c>
      <c r="AM67" s="74">
        <v>1400</v>
      </c>
      <c r="AN67" s="76">
        <f>Valores!$C$50</f>
        <v>314.98</v>
      </c>
      <c r="AO67" s="78">
        <f t="shared" si="8"/>
        <v>2376.57</v>
      </c>
      <c r="AP67" s="79">
        <f>AI67*-Valores!$C$65</f>
        <v>-5272.307625</v>
      </c>
      <c r="AQ67" s="79">
        <f>AI67*-Valores!$C$66</f>
        <v>-202.78106250000002</v>
      </c>
      <c r="AR67" s="73">
        <f>AI67*-Valores!$C$67</f>
        <v>-1825.0295625</v>
      </c>
      <c r="AS67" s="73">
        <f>AI67*-Valores!$C$68</f>
        <v>-1095.0177375</v>
      </c>
      <c r="AT67" s="73">
        <f>AI67*-Valores!$C$69</f>
        <v>-121.6686375</v>
      </c>
      <c r="AU67" s="77">
        <f t="shared" si="4"/>
        <v>35632.66425</v>
      </c>
      <c r="AV67" s="77">
        <f t="shared" si="5"/>
        <v>36241.007437500004</v>
      </c>
      <c r="AW67" s="73">
        <f>AI67*Valores!$C$71</f>
        <v>6488.994000000001</v>
      </c>
      <c r="AX67" s="73">
        <f>AI67*Valores!$C$72</f>
        <v>1825.0295625</v>
      </c>
      <c r="AY67" s="73">
        <f>AI67*Valores!$C$73</f>
        <v>405.56212500000004</v>
      </c>
      <c r="AZ67" s="73">
        <f>AI67*Valores!$C$75</f>
        <v>1419.4674375000002</v>
      </c>
      <c r="BA67" s="73">
        <f>AI67*Valores!$C$76</f>
        <v>243.337275</v>
      </c>
      <c r="BB67" s="73">
        <f t="shared" si="9"/>
        <v>2190.035475</v>
      </c>
      <c r="BC67" s="47"/>
      <c r="BD67" s="47"/>
      <c r="BE67" s="24" t="s">
        <v>4</v>
      </c>
    </row>
    <row r="68" spans="1:57" s="24" customFormat="1" ht="11.25" customHeight="1">
      <c r="A68" s="47">
        <v>67</v>
      </c>
      <c r="B68" s="47"/>
      <c r="C68" s="24" t="s">
        <v>277</v>
      </c>
      <c r="E68" s="24">
        <f t="shared" si="0"/>
        <v>24</v>
      </c>
      <c r="F68" s="67" t="s">
        <v>278</v>
      </c>
      <c r="G68" s="68">
        <v>79</v>
      </c>
      <c r="H68" s="69">
        <f>INT((G68*Valores!$C$2*100)+0.5)/100</f>
        <v>604.28</v>
      </c>
      <c r="I68" s="70">
        <v>2161</v>
      </c>
      <c r="J68" s="71">
        <f>INT((I68*Valores!$C$2*100)+0.5)/100</f>
        <v>16529.71</v>
      </c>
      <c r="K68" s="98">
        <v>0</v>
      </c>
      <c r="L68" s="71">
        <f>INT((K68*Valores!$C$2*100)+0.5)/100</f>
        <v>0</v>
      </c>
      <c r="M68" s="96">
        <v>0</v>
      </c>
      <c r="N68" s="71">
        <f>INT((M68*Valores!$C$2*100)+0.5)/100</f>
        <v>0</v>
      </c>
      <c r="O68" s="71">
        <f t="shared" si="1"/>
        <v>3256.1415</v>
      </c>
      <c r="P68" s="71">
        <f t="shared" si="2"/>
        <v>0</v>
      </c>
      <c r="Q68" s="73">
        <f>Valores!$C$16</f>
        <v>4949.59</v>
      </c>
      <c r="R68" s="73">
        <f>Valores!$D$4</f>
        <v>3421.44</v>
      </c>
      <c r="S68" s="97">
        <f>Valores!$C$26</f>
        <v>3568.39</v>
      </c>
      <c r="T68" s="102">
        <f>Valores!$C$42</f>
        <v>1414.4</v>
      </c>
      <c r="U68" s="71">
        <f>Valores!$C$23</f>
        <v>3159.22</v>
      </c>
      <c r="V68" s="71">
        <f t="shared" si="13"/>
        <v>3159.22</v>
      </c>
      <c r="W68" s="71">
        <v>0</v>
      </c>
      <c r="X68" s="71">
        <v>0</v>
      </c>
      <c r="Y68" s="75">
        <v>0</v>
      </c>
      <c r="Z68" s="71">
        <f>Y68*Valores!$C$2</f>
        <v>0</v>
      </c>
      <c r="AA68" s="71">
        <v>0</v>
      </c>
      <c r="AB68" s="76">
        <f>Valores!$C$29</f>
        <v>184.78</v>
      </c>
      <c r="AC68" s="71">
        <f t="shared" si="6"/>
        <v>0</v>
      </c>
      <c r="AD68" s="71">
        <f>Valores!$C$30</f>
        <v>184.78</v>
      </c>
      <c r="AE68" s="75">
        <v>0</v>
      </c>
      <c r="AF68" s="71">
        <f>INT(((AE68*Valores!$C$2)*100)+0.5)/100</f>
        <v>0</v>
      </c>
      <c r="AG68" s="71">
        <f>Valores!$C$58</f>
        <v>375.86</v>
      </c>
      <c r="AH68" s="71">
        <f>Valores!$C$60</f>
        <v>107.38</v>
      </c>
      <c r="AI68" s="77">
        <f t="shared" si="7"/>
        <v>37755.97149999999</v>
      </c>
      <c r="AJ68" s="73">
        <f>Valores!$C$35</f>
        <v>876.57</v>
      </c>
      <c r="AK68" s="74">
        <f>Valores!$C$8</f>
        <v>0</v>
      </c>
      <c r="AL68" s="74">
        <f>Valores!$C$82</f>
        <v>1800</v>
      </c>
      <c r="AM68" s="74">
        <v>1400</v>
      </c>
      <c r="AN68" s="76">
        <f>Valores!$C$51</f>
        <v>157.49</v>
      </c>
      <c r="AO68" s="78">
        <f t="shared" si="8"/>
        <v>2676.57</v>
      </c>
      <c r="AP68" s="79">
        <f>AI68*-Valores!$C$65</f>
        <v>-4908.276294999999</v>
      </c>
      <c r="AQ68" s="79">
        <f>AI68*-Valores!$C$66</f>
        <v>-188.77985749999996</v>
      </c>
      <c r="AR68" s="73">
        <f>AI68*-Valores!$C$67</f>
        <v>-1699.0187174999996</v>
      </c>
      <c r="AS68" s="73">
        <f>AI68*-Valores!$C$68</f>
        <v>-1019.4112304999998</v>
      </c>
      <c r="AT68" s="73">
        <f>AI68*-Valores!$C$69</f>
        <v>-113.26791449999997</v>
      </c>
      <c r="AU68" s="77">
        <f t="shared" si="4"/>
        <v>33636.466629999995</v>
      </c>
      <c r="AV68" s="77">
        <f t="shared" si="5"/>
        <v>34202.806202499996</v>
      </c>
      <c r="AW68" s="73">
        <f>AI68*Valores!$C$71</f>
        <v>6040.955439999999</v>
      </c>
      <c r="AX68" s="73">
        <f>AI68*Valores!$C$72</f>
        <v>1699.0187174999996</v>
      </c>
      <c r="AY68" s="73">
        <f>AI68*Valores!$C$73</f>
        <v>377.5597149999999</v>
      </c>
      <c r="AZ68" s="73">
        <f>AI68*Valores!$C$75</f>
        <v>1321.4590024999998</v>
      </c>
      <c r="BA68" s="73">
        <f>AI68*Valores!$C$76</f>
        <v>226.53582899999995</v>
      </c>
      <c r="BB68" s="73">
        <f t="shared" si="9"/>
        <v>2038.8224609999995</v>
      </c>
      <c r="BC68" s="47"/>
      <c r="BD68" s="47">
        <v>30</v>
      </c>
      <c r="BE68" s="24" t="s">
        <v>4</v>
      </c>
    </row>
    <row r="69" spans="1:57" s="24" customFormat="1" ht="11.25" customHeight="1">
      <c r="A69" s="47">
        <v>68</v>
      </c>
      <c r="B69" s="47"/>
      <c r="C69" s="24" t="s">
        <v>279</v>
      </c>
      <c r="E69" s="24">
        <f t="shared" si="0"/>
        <v>32</v>
      </c>
      <c r="F69" s="67" t="s">
        <v>280</v>
      </c>
      <c r="G69" s="68">
        <v>90</v>
      </c>
      <c r="H69" s="69">
        <f>INT((G69*Valores!$C$2*100)+0.5)/100</f>
        <v>688.42</v>
      </c>
      <c r="I69" s="70">
        <v>3010</v>
      </c>
      <c r="J69" s="71">
        <f>INT((I69*Valores!$C$2*100)+0.5)/100</f>
        <v>23023.79</v>
      </c>
      <c r="K69" s="98">
        <v>0</v>
      </c>
      <c r="L69" s="71">
        <f>INT((K69*Valores!$C$2*100)+0.5)/100</f>
        <v>0</v>
      </c>
      <c r="M69" s="96">
        <v>0</v>
      </c>
      <c r="N69" s="71">
        <f>INT((M69*Valores!$C$2*100)+0.5)/100</f>
        <v>0</v>
      </c>
      <c r="O69" s="71">
        <f t="shared" si="1"/>
        <v>4348.95</v>
      </c>
      <c r="P69" s="71">
        <f t="shared" si="2"/>
        <v>0</v>
      </c>
      <c r="Q69" s="73">
        <f>Valores!$C$16</f>
        <v>4949.59</v>
      </c>
      <c r="R69" s="73">
        <f>Valores!$D$4</f>
        <v>3421.44</v>
      </c>
      <c r="S69" s="71">
        <f>Valores!$C$26</f>
        <v>3568.39</v>
      </c>
      <c r="T69" s="74">
        <f>Valores!$C$43</f>
        <v>2121.57</v>
      </c>
      <c r="U69" s="71">
        <f>Valores!$C$23</f>
        <v>3159.22</v>
      </c>
      <c r="V69" s="71">
        <f t="shared" si="13"/>
        <v>3159.22</v>
      </c>
      <c r="W69" s="71">
        <v>0</v>
      </c>
      <c r="X69" s="71">
        <v>0</v>
      </c>
      <c r="Y69" s="75">
        <v>0</v>
      </c>
      <c r="Z69" s="71">
        <f>Y69*Valores!$C$2</f>
        <v>0</v>
      </c>
      <c r="AA69" s="71">
        <v>0</v>
      </c>
      <c r="AB69" s="76">
        <f>Valores!$C$29</f>
        <v>184.78</v>
      </c>
      <c r="AC69" s="71">
        <f t="shared" si="6"/>
        <v>0</v>
      </c>
      <c r="AD69" s="71">
        <f>Valores!$C$30</f>
        <v>184.78</v>
      </c>
      <c r="AE69" s="75">
        <v>0</v>
      </c>
      <c r="AF69" s="71">
        <f>INT(((AE69*Valores!$C$2)*100)+0.5)/100</f>
        <v>0</v>
      </c>
      <c r="AG69" s="71">
        <f>Valores!$C$58</f>
        <v>375.86</v>
      </c>
      <c r="AH69" s="71">
        <f>Valores!$C$60</f>
        <v>107.38</v>
      </c>
      <c r="AI69" s="77">
        <f t="shared" si="7"/>
        <v>46134.17</v>
      </c>
      <c r="AJ69" s="73">
        <f>Valores!$C$35</f>
        <v>876.57</v>
      </c>
      <c r="AK69" s="74">
        <f>Valores!$C$9</f>
        <v>0</v>
      </c>
      <c r="AL69" s="74">
        <f>Valores!$C$82</f>
        <v>1800</v>
      </c>
      <c r="AM69" s="74">
        <v>1400</v>
      </c>
      <c r="AN69" s="76">
        <f>Valores!$C$51</f>
        <v>157.49</v>
      </c>
      <c r="AO69" s="78">
        <f t="shared" si="8"/>
        <v>2676.57</v>
      </c>
      <c r="AP69" s="79">
        <f>AI69*-Valores!$C$65</f>
        <v>-5997.4421</v>
      </c>
      <c r="AQ69" s="79">
        <f>AI69*-Valores!$C$66</f>
        <v>-230.67085</v>
      </c>
      <c r="AR69" s="73">
        <f>AI69*-Valores!$C$67</f>
        <v>-2076.0376499999998</v>
      </c>
      <c r="AS69" s="73">
        <f>AI69*-Valores!$C$68</f>
        <v>-1245.62259</v>
      </c>
      <c r="AT69" s="73">
        <f>AI69*-Valores!$C$69</f>
        <v>-138.40251</v>
      </c>
      <c r="AU69" s="77">
        <f t="shared" si="4"/>
        <v>40506.5894</v>
      </c>
      <c r="AV69" s="77">
        <f t="shared" si="5"/>
        <v>41198.60195</v>
      </c>
      <c r="AW69" s="73">
        <f>AI69*Valores!$C$71</f>
        <v>7381.4672</v>
      </c>
      <c r="AX69" s="73">
        <f>AI69*Valores!$C$72</f>
        <v>2076.0376499999998</v>
      </c>
      <c r="AY69" s="73">
        <f>AI69*Valores!$C$73</f>
        <v>461.3417</v>
      </c>
      <c r="AZ69" s="73">
        <f>AI69*Valores!$C$75</f>
        <v>1614.69595</v>
      </c>
      <c r="BA69" s="73">
        <f>AI69*Valores!$C$76</f>
        <v>276.80502</v>
      </c>
      <c r="BB69" s="73">
        <f t="shared" si="9"/>
        <v>2491.24518</v>
      </c>
      <c r="BC69" s="47"/>
      <c r="BD69" s="47"/>
      <c r="BE69" s="24" t="s">
        <v>4</v>
      </c>
    </row>
    <row r="70" spans="1:57" s="24" customFormat="1" ht="11.25" customHeight="1">
      <c r="A70" s="47">
        <v>69</v>
      </c>
      <c r="B70" s="47"/>
      <c r="C70" s="24" t="s">
        <v>281</v>
      </c>
      <c r="E70" s="24">
        <f t="shared" si="0"/>
        <v>27</v>
      </c>
      <c r="F70" s="67" t="s">
        <v>282</v>
      </c>
      <c r="G70" s="68">
        <v>78</v>
      </c>
      <c r="H70" s="69">
        <f>INT((G70*Valores!$C$2*100)+0.5)/100</f>
        <v>596.63</v>
      </c>
      <c r="I70" s="70">
        <v>2162</v>
      </c>
      <c r="J70" s="71">
        <f>INT((I70*Valores!$C$2*100)+0.5)/100</f>
        <v>16537.35</v>
      </c>
      <c r="K70" s="98">
        <v>0</v>
      </c>
      <c r="L70" s="71">
        <f>INT((K70*Valores!$C$2*100)+0.5)/100</f>
        <v>0</v>
      </c>
      <c r="M70" s="96">
        <v>0</v>
      </c>
      <c r="N70" s="71">
        <f>INT((M70*Valores!$C$2*100)+0.5)/100</f>
        <v>0</v>
      </c>
      <c r="O70" s="71">
        <f t="shared" si="1"/>
        <v>3256.1400000000003</v>
      </c>
      <c r="P70" s="71">
        <f t="shared" si="2"/>
        <v>0</v>
      </c>
      <c r="Q70" s="73">
        <f>Valores!$C$16</f>
        <v>4949.59</v>
      </c>
      <c r="R70" s="73">
        <f>Valores!$D$4</f>
        <v>3421.44</v>
      </c>
      <c r="S70" s="97">
        <f>Valores!$C$26</f>
        <v>3568.39</v>
      </c>
      <c r="T70" s="102">
        <f>Valores!$C$42</f>
        <v>1414.4</v>
      </c>
      <c r="U70" s="71">
        <f>Valores!$C$23</f>
        <v>3159.22</v>
      </c>
      <c r="V70" s="71">
        <f t="shared" si="13"/>
        <v>3159.22</v>
      </c>
      <c r="W70" s="71">
        <v>0</v>
      </c>
      <c r="X70" s="71">
        <v>0</v>
      </c>
      <c r="Y70" s="75">
        <v>0</v>
      </c>
      <c r="Z70" s="71">
        <f>Y70*Valores!$C$2</f>
        <v>0</v>
      </c>
      <c r="AA70" s="71">
        <v>0</v>
      </c>
      <c r="AB70" s="76">
        <f>Valores!$C$29</f>
        <v>184.78</v>
      </c>
      <c r="AC70" s="71">
        <f t="shared" si="6"/>
        <v>0</v>
      </c>
      <c r="AD70" s="71">
        <f>Valores!$C$30</f>
        <v>184.78</v>
      </c>
      <c r="AE70" s="75">
        <v>0</v>
      </c>
      <c r="AF70" s="71">
        <f>INT(((AE70*Valores!$C$2)*100)+0.5)/100</f>
        <v>0</v>
      </c>
      <c r="AG70" s="71">
        <f>Valores!$C$58</f>
        <v>375.86</v>
      </c>
      <c r="AH70" s="71">
        <f>Valores!$C$60</f>
        <v>107.38</v>
      </c>
      <c r="AI70" s="77">
        <f t="shared" si="7"/>
        <v>37755.95999999999</v>
      </c>
      <c r="AJ70" s="73">
        <f>Valores!$C$35</f>
        <v>876.57</v>
      </c>
      <c r="AK70" s="74">
        <f>Valores!$C$8</f>
        <v>0</v>
      </c>
      <c r="AL70" s="74">
        <f>Valores!$C$82</f>
        <v>1800</v>
      </c>
      <c r="AM70" s="74">
        <v>1400</v>
      </c>
      <c r="AN70" s="76">
        <f>Valores!$C$51</f>
        <v>157.49</v>
      </c>
      <c r="AO70" s="78">
        <f t="shared" si="8"/>
        <v>2676.57</v>
      </c>
      <c r="AP70" s="79">
        <f>AI70*-Valores!$C$65</f>
        <v>-4908.274799999999</v>
      </c>
      <c r="AQ70" s="79">
        <f>AI70*-Valores!$C$66</f>
        <v>-188.77979999999997</v>
      </c>
      <c r="AR70" s="73">
        <f>AI70*-Valores!$C$67</f>
        <v>-1699.0181999999995</v>
      </c>
      <c r="AS70" s="73">
        <f>AI70*-Valores!$C$68</f>
        <v>-1019.4109199999998</v>
      </c>
      <c r="AT70" s="73">
        <f>AI70*-Valores!$C$69</f>
        <v>-113.26787999999998</v>
      </c>
      <c r="AU70" s="77">
        <f t="shared" si="4"/>
        <v>33636.4572</v>
      </c>
      <c r="AV70" s="77">
        <f t="shared" si="5"/>
        <v>34202.796599999994</v>
      </c>
      <c r="AW70" s="73">
        <f>AI70*Valores!$C$71</f>
        <v>6040.953599999999</v>
      </c>
      <c r="AX70" s="73">
        <f>AI70*Valores!$C$72</f>
        <v>1699.0181999999995</v>
      </c>
      <c r="AY70" s="73">
        <f>AI70*Valores!$C$73</f>
        <v>377.55959999999993</v>
      </c>
      <c r="AZ70" s="73">
        <f>AI70*Valores!$C$75</f>
        <v>1321.4586</v>
      </c>
      <c r="BA70" s="73">
        <f>AI70*Valores!$C$76</f>
        <v>226.53575999999995</v>
      </c>
      <c r="BB70" s="73">
        <f t="shared" si="9"/>
        <v>2038.8218399999998</v>
      </c>
      <c r="BC70" s="47"/>
      <c r="BD70" s="47">
        <v>25</v>
      </c>
      <c r="BE70" s="24" t="s">
        <v>4</v>
      </c>
    </row>
    <row r="71" spans="1:57" s="24" customFormat="1" ht="11.25" customHeight="1">
      <c r="A71" s="81">
        <v>70</v>
      </c>
      <c r="B71" s="81" t="s">
        <v>163</v>
      </c>
      <c r="C71" s="82" t="s">
        <v>283</v>
      </c>
      <c r="D71" s="82"/>
      <c r="E71" s="82">
        <f aca="true" t="shared" si="14" ref="E71:E134">LEN(F71)</f>
        <v>32</v>
      </c>
      <c r="F71" s="83" t="s">
        <v>284</v>
      </c>
      <c r="G71" s="84">
        <v>90</v>
      </c>
      <c r="H71" s="85">
        <f>INT((G71*Valores!$C$2*100)+0.5)/100</f>
        <v>688.42</v>
      </c>
      <c r="I71" s="86">
        <v>2800</v>
      </c>
      <c r="J71" s="87">
        <f>INT((I71*Valores!$C$2*100)+0.5)/100</f>
        <v>21417.48</v>
      </c>
      <c r="K71" s="100">
        <v>0</v>
      </c>
      <c r="L71" s="87">
        <f>INT((K71*Valores!$C$2*100)+0.5)/100</f>
        <v>0</v>
      </c>
      <c r="M71" s="101">
        <v>0</v>
      </c>
      <c r="N71" s="87">
        <f>INT((M71*Valores!$C$2*100)+0.5)/100</f>
        <v>0</v>
      </c>
      <c r="O71" s="87">
        <f aca="true" t="shared" si="15" ref="O71:O134">IF($J$2=0,IF(C71&lt;&gt;"13-930",(SUM(H71,J71,L71,N71,Z71,U71,T71)*$O$2),0),0)</f>
        <v>4108.0035</v>
      </c>
      <c r="P71" s="87">
        <f aca="true" t="shared" si="16" ref="P71:P134">SUM(H71,J71,L71,N71,Z71,T71)*$J$2</f>
        <v>0</v>
      </c>
      <c r="Q71" s="89">
        <f>Valores!$C$16</f>
        <v>4949.59</v>
      </c>
      <c r="R71" s="89">
        <f>Valores!$D$4</f>
        <v>3421.44</v>
      </c>
      <c r="S71" s="87">
        <v>0</v>
      </c>
      <c r="T71" s="90">
        <f>Valores!$C$43</f>
        <v>2121.57</v>
      </c>
      <c r="U71" s="87">
        <f>Valores!$C$23</f>
        <v>3159.22</v>
      </c>
      <c r="V71" s="87">
        <f t="shared" si="13"/>
        <v>3159.22</v>
      </c>
      <c r="W71" s="87">
        <v>0</v>
      </c>
      <c r="X71" s="87">
        <v>0</v>
      </c>
      <c r="Y71" s="91">
        <v>0</v>
      </c>
      <c r="Z71" s="87">
        <f>Y71*Valores!$C$2</f>
        <v>0</v>
      </c>
      <c r="AA71" s="87">
        <v>0</v>
      </c>
      <c r="AB71" s="92">
        <f>Valores!$C$29</f>
        <v>184.78</v>
      </c>
      <c r="AC71" s="87">
        <f t="shared" si="6"/>
        <v>0</v>
      </c>
      <c r="AD71" s="87">
        <f>Valores!$C$30</f>
        <v>184.78</v>
      </c>
      <c r="AE71" s="91">
        <v>0</v>
      </c>
      <c r="AF71" s="87">
        <f>INT(((AE71*Valores!$C$2)*100)+0.5)/100</f>
        <v>0</v>
      </c>
      <c r="AG71" s="87">
        <f>Valores!$C$58</f>
        <v>375.86</v>
      </c>
      <c r="AH71" s="87">
        <f>Valores!$C$60</f>
        <v>107.38</v>
      </c>
      <c r="AI71" s="93">
        <f t="shared" si="7"/>
        <v>40718.523499999996</v>
      </c>
      <c r="AJ71" s="89">
        <f>Valores!$C$35</f>
        <v>876.57</v>
      </c>
      <c r="AK71" s="90">
        <f>Valores!$C$9</f>
        <v>0</v>
      </c>
      <c r="AL71" s="90">
        <f>Valores!$C$83</f>
        <v>3000</v>
      </c>
      <c r="AM71" s="74">
        <v>1400</v>
      </c>
      <c r="AN71" s="92">
        <f>Valores!$C$51</f>
        <v>157.49</v>
      </c>
      <c r="AO71" s="94">
        <f t="shared" si="8"/>
        <v>3876.57</v>
      </c>
      <c r="AP71" s="95">
        <f>AI71*-Valores!$C$65</f>
        <v>-5293.408055</v>
      </c>
      <c r="AQ71" s="95">
        <f>AI71*-Valores!$C$66</f>
        <v>-203.5926175</v>
      </c>
      <c r="AR71" s="89">
        <f>AI71*-Valores!$C$67</f>
        <v>-1832.3335574999996</v>
      </c>
      <c r="AS71" s="89">
        <f>AI71*-Valores!$C$68</f>
        <v>-1099.4001345</v>
      </c>
      <c r="AT71" s="89">
        <f>AI71*-Valores!$C$69</f>
        <v>-122.1555705</v>
      </c>
      <c r="AU71" s="93">
        <f aca="true" t="shared" si="17" ref="AU71:AU134">AI71+AO71+AQ71+AR71+AP71</f>
        <v>37265.759269999995</v>
      </c>
      <c r="AV71" s="93">
        <f aca="true" t="shared" si="18" ref="AV71:AV134">AI71+AO71+AQ71+AS71+AP71+AT71</f>
        <v>37876.5371225</v>
      </c>
      <c r="AW71" s="89">
        <f>AI71*Valores!$C$71</f>
        <v>6514.96376</v>
      </c>
      <c r="AX71" s="89">
        <f>AI71*Valores!$C$72</f>
        <v>1832.3335574999996</v>
      </c>
      <c r="AY71" s="89">
        <f>AI71*Valores!$C$73</f>
        <v>407.185235</v>
      </c>
      <c r="AZ71" s="89">
        <f>AI71*Valores!$C$75</f>
        <v>1425.1483225</v>
      </c>
      <c r="BA71" s="89">
        <f>AI71*Valores!$C$76</f>
        <v>244.311141</v>
      </c>
      <c r="BB71" s="89">
        <f t="shared" si="9"/>
        <v>2198.800269</v>
      </c>
      <c r="BC71" s="81"/>
      <c r="BD71" s="81"/>
      <c r="BE71" s="82" t="s">
        <v>8</v>
      </c>
    </row>
    <row r="72" spans="1:57" s="24" customFormat="1" ht="11.25" customHeight="1">
      <c r="A72" s="47">
        <v>71</v>
      </c>
      <c r="B72" s="47"/>
      <c r="C72" s="24" t="s">
        <v>285</v>
      </c>
      <c r="E72" s="24">
        <f t="shared" si="14"/>
        <v>27</v>
      </c>
      <c r="F72" s="67" t="s">
        <v>286</v>
      </c>
      <c r="G72" s="68">
        <v>79</v>
      </c>
      <c r="H72" s="69">
        <f>INT((G72*Valores!$C$2*100)+0.5)/100</f>
        <v>604.28</v>
      </c>
      <c r="I72" s="70">
        <v>2161</v>
      </c>
      <c r="J72" s="71">
        <f>INT((I72*Valores!$C$2*100)+0.5)/100</f>
        <v>16529.71</v>
      </c>
      <c r="K72" s="98">
        <v>0</v>
      </c>
      <c r="L72" s="71">
        <f>INT((K72*Valores!$C$2*100)+0.5)/100</f>
        <v>0</v>
      </c>
      <c r="M72" s="96">
        <v>0</v>
      </c>
      <c r="N72" s="71">
        <f>INT((M72*Valores!$C$2*100)+0.5)/100</f>
        <v>0</v>
      </c>
      <c r="O72" s="71">
        <f t="shared" si="15"/>
        <v>3256.1415</v>
      </c>
      <c r="P72" s="71">
        <f t="shared" si="16"/>
        <v>0</v>
      </c>
      <c r="Q72" s="73">
        <f>Valores!$C$16</f>
        <v>4949.59</v>
      </c>
      <c r="R72" s="73">
        <f>Valores!$D$4</f>
        <v>3421.44</v>
      </c>
      <c r="S72" s="97">
        <f>Valores!$C$26</f>
        <v>3568.39</v>
      </c>
      <c r="T72" s="102">
        <f>Valores!$C$42</f>
        <v>1414.4</v>
      </c>
      <c r="U72" s="71">
        <f>Valores!$C$23</f>
        <v>3159.22</v>
      </c>
      <c r="V72" s="71">
        <f t="shared" si="13"/>
        <v>3159.22</v>
      </c>
      <c r="W72" s="71">
        <v>0</v>
      </c>
      <c r="X72" s="71">
        <v>0</v>
      </c>
      <c r="Y72" s="75">
        <v>0</v>
      </c>
      <c r="Z72" s="71">
        <f>Y72*Valores!$C$2</f>
        <v>0</v>
      </c>
      <c r="AA72" s="71">
        <v>0</v>
      </c>
      <c r="AB72" s="76">
        <f>Valores!$C$29</f>
        <v>184.78</v>
      </c>
      <c r="AC72" s="71">
        <f aca="true" t="shared" si="19" ref="AC72:AC135">SUM(H72,J72,L72,Z72,T72)*$H$3/100</f>
        <v>0</v>
      </c>
      <c r="AD72" s="71">
        <f>Valores!$C$30</f>
        <v>184.78</v>
      </c>
      <c r="AE72" s="75">
        <v>0</v>
      </c>
      <c r="AF72" s="71">
        <f>INT(((AE72*Valores!$C$2)*100)+0.5)/100</f>
        <v>0</v>
      </c>
      <c r="AG72" s="71">
        <f>Valores!$C$58</f>
        <v>375.86</v>
      </c>
      <c r="AH72" s="71">
        <f>Valores!$C$60</f>
        <v>107.38</v>
      </c>
      <c r="AI72" s="77">
        <f aca="true" t="shared" si="20" ref="AI72:AI135">SUM(H72,J72,L72,N72,O72,P72,Q72,R72,S72,V72,W72,X72,Z72,AA72,AB72,AC72,AD72,AF72,T72,AG72,AH72)</f>
        <v>37755.97149999999</v>
      </c>
      <c r="AJ72" s="73">
        <f>Valores!$C$35</f>
        <v>876.57</v>
      </c>
      <c r="AK72" s="74">
        <f>Valores!$C$8</f>
        <v>0</v>
      </c>
      <c r="AL72" s="74">
        <f>Valores!$C$83</f>
        <v>3000</v>
      </c>
      <c r="AM72" s="74">
        <v>1400</v>
      </c>
      <c r="AN72" s="76">
        <f>Valores!$C$51</f>
        <v>157.49</v>
      </c>
      <c r="AO72" s="78">
        <f aca="true" t="shared" si="21" ref="AO72:AO135">IF($H$4="SI",SUM(AJ72:AL72,AN72),SUM(AJ72:AL72))</f>
        <v>3876.57</v>
      </c>
      <c r="AP72" s="79">
        <f>AI72*-Valores!$C$65</f>
        <v>-4908.276294999999</v>
      </c>
      <c r="AQ72" s="79">
        <f>AI72*-Valores!$C$66</f>
        <v>-188.77985749999996</v>
      </c>
      <c r="AR72" s="73">
        <f>AI72*-Valores!$C$67</f>
        <v>-1699.0187174999996</v>
      </c>
      <c r="AS72" s="73">
        <f>AI72*-Valores!$C$68</f>
        <v>-1019.4112304999998</v>
      </c>
      <c r="AT72" s="73">
        <f>AI72*-Valores!$C$69</f>
        <v>-113.26791449999997</v>
      </c>
      <c r="AU72" s="77">
        <f t="shared" si="17"/>
        <v>34836.466629999995</v>
      </c>
      <c r="AV72" s="77">
        <f t="shared" si="18"/>
        <v>35402.806202499996</v>
      </c>
      <c r="AW72" s="73">
        <f>AI72*Valores!$C$71</f>
        <v>6040.955439999999</v>
      </c>
      <c r="AX72" s="73">
        <f>AI72*Valores!$C$72</f>
        <v>1699.0187174999996</v>
      </c>
      <c r="AY72" s="73">
        <f>AI72*Valores!$C$73</f>
        <v>377.5597149999999</v>
      </c>
      <c r="AZ72" s="73">
        <f>AI72*Valores!$C$75</f>
        <v>1321.4590024999998</v>
      </c>
      <c r="BA72" s="73">
        <f>AI72*Valores!$C$76</f>
        <v>226.53582899999995</v>
      </c>
      <c r="BB72" s="73">
        <f t="shared" si="9"/>
        <v>2038.8224609999995</v>
      </c>
      <c r="BC72" s="47"/>
      <c r="BD72" s="47">
        <v>30</v>
      </c>
      <c r="BE72" s="24" t="s">
        <v>4</v>
      </c>
    </row>
    <row r="73" spans="1:57" s="24" customFormat="1" ht="11.25" customHeight="1">
      <c r="A73" s="47">
        <v>72</v>
      </c>
      <c r="B73" s="47"/>
      <c r="C73" s="24" t="s">
        <v>287</v>
      </c>
      <c r="E73" s="24">
        <f t="shared" si="14"/>
        <v>32</v>
      </c>
      <c r="F73" s="67" t="s">
        <v>288</v>
      </c>
      <c r="G73" s="68">
        <v>90</v>
      </c>
      <c r="H73" s="69">
        <f>INT((G73*Valores!$C$2*100)+0.5)/100</f>
        <v>688.42</v>
      </c>
      <c r="I73" s="70">
        <v>2720</v>
      </c>
      <c r="J73" s="71">
        <f>INT((I73*Valores!$C$2*100)+0.5)/100</f>
        <v>20805.55</v>
      </c>
      <c r="K73" s="98">
        <v>0</v>
      </c>
      <c r="L73" s="71">
        <f>INT((K73*Valores!$C$2*100)+0.5)/100</f>
        <v>0</v>
      </c>
      <c r="M73" s="96">
        <v>0</v>
      </c>
      <c r="N73" s="71">
        <f>INT((M73*Valores!$C$2*100)+0.5)/100</f>
        <v>0</v>
      </c>
      <c r="O73" s="71">
        <f t="shared" si="15"/>
        <v>4016.2139999999995</v>
      </c>
      <c r="P73" s="71">
        <f t="shared" si="16"/>
        <v>0</v>
      </c>
      <c r="Q73" s="73">
        <f>Valores!$C$16</f>
        <v>4949.59</v>
      </c>
      <c r="R73" s="73">
        <f>Valores!$D$4</f>
        <v>3421.44</v>
      </c>
      <c r="S73" s="71">
        <v>0</v>
      </c>
      <c r="T73" s="74">
        <f>Valores!$C$43</f>
        <v>2121.57</v>
      </c>
      <c r="U73" s="71">
        <f>Valores!$C$23</f>
        <v>3159.22</v>
      </c>
      <c r="V73" s="71">
        <f t="shared" si="13"/>
        <v>3159.22</v>
      </c>
      <c r="W73" s="71">
        <v>0</v>
      </c>
      <c r="X73" s="71">
        <v>0</v>
      </c>
      <c r="Y73" s="75">
        <v>0</v>
      </c>
      <c r="Z73" s="71">
        <f>Y73*Valores!$C$2</f>
        <v>0</v>
      </c>
      <c r="AA73" s="71">
        <v>0</v>
      </c>
      <c r="AB73" s="76">
        <f>Valores!$C$29</f>
        <v>184.78</v>
      </c>
      <c r="AC73" s="71">
        <f t="shared" si="19"/>
        <v>0</v>
      </c>
      <c r="AD73" s="71">
        <f>Valores!$C$30</f>
        <v>184.78</v>
      </c>
      <c r="AE73" s="75">
        <v>0</v>
      </c>
      <c r="AF73" s="71">
        <f>INT(((AE73*Valores!$C$2)*100)+0.5)/100</f>
        <v>0</v>
      </c>
      <c r="AG73" s="71">
        <f>Valores!$C$58</f>
        <v>375.86</v>
      </c>
      <c r="AH73" s="71">
        <f>Valores!$C$60</f>
        <v>107.38</v>
      </c>
      <c r="AI73" s="77">
        <f t="shared" si="20"/>
        <v>40014.804</v>
      </c>
      <c r="AJ73" s="73">
        <f>Valores!$C$35</f>
        <v>876.57</v>
      </c>
      <c r="AK73" s="74">
        <f>Valores!$C$9</f>
        <v>0</v>
      </c>
      <c r="AL73" s="74">
        <f>Valores!$C$83</f>
        <v>3000</v>
      </c>
      <c r="AM73" s="74">
        <v>1400</v>
      </c>
      <c r="AN73" s="76">
        <f>Valores!$C$51</f>
        <v>157.49</v>
      </c>
      <c r="AO73" s="78">
        <f t="shared" si="21"/>
        <v>3876.57</v>
      </c>
      <c r="AP73" s="79">
        <f>AI73*-Valores!$C$65</f>
        <v>-5201.92452</v>
      </c>
      <c r="AQ73" s="79">
        <f>AI73*-Valores!$C$66</f>
        <v>-200.07402</v>
      </c>
      <c r="AR73" s="73">
        <f>AI73*-Valores!$C$67</f>
        <v>-1800.6661799999997</v>
      </c>
      <c r="AS73" s="73">
        <f>AI73*-Valores!$C$68</f>
        <v>-1080.399708</v>
      </c>
      <c r="AT73" s="73">
        <f>AI73*-Valores!$C$69</f>
        <v>-120.044412</v>
      </c>
      <c r="AU73" s="77">
        <f t="shared" si="17"/>
        <v>36688.709279999995</v>
      </c>
      <c r="AV73" s="77">
        <f t="shared" si="18"/>
        <v>37288.931339999996</v>
      </c>
      <c r="AW73" s="73">
        <f>AI73*Valores!$C$71</f>
        <v>6402.36864</v>
      </c>
      <c r="AX73" s="73">
        <f>AI73*Valores!$C$72</f>
        <v>1800.6661799999997</v>
      </c>
      <c r="AY73" s="73">
        <f>AI73*Valores!$C$73</f>
        <v>400.14804</v>
      </c>
      <c r="AZ73" s="73">
        <f>AI73*Valores!$C$75</f>
        <v>1400.51814</v>
      </c>
      <c r="BA73" s="73">
        <f>AI73*Valores!$C$76</f>
        <v>240.088824</v>
      </c>
      <c r="BB73" s="73">
        <f aca="true" t="shared" si="22" ref="BB73:BB136">AI73*5.4/100</f>
        <v>2160.799416</v>
      </c>
      <c r="BC73" s="47"/>
      <c r="BD73" s="47"/>
      <c r="BE73" s="24" t="s">
        <v>8</v>
      </c>
    </row>
    <row r="74" spans="1:57" s="24" customFormat="1" ht="11.25" customHeight="1">
      <c r="A74" s="47">
        <v>73</v>
      </c>
      <c r="B74" s="47"/>
      <c r="C74" s="24" t="s">
        <v>289</v>
      </c>
      <c r="E74" s="24">
        <f t="shared" si="14"/>
        <v>16</v>
      </c>
      <c r="F74" s="67" t="s">
        <v>290</v>
      </c>
      <c r="G74" s="68">
        <v>78</v>
      </c>
      <c r="H74" s="69">
        <f>INT((G74*Valores!$C$2*100)+0.5)/100</f>
        <v>596.63</v>
      </c>
      <c r="I74" s="70">
        <v>1284</v>
      </c>
      <c r="J74" s="71">
        <f>INT((I74*Valores!$C$2*100)+0.5)/100</f>
        <v>9821.44</v>
      </c>
      <c r="K74" s="98">
        <v>0</v>
      </c>
      <c r="L74" s="71">
        <f>INT((K74*Valores!$C$2*100)+0.5)/100</f>
        <v>0</v>
      </c>
      <c r="M74" s="96">
        <v>0</v>
      </c>
      <c r="N74" s="71">
        <f>INT((M74*Valores!$C$2*100)+0.5)/100</f>
        <v>0</v>
      </c>
      <c r="O74" s="71">
        <f t="shared" si="15"/>
        <v>2242.305</v>
      </c>
      <c r="P74" s="71">
        <f t="shared" si="16"/>
        <v>0</v>
      </c>
      <c r="Q74" s="73">
        <f>Valores!$C$15</f>
        <v>4920.96</v>
      </c>
      <c r="R74" s="73">
        <f>Valores!$D$4</f>
        <v>3421.44</v>
      </c>
      <c r="S74" s="71">
        <f>Valores!$C$26</f>
        <v>3568.39</v>
      </c>
      <c r="T74" s="74">
        <f>Valores!$C$42</f>
        <v>1414.4</v>
      </c>
      <c r="U74" s="97">
        <f>Valores!$C$24</f>
        <v>3116.23</v>
      </c>
      <c r="V74" s="71">
        <f t="shared" si="13"/>
        <v>3116.23</v>
      </c>
      <c r="W74" s="71">
        <v>0</v>
      </c>
      <c r="X74" s="71">
        <v>0</v>
      </c>
      <c r="Y74" s="75">
        <v>0</v>
      </c>
      <c r="Z74" s="71">
        <f>Y74*Valores!$C$2</f>
        <v>0</v>
      </c>
      <c r="AA74" s="71">
        <v>0</v>
      </c>
      <c r="AB74" s="76">
        <f>Valores!$C$29</f>
        <v>184.78</v>
      </c>
      <c r="AC74" s="71">
        <f t="shared" si="19"/>
        <v>0</v>
      </c>
      <c r="AD74" s="71">
        <f>Valores!$C$30</f>
        <v>184.78</v>
      </c>
      <c r="AE74" s="75">
        <v>0</v>
      </c>
      <c r="AF74" s="71">
        <f>INT(((AE74*Valores!$C$2)*100)+0.5)/100</f>
        <v>0</v>
      </c>
      <c r="AG74" s="71">
        <f>Valores!$C$58</f>
        <v>375.86</v>
      </c>
      <c r="AH74" s="71">
        <f>Valores!$C$60</f>
        <v>107.38</v>
      </c>
      <c r="AI74" s="77">
        <f t="shared" si="20"/>
        <v>29954.594999999998</v>
      </c>
      <c r="AJ74" s="73">
        <f>Valores!$C$35</f>
        <v>876.57</v>
      </c>
      <c r="AK74" s="74">
        <f>Valores!$C$8</f>
        <v>0</v>
      </c>
      <c r="AL74" s="74">
        <f>Valores!$C$81</f>
        <v>1500</v>
      </c>
      <c r="AM74" s="74">
        <v>1400</v>
      </c>
      <c r="AN74" s="76">
        <f>Valores!$C$51</f>
        <v>157.49</v>
      </c>
      <c r="AO74" s="78">
        <f t="shared" si="21"/>
        <v>2376.57</v>
      </c>
      <c r="AP74" s="79">
        <f>AI74*-Valores!$C$65</f>
        <v>-3894.09735</v>
      </c>
      <c r="AQ74" s="79">
        <f>AI74*-Valores!$C$66</f>
        <v>-149.772975</v>
      </c>
      <c r="AR74" s="73">
        <f>AI74*-Valores!$C$67</f>
        <v>-1347.9567749999999</v>
      </c>
      <c r="AS74" s="73">
        <f>AI74*-Valores!$C$68</f>
        <v>-808.774065</v>
      </c>
      <c r="AT74" s="73">
        <f>AI74*-Valores!$C$69</f>
        <v>-89.863785</v>
      </c>
      <c r="AU74" s="77">
        <f t="shared" si="17"/>
        <v>26939.3379</v>
      </c>
      <c r="AV74" s="77">
        <f t="shared" si="18"/>
        <v>27388.656824999995</v>
      </c>
      <c r="AW74" s="73">
        <f>AI74*Valores!$C$71</f>
        <v>4792.7352</v>
      </c>
      <c r="AX74" s="73">
        <f>AI74*Valores!$C$72</f>
        <v>1347.9567749999999</v>
      </c>
      <c r="AY74" s="73">
        <f>AI74*Valores!$C$73</f>
        <v>299.54595</v>
      </c>
      <c r="AZ74" s="73">
        <f>AI74*Valores!$C$75</f>
        <v>1048.410825</v>
      </c>
      <c r="BA74" s="73">
        <f>AI74*Valores!$C$76</f>
        <v>179.72757</v>
      </c>
      <c r="BB74" s="73">
        <f t="shared" si="22"/>
        <v>1617.54813</v>
      </c>
      <c r="BC74" s="47"/>
      <c r="BD74" s="47">
        <v>30</v>
      </c>
      <c r="BE74" s="24" t="s">
        <v>4</v>
      </c>
    </row>
    <row r="75" spans="1:57" s="24" customFormat="1" ht="11.25" customHeight="1">
      <c r="A75" s="47">
        <v>74</v>
      </c>
      <c r="B75" s="47"/>
      <c r="C75" s="24" t="s">
        <v>291</v>
      </c>
      <c r="E75" s="24">
        <f t="shared" si="14"/>
        <v>33</v>
      </c>
      <c r="F75" s="67" t="s">
        <v>292</v>
      </c>
      <c r="G75" s="68">
        <v>78</v>
      </c>
      <c r="H75" s="69">
        <f>INT((G75*Valores!$C$2*100)+0.5)/100</f>
        <v>596.63</v>
      </c>
      <c r="I75" s="70">
        <v>1284</v>
      </c>
      <c r="J75" s="71">
        <f>INT((I75*Valores!$C$2*100)+0.5)/100</f>
        <v>9821.44</v>
      </c>
      <c r="K75" s="98">
        <v>0</v>
      </c>
      <c r="L75" s="71">
        <f>INT((K75*Valores!$C$2*100)+0.5)/100</f>
        <v>0</v>
      </c>
      <c r="M75" s="96">
        <v>0</v>
      </c>
      <c r="N75" s="71">
        <f>INT((M75*Valores!$C$2*100)+0.5)/100</f>
        <v>0</v>
      </c>
      <c r="O75" s="71">
        <f t="shared" si="15"/>
        <v>2242.305</v>
      </c>
      <c r="P75" s="71">
        <f t="shared" si="16"/>
        <v>0</v>
      </c>
      <c r="Q75" s="73">
        <f>Valores!$C$15</f>
        <v>4920.96</v>
      </c>
      <c r="R75" s="73">
        <f>Valores!$D$4</f>
        <v>3421.44</v>
      </c>
      <c r="S75" s="97">
        <f>Valores!$C$26</f>
        <v>3568.39</v>
      </c>
      <c r="T75" s="102">
        <f>Valores!$C$42</f>
        <v>1414.4</v>
      </c>
      <c r="U75" s="97">
        <f>Valores!$C$24</f>
        <v>3116.23</v>
      </c>
      <c r="V75" s="71">
        <f t="shared" si="13"/>
        <v>3116.23</v>
      </c>
      <c r="W75" s="71">
        <v>0</v>
      </c>
      <c r="X75" s="71">
        <v>0</v>
      </c>
      <c r="Y75" s="75">
        <v>0</v>
      </c>
      <c r="Z75" s="71">
        <f>Y75*Valores!$C$2</f>
        <v>0</v>
      </c>
      <c r="AA75" s="71">
        <v>0</v>
      </c>
      <c r="AB75" s="76">
        <f>Valores!$C$29</f>
        <v>184.78</v>
      </c>
      <c r="AC75" s="71">
        <f t="shared" si="19"/>
        <v>0</v>
      </c>
      <c r="AD75" s="71">
        <f>Valores!$C$30</f>
        <v>184.78</v>
      </c>
      <c r="AE75" s="75">
        <v>0</v>
      </c>
      <c r="AF75" s="71">
        <f>INT(((AE75*Valores!$C$2)*100)+0.5)/100</f>
        <v>0</v>
      </c>
      <c r="AG75" s="71">
        <f>Valores!$C$58</f>
        <v>375.86</v>
      </c>
      <c r="AH75" s="71">
        <f>Valores!$C$60</f>
        <v>107.38</v>
      </c>
      <c r="AI75" s="77">
        <f t="shared" si="20"/>
        <v>29954.594999999998</v>
      </c>
      <c r="AJ75" s="73">
        <f>Valores!$C$35</f>
        <v>876.57</v>
      </c>
      <c r="AK75" s="74">
        <f>Valores!$C$8</f>
        <v>0</v>
      </c>
      <c r="AL75" s="74">
        <f>Valores!$C$81</f>
        <v>1500</v>
      </c>
      <c r="AM75" s="74">
        <v>1400</v>
      </c>
      <c r="AN75" s="76">
        <v>0</v>
      </c>
      <c r="AO75" s="78">
        <f t="shared" si="21"/>
        <v>2376.57</v>
      </c>
      <c r="AP75" s="79">
        <f>AI75*-Valores!$C$65</f>
        <v>-3894.09735</v>
      </c>
      <c r="AQ75" s="79">
        <f>AI75*-Valores!$C$66</f>
        <v>-149.772975</v>
      </c>
      <c r="AR75" s="73">
        <f>AI75*-Valores!$C$67</f>
        <v>-1347.9567749999999</v>
      </c>
      <c r="AS75" s="73">
        <f>AI75*-Valores!$C$68</f>
        <v>-808.774065</v>
      </c>
      <c r="AT75" s="73">
        <f>AI75*-Valores!$C$69</f>
        <v>-89.863785</v>
      </c>
      <c r="AU75" s="77">
        <f t="shared" si="17"/>
        <v>26939.3379</v>
      </c>
      <c r="AV75" s="77">
        <f t="shared" si="18"/>
        <v>27388.656824999995</v>
      </c>
      <c r="AW75" s="73">
        <f>AI75*Valores!$C$71</f>
        <v>4792.7352</v>
      </c>
      <c r="AX75" s="73">
        <f>AI75*Valores!$C$72</f>
        <v>1347.9567749999999</v>
      </c>
      <c r="AY75" s="73">
        <f>AI75*Valores!$C$73</f>
        <v>299.54595</v>
      </c>
      <c r="AZ75" s="73">
        <f>AI75*Valores!$C$75</f>
        <v>1048.410825</v>
      </c>
      <c r="BA75" s="73">
        <f>AI75*Valores!$C$76</f>
        <v>179.72757</v>
      </c>
      <c r="BB75" s="73">
        <f t="shared" si="22"/>
        <v>1617.54813</v>
      </c>
      <c r="BC75" s="47"/>
      <c r="BD75" s="47"/>
      <c r="BE75" s="24" t="s">
        <v>8</v>
      </c>
    </row>
    <row r="76" spans="1:57" s="24" customFormat="1" ht="11.25" customHeight="1">
      <c r="A76" s="81">
        <v>75</v>
      </c>
      <c r="B76" s="81" t="s">
        <v>163</v>
      </c>
      <c r="C76" s="82" t="s">
        <v>293</v>
      </c>
      <c r="D76" s="82"/>
      <c r="E76" s="82">
        <f t="shared" si="14"/>
        <v>33</v>
      </c>
      <c r="F76" s="83" t="s">
        <v>294</v>
      </c>
      <c r="G76" s="84">
        <v>78</v>
      </c>
      <c r="H76" s="85">
        <f>INT((G76*Valores!$C$2*100)+0.5)/100</f>
        <v>596.63</v>
      </c>
      <c r="I76" s="86">
        <v>1284</v>
      </c>
      <c r="J76" s="87">
        <f>INT((I76*Valores!$C$2*100)+0.5)/100</f>
        <v>9821.44</v>
      </c>
      <c r="K76" s="100">
        <v>0</v>
      </c>
      <c r="L76" s="87">
        <f>INT((K76*Valores!$C$2*100)+0.5)/100</f>
        <v>0</v>
      </c>
      <c r="M76" s="101">
        <v>0</v>
      </c>
      <c r="N76" s="87">
        <f>INT((M76*Valores!$C$2*100)+0.5)/100</f>
        <v>0</v>
      </c>
      <c r="O76" s="87">
        <f t="shared" si="15"/>
        <v>1774.8704999999998</v>
      </c>
      <c r="P76" s="87">
        <f t="shared" si="16"/>
        <v>0</v>
      </c>
      <c r="Q76" s="89">
        <f>Valores!$C$20</f>
        <v>4706.17</v>
      </c>
      <c r="R76" s="89">
        <f>Valores!$D$4</f>
        <v>3421.44</v>
      </c>
      <c r="S76" s="103">
        <f>Valores!$C$26</f>
        <v>3568.39</v>
      </c>
      <c r="T76" s="104">
        <f>Valores!$C$42</f>
        <v>1414.4</v>
      </c>
      <c r="U76" s="103">
        <v>0</v>
      </c>
      <c r="V76" s="87">
        <f t="shared" si="13"/>
        <v>0</v>
      </c>
      <c r="W76" s="87">
        <v>0</v>
      </c>
      <c r="X76" s="87">
        <v>0</v>
      </c>
      <c r="Y76" s="91">
        <v>0</v>
      </c>
      <c r="Z76" s="87">
        <f>Y76*Valores!$C$2</f>
        <v>0</v>
      </c>
      <c r="AA76" s="87">
        <v>0</v>
      </c>
      <c r="AB76" s="92">
        <f>Valores!$C$29</f>
        <v>184.78</v>
      </c>
      <c r="AC76" s="87">
        <f t="shared" si="19"/>
        <v>0</v>
      </c>
      <c r="AD76" s="87">
        <f>Valores!$C$30</f>
        <v>184.78</v>
      </c>
      <c r="AE76" s="91">
        <v>0</v>
      </c>
      <c r="AF76" s="87">
        <f>INT(((AE76*Valores!$C$2)*100)+0.5)/100</f>
        <v>0</v>
      </c>
      <c r="AG76" s="87">
        <f>Valores!$C$58</f>
        <v>375.86</v>
      </c>
      <c r="AH76" s="87">
        <f>Valores!$C$60</f>
        <v>107.38</v>
      </c>
      <c r="AI76" s="93">
        <f t="shared" si="20"/>
        <v>26156.140499999998</v>
      </c>
      <c r="AJ76" s="89">
        <f>Valores!$C$35</f>
        <v>876.57</v>
      </c>
      <c r="AK76" s="90">
        <f>Valores!$C$8</f>
        <v>0</v>
      </c>
      <c r="AL76" s="90">
        <f>Valores!$C$81</f>
        <v>1500</v>
      </c>
      <c r="AM76" s="74">
        <v>1400</v>
      </c>
      <c r="AN76" s="92">
        <v>0</v>
      </c>
      <c r="AO76" s="94">
        <f t="shared" si="21"/>
        <v>2376.57</v>
      </c>
      <c r="AP76" s="95">
        <f>AI76*-Valores!$C$65</f>
        <v>-3400.298265</v>
      </c>
      <c r="AQ76" s="95">
        <f>AI76*-Valores!$C$66</f>
        <v>-130.7807025</v>
      </c>
      <c r="AR76" s="89">
        <f>AI76*-Valores!$C$67</f>
        <v>-1177.0263224999999</v>
      </c>
      <c r="AS76" s="89">
        <f>AI76*-Valores!$C$68</f>
        <v>-706.2157934999999</v>
      </c>
      <c r="AT76" s="89">
        <f>AI76*-Valores!$C$69</f>
        <v>-78.46842149999999</v>
      </c>
      <c r="AU76" s="93">
        <f t="shared" si="17"/>
        <v>23824.605209999998</v>
      </c>
      <c r="AV76" s="93">
        <f t="shared" si="18"/>
        <v>24216.947317499995</v>
      </c>
      <c r="AW76" s="89">
        <f>AI76*Valores!$C$71</f>
        <v>4184.98248</v>
      </c>
      <c r="AX76" s="89">
        <f>AI76*Valores!$C$72</f>
        <v>1177.0263224999999</v>
      </c>
      <c r="AY76" s="89">
        <f>AI76*Valores!$C$73</f>
        <v>261.561405</v>
      </c>
      <c r="AZ76" s="89">
        <f>AI76*Valores!$C$75</f>
        <v>915.4649175</v>
      </c>
      <c r="BA76" s="89">
        <f>AI76*Valores!$C$76</f>
        <v>156.93684299999998</v>
      </c>
      <c r="BB76" s="89">
        <f t="shared" si="22"/>
        <v>1412.431587</v>
      </c>
      <c r="BC76" s="81"/>
      <c r="BD76" s="81"/>
      <c r="BE76" s="82" t="s">
        <v>8</v>
      </c>
    </row>
    <row r="77" spans="1:57" s="24" customFormat="1" ht="11.25" customHeight="1">
      <c r="A77" s="47">
        <v>76</v>
      </c>
      <c r="B77" s="47"/>
      <c r="C77" s="24" t="s">
        <v>295</v>
      </c>
      <c r="E77" s="24">
        <f t="shared" si="14"/>
        <v>29</v>
      </c>
      <c r="F77" s="67" t="s">
        <v>296</v>
      </c>
      <c r="G77" s="68">
        <v>82</v>
      </c>
      <c r="H77" s="69">
        <f>INT((G77*Valores!$C$2*100)+0.5)/100</f>
        <v>627.23</v>
      </c>
      <c r="I77" s="70">
        <v>2038</v>
      </c>
      <c r="J77" s="71">
        <f>INT((I77*Valores!$C$2*100)+0.5)/100</f>
        <v>15588.87</v>
      </c>
      <c r="K77" s="98">
        <v>0</v>
      </c>
      <c r="L77" s="71">
        <f>INT((K77*Valores!$C$2*100)+0.5)/100</f>
        <v>0</v>
      </c>
      <c r="M77" s="96">
        <v>0</v>
      </c>
      <c r="N77" s="71">
        <f>INT((M77*Valores!$C$2*100)+0.5)/100</f>
        <v>0</v>
      </c>
      <c r="O77" s="71">
        <f t="shared" si="15"/>
        <v>3118.458</v>
      </c>
      <c r="P77" s="71">
        <f t="shared" si="16"/>
        <v>0</v>
      </c>
      <c r="Q77" s="105">
        <f>Valores!$C$16</f>
        <v>4949.59</v>
      </c>
      <c r="R77" s="105">
        <f>Valores!$D$4</f>
        <v>3421.44</v>
      </c>
      <c r="S77" s="102">
        <f>Valores!$C$26</f>
        <v>3568.39</v>
      </c>
      <c r="T77" s="102">
        <f>Valores!$C$42</f>
        <v>1414.4</v>
      </c>
      <c r="U77" s="74">
        <f>Valores!$C$23</f>
        <v>3159.22</v>
      </c>
      <c r="V77" s="71">
        <f t="shared" si="13"/>
        <v>3159.22</v>
      </c>
      <c r="W77" s="71">
        <v>0</v>
      </c>
      <c r="X77" s="71">
        <v>0</v>
      </c>
      <c r="Y77" s="75">
        <v>0</v>
      </c>
      <c r="Z77" s="71">
        <f>Y77*Valores!$C$2</f>
        <v>0</v>
      </c>
      <c r="AA77" s="71">
        <v>0</v>
      </c>
      <c r="AB77" s="76">
        <f>Valores!$C$29</f>
        <v>184.78</v>
      </c>
      <c r="AC77" s="71">
        <f t="shared" si="19"/>
        <v>0</v>
      </c>
      <c r="AD77" s="71">
        <f>Valores!$C$30</f>
        <v>184.78</v>
      </c>
      <c r="AE77" s="75">
        <v>0</v>
      </c>
      <c r="AF77" s="71">
        <f>INT(((AE77*Valores!$C$2)*100)+0.5)/100</f>
        <v>0</v>
      </c>
      <c r="AG77" s="71">
        <f>Valores!$C$58</f>
        <v>375.86</v>
      </c>
      <c r="AH77" s="71">
        <f>Valores!$C$60</f>
        <v>107.38</v>
      </c>
      <c r="AI77" s="77">
        <f t="shared" si="20"/>
        <v>36700.397999999994</v>
      </c>
      <c r="AJ77" s="73">
        <f>Valores!$C$35</f>
        <v>876.57</v>
      </c>
      <c r="AK77" s="74">
        <f>Valores!$C$8</f>
        <v>0</v>
      </c>
      <c r="AL77" s="74">
        <f>Valores!$C$81</f>
        <v>1500</v>
      </c>
      <c r="AM77" s="74">
        <v>1400</v>
      </c>
      <c r="AN77" s="76">
        <f>Valores!$C$51</f>
        <v>157.49</v>
      </c>
      <c r="AO77" s="78">
        <f t="shared" si="21"/>
        <v>2376.57</v>
      </c>
      <c r="AP77" s="79">
        <f>AI77*-Valores!$C$65</f>
        <v>-4771.051739999999</v>
      </c>
      <c r="AQ77" s="79">
        <f>AI77*-Valores!$C$66</f>
        <v>-183.50198999999998</v>
      </c>
      <c r="AR77" s="73">
        <f>AI77*-Valores!$C$67</f>
        <v>-1651.5179099999996</v>
      </c>
      <c r="AS77" s="73">
        <f>AI77*-Valores!$C$68</f>
        <v>-990.9107459999998</v>
      </c>
      <c r="AT77" s="73">
        <f>AI77*-Valores!$C$69</f>
        <v>-110.10119399999998</v>
      </c>
      <c r="AU77" s="77">
        <f t="shared" si="17"/>
        <v>32470.896359999995</v>
      </c>
      <c r="AV77" s="77">
        <f t="shared" si="18"/>
        <v>33021.40233</v>
      </c>
      <c r="AW77" s="73">
        <f>AI77*Valores!$C$71</f>
        <v>5872.063679999999</v>
      </c>
      <c r="AX77" s="73">
        <f>AI77*Valores!$C$72</f>
        <v>1651.5179099999996</v>
      </c>
      <c r="AY77" s="73">
        <f>AI77*Valores!$C$73</f>
        <v>367.00397999999996</v>
      </c>
      <c r="AZ77" s="73">
        <f>AI77*Valores!$C$75</f>
        <v>1284.5139299999998</v>
      </c>
      <c r="BA77" s="73">
        <f>AI77*Valores!$C$76</f>
        <v>220.20238799999996</v>
      </c>
      <c r="BB77" s="73">
        <f t="shared" si="22"/>
        <v>1981.8214919999998</v>
      </c>
      <c r="BC77" s="47"/>
      <c r="BD77" s="47">
        <v>25</v>
      </c>
      <c r="BE77" s="24" t="s">
        <v>4</v>
      </c>
    </row>
    <row r="78" spans="1:57" s="24" customFormat="1" ht="11.25" customHeight="1">
      <c r="A78" s="47">
        <v>77</v>
      </c>
      <c r="B78" s="47"/>
      <c r="C78" s="24" t="s">
        <v>297</v>
      </c>
      <c r="E78" s="24">
        <f t="shared" si="14"/>
        <v>24</v>
      </c>
      <c r="F78" s="67" t="s">
        <v>298</v>
      </c>
      <c r="G78" s="68">
        <v>78</v>
      </c>
      <c r="H78" s="69">
        <f>INT((G78*Valores!$C$2*100)+0.5)/100</f>
        <v>596.63</v>
      </c>
      <c r="I78" s="70">
        <v>2072</v>
      </c>
      <c r="J78" s="71">
        <f>INT((I78*Valores!$C$2*100)+0.5)/100</f>
        <v>15848.94</v>
      </c>
      <c r="K78" s="98">
        <v>0</v>
      </c>
      <c r="L78" s="71">
        <f>INT((K78*Valores!$C$2*100)+0.5)/100</f>
        <v>0</v>
      </c>
      <c r="M78" s="96">
        <v>0</v>
      </c>
      <c r="N78" s="71">
        <f>INT((M78*Valores!$C$2*100)+0.5)/100</f>
        <v>0</v>
      </c>
      <c r="O78" s="71">
        <f t="shared" si="15"/>
        <v>3152.8785000000003</v>
      </c>
      <c r="P78" s="71">
        <f t="shared" si="16"/>
        <v>0</v>
      </c>
      <c r="Q78" s="105">
        <f>Valores!$C$16</f>
        <v>4949.59</v>
      </c>
      <c r="R78" s="105">
        <f>Valores!$D$4</f>
        <v>3421.44</v>
      </c>
      <c r="S78" s="102">
        <f>Valores!$C$26</f>
        <v>3568.39</v>
      </c>
      <c r="T78" s="102">
        <f>Valores!$C$42</f>
        <v>1414.4</v>
      </c>
      <c r="U78" s="74">
        <f>Valores!$C$23</f>
        <v>3159.22</v>
      </c>
      <c r="V78" s="71">
        <f t="shared" si="13"/>
        <v>3159.22</v>
      </c>
      <c r="W78" s="71">
        <v>0</v>
      </c>
      <c r="X78" s="71">
        <v>0</v>
      </c>
      <c r="Y78" s="75">
        <v>0</v>
      </c>
      <c r="Z78" s="71">
        <f>Y78*Valores!$C$2</f>
        <v>0</v>
      </c>
      <c r="AA78" s="71">
        <v>0</v>
      </c>
      <c r="AB78" s="76">
        <f>Valores!$C$29</f>
        <v>184.78</v>
      </c>
      <c r="AC78" s="71">
        <f t="shared" si="19"/>
        <v>0</v>
      </c>
      <c r="AD78" s="71">
        <f>Valores!$C$30</f>
        <v>184.78</v>
      </c>
      <c r="AE78" s="75">
        <v>0</v>
      </c>
      <c r="AF78" s="71">
        <f>INT(((AE78*Valores!$C$2)*100)+0.5)/100</f>
        <v>0</v>
      </c>
      <c r="AG78" s="71">
        <f>Valores!$C$58</f>
        <v>375.86</v>
      </c>
      <c r="AH78" s="71">
        <f>Valores!$C$60</f>
        <v>107.38</v>
      </c>
      <c r="AI78" s="77">
        <f t="shared" si="20"/>
        <v>36964.288499999995</v>
      </c>
      <c r="AJ78" s="73">
        <f>Valores!$C$35</f>
        <v>876.57</v>
      </c>
      <c r="AK78" s="74">
        <f>Valores!$C$8</f>
        <v>0</v>
      </c>
      <c r="AL78" s="74">
        <f>Valores!$C$83</f>
        <v>3000</v>
      </c>
      <c r="AM78" s="74">
        <v>2800</v>
      </c>
      <c r="AN78" s="76">
        <f>Valores!$C$51</f>
        <v>157.49</v>
      </c>
      <c r="AO78" s="78">
        <f t="shared" si="21"/>
        <v>3876.57</v>
      </c>
      <c r="AP78" s="79">
        <f>AI78*-Valores!$C$65</f>
        <v>-4805.357505</v>
      </c>
      <c r="AQ78" s="79">
        <f>AI78*-Valores!$C$66</f>
        <v>-184.8214425</v>
      </c>
      <c r="AR78" s="73">
        <f>AI78*-Valores!$C$67</f>
        <v>-1663.3929824999998</v>
      </c>
      <c r="AS78" s="73">
        <f>AI78*-Valores!$C$68</f>
        <v>-998.0357894999999</v>
      </c>
      <c r="AT78" s="73">
        <f>AI78*-Valores!$C$69</f>
        <v>-110.89286549999998</v>
      </c>
      <c r="AU78" s="77">
        <f t="shared" si="17"/>
        <v>34187.28657</v>
      </c>
      <c r="AV78" s="77">
        <f t="shared" si="18"/>
        <v>34741.7508975</v>
      </c>
      <c r="AW78" s="73">
        <f>AI78*Valores!$C$71</f>
        <v>5914.28616</v>
      </c>
      <c r="AX78" s="73">
        <f>AI78*Valores!$C$72</f>
        <v>1663.3929824999998</v>
      </c>
      <c r="AY78" s="73">
        <f>AI78*Valores!$C$73</f>
        <v>369.642885</v>
      </c>
      <c r="AZ78" s="73">
        <f>AI78*Valores!$C$75</f>
        <v>1293.7500975</v>
      </c>
      <c r="BA78" s="73">
        <f>AI78*Valores!$C$76</f>
        <v>221.78573099999997</v>
      </c>
      <c r="BB78" s="73">
        <f t="shared" si="22"/>
        <v>1996.071579</v>
      </c>
      <c r="BC78" s="47"/>
      <c r="BD78" s="47">
        <v>30</v>
      </c>
      <c r="BE78" s="24" t="s">
        <v>4</v>
      </c>
    </row>
    <row r="79" spans="1:57" s="24" customFormat="1" ht="11.25" customHeight="1">
      <c r="A79" s="47">
        <v>78</v>
      </c>
      <c r="B79" s="47"/>
      <c r="C79" s="24" t="s">
        <v>299</v>
      </c>
      <c r="E79" s="24">
        <f t="shared" si="14"/>
        <v>24</v>
      </c>
      <c r="F79" s="67" t="s">
        <v>300</v>
      </c>
      <c r="G79" s="68">
        <v>78</v>
      </c>
      <c r="H79" s="69">
        <f>INT((G79*Valores!$C$2*100)+0.5)/100</f>
        <v>596.63</v>
      </c>
      <c r="I79" s="70">
        <v>1770</v>
      </c>
      <c r="J79" s="71">
        <f>INT((I79*Valores!$C$2*100)+0.5)/100</f>
        <v>13538.91</v>
      </c>
      <c r="K79" s="98">
        <v>0</v>
      </c>
      <c r="L79" s="71">
        <f>INT((K79*Valores!$C$2*100)+0.5)/100</f>
        <v>0</v>
      </c>
      <c r="M79" s="96">
        <v>0</v>
      </c>
      <c r="N79" s="71">
        <f>INT((M79*Valores!$C$2*100)+0.5)/100</f>
        <v>0</v>
      </c>
      <c r="O79" s="71">
        <f t="shared" si="15"/>
        <v>2806.374</v>
      </c>
      <c r="P79" s="71">
        <f t="shared" si="16"/>
        <v>0</v>
      </c>
      <c r="Q79" s="105">
        <f>Valores!$C$16</f>
        <v>4949.59</v>
      </c>
      <c r="R79" s="105">
        <f>Valores!$D$4</f>
        <v>3421.44</v>
      </c>
      <c r="S79" s="74">
        <f>Valores!$C$26</f>
        <v>3568.39</v>
      </c>
      <c r="T79" s="74">
        <f>Valores!$C$42</f>
        <v>1414.4</v>
      </c>
      <c r="U79" s="74">
        <f>Valores!$C$23</f>
        <v>3159.22</v>
      </c>
      <c r="V79" s="71">
        <f t="shared" si="13"/>
        <v>3159.22</v>
      </c>
      <c r="W79" s="71">
        <v>0</v>
      </c>
      <c r="X79" s="71">
        <v>0</v>
      </c>
      <c r="Y79" s="75">
        <v>0</v>
      </c>
      <c r="Z79" s="71">
        <f>Y79*Valores!$C$2</f>
        <v>0</v>
      </c>
      <c r="AA79" s="71">
        <v>0</v>
      </c>
      <c r="AB79" s="76">
        <f>Valores!$C$29</f>
        <v>184.78</v>
      </c>
      <c r="AC79" s="71">
        <f t="shared" si="19"/>
        <v>0</v>
      </c>
      <c r="AD79" s="71">
        <f>Valores!$C$30</f>
        <v>184.78</v>
      </c>
      <c r="AE79" s="75">
        <v>0</v>
      </c>
      <c r="AF79" s="71">
        <f>INT(((AE79*Valores!$C$2)*100)+0.5)/100</f>
        <v>0</v>
      </c>
      <c r="AG79" s="71">
        <f>Valores!$C$58</f>
        <v>375.86</v>
      </c>
      <c r="AH79" s="71">
        <f>Valores!$C$60</f>
        <v>107.38</v>
      </c>
      <c r="AI79" s="77">
        <f t="shared" si="20"/>
        <v>34307.75399999999</v>
      </c>
      <c r="AJ79" s="73">
        <f>Valores!$C$35</f>
        <v>876.57</v>
      </c>
      <c r="AK79" s="74">
        <f>Valores!$C$8</f>
        <v>0</v>
      </c>
      <c r="AL79" s="74">
        <f>Valores!$C$83</f>
        <v>3000</v>
      </c>
      <c r="AM79" s="74">
        <v>2800</v>
      </c>
      <c r="AN79" s="76">
        <f>Valores!$C$51</f>
        <v>157.49</v>
      </c>
      <c r="AO79" s="78">
        <f t="shared" si="21"/>
        <v>3876.57</v>
      </c>
      <c r="AP79" s="79">
        <f>AI79*-Valores!$C$65</f>
        <v>-4460.008019999999</v>
      </c>
      <c r="AQ79" s="79">
        <f>AI79*-Valores!$C$66</f>
        <v>-171.53876999999997</v>
      </c>
      <c r="AR79" s="73">
        <f>AI79*-Valores!$C$67</f>
        <v>-1543.8489299999997</v>
      </c>
      <c r="AS79" s="73">
        <f>AI79*-Valores!$C$68</f>
        <v>-926.3093579999999</v>
      </c>
      <c r="AT79" s="73">
        <f>AI79*-Valores!$C$69</f>
        <v>-102.92326199999998</v>
      </c>
      <c r="AU79" s="77">
        <f t="shared" si="17"/>
        <v>32008.928279999993</v>
      </c>
      <c r="AV79" s="77">
        <f t="shared" si="18"/>
        <v>32523.544589999994</v>
      </c>
      <c r="AW79" s="73">
        <f>AI79*Valores!$C$71</f>
        <v>5489.240639999999</v>
      </c>
      <c r="AX79" s="73">
        <f>AI79*Valores!$C$72</f>
        <v>1543.8489299999997</v>
      </c>
      <c r="AY79" s="73">
        <f>AI79*Valores!$C$73</f>
        <v>343.07753999999994</v>
      </c>
      <c r="AZ79" s="73">
        <f>AI79*Valores!$C$75</f>
        <v>1200.7713899999999</v>
      </c>
      <c r="BA79" s="73">
        <f>AI79*Valores!$C$76</f>
        <v>205.84652399999996</v>
      </c>
      <c r="BB79" s="73">
        <f t="shared" si="22"/>
        <v>1852.618716</v>
      </c>
      <c r="BC79" s="47"/>
      <c r="BD79" s="47"/>
      <c r="BE79" s="24" t="s">
        <v>4</v>
      </c>
    </row>
    <row r="80" spans="1:57" s="24" customFormat="1" ht="11.25" customHeight="1">
      <c r="A80" s="47">
        <v>79</v>
      </c>
      <c r="B80" s="47"/>
      <c r="C80" s="24" t="s">
        <v>301</v>
      </c>
      <c r="E80" s="24">
        <f t="shared" si="14"/>
        <v>27</v>
      </c>
      <c r="F80" s="67" t="s">
        <v>302</v>
      </c>
      <c r="G80" s="68">
        <v>77</v>
      </c>
      <c r="H80" s="69">
        <f>INT((G80*Valores!$C$2*100)+0.5)/100</f>
        <v>588.98</v>
      </c>
      <c r="I80" s="70">
        <v>2073</v>
      </c>
      <c r="J80" s="71">
        <f>INT((I80*Valores!$C$2*100)+0.5)/100</f>
        <v>15856.58</v>
      </c>
      <c r="K80" s="98">
        <v>0</v>
      </c>
      <c r="L80" s="71">
        <f>INT((K80*Valores!$C$2*100)+0.5)/100</f>
        <v>0</v>
      </c>
      <c r="M80" s="96">
        <v>0</v>
      </c>
      <c r="N80" s="71">
        <f>INT((M80*Valores!$C$2*100)+0.5)/100</f>
        <v>0</v>
      </c>
      <c r="O80" s="71">
        <f t="shared" si="15"/>
        <v>3152.8770000000004</v>
      </c>
      <c r="P80" s="71">
        <f t="shared" si="16"/>
        <v>0</v>
      </c>
      <c r="Q80" s="105">
        <f>Valores!$C$16</f>
        <v>4949.59</v>
      </c>
      <c r="R80" s="105">
        <f>Valores!$D$4</f>
        <v>3421.44</v>
      </c>
      <c r="S80" s="102">
        <f>Valores!$C$26</f>
        <v>3568.39</v>
      </c>
      <c r="T80" s="102">
        <f>Valores!$C$42</f>
        <v>1414.4</v>
      </c>
      <c r="U80" s="74">
        <f>Valores!$C$23</f>
        <v>3159.22</v>
      </c>
      <c r="V80" s="71">
        <f t="shared" si="13"/>
        <v>3159.22</v>
      </c>
      <c r="W80" s="71">
        <v>0</v>
      </c>
      <c r="X80" s="71">
        <v>0</v>
      </c>
      <c r="Y80" s="75">
        <v>0</v>
      </c>
      <c r="Z80" s="71">
        <f>Y80*Valores!$C$2</f>
        <v>0</v>
      </c>
      <c r="AA80" s="71">
        <v>0</v>
      </c>
      <c r="AB80" s="76">
        <f>Valores!$C$29</f>
        <v>184.78</v>
      </c>
      <c r="AC80" s="71">
        <f t="shared" si="19"/>
        <v>0</v>
      </c>
      <c r="AD80" s="71">
        <f>Valores!$C$30</f>
        <v>184.78</v>
      </c>
      <c r="AE80" s="75">
        <v>0</v>
      </c>
      <c r="AF80" s="71">
        <f>INT(((AE80*Valores!$C$2)*100)+0.5)/100</f>
        <v>0</v>
      </c>
      <c r="AG80" s="71">
        <f>Valores!$C$58</f>
        <v>375.86</v>
      </c>
      <c r="AH80" s="71">
        <f>Valores!$C$60</f>
        <v>107.38</v>
      </c>
      <c r="AI80" s="77">
        <f t="shared" si="20"/>
        <v>36964.276999999995</v>
      </c>
      <c r="AJ80" s="73">
        <f>Valores!$C$35</f>
        <v>876.57</v>
      </c>
      <c r="AK80" s="74">
        <f>Valores!$C$8</f>
        <v>0</v>
      </c>
      <c r="AL80" s="74">
        <f>Valores!$C$81</f>
        <v>1500</v>
      </c>
      <c r="AM80" s="74">
        <v>1400</v>
      </c>
      <c r="AN80" s="76">
        <f>Valores!$C$51</f>
        <v>157.49</v>
      </c>
      <c r="AO80" s="78">
        <f t="shared" si="21"/>
        <v>2376.57</v>
      </c>
      <c r="AP80" s="79">
        <f>AI80*-Valores!$C$65</f>
        <v>-4805.3560099999995</v>
      </c>
      <c r="AQ80" s="79">
        <f>AI80*-Valores!$C$66</f>
        <v>-184.82138499999996</v>
      </c>
      <c r="AR80" s="73">
        <f>AI80*-Valores!$C$67</f>
        <v>-1663.3924649999997</v>
      </c>
      <c r="AS80" s="73">
        <f>AI80*-Valores!$C$68</f>
        <v>-998.0354789999999</v>
      </c>
      <c r="AT80" s="73">
        <f>AI80*-Valores!$C$69</f>
        <v>-110.89283099999999</v>
      </c>
      <c r="AU80" s="77">
        <f t="shared" si="17"/>
        <v>32687.277139999995</v>
      </c>
      <c r="AV80" s="77">
        <f t="shared" si="18"/>
        <v>33241.74129499999</v>
      </c>
      <c r="AW80" s="73">
        <f>AI80*Valores!$C$71</f>
        <v>5914.284319999999</v>
      </c>
      <c r="AX80" s="73">
        <f>AI80*Valores!$C$72</f>
        <v>1663.3924649999997</v>
      </c>
      <c r="AY80" s="73">
        <f>AI80*Valores!$C$73</f>
        <v>369.6427699999999</v>
      </c>
      <c r="AZ80" s="73">
        <f>AI80*Valores!$C$75</f>
        <v>1293.749695</v>
      </c>
      <c r="BA80" s="73">
        <f>AI80*Valores!$C$76</f>
        <v>221.78566199999997</v>
      </c>
      <c r="BB80" s="73">
        <f t="shared" si="22"/>
        <v>1996.0709579999998</v>
      </c>
      <c r="BC80" s="47"/>
      <c r="BD80" s="47">
        <v>25</v>
      </c>
      <c r="BE80" s="24" t="s">
        <v>8</v>
      </c>
    </row>
    <row r="81" spans="1:57" s="24" customFormat="1" ht="11.25" customHeight="1">
      <c r="A81" s="81">
        <v>80</v>
      </c>
      <c r="B81" s="81" t="s">
        <v>163</v>
      </c>
      <c r="C81" s="82" t="s">
        <v>303</v>
      </c>
      <c r="D81" s="82"/>
      <c r="E81" s="82">
        <f t="shared" si="14"/>
        <v>27</v>
      </c>
      <c r="F81" s="83" t="s">
        <v>304</v>
      </c>
      <c r="G81" s="84">
        <v>76</v>
      </c>
      <c r="H81" s="85">
        <f>INT((G81*Valores!$C$2*100)+0.5)/100</f>
        <v>581.33</v>
      </c>
      <c r="I81" s="86">
        <v>1872</v>
      </c>
      <c r="J81" s="87">
        <f>INT((I81*Valores!$C$2*100)+0.5)/100</f>
        <v>14319.12</v>
      </c>
      <c r="K81" s="100">
        <v>0</v>
      </c>
      <c r="L81" s="87">
        <f>INT((K81*Valores!$C$2*100)+0.5)/100</f>
        <v>0</v>
      </c>
      <c r="M81" s="101">
        <v>0</v>
      </c>
      <c r="N81" s="87">
        <f>INT((M81*Valores!$C$2*100)+0.5)/100</f>
        <v>0</v>
      </c>
      <c r="O81" s="87">
        <f t="shared" si="15"/>
        <v>2921.1105000000002</v>
      </c>
      <c r="P81" s="87">
        <f t="shared" si="16"/>
        <v>0</v>
      </c>
      <c r="Q81" s="106">
        <f>Valores!$C$16</f>
        <v>4949.59</v>
      </c>
      <c r="R81" s="106">
        <f>Valores!$D$4</f>
        <v>3421.44</v>
      </c>
      <c r="S81" s="90">
        <v>0</v>
      </c>
      <c r="T81" s="90">
        <f>Valores!$C$42</f>
        <v>1414.4</v>
      </c>
      <c r="U81" s="90">
        <f>Valores!$C$23</f>
        <v>3159.22</v>
      </c>
      <c r="V81" s="87">
        <f t="shared" si="13"/>
        <v>3159.22</v>
      </c>
      <c r="W81" s="87">
        <v>0</v>
      </c>
      <c r="X81" s="87">
        <v>0</v>
      </c>
      <c r="Y81" s="91">
        <v>0</v>
      </c>
      <c r="Z81" s="87">
        <f>Y81*Valores!$C$2</f>
        <v>0</v>
      </c>
      <c r="AA81" s="87">
        <v>0</v>
      </c>
      <c r="AB81" s="92">
        <f>Valores!$C$29</f>
        <v>184.78</v>
      </c>
      <c r="AC81" s="87">
        <f t="shared" si="19"/>
        <v>0</v>
      </c>
      <c r="AD81" s="87">
        <f>Valores!$C$30</f>
        <v>184.78</v>
      </c>
      <c r="AE81" s="91">
        <v>0</v>
      </c>
      <c r="AF81" s="87">
        <f>INT(((AE81*Valores!$C$2)*100)+0.5)/100</f>
        <v>0</v>
      </c>
      <c r="AG81" s="87">
        <f>Valores!$C$58</f>
        <v>375.86</v>
      </c>
      <c r="AH81" s="87">
        <f>Valores!$C$60</f>
        <v>107.38</v>
      </c>
      <c r="AI81" s="93">
        <f t="shared" si="20"/>
        <v>31619.0105</v>
      </c>
      <c r="AJ81" s="89">
        <f>Valores!$C$35</f>
        <v>876.57</v>
      </c>
      <c r="AK81" s="90">
        <f>Valores!$C$8</f>
        <v>0</v>
      </c>
      <c r="AL81" s="90">
        <f>Valores!$C$81</f>
        <v>1500</v>
      </c>
      <c r="AM81" s="74">
        <v>1400</v>
      </c>
      <c r="AN81" s="92">
        <f>Valores!$C$51</f>
        <v>157.49</v>
      </c>
      <c r="AO81" s="94">
        <f t="shared" si="21"/>
        <v>2376.57</v>
      </c>
      <c r="AP81" s="95">
        <f>AI81*-Valores!$C$65</f>
        <v>-4110.471365</v>
      </c>
      <c r="AQ81" s="95">
        <f>AI81*-Valores!$C$66</f>
        <v>-158.0950525</v>
      </c>
      <c r="AR81" s="89">
        <f>AI81*-Valores!$C$67</f>
        <v>-1422.8554725</v>
      </c>
      <c r="AS81" s="89">
        <f>AI81*-Valores!$C$68</f>
        <v>-853.7132835</v>
      </c>
      <c r="AT81" s="89">
        <f>AI81*-Valores!$C$69</f>
        <v>-94.8570315</v>
      </c>
      <c r="AU81" s="93">
        <f t="shared" si="17"/>
        <v>28304.158610000002</v>
      </c>
      <c r="AV81" s="93">
        <f t="shared" si="18"/>
        <v>28778.4437675</v>
      </c>
      <c r="AW81" s="89">
        <f>AI81*Valores!$C$71</f>
        <v>5059.04168</v>
      </c>
      <c r="AX81" s="89">
        <f>AI81*Valores!$C$72</f>
        <v>1422.8554725</v>
      </c>
      <c r="AY81" s="89">
        <f>AI81*Valores!$C$73</f>
        <v>316.190105</v>
      </c>
      <c r="AZ81" s="89">
        <f>AI81*Valores!$C$75</f>
        <v>1106.6653675000002</v>
      </c>
      <c r="BA81" s="89">
        <f>AI81*Valores!$C$76</f>
        <v>189.714063</v>
      </c>
      <c r="BB81" s="89">
        <f t="shared" si="22"/>
        <v>1707.4265670000002</v>
      </c>
      <c r="BC81" s="81"/>
      <c r="BD81" s="81">
        <v>30</v>
      </c>
      <c r="BE81" s="82" t="s">
        <v>8</v>
      </c>
    </row>
    <row r="82" spans="1:57" s="24" customFormat="1" ht="11.25" customHeight="1">
      <c r="A82" s="47">
        <v>81</v>
      </c>
      <c r="B82" s="47"/>
      <c r="C82" s="24" t="s">
        <v>305</v>
      </c>
      <c r="E82" s="24">
        <f t="shared" si="14"/>
        <v>30</v>
      </c>
      <c r="F82" s="67" t="s">
        <v>306</v>
      </c>
      <c r="G82" s="68">
        <v>75</v>
      </c>
      <c r="H82" s="69">
        <f>INT((G82*Valores!$C$2*100)+0.5)/100</f>
        <v>573.68</v>
      </c>
      <c r="I82" s="70">
        <v>1873</v>
      </c>
      <c r="J82" s="71">
        <f>INT((I82*Valores!$C$2*100)+0.5)/100</f>
        <v>14326.76</v>
      </c>
      <c r="K82" s="98">
        <v>0</v>
      </c>
      <c r="L82" s="71">
        <f>INT((K82*Valores!$C$2*100)+0.5)/100</f>
        <v>0</v>
      </c>
      <c r="M82" s="96">
        <v>0</v>
      </c>
      <c r="N82" s="71">
        <f>INT((M82*Valores!$C$2*100)+0.5)/100</f>
        <v>0</v>
      </c>
      <c r="O82" s="71">
        <f t="shared" si="15"/>
        <v>2921.109</v>
      </c>
      <c r="P82" s="71">
        <f t="shared" si="16"/>
        <v>0</v>
      </c>
      <c r="Q82" s="105">
        <f>Valores!$C$16</f>
        <v>4949.59</v>
      </c>
      <c r="R82" s="105">
        <f>Valores!$D$4</f>
        <v>3421.44</v>
      </c>
      <c r="S82" s="102">
        <f>Valores!$C$26</f>
        <v>3568.39</v>
      </c>
      <c r="T82" s="102">
        <f>Valores!$C$42</f>
        <v>1414.4</v>
      </c>
      <c r="U82" s="74">
        <f>Valores!$C$23</f>
        <v>3159.22</v>
      </c>
      <c r="V82" s="71">
        <f t="shared" si="13"/>
        <v>3159.22</v>
      </c>
      <c r="W82" s="71">
        <v>0</v>
      </c>
      <c r="X82" s="71">
        <v>0</v>
      </c>
      <c r="Y82" s="75">
        <v>0</v>
      </c>
      <c r="Z82" s="71">
        <f>Y82*Valores!$C$2</f>
        <v>0</v>
      </c>
      <c r="AA82" s="71">
        <v>0</v>
      </c>
      <c r="AB82" s="76">
        <f>Valores!$C$29</f>
        <v>184.78</v>
      </c>
      <c r="AC82" s="71">
        <f t="shared" si="19"/>
        <v>0</v>
      </c>
      <c r="AD82" s="71">
        <f>Valores!$C$30</f>
        <v>184.78</v>
      </c>
      <c r="AE82" s="75">
        <v>0</v>
      </c>
      <c r="AF82" s="71">
        <f>INT(((AE82*Valores!$C$2)*100)+0.5)/100</f>
        <v>0</v>
      </c>
      <c r="AG82" s="71">
        <f>Valores!$C$58</f>
        <v>375.86</v>
      </c>
      <c r="AH82" s="71">
        <f>Valores!$C$60</f>
        <v>107.38</v>
      </c>
      <c r="AI82" s="77">
        <f t="shared" si="20"/>
        <v>35187.388999999996</v>
      </c>
      <c r="AJ82" s="73">
        <f>Valores!$C$35</f>
        <v>876.57</v>
      </c>
      <c r="AK82" s="74">
        <f>Valores!$C$8</f>
        <v>0</v>
      </c>
      <c r="AL82" s="74">
        <f>Valores!$C$82</f>
        <v>1800</v>
      </c>
      <c r="AM82" s="74">
        <v>1400</v>
      </c>
      <c r="AN82" s="76">
        <f>Valores!$C$51</f>
        <v>157.49</v>
      </c>
      <c r="AO82" s="78">
        <f t="shared" si="21"/>
        <v>2676.57</v>
      </c>
      <c r="AP82" s="79">
        <f>AI82*-Valores!$C$65</f>
        <v>-4574.36057</v>
      </c>
      <c r="AQ82" s="79">
        <f>AI82*-Valores!$C$66</f>
        <v>-175.93694499999998</v>
      </c>
      <c r="AR82" s="73">
        <f>AI82*-Valores!$C$67</f>
        <v>-1583.4325049999998</v>
      </c>
      <c r="AS82" s="73">
        <f>AI82*-Valores!$C$68</f>
        <v>-950.0595029999998</v>
      </c>
      <c r="AT82" s="73">
        <f>AI82*-Valores!$C$69</f>
        <v>-105.56216699999999</v>
      </c>
      <c r="AU82" s="77">
        <f t="shared" si="17"/>
        <v>31530.228979999996</v>
      </c>
      <c r="AV82" s="77">
        <f t="shared" si="18"/>
        <v>32058.039814999996</v>
      </c>
      <c r="AW82" s="73">
        <f>AI82*Valores!$C$71</f>
        <v>5629.982239999999</v>
      </c>
      <c r="AX82" s="73">
        <f>AI82*Valores!$C$72</f>
        <v>1583.4325049999998</v>
      </c>
      <c r="AY82" s="73">
        <f>AI82*Valores!$C$73</f>
        <v>351.87388999999996</v>
      </c>
      <c r="AZ82" s="73">
        <f>AI82*Valores!$C$75</f>
        <v>1231.558615</v>
      </c>
      <c r="BA82" s="73">
        <f>AI82*Valores!$C$76</f>
        <v>211.12433399999998</v>
      </c>
      <c r="BB82" s="73">
        <f t="shared" si="22"/>
        <v>1900.119006</v>
      </c>
      <c r="BC82" s="47"/>
      <c r="BD82" s="47">
        <v>25</v>
      </c>
      <c r="BE82" s="24" t="s">
        <v>4</v>
      </c>
    </row>
    <row r="83" spans="1:57" s="24" customFormat="1" ht="11.25" customHeight="1">
      <c r="A83" s="47">
        <v>82</v>
      </c>
      <c r="B83" s="47"/>
      <c r="C83" s="24" t="s">
        <v>307</v>
      </c>
      <c r="E83" s="24">
        <f t="shared" si="14"/>
        <v>27</v>
      </c>
      <c r="F83" s="67" t="s">
        <v>308</v>
      </c>
      <c r="G83" s="68">
        <v>76</v>
      </c>
      <c r="H83" s="69">
        <f>INT((G83*Valores!$C$2*100)+0.5)/100</f>
        <v>581.33</v>
      </c>
      <c r="I83" s="70">
        <v>1752</v>
      </c>
      <c r="J83" s="71">
        <f>INT((I83*Valores!$C$2*100)+0.5)/100</f>
        <v>13401.22</v>
      </c>
      <c r="K83" s="98">
        <v>0</v>
      </c>
      <c r="L83" s="71">
        <f>INT((K83*Valores!$C$2*100)+0.5)/100</f>
        <v>0</v>
      </c>
      <c r="M83" s="96">
        <v>0</v>
      </c>
      <c r="N83" s="71">
        <f>INT((M83*Valores!$C$2*100)+0.5)/100</f>
        <v>0</v>
      </c>
      <c r="O83" s="71">
        <f t="shared" si="15"/>
        <v>2783.4255000000003</v>
      </c>
      <c r="P83" s="71">
        <f t="shared" si="16"/>
        <v>0</v>
      </c>
      <c r="Q83" s="105">
        <f>Valores!$C$15</f>
        <v>4920.96</v>
      </c>
      <c r="R83" s="105">
        <f>Valores!$D$4</f>
        <v>3421.44</v>
      </c>
      <c r="S83" s="102">
        <f>Valores!$C$26</f>
        <v>3568.39</v>
      </c>
      <c r="T83" s="102">
        <f>Valores!$C$42</f>
        <v>1414.4</v>
      </c>
      <c r="U83" s="74">
        <f>Valores!$C$23</f>
        <v>3159.22</v>
      </c>
      <c r="V83" s="71">
        <f t="shared" si="13"/>
        <v>3159.22</v>
      </c>
      <c r="W83" s="71">
        <v>0</v>
      </c>
      <c r="X83" s="71">
        <v>0</v>
      </c>
      <c r="Y83" s="75">
        <v>0</v>
      </c>
      <c r="Z83" s="71">
        <f>Y83*Valores!$C$2</f>
        <v>0</v>
      </c>
      <c r="AA83" s="71">
        <v>0</v>
      </c>
      <c r="AB83" s="76">
        <f>Valores!$C$29</f>
        <v>184.78</v>
      </c>
      <c r="AC83" s="71">
        <f t="shared" si="19"/>
        <v>0</v>
      </c>
      <c r="AD83" s="71">
        <f>Valores!$C$30</f>
        <v>184.78</v>
      </c>
      <c r="AE83" s="75">
        <v>0</v>
      </c>
      <c r="AF83" s="71">
        <f>INT(((AE83*Valores!$C$2)*100)+0.5)/100</f>
        <v>0</v>
      </c>
      <c r="AG83" s="71">
        <f>Valores!$C$58</f>
        <v>375.86</v>
      </c>
      <c r="AH83" s="71">
        <f>Valores!$C$60</f>
        <v>107.38</v>
      </c>
      <c r="AI83" s="77">
        <f t="shared" si="20"/>
        <v>34103.18549999999</v>
      </c>
      <c r="AJ83" s="73">
        <f>Valores!$C$35</f>
        <v>876.57</v>
      </c>
      <c r="AK83" s="74">
        <f>Valores!$C$8</f>
        <v>0</v>
      </c>
      <c r="AL83" s="74">
        <f>Valores!$C$81</f>
        <v>1500</v>
      </c>
      <c r="AM83" s="74">
        <v>1400</v>
      </c>
      <c r="AN83" s="76">
        <f>Valores!$C$51</f>
        <v>157.49</v>
      </c>
      <c r="AO83" s="78">
        <f t="shared" si="21"/>
        <v>2376.57</v>
      </c>
      <c r="AP83" s="79">
        <f>AI83*-Valores!$C$65</f>
        <v>-4433.414115</v>
      </c>
      <c r="AQ83" s="79">
        <f>AI83*-Valores!$C$66</f>
        <v>-170.51592749999998</v>
      </c>
      <c r="AR83" s="73">
        <f>AI83*-Valores!$C$67</f>
        <v>-1534.6433474999997</v>
      </c>
      <c r="AS83" s="73">
        <f>AI83*-Valores!$C$68</f>
        <v>-920.7860084999998</v>
      </c>
      <c r="AT83" s="73">
        <f>AI83*-Valores!$C$69</f>
        <v>-102.30955649999999</v>
      </c>
      <c r="AU83" s="77">
        <f t="shared" si="17"/>
        <v>30341.182109999994</v>
      </c>
      <c r="AV83" s="77">
        <f t="shared" si="18"/>
        <v>30852.729892499996</v>
      </c>
      <c r="AW83" s="73">
        <f>AI83*Valores!$C$71</f>
        <v>5456.509679999999</v>
      </c>
      <c r="AX83" s="73">
        <f>AI83*Valores!$C$72</f>
        <v>1534.6433474999997</v>
      </c>
      <c r="AY83" s="73">
        <f>AI83*Valores!$C$73</f>
        <v>341.03185499999995</v>
      </c>
      <c r="AZ83" s="73">
        <f>AI83*Valores!$C$75</f>
        <v>1193.6114925</v>
      </c>
      <c r="BA83" s="73">
        <f>AI83*Valores!$C$76</f>
        <v>204.61911299999997</v>
      </c>
      <c r="BB83" s="73">
        <f t="shared" si="22"/>
        <v>1841.5720169999997</v>
      </c>
      <c r="BC83" s="47"/>
      <c r="BD83" s="47">
        <v>25</v>
      </c>
      <c r="BE83" s="24" t="s">
        <v>8</v>
      </c>
    </row>
    <row r="84" spans="1:57" s="24" customFormat="1" ht="11.25" customHeight="1">
      <c r="A84" s="47">
        <v>83</v>
      </c>
      <c r="B84" s="47"/>
      <c r="C84" s="24" t="s">
        <v>309</v>
      </c>
      <c r="E84" s="24">
        <f t="shared" si="14"/>
        <v>31</v>
      </c>
      <c r="F84" s="67" t="s">
        <v>310</v>
      </c>
      <c r="G84" s="68">
        <v>78</v>
      </c>
      <c r="H84" s="69">
        <f>INT((G84*Valores!$C$2*100)+0.5)/100</f>
        <v>596.63</v>
      </c>
      <c r="I84" s="70">
        <v>1770</v>
      </c>
      <c r="J84" s="71">
        <f>INT((I84*Valores!$C$2*100)+0.5)/100</f>
        <v>13538.91</v>
      </c>
      <c r="K84" s="98">
        <v>0</v>
      </c>
      <c r="L84" s="71">
        <f>INT((K84*Valores!$C$2*100)+0.5)/100</f>
        <v>0</v>
      </c>
      <c r="M84" s="96">
        <v>0</v>
      </c>
      <c r="N84" s="71">
        <f>INT((M84*Valores!$C$2*100)+0.5)/100</f>
        <v>0</v>
      </c>
      <c r="O84" s="71">
        <f t="shared" si="15"/>
        <v>2779.850999999999</v>
      </c>
      <c r="P84" s="71">
        <f t="shared" si="16"/>
        <v>0</v>
      </c>
      <c r="Q84" s="105">
        <f>Valores!$C$16</f>
        <v>4949.59</v>
      </c>
      <c r="R84" s="105">
        <f>Valores!$D$4</f>
        <v>3421.44</v>
      </c>
      <c r="S84" s="107">
        <f>Valores!$C$26</f>
        <v>3568.39</v>
      </c>
      <c r="T84" s="74">
        <f>Valores!$C$41</f>
        <v>1237.58</v>
      </c>
      <c r="U84" s="102">
        <f>Valores!$C$23</f>
        <v>3159.22</v>
      </c>
      <c r="V84" s="71">
        <f t="shared" si="13"/>
        <v>3159.22</v>
      </c>
      <c r="W84" s="71">
        <v>0</v>
      </c>
      <c r="X84" s="71">
        <v>0</v>
      </c>
      <c r="Y84" s="75">
        <v>0</v>
      </c>
      <c r="Z84" s="71">
        <f>Y84*Valores!$C$2</f>
        <v>0</v>
      </c>
      <c r="AA84" s="71">
        <v>0</v>
      </c>
      <c r="AB84" s="76">
        <f>Valores!$C$29</f>
        <v>184.78</v>
      </c>
      <c r="AC84" s="71">
        <f t="shared" si="19"/>
        <v>0</v>
      </c>
      <c r="AD84" s="71">
        <f>Valores!$C$30</f>
        <v>184.78</v>
      </c>
      <c r="AE84" s="75">
        <v>0</v>
      </c>
      <c r="AF84" s="71">
        <f>INT(((AE84*Valores!$C$2)*100)+0.5)/100</f>
        <v>0</v>
      </c>
      <c r="AG84" s="71">
        <f>Valores!$C$58</f>
        <v>375.86</v>
      </c>
      <c r="AH84" s="71">
        <f>Valores!$C$60</f>
        <v>107.38</v>
      </c>
      <c r="AI84" s="77">
        <f t="shared" si="20"/>
        <v>34104.41099999999</v>
      </c>
      <c r="AJ84" s="73">
        <f>Valores!$C$35</f>
        <v>876.57</v>
      </c>
      <c r="AK84" s="74">
        <f>Valores!$C$7</f>
        <v>0</v>
      </c>
      <c r="AL84" s="74">
        <f>Valores!$C$81</f>
        <v>1500</v>
      </c>
      <c r="AM84" s="74">
        <v>1400</v>
      </c>
      <c r="AN84" s="76">
        <f>Valores!$C$51</f>
        <v>157.49</v>
      </c>
      <c r="AO84" s="78">
        <f t="shared" si="21"/>
        <v>2376.57</v>
      </c>
      <c r="AP84" s="79">
        <f>AI84*-Valores!$C$65</f>
        <v>-4433.5734299999995</v>
      </c>
      <c r="AQ84" s="79">
        <f>AI84*-Valores!$C$66</f>
        <v>-170.52205499999997</v>
      </c>
      <c r="AR84" s="73">
        <f>AI84*-Valores!$C$67</f>
        <v>-1534.6984949999996</v>
      </c>
      <c r="AS84" s="73">
        <f>AI84*-Valores!$C$68</f>
        <v>-920.8190969999998</v>
      </c>
      <c r="AT84" s="73">
        <f>AI84*-Valores!$C$69</f>
        <v>-102.31323299999998</v>
      </c>
      <c r="AU84" s="77">
        <f t="shared" si="17"/>
        <v>30342.187019999994</v>
      </c>
      <c r="AV84" s="77">
        <f t="shared" si="18"/>
        <v>30853.75318499999</v>
      </c>
      <c r="AW84" s="73">
        <f>AI84*Valores!$C$71</f>
        <v>5456.705759999999</v>
      </c>
      <c r="AX84" s="73">
        <f>AI84*Valores!$C$72</f>
        <v>1534.6984949999996</v>
      </c>
      <c r="AY84" s="73">
        <f>AI84*Valores!$C$73</f>
        <v>341.04410999999993</v>
      </c>
      <c r="AZ84" s="73">
        <f>AI84*Valores!$C$75</f>
        <v>1193.6543849999998</v>
      </c>
      <c r="BA84" s="73">
        <f>AI84*Valores!$C$76</f>
        <v>204.62646599999997</v>
      </c>
      <c r="BB84" s="73">
        <f t="shared" si="22"/>
        <v>1841.6381939999999</v>
      </c>
      <c r="BC84" s="47"/>
      <c r="BD84" s="47">
        <v>27</v>
      </c>
      <c r="BE84" s="24" t="s">
        <v>4</v>
      </c>
    </row>
    <row r="85" spans="1:57" s="24" customFormat="1" ht="11.25" customHeight="1">
      <c r="A85" s="47">
        <v>84</v>
      </c>
      <c r="B85" s="47"/>
      <c r="C85" s="24" t="s">
        <v>311</v>
      </c>
      <c r="E85" s="24">
        <f t="shared" si="14"/>
        <v>28</v>
      </c>
      <c r="F85" s="67" t="s">
        <v>312</v>
      </c>
      <c r="G85" s="68">
        <v>76</v>
      </c>
      <c r="H85" s="69">
        <f>INT((G85*Valores!$C$2*100)+0.5)/100</f>
        <v>581.33</v>
      </c>
      <c r="I85" s="70">
        <v>1872</v>
      </c>
      <c r="J85" s="71">
        <f>INT((I85*Valores!$C$2*100)+0.5)/100</f>
        <v>14319.12</v>
      </c>
      <c r="K85" s="98">
        <v>0</v>
      </c>
      <c r="L85" s="71">
        <f>INT((K85*Valores!$C$2*100)+0.5)/100</f>
        <v>0</v>
      </c>
      <c r="M85" s="96">
        <v>0</v>
      </c>
      <c r="N85" s="71">
        <f>INT((M85*Valores!$C$2*100)+0.5)/100</f>
        <v>0</v>
      </c>
      <c r="O85" s="71">
        <f t="shared" si="15"/>
        <v>2894.5875</v>
      </c>
      <c r="P85" s="71">
        <f t="shared" si="16"/>
        <v>0</v>
      </c>
      <c r="Q85" s="105">
        <f>Valores!$C$16</f>
        <v>4949.59</v>
      </c>
      <c r="R85" s="105">
        <f>Valores!$D$4</f>
        <v>3421.44</v>
      </c>
      <c r="S85" s="74">
        <v>0</v>
      </c>
      <c r="T85" s="74">
        <f>Valores!$C$41</f>
        <v>1237.58</v>
      </c>
      <c r="U85" s="102">
        <f>Valores!$C$23</f>
        <v>3159.22</v>
      </c>
      <c r="V85" s="71">
        <f t="shared" si="13"/>
        <v>3159.22</v>
      </c>
      <c r="W85" s="71">
        <v>0</v>
      </c>
      <c r="X85" s="71">
        <v>0</v>
      </c>
      <c r="Y85" s="75">
        <v>0</v>
      </c>
      <c r="Z85" s="71">
        <f>Y85*Valores!$C$2</f>
        <v>0</v>
      </c>
      <c r="AA85" s="71">
        <v>0</v>
      </c>
      <c r="AB85" s="76">
        <f>Valores!$C$29</f>
        <v>184.78</v>
      </c>
      <c r="AC85" s="71">
        <f t="shared" si="19"/>
        <v>0</v>
      </c>
      <c r="AD85" s="71">
        <f>Valores!$C$30</f>
        <v>184.78</v>
      </c>
      <c r="AE85" s="75">
        <v>0</v>
      </c>
      <c r="AF85" s="71">
        <f>INT(((AE85*Valores!$C$2)*100)+0.5)/100</f>
        <v>0</v>
      </c>
      <c r="AG85" s="71">
        <f>Valores!$C$58</f>
        <v>375.86</v>
      </c>
      <c r="AH85" s="71">
        <f>Valores!$C$60</f>
        <v>107.38</v>
      </c>
      <c r="AI85" s="77">
        <f t="shared" si="20"/>
        <v>31415.6675</v>
      </c>
      <c r="AJ85" s="73">
        <f>Valores!$C$35</f>
        <v>876.57</v>
      </c>
      <c r="AK85" s="74">
        <f>Valores!$C$7</f>
        <v>0</v>
      </c>
      <c r="AL85" s="74">
        <f>Valores!$C$81</f>
        <v>1500</v>
      </c>
      <c r="AM85" s="74">
        <v>1400</v>
      </c>
      <c r="AN85" s="76">
        <f>Valores!$C$51</f>
        <v>157.49</v>
      </c>
      <c r="AO85" s="78">
        <f t="shared" si="21"/>
        <v>2376.57</v>
      </c>
      <c r="AP85" s="79">
        <f>AI85*-Valores!$C$65</f>
        <v>-4084.036775</v>
      </c>
      <c r="AQ85" s="79">
        <f>AI85*-Valores!$C$66</f>
        <v>-157.0783375</v>
      </c>
      <c r="AR85" s="73">
        <f>AI85*-Valores!$C$67</f>
        <v>-1413.7050375</v>
      </c>
      <c r="AS85" s="73">
        <f>AI85*-Valores!$C$68</f>
        <v>-848.2230225</v>
      </c>
      <c r="AT85" s="73">
        <f>AI85*-Valores!$C$69</f>
        <v>-94.2470025</v>
      </c>
      <c r="AU85" s="77">
        <f t="shared" si="17"/>
        <v>28137.41735</v>
      </c>
      <c r="AV85" s="77">
        <f t="shared" si="18"/>
        <v>28608.652362499997</v>
      </c>
      <c r="AW85" s="73">
        <f>AI85*Valores!$C$71</f>
        <v>5026.5068</v>
      </c>
      <c r="AX85" s="73">
        <f>AI85*Valores!$C$72</f>
        <v>1413.7050375</v>
      </c>
      <c r="AY85" s="73">
        <f>AI85*Valores!$C$73</f>
        <v>314.156675</v>
      </c>
      <c r="AZ85" s="73">
        <f>AI85*Valores!$C$75</f>
        <v>1099.5483625000002</v>
      </c>
      <c r="BA85" s="73">
        <f>AI85*Valores!$C$76</f>
        <v>188.494005</v>
      </c>
      <c r="BB85" s="73">
        <f t="shared" si="22"/>
        <v>1696.4460450000001</v>
      </c>
      <c r="BC85" s="47"/>
      <c r="BD85" s="47">
        <v>27</v>
      </c>
      <c r="BE85" s="24" t="s">
        <v>4</v>
      </c>
    </row>
    <row r="86" spans="1:57" s="24" customFormat="1" ht="11.25" customHeight="1">
      <c r="A86" s="81">
        <v>85</v>
      </c>
      <c r="B86" s="81" t="s">
        <v>163</v>
      </c>
      <c r="C86" s="82" t="s">
        <v>313</v>
      </c>
      <c r="D86" s="82"/>
      <c r="E86" s="82">
        <f t="shared" si="14"/>
        <v>21</v>
      </c>
      <c r="F86" s="83" t="s">
        <v>314</v>
      </c>
      <c r="G86" s="84">
        <v>169</v>
      </c>
      <c r="H86" s="85">
        <f>INT((G86*Valores!$C$2*100)+0.5)/100</f>
        <v>1292.7</v>
      </c>
      <c r="I86" s="86">
        <f>1997</f>
        <v>1997</v>
      </c>
      <c r="J86" s="87">
        <f>INT((I86*Valores!$C$2*100)+0.5)/100</f>
        <v>15275.25</v>
      </c>
      <c r="K86" s="100">
        <v>0</v>
      </c>
      <c r="L86" s="87">
        <f>INT((K86*Valores!$C$2*100)+0.5)/100</f>
        <v>0</v>
      </c>
      <c r="M86" s="101">
        <v>0</v>
      </c>
      <c r="N86" s="87">
        <f>INT((M86*Valores!$C$2*100)+0.5)/100</f>
        <v>0</v>
      </c>
      <c r="O86" s="87">
        <f t="shared" si="15"/>
        <v>3171.2355000000002</v>
      </c>
      <c r="P86" s="87">
        <f t="shared" si="16"/>
        <v>0</v>
      </c>
      <c r="Q86" s="89">
        <f>Valores!$C$16</f>
        <v>4949.59</v>
      </c>
      <c r="R86" s="89">
        <f>Valores!$D$4</f>
        <v>3421.44</v>
      </c>
      <c r="S86" s="103">
        <f>Valores!$C$26</f>
        <v>3568.39</v>
      </c>
      <c r="T86" s="104">
        <f>Valores!$C$42</f>
        <v>1414.4</v>
      </c>
      <c r="U86" s="87">
        <f>Valores!$C$23</f>
        <v>3159.22</v>
      </c>
      <c r="V86" s="87">
        <f t="shared" si="13"/>
        <v>3159.22</v>
      </c>
      <c r="W86" s="87">
        <v>0</v>
      </c>
      <c r="X86" s="87">
        <v>0</v>
      </c>
      <c r="Y86" s="91">
        <v>0</v>
      </c>
      <c r="Z86" s="87">
        <f>Y86*Valores!$C$2</f>
        <v>0</v>
      </c>
      <c r="AA86" s="87">
        <v>0</v>
      </c>
      <c r="AB86" s="92">
        <f>Valores!$C$29</f>
        <v>184.78</v>
      </c>
      <c r="AC86" s="87">
        <f t="shared" si="19"/>
        <v>0</v>
      </c>
      <c r="AD86" s="87">
        <f>Valores!$C$30</f>
        <v>184.78</v>
      </c>
      <c r="AE86" s="91">
        <v>0</v>
      </c>
      <c r="AF86" s="87">
        <f>INT(((AE86*Valores!$C$2)*100)+0.5)/100</f>
        <v>0</v>
      </c>
      <c r="AG86" s="87">
        <f>Valores!$C$58</f>
        <v>375.86</v>
      </c>
      <c r="AH86" s="87">
        <f>Valores!$C$60</f>
        <v>107.38</v>
      </c>
      <c r="AI86" s="93">
        <f t="shared" si="20"/>
        <v>37105.025499999996</v>
      </c>
      <c r="AJ86" s="89">
        <f>Valores!$C$35</f>
        <v>876.57</v>
      </c>
      <c r="AK86" s="90">
        <f>Valores!$C$8</f>
        <v>0</v>
      </c>
      <c r="AL86" s="90">
        <f>Valores!$C$81</f>
        <v>1500</v>
      </c>
      <c r="AM86" s="74">
        <v>1400</v>
      </c>
      <c r="AN86" s="92">
        <f>Valores!$C$51</f>
        <v>157.49</v>
      </c>
      <c r="AO86" s="94">
        <f t="shared" si="21"/>
        <v>2376.57</v>
      </c>
      <c r="AP86" s="95">
        <f>AI86*-Valores!$C$65</f>
        <v>-4823.653315</v>
      </c>
      <c r="AQ86" s="95">
        <f>AI86*-Valores!$C$66</f>
        <v>-185.5251275</v>
      </c>
      <c r="AR86" s="89">
        <f>AI86*-Valores!$C$67</f>
        <v>-1669.7261474999998</v>
      </c>
      <c r="AS86" s="89">
        <f>AI86*-Valores!$C$68</f>
        <v>-1001.8356884999998</v>
      </c>
      <c r="AT86" s="89">
        <f>AI86*-Valores!$C$69</f>
        <v>-111.31507649999999</v>
      </c>
      <c r="AU86" s="93">
        <f t="shared" si="17"/>
        <v>32802.690910000005</v>
      </c>
      <c r="AV86" s="93">
        <f t="shared" si="18"/>
        <v>33359.26629249999</v>
      </c>
      <c r="AW86" s="89">
        <f>AI86*Valores!$C$71</f>
        <v>5936.80408</v>
      </c>
      <c r="AX86" s="89">
        <f>AI86*Valores!$C$72</f>
        <v>1669.7261474999998</v>
      </c>
      <c r="AY86" s="89">
        <f>AI86*Valores!$C$73</f>
        <v>371.050255</v>
      </c>
      <c r="AZ86" s="89">
        <f>AI86*Valores!$C$75</f>
        <v>1298.6758925</v>
      </c>
      <c r="BA86" s="89">
        <f>AI86*Valores!$C$76</f>
        <v>222.63015299999998</v>
      </c>
      <c r="BB86" s="89">
        <f t="shared" si="22"/>
        <v>2003.671377</v>
      </c>
      <c r="BC86" s="81"/>
      <c r="BD86" s="81">
        <v>25</v>
      </c>
      <c r="BE86" s="82" t="s">
        <v>8</v>
      </c>
    </row>
    <row r="87" spans="1:57" s="24" customFormat="1" ht="11.25" customHeight="1">
      <c r="A87" s="47">
        <v>86</v>
      </c>
      <c r="B87" s="47"/>
      <c r="C87" s="24" t="s">
        <v>315</v>
      </c>
      <c r="E87" s="24">
        <f t="shared" si="14"/>
        <v>28</v>
      </c>
      <c r="F87" s="67" t="s">
        <v>316</v>
      </c>
      <c r="G87" s="68">
        <v>218</v>
      </c>
      <c r="H87" s="69">
        <f>INT((G87*Valores!$C$2*100)+0.5)/100</f>
        <v>1667.5</v>
      </c>
      <c r="I87" s="70">
        <f>1997</f>
        <v>1997</v>
      </c>
      <c r="J87" s="71">
        <f>INT((I87*Valores!$C$2*100)+0.5)/100</f>
        <v>15275.25</v>
      </c>
      <c r="K87" s="98">
        <v>0</v>
      </c>
      <c r="L87" s="71">
        <f>INT((K87*Valores!$C$2*100)+0.5)/100</f>
        <v>0</v>
      </c>
      <c r="M87" s="96">
        <v>0</v>
      </c>
      <c r="N87" s="71">
        <f>INT((M87*Valores!$C$2*100)+0.5)/100</f>
        <v>0</v>
      </c>
      <c r="O87" s="71">
        <f t="shared" si="15"/>
        <v>3227.4555000000005</v>
      </c>
      <c r="P87" s="71">
        <f t="shared" si="16"/>
        <v>0</v>
      </c>
      <c r="Q87" s="73">
        <f>Valores!$C$16</f>
        <v>4949.59</v>
      </c>
      <c r="R87" s="73">
        <f>Valores!$D$4</f>
        <v>3421.44</v>
      </c>
      <c r="S87" s="97">
        <f>Valores!$C$26</f>
        <v>3568.39</v>
      </c>
      <c r="T87" s="102">
        <f>Valores!$C$42</f>
        <v>1414.4</v>
      </c>
      <c r="U87" s="71">
        <f>Valores!$C$23</f>
        <v>3159.22</v>
      </c>
      <c r="V87" s="71">
        <f t="shared" si="13"/>
        <v>3159.22</v>
      </c>
      <c r="W87" s="71">
        <v>0</v>
      </c>
      <c r="X87" s="71">
        <v>0</v>
      </c>
      <c r="Y87" s="75">
        <v>0</v>
      </c>
      <c r="Z87" s="71">
        <f>Y87*Valores!$C$2</f>
        <v>0</v>
      </c>
      <c r="AA87" s="71">
        <v>0</v>
      </c>
      <c r="AB87" s="76">
        <f>Valores!$C$29</f>
        <v>184.78</v>
      </c>
      <c r="AC87" s="71">
        <f t="shared" si="19"/>
        <v>0</v>
      </c>
      <c r="AD87" s="71">
        <f>Valores!$C$30</f>
        <v>184.78</v>
      </c>
      <c r="AE87" s="75">
        <v>0</v>
      </c>
      <c r="AF87" s="71">
        <f>INT(((AE87*Valores!$C$2)*100)+0.5)/100</f>
        <v>0</v>
      </c>
      <c r="AG87" s="71">
        <f>Valores!$C$58</f>
        <v>375.86</v>
      </c>
      <c r="AH87" s="71">
        <f>Valores!$C$60</f>
        <v>107.38</v>
      </c>
      <c r="AI87" s="77">
        <f t="shared" si="20"/>
        <v>37536.04549999999</v>
      </c>
      <c r="AJ87" s="73">
        <f>Valores!$C$35</f>
        <v>876.57</v>
      </c>
      <c r="AK87" s="74">
        <f>Valores!$C$8</f>
        <v>0</v>
      </c>
      <c r="AL87" s="74">
        <f>Valores!$C$81</f>
        <v>1500</v>
      </c>
      <c r="AM87" s="74">
        <v>1400</v>
      </c>
      <c r="AN87" s="76">
        <f>Valores!$C$51</f>
        <v>157.49</v>
      </c>
      <c r="AO87" s="78">
        <f t="shared" si="21"/>
        <v>2376.57</v>
      </c>
      <c r="AP87" s="79">
        <f>AI87*-Valores!$C$65</f>
        <v>-4879.685914999999</v>
      </c>
      <c r="AQ87" s="79">
        <f>AI87*-Valores!$C$66</f>
        <v>-187.68022749999997</v>
      </c>
      <c r="AR87" s="73">
        <f>AI87*-Valores!$C$67</f>
        <v>-1689.1220474999996</v>
      </c>
      <c r="AS87" s="73">
        <f>AI87*-Valores!$C$68</f>
        <v>-1013.4732284999998</v>
      </c>
      <c r="AT87" s="73">
        <f>AI87*-Valores!$C$69</f>
        <v>-112.60813649999999</v>
      </c>
      <c r="AU87" s="77">
        <f t="shared" si="17"/>
        <v>33156.12730999999</v>
      </c>
      <c r="AV87" s="77">
        <f t="shared" si="18"/>
        <v>33719.16799249999</v>
      </c>
      <c r="AW87" s="73">
        <f>AI87*Valores!$C$71</f>
        <v>6005.767279999999</v>
      </c>
      <c r="AX87" s="73">
        <f>AI87*Valores!$C$72</f>
        <v>1689.1220474999996</v>
      </c>
      <c r="AY87" s="73">
        <f>AI87*Valores!$C$73</f>
        <v>375.36045499999994</v>
      </c>
      <c r="AZ87" s="73">
        <f>AI87*Valores!$C$75</f>
        <v>1313.7615924999998</v>
      </c>
      <c r="BA87" s="73">
        <f>AI87*Valores!$C$76</f>
        <v>225.21627299999997</v>
      </c>
      <c r="BB87" s="73">
        <f t="shared" si="22"/>
        <v>2026.9464569999996</v>
      </c>
      <c r="BC87" s="47"/>
      <c r="BD87" s="47">
        <v>25</v>
      </c>
      <c r="BE87" s="24" t="s">
        <v>4</v>
      </c>
    </row>
    <row r="88" spans="1:57" s="24" customFormat="1" ht="11.25" customHeight="1">
      <c r="A88" s="47">
        <v>87</v>
      </c>
      <c r="B88" s="47"/>
      <c r="C88" s="24" t="s">
        <v>315</v>
      </c>
      <c r="E88" s="24">
        <f t="shared" si="14"/>
        <v>41</v>
      </c>
      <c r="F88" s="67" t="s">
        <v>317</v>
      </c>
      <c r="G88" s="68">
        <v>218</v>
      </c>
      <c r="H88" s="69">
        <f>INT((G88*Valores!$C$2*100)+0.5)/100</f>
        <v>1667.5</v>
      </c>
      <c r="I88" s="70">
        <f>1997</f>
        <v>1997</v>
      </c>
      <c r="J88" s="71">
        <f>INT((I88*Valores!$C$2*100)+0.5)/100</f>
        <v>15275.25</v>
      </c>
      <c r="K88" s="98">
        <v>0</v>
      </c>
      <c r="L88" s="71">
        <f>INT((K88*Valores!$C$2*100)+0.5)/100</f>
        <v>0</v>
      </c>
      <c r="M88" s="96">
        <v>0</v>
      </c>
      <c r="N88" s="71">
        <f>INT((M88*Valores!$C$2*100)+0.5)/100</f>
        <v>0</v>
      </c>
      <c r="O88" s="71">
        <f t="shared" si="15"/>
        <v>3227.4555000000005</v>
      </c>
      <c r="P88" s="71">
        <f t="shared" si="16"/>
        <v>0</v>
      </c>
      <c r="Q88" s="73">
        <f>Valores!$C$16</f>
        <v>4949.59</v>
      </c>
      <c r="R88" s="73">
        <f>Valores!$D$4</f>
        <v>3421.44</v>
      </c>
      <c r="S88" s="97">
        <f>Valores!$C$26</f>
        <v>3568.39</v>
      </c>
      <c r="T88" s="102">
        <f>Valores!$C$42</f>
        <v>1414.4</v>
      </c>
      <c r="U88" s="71">
        <f>Valores!$C$23</f>
        <v>3159.22</v>
      </c>
      <c r="V88" s="71">
        <f t="shared" si="13"/>
        <v>3159.22</v>
      </c>
      <c r="W88" s="71">
        <v>0</v>
      </c>
      <c r="X88" s="71">
        <v>0</v>
      </c>
      <c r="Y88" s="75">
        <v>0</v>
      </c>
      <c r="Z88" s="71">
        <f>Y88*Valores!$C$2</f>
        <v>0</v>
      </c>
      <c r="AA88" s="71">
        <v>0</v>
      </c>
      <c r="AB88" s="76">
        <f>Valores!$C$29</f>
        <v>184.78</v>
      </c>
      <c r="AC88" s="71">
        <f t="shared" si="19"/>
        <v>0</v>
      </c>
      <c r="AD88" s="71">
        <f>Valores!$C$30</f>
        <v>184.78</v>
      </c>
      <c r="AE88" s="75">
        <v>19</v>
      </c>
      <c r="AF88" s="71">
        <f>INT(((AE88*Valores!$C$2)*100)+0.5)/100</f>
        <v>145.33</v>
      </c>
      <c r="AG88" s="71">
        <f>Valores!$C$58</f>
        <v>375.86</v>
      </c>
      <c r="AH88" s="71">
        <f>Valores!$C$60</f>
        <v>107.38</v>
      </c>
      <c r="AI88" s="77">
        <f t="shared" si="20"/>
        <v>37681.375499999995</v>
      </c>
      <c r="AJ88" s="73">
        <f>Valores!$C$35</f>
        <v>876.57</v>
      </c>
      <c r="AK88" s="74">
        <f>Valores!$C$8</f>
        <v>0</v>
      </c>
      <c r="AL88" s="74">
        <f>Valores!$C$81</f>
        <v>1500</v>
      </c>
      <c r="AM88" s="74">
        <v>1400</v>
      </c>
      <c r="AN88" s="76">
        <f>Valores!$C$51</f>
        <v>157.49</v>
      </c>
      <c r="AO88" s="78">
        <f t="shared" si="21"/>
        <v>2376.57</v>
      </c>
      <c r="AP88" s="79">
        <f>AI88*-Valores!$C$65</f>
        <v>-4898.578815</v>
      </c>
      <c r="AQ88" s="79">
        <f>AI88*-Valores!$C$66</f>
        <v>-188.40687749999998</v>
      </c>
      <c r="AR88" s="73">
        <f>AI88*-Valores!$C$67</f>
        <v>-1695.6618974999997</v>
      </c>
      <c r="AS88" s="73">
        <f>AI88*-Valores!$C$68</f>
        <v>-1017.3971384999999</v>
      </c>
      <c r="AT88" s="73">
        <f>AI88*-Valores!$C$69</f>
        <v>-113.04412649999999</v>
      </c>
      <c r="AU88" s="77">
        <f t="shared" si="17"/>
        <v>33275.297909999994</v>
      </c>
      <c r="AV88" s="77">
        <f t="shared" si="18"/>
        <v>33840.5185425</v>
      </c>
      <c r="AW88" s="73">
        <f>AI88*Valores!$C$71</f>
        <v>6029.020079999999</v>
      </c>
      <c r="AX88" s="73">
        <f>AI88*Valores!$C$72</f>
        <v>1695.6618974999997</v>
      </c>
      <c r="AY88" s="73">
        <f>AI88*Valores!$C$73</f>
        <v>376.81375499999996</v>
      </c>
      <c r="AZ88" s="73">
        <f>AI88*Valores!$C$75</f>
        <v>1318.8481425</v>
      </c>
      <c r="BA88" s="73">
        <f>AI88*Valores!$C$76</f>
        <v>226.08825299999998</v>
      </c>
      <c r="BB88" s="73">
        <f t="shared" si="22"/>
        <v>2034.7942769999997</v>
      </c>
      <c r="BC88" s="47"/>
      <c r="BD88" s="47">
        <v>25</v>
      </c>
      <c r="BE88" s="24" t="s">
        <v>4</v>
      </c>
    </row>
    <row r="89" spans="1:57" s="24" customFormat="1" ht="11.25" customHeight="1">
      <c r="A89" s="47">
        <v>88</v>
      </c>
      <c r="B89" s="47"/>
      <c r="C89" s="24" t="s">
        <v>318</v>
      </c>
      <c r="E89" s="24">
        <f t="shared" si="14"/>
        <v>33</v>
      </c>
      <c r="F89" s="67" t="s">
        <v>319</v>
      </c>
      <c r="G89" s="68">
        <f>75+143</f>
        <v>218</v>
      </c>
      <c r="H89" s="69">
        <f>INT((G89*Valores!$C$2*100)+0.5)/100</f>
        <v>1667.5</v>
      </c>
      <c r="I89" s="70">
        <v>1997</v>
      </c>
      <c r="J89" s="71">
        <f>INT((I89*Valores!$C$2*100)+0.5)/100</f>
        <v>15275.25</v>
      </c>
      <c r="K89" s="98">
        <v>0</v>
      </c>
      <c r="L89" s="71">
        <f>INT((K89*Valores!$C$2*100)+0.5)/100</f>
        <v>0</v>
      </c>
      <c r="M89" s="96">
        <v>0</v>
      </c>
      <c r="N89" s="71">
        <f>INT((M89*Valores!$C$2*100)+0.5)/100</f>
        <v>0</v>
      </c>
      <c r="O89" s="71">
        <f t="shared" si="15"/>
        <v>3121.3755</v>
      </c>
      <c r="P89" s="71">
        <f t="shared" si="16"/>
        <v>0</v>
      </c>
      <c r="Q89" s="73">
        <f>Valores!$C$16</f>
        <v>4949.59</v>
      </c>
      <c r="R89" s="73">
        <f>Valores!$D$4</f>
        <v>3421.44</v>
      </c>
      <c r="S89" s="71">
        <f>Valores!$C$26</f>
        <v>3568.39</v>
      </c>
      <c r="T89" s="74">
        <f>Valores!$C$42/2</f>
        <v>707.2</v>
      </c>
      <c r="U89" s="71">
        <f>Valores!$C$23</f>
        <v>3159.22</v>
      </c>
      <c r="V89" s="71">
        <f t="shared" si="13"/>
        <v>3159.22</v>
      </c>
      <c r="W89" s="71">
        <v>0</v>
      </c>
      <c r="X89" s="71">
        <v>0</v>
      </c>
      <c r="Y89" s="75">
        <v>0</v>
      </c>
      <c r="Z89" s="71">
        <f>Y89*Valores!$C$2</f>
        <v>0</v>
      </c>
      <c r="AA89" s="71">
        <v>0</v>
      </c>
      <c r="AB89" s="76">
        <f>Valores!$C$29</f>
        <v>184.78</v>
      </c>
      <c r="AC89" s="71">
        <f t="shared" si="19"/>
        <v>0</v>
      </c>
      <c r="AD89" s="71">
        <f>Valores!$C$30</f>
        <v>184.78</v>
      </c>
      <c r="AE89" s="75">
        <v>0</v>
      </c>
      <c r="AF89" s="71">
        <f>INT(((AE89*Valores!$C$2)*100)+0.5)/100</f>
        <v>0</v>
      </c>
      <c r="AG89" s="71">
        <f>Valores!$C$58</f>
        <v>375.86</v>
      </c>
      <c r="AH89" s="71">
        <f>Valores!$C$60</f>
        <v>107.38</v>
      </c>
      <c r="AI89" s="77">
        <f t="shared" si="20"/>
        <v>36722.765499999994</v>
      </c>
      <c r="AJ89" s="73">
        <f>Valores!$C$35</f>
        <v>876.57</v>
      </c>
      <c r="AK89" s="74">
        <f>Valores!$C$8/2</f>
        <v>0</v>
      </c>
      <c r="AL89" s="74">
        <f>Valores!$C$81</f>
        <v>1500</v>
      </c>
      <c r="AM89" s="74">
        <v>1400</v>
      </c>
      <c r="AN89" s="76">
        <f>Valores!$C$51</f>
        <v>157.49</v>
      </c>
      <c r="AO89" s="78">
        <f t="shared" si="21"/>
        <v>2376.57</v>
      </c>
      <c r="AP89" s="79">
        <f>AI89*-Valores!$C$65</f>
        <v>-4773.959515</v>
      </c>
      <c r="AQ89" s="79">
        <f>AI89*-Valores!$C$66</f>
        <v>-183.61382749999999</v>
      </c>
      <c r="AR89" s="73">
        <f>AI89*-Valores!$C$67</f>
        <v>-1652.5244474999997</v>
      </c>
      <c r="AS89" s="73">
        <f>AI89*-Valores!$C$68</f>
        <v>-991.5146684999999</v>
      </c>
      <c r="AT89" s="73">
        <f>AI89*-Valores!$C$69</f>
        <v>-110.16829649999998</v>
      </c>
      <c r="AU89" s="77">
        <f t="shared" si="17"/>
        <v>32489.237709999998</v>
      </c>
      <c r="AV89" s="77">
        <f t="shared" si="18"/>
        <v>33040.079192499994</v>
      </c>
      <c r="AW89" s="73">
        <f>AI89*Valores!$C$71</f>
        <v>5875.6424799999995</v>
      </c>
      <c r="AX89" s="73">
        <f>AI89*Valores!$C$72</f>
        <v>1652.5244474999997</v>
      </c>
      <c r="AY89" s="73">
        <f>AI89*Valores!$C$73</f>
        <v>367.22765499999997</v>
      </c>
      <c r="AZ89" s="73">
        <f>AI89*Valores!$C$75</f>
        <v>1285.2967924999998</v>
      </c>
      <c r="BA89" s="73">
        <f>AI89*Valores!$C$76</f>
        <v>220.33659299999997</v>
      </c>
      <c r="BB89" s="73">
        <f t="shared" si="22"/>
        <v>1983.029337</v>
      </c>
      <c r="BC89" s="47"/>
      <c r="BD89" s="47">
        <v>25</v>
      </c>
      <c r="BE89" s="24" t="s">
        <v>8</v>
      </c>
    </row>
    <row r="90" spans="1:57" s="24" customFormat="1" ht="11.25" customHeight="1">
      <c r="A90" s="47">
        <v>89</v>
      </c>
      <c r="B90" s="47"/>
      <c r="C90" s="24" t="s">
        <v>320</v>
      </c>
      <c r="E90" s="24">
        <f t="shared" si="14"/>
        <v>28</v>
      </c>
      <c r="F90" s="67" t="s">
        <v>321</v>
      </c>
      <c r="G90" s="68">
        <v>187</v>
      </c>
      <c r="H90" s="69">
        <f>INT((G90*Valores!$C$2*100)+0.5)/100</f>
        <v>1430.38</v>
      </c>
      <c r="I90" s="70">
        <v>1704</v>
      </c>
      <c r="J90" s="71">
        <f>INT((I90*Valores!$C$2*100)+0.5)/100</f>
        <v>13034.07</v>
      </c>
      <c r="K90" s="98">
        <v>0</v>
      </c>
      <c r="L90" s="71">
        <f>INT((K90*Valores!$C$2*100)+0.5)/100</f>
        <v>0</v>
      </c>
      <c r="M90" s="96">
        <v>0</v>
      </c>
      <c r="N90" s="71">
        <f>INT((M90*Valores!$C$2*100)+0.5)/100</f>
        <v>0</v>
      </c>
      <c r="O90" s="71">
        <f t="shared" si="15"/>
        <v>2855.7105000000006</v>
      </c>
      <c r="P90" s="71">
        <f t="shared" si="16"/>
        <v>0</v>
      </c>
      <c r="Q90" s="73">
        <f>Valores!$C$16</f>
        <v>4949.59</v>
      </c>
      <c r="R90" s="73">
        <f>Valores!$D$4</f>
        <v>3421.44</v>
      </c>
      <c r="S90" s="71">
        <f>Valores!$C$26</f>
        <v>3568.39</v>
      </c>
      <c r="T90" s="74">
        <f>Valores!$C$42</f>
        <v>1414.4</v>
      </c>
      <c r="U90" s="71">
        <f>Valores!$C$23</f>
        <v>3159.22</v>
      </c>
      <c r="V90" s="71">
        <f t="shared" si="13"/>
        <v>3159.22</v>
      </c>
      <c r="W90" s="71">
        <v>0</v>
      </c>
      <c r="X90" s="71">
        <v>0</v>
      </c>
      <c r="Y90" s="75">
        <v>0</v>
      </c>
      <c r="Z90" s="71">
        <f>Y90*Valores!$C$2</f>
        <v>0</v>
      </c>
      <c r="AA90" s="71">
        <v>0</v>
      </c>
      <c r="AB90" s="76">
        <f>Valores!$C$29</f>
        <v>184.78</v>
      </c>
      <c r="AC90" s="71">
        <f t="shared" si="19"/>
        <v>0</v>
      </c>
      <c r="AD90" s="71">
        <f>Valores!$C$30</f>
        <v>184.78</v>
      </c>
      <c r="AE90" s="75">
        <v>0</v>
      </c>
      <c r="AF90" s="71">
        <f>INT(((AE90*Valores!$C$2)*100)+0.5)/100</f>
        <v>0</v>
      </c>
      <c r="AG90" s="71">
        <f>Valores!$C$58</f>
        <v>375.86</v>
      </c>
      <c r="AH90" s="71">
        <f>Valores!$C$60</f>
        <v>107.38</v>
      </c>
      <c r="AI90" s="77">
        <f t="shared" si="20"/>
        <v>34686.0005</v>
      </c>
      <c r="AJ90" s="73">
        <f>Valores!$C$35</f>
        <v>876.57</v>
      </c>
      <c r="AK90" s="74">
        <f>Valores!$C$8</f>
        <v>0</v>
      </c>
      <c r="AL90" s="74">
        <f>Valores!$C$81</f>
        <v>1500</v>
      </c>
      <c r="AM90" s="74">
        <v>1400</v>
      </c>
      <c r="AN90" s="76">
        <f>Valores!$C$51</f>
        <v>157.49</v>
      </c>
      <c r="AO90" s="78">
        <f t="shared" si="21"/>
        <v>2376.57</v>
      </c>
      <c r="AP90" s="79">
        <f>AI90*-Valores!$C$65</f>
        <v>-4509.1800650000005</v>
      </c>
      <c r="AQ90" s="79">
        <f>AI90*-Valores!$C$66</f>
        <v>-173.4300025</v>
      </c>
      <c r="AR90" s="73">
        <f>AI90*-Valores!$C$67</f>
        <v>-1560.8700225</v>
      </c>
      <c r="AS90" s="73">
        <f>AI90*-Valores!$C$68</f>
        <v>-936.5220135000001</v>
      </c>
      <c r="AT90" s="73">
        <f>AI90*-Valores!$C$69</f>
        <v>-104.0580015</v>
      </c>
      <c r="AU90" s="77">
        <f t="shared" si="17"/>
        <v>30819.090410000004</v>
      </c>
      <c r="AV90" s="77">
        <f t="shared" si="18"/>
        <v>31339.380417500004</v>
      </c>
      <c r="AW90" s="73">
        <f>AI90*Valores!$C$71</f>
        <v>5549.76008</v>
      </c>
      <c r="AX90" s="73">
        <f>AI90*Valores!$C$72</f>
        <v>1560.8700225</v>
      </c>
      <c r="AY90" s="73">
        <f>AI90*Valores!$C$73</f>
        <v>346.860005</v>
      </c>
      <c r="AZ90" s="73">
        <f>AI90*Valores!$C$75</f>
        <v>1214.0100175000002</v>
      </c>
      <c r="BA90" s="73">
        <f>AI90*Valores!$C$76</f>
        <v>208.116003</v>
      </c>
      <c r="BB90" s="73">
        <f t="shared" si="22"/>
        <v>1873.0440270000004</v>
      </c>
      <c r="BC90" s="47"/>
      <c r="BD90" s="47">
        <v>25</v>
      </c>
      <c r="BE90" s="24" t="s">
        <v>4</v>
      </c>
    </row>
    <row r="91" spans="1:57" s="24" customFormat="1" ht="11.25" customHeight="1">
      <c r="A91" s="81">
        <v>90</v>
      </c>
      <c r="B91" s="81" t="s">
        <v>163</v>
      </c>
      <c r="C91" s="82" t="s">
        <v>320</v>
      </c>
      <c r="D91" s="82"/>
      <c r="E91" s="82">
        <f t="shared" si="14"/>
        <v>41</v>
      </c>
      <c r="F91" s="83" t="s">
        <v>322</v>
      </c>
      <c r="G91" s="84">
        <v>187</v>
      </c>
      <c r="H91" s="85">
        <f>INT((G91*Valores!$C$2*100)+0.5)/100</f>
        <v>1430.38</v>
      </c>
      <c r="I91" s="86">
        <v>1704</v>
      </c>
      <c r="J91" s="87">
        <f>INT((I91*Valores!$C$2*100)+0.5)/100</f>
        <v>13034.07</v>
      </c>
      <c r="K91" s="100">
        <v>0</v>
      </c>
      <c r="L91" s="87">
        <f>INT((K91*Valores!$C$2*100)+0.5)/100</f>
        <v>0</v>
      </c>
      <c r="M91" s="101">
        <v>0</v>
      </c>
      <c r="N91" s="87">
        <f>INT((M91*Valores!$C$2*100)+0.5)/100</f>
        <v>0</v>
      </c>
      <c r="O91" s="87">
        <f t="shared" si="15"/>
        <v>2855.7105000000006</v>
      </c>
      <c r="P91" s="87">
        <f t="shared" si="16"/>
        <v>0</v>
      </c>
      <c r="Q91" s="89">
        <f>Valores!$C$16</f>
        <v>4949.59</v>
      </c>
      <c r="R91" s="89">
        <f>Valores!$D$4</f>
        <v>3421.44</v>
      </c>
      <c r="S91" s="87">
        <f>Valores!$C$26</f>
        <v>3568.39</v>
      </c>
      <c r="T91" s="90">
        <f>Valores!$C$42</f>
        <v>1414.4</v>
      </c>
      <c r="U91" s="87">
        <f>Valores!$C$23</f>
        <v>3159.22</v>
      </c>
      <c r="V91" s="87">
        <f t="shared" si="13"/>
        <v>3159.22</v>
      </c>
      <c r="W91" s="87">
        <v>0</v>
      </c>
      <c r="X91" s="87">
        <v>0</v>
      </c>
      <c r="Y91" s="91">
        <v>0</v>
      </c>
      <c r="Z91" s="87">
        <f>Y91*Valores!$C$2</f>
        <v>0</v>
      </c>
      <c r="AA91" s="87">
        <v>0</v>
      </c>
      <c r="AB91" s="92">
        <f>Valores!$C$29</f>
        <v>184.78</v>
      </c>
      <c r="AC91" s="87">
        <f t="shared" si="19"/>
        <v>0</v>
      </c>
      <c r="AD91" s="87">
        <f>Valores!$C$30</f>
        <v>184.78</v>
      </c>
      <c r="AE91" s="91">
        <v>19</v>
      </c>
      <c r="AF91" s="87">
        <f>INT(((AE91*Valores!$C$2)*100)+0.5)/100</f>
        <v>145.33</v>
      </c>
      <c r="AG91" s="87">
        <f>Valores!$C$58</f>
        <v>375.86</v>
      </c>
      <c r="AH91" s="87">
        <f>Valores!$C$60</f>
        <v>107.38</v>
      </c>
      <c r="AI91" s="93">
        <f t="shared" si="20"/>
        <v>34831.330500000004</v>
      </c>
      <c r="AJ91" s="89">
        <f>Valores!$C$35</f>
        <v>876.57</v>
      </c>
      <c r="AK91" s="90">
        <f>Valores!$C$8</f>
        <v>0</v>
      </c>
      <c r="AL91" s="90">
        <f>Valores!$C$81</f>
        <v>1500</v>
      </c>
      <c r="AM91" s="74">
        <v>1400</v>
      </c>
      <c r="AN91" s="92">
        <f>Valores!$C$51</f>
        <v>157.49</v>
      </c>
      <c r="AO91" s="94">
        <f t="shared" si="21"/>
        <v>2376.57</v>
      </c>
      <c r="AP91" s="95">
        <f>AI91*-Valores!$C$65</f>
        <v>-4528.072965</v>
      </c>
      <c r="AQ91" s="95">
        <f>AI91*-Valores!$C$66</f>
        <v>-174.15665250000004</v>
      </c>
      <c r="AR91" s="89">
        <f>AI91*-Valores!$C$67</f>
        <v>-1567.4098725000001</v>
      </c>
      <c r="AS91" s="89">
        <f>AI91*-Valores!$C$68</f>
        <v>-940.4459235</v>
      </c>
      <c r="AT91" s="89">
        <f>AI91*-Valores!$C$69</f>
        <v>-104.4939915</v>
      </c>
      <c r="AU91" s="93">
        <f t="shared" si="17"/>
        <v>30938.261010000002</v>
      </c>
      <c r="AV91" s="93">
        <f t="shared" si="18"/>
        <v>31460.7309675</v>
      </c>
      <c r="AW91" s="89">
        <f>AI91*Valores!$C$71</f>
        <v>5573.012880000001</v>
      </c>
      <c r="AX91" s="89">
        <f>AI91*Valores!$C$72</f>
        <v>1567.4098725000001</v>
      </c>
      <c r="AY91" s="89">
        <f>AI91*Valores!$C$73</f>
        <v>348.31330500000007</v>
      </c>
      <c r="AZ91" s="89">
        <f>AI91*Valores!$C$75</f>
        <v>1219.0965675000002</v>
      </c>
      <c r="BA91" s="89">
        <f>AI91*Valores!$C$76</f>
        <v>208.987983</v>
      </c>
      <c r="BB91" s="89">
        <f t="shared" si="22"/>
        <v>1880.8918470000003</v>
      </c>
      <c r="BC91" s="81"/>
      <c r="BD91" s="81">
        <v>25</v>
      </c>
      <c r="BE91" s="82" t="s">
        <v>4</v>
      </c>
    </row>
    <row r="92" spans="1:57" s="24" customFormat="1" ht="11.25" customHeight="1">
      <c r="A92" s="47">
        <v>91</v>
      </c>
      <c r="B92" s="47"/>
      <c r="C92" s="24" t="s">
        <v>323</v>
      </c>
      <c r="E92" s="24">
        <f t="shared" si="14"/>
        <v>28</v>
      </c>
      <c r="F92" s="67" t="s">
        <v>324</v>
      </c>
      <c r="G92" s="68">
        <v>161</v>
      </c>
      <c r="H92" s="69">
        <f>INT((G92*Valores!$C$2*100)+0.5)/100</f>
        <v>1231.51</v>
      </c>
      <c r="I92" s="70">
        <f>1480</f>
        <v>1480</v>
      </c>
      <c r="J92" s="71">
        <f>INT((I92*Valores!$C$2*100)+0.5)/100</f>
        <v>11320.67</v>
      </c>
      <c r="K92" s="98">
        <v>0</v>
      </c>
      <c r="L92" s="71">
        <f>INT((K92*Valores!$C$2*100)+0.5)/100</f>
        <v>0</v>
      </c>
      <c r="M92" s="96">
        <v>0</v>
      </c>
      <c r="N92" s="71">
        <f>INT((M92*Valores!$C$2*100)+0.5)/100</f>
        <v>0</v>
      </c>
      <c r="O92" s="71">
        <f t="shared" si="15"/>
        <v>2568.87</v>
      </c>
      <c r="P92" s="71">
        <f t="shared" si="16"/>
        <v>0</v>
      </c>
      <c r="Q92" s="73">
        <f>Valores!$C$16</f>
        <v>4949.59</v>
      </c>
      <c r="R92" s="73">
        <f>Valores!$D$4</f>
        <v>3421.44</v>
      </c>
      <c r="S92" s="97">
        <f>Valores!$C$26</f>
        <v>3568.39</v>
      </c>
      <c r="T92" s="102">
        <f>Valores!$C$42</f>
        <v>1414.4</v>
      </c>
      <c r="U92" s="71">
        <f>Valores!$C$23</f>
        <v>3159.22</v>
      </c>
      <c r="V92" s="71">
        <f t="shared" si="13"/>
        <v>3159.22</v>
      </c>
      <c r="W92" s="71">
        <v>0</v>
      </c>
      <c r="X92" s="71">
        <v>0</v>
      </c>
      <c r="Y92" s="75">
        <v>0</v>
      </c>
      <c r="Z92" s="71">
        <f>Y92*Valores!$C$2</f>
        <v>0</v>
      </c>
      <c r="AA92" s="71">
        <v>0</v>
      </c>
      <c r="AB92" s="76">
        <f>Valores!$C$29</f>
        <v>184.78</v>
      </c>
      <c r="AC92" s="71">
        <f t="shared" si="19"/>
        <v>0</v>
      </c>
      <c r="AD92" s="71">
        <f>Valores!$C$30</f>
        <v>184.78</v>
      </c>
      <c r="AE92" s="75">
        <v>0</v>
      </c>
      <c r="AF92" s="71">
        <f>INT(((AE92*Valores!$C$2)*100)+0.5)/100</f>
        <v>0</v>
      </c>
      <c r="AG92" s="71">
        <f>Valores!$C$58</f>
        <v>375.86</v>
      </c>
      <c r="AH92" s="71">
        <f>Valores!$C$60</f>
        <v>107.38</v>
      </c>
      <c r="AI92" s="77">
        <f t="shared" si="20"/>
        <v>32486.89</v>
      </c>
      <c r="AJ92" s="73">
        <f>Valores!$C$35</f>
        <v>876.57</v>
      </c>
      <c r="AK92" s="74">
        <f>Valores!$C$8</f>
        <v>0</v>
      </c>
      <c r="AL92" s="74">
        <f>Valores!$C$81</f>
        <v>1500</v>
      </c>
      <c r="AM92" s="74">
        <v>1400</v>
      </c>
      <c r="AN92" s="76">
        <f>Valores!$C$51</f>
        <v>157.49</v>
      </c>
      <c r="AO92" s="78">
        <f t="shared" si="21"/>
        <v>2376.57</v>
      </c>
      <c r="AP92" s="79">
        <f>AI92*-Valores!$C$65</f>
        <v>-4223.2957</v>
      </c>
      <c r="AQ92" s="79">
        <f>AI92*-Valores!$C$66</f>
        <v>-162.43445</v>
      </c>
      <c r="AR92" s="73">
        <f>AI92*-Valores!$C$67</f>
        <v>-1461.91005</v>
      </c>
      <c r="AS92" s="73">
        <f>AI92*-Valores!$C$68</f>
        <v>-877.14603</v>
      </c>
      <c r="AT92" s="73">
        <f>AI92*-Valores!$C$69</f>
        <v>-97.46067</v>
      </c>
      <c r="AU92" s="77">
        <f t="shared" si="17"/>
        <v>29015.8198</v>
      </c>
      <c r="AV92" s="77">
        <f t="shared" si="18"/>
        <v>29503.123149999996</v>
      </c>
      <c r="AW92" s="73">
        <f>AI92*Valores!$C$71</f>
        <v>5197.9024</v>
      </c>
      <c r="AX92" s="73">
        <f>AI92*Valores!$C$72</f>
        <v>1461.91005</v>
      </c>
      <c r="AY92" s="73">
        <f>AI92*Valores!$C$73</f>
        <v>324.8689</v>
      </c>
      <c r="AZ92" s="73">
        <f>AI92*Valores!$C$75</f>
        <v>1137.04115</v>
      </c>
      <c r="BA92" s="73">
        <f>AI92*Valores!$C$76</f>
        <v>194.92134</v>
      </c>
      <c r="BB92" s="73">
        <f t="shared" si="22"/>
        <v>1754.29206</v>
      </c>
      <c r="BC92" s="47"/>
      <c r="BD92" s="47">
        <v>25</v>
      </c>
      <c r="BE92" s="24" t="s">
        <v>4</v>
      </c>
    </row>
    <row r="93" spans="1:57" s="24" customFormat="1" ht="11.25" customHeight="1">
      <c r="A93" s="47">
        <v>92</v>
      </c>
      <c r="B93" s="47"/>
      <c r="C93" s="24" t="s">
        <v>323</v>
      </c>
      <c r="E93" s="24">
        <f t="shared" si="14"/>
        <v>41</v>
      </c>
      <c r="F93" s="67" t="s">
        <v>325</v>
      </c>
      <c r="G93" s="68">
        <v>161</v>
      </c>
      <c r="H93" s="69">
        <f>INT((G93*Valores!$C$2*100)+0.5)/100</f>
        <v>1231.51</v>
      </c>
      <c r="I93" s="70">
        <f>1480</f>
        <v>1480</v>
      </c>
      <c r="J93" s="71">
        <f>INT((I93*Valores!$C$2*100)+0.5)/100</f>
        <v>11320.67</v>
      </c>
      <c r="K93" s="98">
        <v>0</v>
      </c>
      <c r="L93" s="71">
        <f>INT((K93*Valores!$C$2*100)+0.5)/100</f>
        <v>0</v>
      </c>
      <c r="M93" s="96">
        <v>0</v>
      </c>
      <c r="N93" s="71">
        <f>INT((M93*Valores!$C$2*100)+0.5)/100</f>
        <v>0</v>
      </c>
      <c r="O93" s="71">
        <f t="shared" si="15"/>
        <v>2568.87</v>
      </c>
      <c r="P93" s="71">
        <f t="shared" si="16"/>
        <v>0</v>
      </c>
      <c r="Q93" s="73">
        <f>Valores!$C$16</f>
        <v>4949.59</v>
      </c>
      <c r="R93" s="73">
        <f>Valores!$D$4</f>
        <v>3421.44</v>
      </c>
      <c r="S93" s="97">
        <f>Valores!$C$26</f>
        <v>3568.39</v>
      </c>
      <c r="T93" s="102">
        <f>Valores!$C$42</f>
        <v>1414.4</v>
      </c>
      <c r="U93" s="71">
        <f>Valores!$C$23</f>
        <v>3159.22</v>
      </c>
      <c r="V93" s="71">
        <f t="shared" si="13"/>
        <v>3159.22</v>
      </c>
      <c r="W93" s="71">
        <v>0</v>
      </c>
      <c r="X93" s="71">
        <v>0</v>
      </c>
      <c r="Y93" s="75">
        <v>0</v>
      </c>
      <c r="Z93" s="71">
        <f>Y93*Valores!$C$2</f>
        <v>0</v>
      </c>
      <c r="AA93" s="71">
        <v>0</v>
      </c>
      <c r="AB93" s="76">
        <f>Valores!$C$29</f>
        <v>184.78</v>
      </c>
      <c r="AC93" s="71">
        <f t="shared" si="19"/>
        <v>0</v>
      </c>
      <c r="AD93" s="71">
        <f>Valores!$C$30</f>
        <v>184.78</v>
      </c>
      <c r="AE93" s="75">
        <v>19</v>
      </c>
      <c r="AF93" s="71">
        <f>INT(((AE93*Valores!$C$2)*100)+0.5)/100</f>
        <v>145.33</v>
      </c>
      <c r="AG93" s="71">
        <f>Valores!$C$58</f>
        <v>375.86</v>
      </c>
      <c r="AH93" s="71">
        <f>Valores!$C$60</f>
        <v>107.38</v>
      </c>
      <c r="AI93" s="77">
        <f t="shared" si="20"/>
        <v>32632.22</v>
      </c>
      <c r="AJ93" s="73">
        <f>Valores!$C$35</f>
        <v>876.57</v>
      </c>
      <c r="AK93" s="74">
        <f>Valores!$C$8</f>
        <v>0</v>
      </c>
      <c r="AL93" s="74">
        <f>Valores!$C$81</f>
        <v>1500</v>
      </c>
      <c r="AM93" s="74">
        <v>1400</v>
      </c>
      <c r="AN93" s="76">
        <f>Valores!$C$51</f>
        <v>157.49</v>
      </c>
      <c r="AO93" s="78">
        <f t="shared" si="21"/>
        <v>2376.57</v>
      </c>
      <c r="AP93" s="79">
        <f>AI93*-Valores!$C$65</f>
        <v>-4242.1886</v>
      </c>
      <c r="AQ93" s="79">
        <f>AI93*-Valores!$C$66</f>
        <v>-163.1611</v>
      </c>
      <c r="AR93" s="73">
        <f>AI93*-Valores!$C$67</f>
        <v>-1468.4499</v>
      </c>
      <c r="AS93" s="73">
        <f>AI93*-Valores!$C$68</f>
        <v>-881.06994</v>
      </c>
      <c r="AT93" s="73">
        <f>AI93*-Valores!$C$69</f>
        <v>-97.89666000000001</v>
      </c>
      <c r="AU93" s="77">
        <f t="shared" si="17"/>
        <v>29134.990400000002</v>
      </c>
      <c r="AV93" s="77">
        <f t="shared" si="18"/>
        <v>29624.473700000002</v>
      </c>
      <c r="AW93" s="73">
        <f>AI93*Valores!$C$71</f>
        <v>5221.1552</v>
      </c>
      <c r="AX93" s="73">
        <f>AI93*Valores!$C$72</f>
        <v>1468.4499</v>
      </c>
      <c r="AY93" s="73">
        <f>AI93*Valores!$C$73</f>
        <v>326.3222</v>
      </c>
      <c r="AZ93" s="73">
        <f>AI93*Valores!$C$75</f>
        <v>1142.1277000000002</v>
      </c>
      <c r="BA93" s="73">
        <f>AI93*Valores!$C$76</f>
        <v>195.79332000000002</v>
      </c>
      <c r="BB93" s="73">
        <f t="shared" si="22"/>
        <v>1762.1398800000002</v>
      </c>
      <c r="BC93" s="47"/>
      <c r="BD93" s="47">
        <v>25</v>
      </c>
      <c r="BE93" s="24" t="s">
        <v>4</v>
      </c>
    </row>
    <row r="94" spans="1:57" s="24" customFormat="1" ht="11.25" customHeight="1">
      <c r="A94" s="47">
        <v>93</v>
      </c>
      <c r="B94" s="47"/>
      <c r="C94" s="24" t="s">
        <v>326</v>
      </c>
      <c r="E94" s="24">
        <f t="shared" si="14"/>
        <v>26</v>
      </c>
      <c r="F94" s="67" t="s">
        <v>327</v>
      </c>
      <c r="G94" s="68">
        <v>179</v>
      </c>
      <c r="H94" s="69">
        <f>INT((G94*Valores!$C$2*100)+0.5)/100</f>
        <v>1369.19</v>
      </c>
      <c r="I94" s="70">
        <v>1712</v>
      </c>
      <c r="J94" s="71">
        <f>INT((I94*Valores!$C$2*100)+0.5)/100</f>
        <v>13095.26</v>
      </c>
      <c r="K94" s="98">
        <v>0</v>
      </c>
      <c r="L94" s="71">
        <f>INT((K94*Valores!$C$2*100)+0.5)/100</f>
        <v>0</v>
      </c>
      <c r="M94" s="96">
        <v>0</v>
      </c>
      <c r="N94" s="71">
        <f>INT((M94*Valores!$C$2*100)+0.5)/100</f>
        <v>0</v>
      </c>
      <c r="O94" s="71">
        <f t="shared" si="15"/>
        <v>2855.7105000000006</v>
      </c>
      <c r="P94" s="71">
        <f t="shared" si="16"/>
        <v>0</v>
      </c>
      <c r="Q94" s="73">
        <f>Valores!$C$16</f>
        <v>4949.59</v>
      </c>
      <c r="R94" s="73">
        <f>Valores!$D$4</f>
        <v>3421.44</v>
      </c>
      <c r="S94" s="97">
        <f>Valores!$C$26</f>
        <v>3568.39</v>
      </c>
      <c r="T94" s="102">
        <f>Valores!$C$42</f>
        <v>1414.4</v>
      </c>
      <c r="U94" s="71">
        <f>Valores!$C$23</f>
        <v>3159.22</v>
      </c>
      <c r="V94" s="71">
        <f t="shared" si="13"/>
        <v>3159.22</v>
      </c>
      <c r="W94" s="71">
        <v>0</v>
      </c>
      <c r="X94" s="71">
        <v>0</v>
      </c>
      <c r="Y94" s="75">
        <v>0</v>
      </c>
      <c r="Z94" s="71">
        <f>Y94*Valores!$C$2</f>
        <v>0</v>
      </c>
      <c r="AA94" s="71">
        <v>0</v>
      </c>
      <c r="AB94" s="76">
        <f>Valores!$C$29</f>
        <v>184.78</v>
      </c>
      <c r="AC94" s="71">
        <f t="shared" si="19"/>
        <v>0</v>
      </c>
      <c r="AD94" s="71">
        <f>Valores!$C$30</f>
        <v>184.78</v>
      </c>
      <c r="AE94" s="75">
        <v>0</v>
      </c>
      <c r="AF94" s="71">
        <f>INT(((AE94*Valores!$C$2)*100)+0.5)/100</f>
        <v>0</v>
      </c>
      <c r="AG94" s="71">
        <f>Valores!$C$58</f>
        <v>375.86</v>
      </c>
      <c r="AH94" s="71">
        <f>Valores!$C$60</f>
        <v>107.38</v>
      </c>
      <c r="AI94" s="77">
        <f t="shared" si="20"/>
        <v>34686.0005</v>
      </c>
      <c r="AJ94" s="73">
        <f>Valores!$C$35</f>
        <v>876.57</v>
      </c>
      <c r="AK94" s="74">
        <f>Valores!$C$8</f>
        <v>0</v>
      </c>
      <c r="AL94" s="74">
        <f>Valores!$C$81</f>
        <v>1500</v>
      </c>
      <c r="AM94" s="74">
        <v>1400</v>
      </c>
      <c r="AN94" s="76">
        <f>Valores!$C$51</f>
        <v>157.49</v>
      </c>
      <c r="AO94" s="78">
        <f t="shared" si="21"/>
        <v>2376.57</v>
      </c>
      <c r="AP94" s="79">
        <f>AI94*-Valores!$C$65</f>
        <v>-4509.1800650000005</v>
      </c>
      <c r="AQ94" s="79">
        <f>AI94*-Valores!$C$66</f>
        <v>-173.4300025</v>
      </c>
      <c r="AR94" s="73">
        <f>AI94*-Valores!$C$67</f>
        <v>-1560.8700225</v>
      </c>
      <c r="AS94" s="73">
        <f>AI94*-Valores!$C$68</f>
        <v>-936.5220135000001</v>
      </c>
      <c r="AT94" s="73">
        <f>AI94*-Valores!$C$69</f>
        <v>-104.0580015</v>
      </c>
      <c r="AU94" s="77">
        <f t="shared" si="17"/>
        <v>30819.090410000004</v>
      </c>
      <c r="AV94" s="77">
        <f t="shared" si="18"/>
        <v>31339.380417500004</v>
      </c>
      <c r="AW94" s="73">
        <f>AI94*Valores!$C$71</f>
        <v>5549.76008</v>
      </c>
      <c r="AX94" s="73">
        <f>AI94*Valores!$C$72</f>
        <v>1560.8700225</v>
      </c>
      <c r="AY94" s="73">
        <f>AI94*Valores!$C$73</f>
        <v>346.860005</v>
      </c>
      <c r="AZ94" s="73">
        <f>AI94*Valores!$C$75</f>
        <v>1214.0100175000002</v>
      </c>
      <c r="BA94" s="73">
        <f>AI94*Valores!$C$76</f>
        <v>208.116003</v>
      </c>
      <c r="BB94" s="73">
        <f t="shared" si="22"/>
        <v>1873.0440270000004</v>
      </c>
      <c r="BC94" s="47"/>
      <c r="BD94" s="81">
        <v>25</v>
      </c>
      <c r="BE94" s="24" t="s">
        <v>4</v>
      </c>
    </row>
    <row r="95" spans="1:57" s="24" customFormat="1" ht="11.25" customHeight="1">
      <c r="A95" s="47">
        <v>94</v>
      </c>
      <c r="B95" s="47"/>
      <c r="C95" s="24" t="s">
        <v>328</v>
      </c>
      <c r="E95" s="24">
        <f t="shared" si="14"/>
        <v>30</v>
      </c>
      <c r="F95" s="67" t="s">
        <v>329</v>
      </c>
      <c r="G95" s="68">
        <v>64</v>
      </c>
      <c r="H95" s="69">
        <f>INT((G95*Valores!$C$2*100)+0.5)/100</f>
        <v>489.54</v>
      </c>
      <c r="I95" s="70">
        <v>2086</v>
      </c>
      <c r="J95" s="71">
        <f>INT((I95*Valores!$C$2*100)+0.5)/100</f>
        <v>15956.02</v>
      </c>
      <c r="K95" s="98">
        <v>0</v>
      </c>
      <c r="L95" s="71">
        <f>INT((K95*Valores!$C$2*100)+0.5)/100</f>
        <v>0</v>
      </c>
      <c r="M95" s="96">
        <v>0</v>
      </c>
      <c r="N95" s="71">
        <f>INT((M95*Valores!$C$2*100)+0.5)/100</f>
        <v>0</v>
      </c>
      <c r="O95" s="71">
        <f t="shared" si="15"/>
        <v>3152.8770000000004</v>
      </c>
      <c r="P95" s="71">
        <f t="shared" si="16"/>
        <v>0</v>
      </c>
      <c r="Q95" s="73">
        <f>Valores!$C$16</f>
        <v>4949.59</v>
      </c>
      <c r="R95" s="73">
        <f>Valores!$D$4</f>
        <v>3421.44</v>
      </c>
      <c r="S95" s="97">
        <f>Valores!$C$26</f>
        <v>3568.39</v>
      </c>
      <c r="T95" s="102">
        <f>Valores!$C$42</f>
        <v>1414.4</v>
      </c>
      <c r="U95" s="71">
        <f>Valores!$C$23</f>
        <v>3159.22</v>
      </c>
      <c r="V95" s="71">
        <f t="shared" si="13"/>
        <v>3159.22</v>
      </c>
      <c r="W95" s="71">
        <v>0</v>
      </c>
      <c r="X95" s="71">
        <v>0</v>
      </c>
      <c r="Y95" s="75">
        <v>0</v>
      </c>
      <c r="Z95" s="71">
        <f>Y95*Valores!$C$2</f>
        <v>0</v>
      </c>
      <c r="AA95" s="71">
        <v>0</v>
      </c>
      <c r="AB95" s="76">
        <f>Valores!$C$29</f>
        <v>184.78</v>
      </c>
      <c r="AC95" s="71">
        <f t="shared" si="19"/>
        <v>0</v>
      </c>
      <c r="AD95" s="71">
        <f>Valores!$C$30</f>
        <v>184.78</v>
      </c>
      <c r="AE95" s="75">
        <v>0</v>
      </c>
      <c r="AF95" s="71">
        <f>INT(((AE95*Valores!$C$2)*100)+0.5)/100</f>
        <v>0</v>
      </c>
      <c r="AG95" s="71">
        <f>Valores!$C$58</f>
        <v>375.86</v>
      </c>
      <c r="AH95" s="71">
        <f>Valores!$C$60</f>
        <v>107.38</v>
      </c>
      <c r="AI95" s="77">
        <f t="shared" si="20"/>
        <v>36964.276999999995</v>
      </c>
      <c r="AJ95" s="73">
        <f>Valores!$C$35</f>
        <v>876.57</v>
      </c>
      <c r="AK95" s="74">
        <f>Valores!$C$8</f>
        <v>0</v>
      </c>
      <c r="AL95" s="74">
        <f>Valores!$C$82</f>
        <v>1800</v>
      </c>
      <c r="AM95" s="74">
        <v>1400</v>
      </c>
      <c r="AN95" s="76">
        <f>Valores!$C$51</f>
        <v>157.49</v>
      </c>
      <c r="AO95" s="78">
        <f t="shared" si="21"/>
        <v>2676.57</v>
      </c>
      <c r="AP95" s="79">
        <f>AI95*-Valores!$C$65</f>
        <v>-4805.3560099999995</v>
      </c>
      <c r="AQ95" s="79">
        <f>AI95*-Valores!$C$66</f>
        <v>-184.82138499999996</v>
      </c>
      <c r="AR95" s="73">
        <f>AI95*-Valores!$C$67</f>
        <v>-1663.3924649999997</v>
      </c>
      <c r="AS95" s="73">
        <f>AI95*-Valores!$C$68</f>
        <v>-998.0354789999999</v>
      </c>
      <c r="AT95" s="73">
        <f>AI95*-Valores!$C$69</f>
        <v>-110.89283099999999</v>
      </c>
      <c r="AU95" s="77">
        <f t="shared" si="17"/>
        <v>32987.27713999999</v>
      </c>
      <c r="AV95" s="77">
        <f t="shared" si="18"/>
        <v>33541.74129499999</v>
      </c>
      <c r="AW95" s="73">
        <f>AI95*Valores!$C$71</f>
        <v>5914.284319999999</v>
      </c>
      <c r="AX95" s="73">
        <f>AI95*Valores!$C$72</f>
        <v>1663.3924649999997</v>
      </c>
      <c r="AY95" s="73">
        <f>AI95*Valores!$C$73</f>
        <v>369.6427699999999</v>
      </c>
      <c r="AZ95" s="73">
        <f>AI95*Valores!$C$75</f>
        <v>1293.749695</v>
      </c>
      <c r="BA95" s="73">
        <f>AI95*Valores!$C$76</f>
        <v>221.78566199999997</v>
      </c>
      <c r="BB95" s="73">
        <f t="shared" si="22"/>
        <v>1996.0709579999998</v>
      </c>
      <c r="BC95" s="47"/>
      <c r="BD95" s="47">
        <v>25</v>
      </c>
      <c r="BE95" s="24" t="s">
        <v>4</v>
      </c>
    </row>
    <row r="96" spans="1:57" s="24" customFormat="1" ht="11.25" customHeight="1">
      <c r="A96" s="81">
        <v>95</v>
      </c>
      <c r="B96" s="81" t="s">
        <v>163</v>
      </c>
      <c r="C96" s="82" t="s">
        <v>330</v>
      </c>
      <c r="D96" s="82"/>
      <c r="E96" s="82">
        <f t="shared" si="14"/>
        <v>31</v>
      </c>
      <c r="F96" s="83" t="s">
        <v>331</v>
      </c>
      <c r="G96" s="84">
        <v>89</v>
      </c>
      <c r="H96" s="85">
        <f>INT((G96*Valores!$C$2*100)+0.5)/100</f>
        <v>680.77</v>
      </c>
      <c r="I96" s="86">
        <v>2481</v>
      </c>
      <c r="J96" s="87">
        <f>INT((I96*Valores!$C$2*100)+0.5)/100</f>
        <v>18977.42</v>
      </c>
      <c r="K96" s="100">
        <v>0</v>
      </c>
      <c r="L96" s="87">
        <f>INT((K96*Valores!$C$2*100)+0.5)/100</f>
        <v>0</v>
      </c>
      <c r="M96" s="101">
        <v>0</v>
      </c>
      <c r="N96" s="87">
        <f>INT((M96*Valores!$C$2*100)+0.5)/100</f>
        <v>0</v>
      </c>
      <c r="O96" s="87">
        <f t="shared" si="15"/>
        <v>3634.7715000000003</v>
      </c>
      <c r="P96" s="87">
        <f t="shared" si="16"/>
        <v>0</v>
      </c>
      <c r="Q96" s="89">
        <f>Valores!$C$15</f>
        <v>4920.96</v>
      </c>
      <c r="R96" s="89">
        <f>Valores!$D$4</f>
        <v>3421.44</v>
      </c>
      <c r="S96" s="87">
        <v>0</v>
      </c>
      <c r="T96" s="90">
        <f>Valores!$C$42</f>
        <v>1414.4</v>
      </c>
      <c r="U96" s="87">
        <f>Valores!$C$23</f>
        <v>3159.22</v>
      </c>
      <c r="V96" s="87">
        <f t="shared" si="13"/>
        <v>3159.22</v>
      </c>
      <c r="W96" s="87">
        <v>0</v>
      </c>
      <c r="X96" s="87">
        <v>0</v>
      </c>
      <c r="Y96" s="91">
        <v>0</v>
      </c>
      <c r="Z96" s="87">
        <f>Y96*Valores!$C$2</f>
        <v>0</v>
      </c>
      <c r="AA96" s="87">
        <v>0</v>
      </c>
      <c r="AB96" s="92">
        <f>Valores!$C$29</f>
        <v>184.78</v>
      </c>
      <c r="AC96" s="87">
        <f t="shared" si="19"/>
        <v>0</v>
      </c>
      <c r="AD96" s="87">
        <f>Valores!$C$30</f>
        <v>184.78</v>
      </c>
      <c r="AE96" s="91">
        <v>0</v>
      </c>
      <c r="AF96" s="87">
        <f>INT(((AE96*Valores!$C$2)*100)+0.5)/100</f>
        <v>0</v>
      </c>
      <c r="AG96" s="87">
        <f>Valores!$C$58</f>
        <v>375.86</v>
      </c>
      <c r="AH96" s="87">
        <f>Valores!$C$60</f>
        <v>107.38</v>
      </c>
      <c r="AI96" s="93">
        <f t="shared" si="20"/>
        <v>37061.78149999999</v>
      </c>
      <c r="AJ96" s="89">
        <f>Valores!$C$35</f>
        <v>876.57</v>
      </c>
      <c r="AK96" s="90">
        <f>Valores!$C$8</f>
        <v>0</v>
      </c>
      <c r="AL96" s="90">
        <f>Valores!$C$81</f>
        <v>1500</v>
      </c>
      <c r="AM96" s="74">
        <v>1400</v>
      </c>
      <c r="AN96" s="92">
        <f>Valores!$C$51</f>
        <v>157.49</v>
      </c>
      <c r="AO96" s="94">
        <f t="shared" si="21"/>
        <v>2376.57</v>
      </c>
      <c r="AP96" s="95">
        <f>AI96*-Valores!$C$65</f>
        <v>-4818.031594999999</v>
      </c>
      <c r="AQ96" s="95">
        <f>AI96*-Valores!$C$66</f>
        <v>-185.30890749999995</v>
      </c>
      <c r="AR96" s="89">
        <f>AI96*-Valores!$C$67</f>
        <v>-1667.7801674999994</v>
      </c>
      <c r="AS96" s="89">
        <f>AI96*-Valores!$C$68</f>
        <v>-1000.6681004999997</v>
      </c>
      <c r="AT96" s="89">
        <f>AI96*-Valores!$C$69</f>
        <v>-111.18534449999997</v>
      </c>
      <c r="AU96" s="93">
        <f t="shared" si="17"/>
        <v>32767.230829999986</v>
      </c>
      <c r="AV96" s="93">
        <f t="shared" si="18"/>
        <v>33323.157552499986</v>
      </c>
      <c r="AW96" s="89">
        <f>AI96*Valores!$C$71</f>
        <v>5929.885039999998</v>
      </c>
      <c r="AX96" s="89">
        <f>AI96*Valores!$C$72</f>
        <v>1667.7801674999994</v>
      </c>
      <c r="AY96" s="89">
        <f>AI96*Valores!$C$73</f>
        <v>370.6178149999999</v>
      </c>
      <c r="AZ96" s="89">
        <f>AI96*Valores!$C$75</f>
        <v>1297.1623524999998</v>
      </c>
      <c r="BA96" s="89">
        <f>AI96*Valores!$C$76</f>
        <v>222.37068899999994</v>
      </c>
      <c r="BB96" s="89">
        <f t="shared" si="22"/>
        <v>2001.3362009999996</v>
      </c>
      <c r="BC96" s="81"/>
      <c r="BD96" s="81">
        <v>25</v>
      </c>
      <c r="BE96" s="82" t="s">
        <v>8</v>
      </c>
    </row>
    <row r="97" spans="1:57" s="24" customFormat="1" ht="11.25" customHeight="1">
      <c r="A97" s="47">
        <v>96</v>
      </c>
      <c r="B97" s="47"/>
      <c r="C97" s="24" t="s">
        <v>332</v>
      </c>
      <c r="E97" s="24">
        <f t="shared" si="14"/>
        <v>31</v>
      </c>
      <c r="F97" s="67" t="s">
        <v>333</v>
      </c>
      <c r="G97" s="68">
        <v>89</v>
      </c>
      <c r="H97" s="69">
        <f>INT((G97*Valores!$C$2*100)+0.5)/100</f>
        <v>680.77</v>
      </c>
      <c r="I97" s="70">
        <v>2381</v>
      </c>
      <c r="J97" s="71">
        <f>INT((I97*Valores!$C$2*100)+0.5)/100</f>
        <v>18212.51</v>
      </c>
      <c r="K97" s="98">
        <v>0</v>
      </c>
      <c r="L97" s="71">
        <f>INT((K97*Valores!$C$2*100)+0.5)/100</f>
        <v>0</v>
      </c>
      <c r="M97" s="96">
        <v>0</v>
      </c>
      <c r="N97" s="71">
        <f>INT((M97*Valores!$C$2*100)+0.5)/100</f>
        <v>0</v>
      </c>
      <c r="O97" s="71">
        <f t="shared" si="15"/>
        <v>3520.0350000000003</v>
      </c>
      <c r="P97" s="71">
        <f t="shared" si="16"/>
        <v>0</v>
      </c>
      <c r="Q97" s="73">
        <f>Valores!$C$20</f>
        <v>4706.17</v>
      </c>
      <c r="R97" s="73">
        <f>Valores!$D$4</f>
        <v>3421.44</v>
      </c>
      <c r="S97" s="71">
        <f>Valores!$C$26</f>
        <v>3568.39</v>
      </c>
      <c r="T97" s="74">
        <f>Valores!$C$42</f>
        <v>1414.4</v>
      </c>
      <c r="U97" s="71">
        <f>Valores!$C$23</f>
        <v>3159.22</v>
      </c>
      <c r="V97" s="71">
        <f t="shared" si="13"/>
        <v>3159.22</v>
      </c>
      <c r="W97" s="71">
        <v>0</v>
      </c>
      <c r="X97" s="71">
        <v>0</v>
      </c>
      <c r="Y97" s="75">
        <v>0</v>
      </c>
      <c r="Z97" s="71">
        <f>Y97*Valores!$C$2</f>
        <v>0</v>
      </c>
      <c r="AA97" s="71">
        <v>0</v>
      </c>
      <c r="AB97" s="76">
        <f>Valores!$C$29</f>
        <v>184.78</v>
      </c>
      <c r="AC97" s="71">
        <f t="shared" si="19"/>
        <v>0</v>
      </c>
      <c r="AD97" s="71">
        <f>Valores!$C$30</f>
        <v>184.78</v>
      </c>
      <c r="AE97" s="75">
        <v>0</v>
      </c>
      <c r="AF97" s="71">
        <f>INT(((AE97*Valores!$C$2)*100)+0.5)/100</f>
        <v>0</v>
      </c>
      <c r="AG97" s="71">
        <f>Valores!$C$58</f>
        <v>375.86</v>
      </c>
      <c r="AH97" s="71">
        <f>Valores!$C$60</f>
        <v>107.38</v>
      </c>
      <c r="AI97" s="77">
        <f t="shared" si="20"/>
        <v>39535.735</v>
      </c>
      <c r="AJ97" s="73">
        <f>Valores!$C$35</f>
        <v>876.57</v>
      </c>
      <c r="AK97" s="74">
        <f>Valores!$C$8</f>
        <v>0</v>
      </c>
      <c r="AL97" s="74">
        <f>Valores!$C$81</f>
        <v>1500</v>
      </c>
      <c r="AM97" s="74">
        <v>1400</v>
      </c>
      <c r="AN97" s="76">
        <f>Valores!$C$51</f>
        <v>157.49</v>
      </c>
      <c r="AO97" s="78">
        <f t="shared" si="21"/>
        <v>2376.57</v>
      </c>
      <c r="AP97" s="79">
        <f>AI97*-Valores!$C$65</f>
        <v>-5139.64555</v>
      </c>
      <c r="AQ97" s="79">
        <f>AI97*-Valores!$C$66</f>
        <v>-197.678675</v>
      </c>
      <c r="AR97" s="73">
        <f>AI97*-Valores!$C$67</f>
        <v>-1779.1080749999999</v>
      </c>
      <c r="AS97" s="73">
        <f>AI97*-Valores!$C$68</f>
        <v>-1067.464845</v>
      </c>
      <c r="AT97" s="73">
        <f>AI97*-Valores!$C$69</f>
        <v>-118.60720500000001</v>
      </c>
      <c r="AU97" s="77">
        <f t="shared" si="17"/>
        <v>34795.8727</v>
      </c>
      <c r="AV97" s="77">
        <f t="shared" si="18"/>
        <v>35388.908724999994</v>
      </c>
      <c r="AW97" s="73">
        <f>AI97*Valores!$C$71</f>
        <v>6325.7176</v>
      </c>
      <c r="AX97" s="73">
        <f>AI97*Valores!$C$72</f>
        <v>1779.1080749999999</v>
      </c>
      <c r="AY97" s="73">
        <f>AI97*Valores!$C$73</f>
        <v>395.35735</v>
      </c>
      <c r="AZ97" s="73">
        <f>AI97*Valores!$C$75</f>
        <v>1383.750725</v>
      </c>
      <c r="BA97" s="73">
        <f>AI97*Valores!$C$76</f>
        <v>237.21441000000002</v>
      </c>
      <c r="BB97" s="73">
        <f t="shared" si="22"/>
        <v>2134.92969</v>
      </c>
      <c r="BC97" s="47"/>
      <c r="BD97" s="47">
        <v>25</v>
      </c>
      <c r="BE97" s="24" t="s">
        <v>4</v>
      </c>
    </row>
    <row r="98" spans="1:57" s="24" customFormat="1" ht="11.25" customHeight="1">
      <c r="A98" s="47">
        <v>97</v>
      </c>
      <c r="B98" s="47"/>
      <c r="C98" s="24" t="s">
        <v>334</v>
      </c>
      <c r="E98" s="24">
        <f t="shared" si="14"/>
        <v>31</v>
      </c>
      <c r="F98" s="67" t="s">
        <v>335</v>
      </c>
      <c r="G98" s="68">
        <v>89</v>
      </c>
      <c r="H98" s="69">
        <f>INT((G98*Valores!$C$2*100)+0.5)/100</f>
        <v>680.77</v>
      </c>
      <c r="I98" s="70">
        <v>1768</v>
      </c>
      <c r="J98" s="71">
        <f>INT((I98*Valores!$C$2*100)+0.5)/100</f>
        <v>13523.61</v>
      </c>
      <c r="K98" s="98">
        <v>0</v>
      </c>
      <c r="L98" s="71">
        <f>INT((K98*Valores!$C$2*100)+0.5)/100</f>
        <v>0</v>
      </c>
      <c r="M98" s="96">
        <v>0</v>
      </c>
      <c r="N98" s="71">
        <f>INT((M98*Valores!$C$2*100)+0.5)/100</f>
        <v>0</v>
      </c>
      <c r="O98" s="71">
        <f t="shared" si="15"/>
        <v>2816.7000000000003</v>
      </c>
      <c r="P98" s="71">
        <f t="shared" si="16"/>
        <v>0</v>
      </c>
      <c r="Q98" s="73">
        <f>Valores!$C$20</f>
        <v>4706.17</v>
      </c>
      <c r="R98" s="73">
        <f>Valores!$D$4</f>
        <v>3421.44</v>
      </c>
      <c r="S98" s="97">
        <f>Valores!$C$26</f>
        <v>3568.39</v>
      </c>
      <c r="T98" s="102">
        <f>Valores!$C$42</f>
        <v>1414.4</v>
      </c>
      <c r="U98" s="71">
        <f>Valores!$C$23</f>
        <v>3159.22</v>
      </c>
      <c r="V98" s="71">
        <f t="shared" si="13"/>
        <v>3159.22</v>
      </c>
      <c r="W98" s="71">
        <v>0</v>
      </c>
      <c r="X98" s="71">
        <v>0</v>
      </c>
      <c r="Y98" s="75">
        <v>0</v>
      </c>
      <c r="Z98" s="71">
        <f>Y98*Valores!$C$2</f>
        <v>0</v>
      </c>
      <c r="AA98" s="71">
        <v>0</v>
      </c>
      <c r="AB98" s="76">
        <f>Valores!$C$29</f>
        <v>184.78</v>
      </c>
      <c r="AC98" s="71">
        <f t="shared" si="19"/>
        <v>0</v>
      </c>
      <c r="AD98" s="71">
        <f>Valores!$C$30</f>
        <v>184.78</v>
      </c>
      <c r="AE98" s="75">
        <v>0</v>
      </c>
      <c r="AF98" s="71">
        <f>INT(((AE98*Valores!$C$2)*100)+0.5)/100</f>
        <v>0</v>
      </c>
      <c r="AG98" s="71">
        <f>Valores!$C$58</f>
        <v>375.86</v>
      </c>
      <c r="AH98" s="71">
        <f>Valores!$C$60</f>
        <v>107.38</v>
      </c>
      <c r="AI98" s="77">
        <f t="shared" si="20"/>
        <v>34143.49999999999</v>
      </c>
      <c r="AJ98" s="73">
        <f>Valores!$C$35</f>
        <v>876.57</v>
      </c>
      <c r="AK98" s="74">
        <f>Valores!$C$8</f>
        <v>0</v>
      </c>
      <c r="AL98" s="74">
        <f>Valores!$C$81</f>
        <v>1500</v>
      </c>
      <c r="AM98" s="74">
        <v>1400</v>
      </c>
      <c r="AN98" s="76">
        <f>Valores!$C$51</f>
        <v>157.49</v>
      </c>
      <c r="AO98" s="78">
        <f t="shared" si="21"/>
        <v>2376.57</v>
      </c>
      <c r="AP98" s="79">
        <f>AI98*-Valores!$C$65</f>
        <v>-4438.654999999999</v>
      </c>
      <c r="AQ98" s="79">
        <f>AI98*-Valores!$C$66</f>
        <v>-170.71749999999997</v>
      </c>
      <c r="AR98" s="73">
        <f>AI98*-Valores!$C$67</f>
        <v>-1536.4574999999995</v>
      </c>
      <c r="AS98" s="73">
        <f>AI98*-Valores!$C$68</f>
        <v>-921.8744999999998</v>
      </c>
      <c r="AT98" s="73">
        <f>AI98*-Valores!$C$69</f>
        <v>-102.43049999999998</v>
      </c>
      <c r="AU98" s="77">
        <f t="shared" si="17"/>
        <v>30374.239999999998</v>
      </c>
      <c r="AV98" s="77">
        <f t="shared" si="18"/>
        <v>30886.392499999998</v>
      </c>
      <c r="AW98" s="73">
        <f>AI98*Valores!$C$71</f>
        <v>5462.959999999999</v>
      </c>
      <c r="AX98" s="73">
        <f>AI98*Valores!$C$72</f>
        <v>1536.4574999999995</v>
      </c>
      <c r="AY98" s="73">
        <f>AI98*Valores!$C$73</f>
        <v>341.43499999999995</v>
      </c>
      <c r="AZ98" s="73">
        <f>AI98*Valores!$C$75</f>
        <v>1195.0224999999998</v>
      </c>
      <c r="BA98" s="73">
        <f>AI98*Valores!$C$76</f>
        <v>204.86099999999996</v>
      </c>
      <c r="BB98" s="73">
        <f t="shared" si="22"/>
        <v>1843.7489999999996</v>
      </c>
      <c r="BC98" s="47"/>
      <c r="BD98" s="47">
        <v>25</v>
      </c>
      <c r="BE98" s="24" t="s">
        <v>4</v>
      </c>
    </row>
    <row r="99" spans="1:57" s="24" customFormat="1" ht="11.25" customHeight="1">
      <c r="A99" s="47">
        <v>98</v>
      </c>
      <c r="B99" s="47"/>
      <c r="C99" s="24" t="s">
        <v>336</v>
      </c>
      <c r="E99" s="24">
        <f t="shared" si="14"/>
        <v>29</v>
      </c>
      <c r="F99" s="67" t="s">
        <v>337</v>
      </c>
      <c r="G99" s="68">
        <v>89</v>
      </c>
      <c r="H99" s="69">
        <f>INT((G99*Valores!$C$2*100)+0.5)/100</f>
        <v>680.77</v>
      </c>
      <c r="I99" s="70">
        <v>1768</v>
      </c>
      <c r="J99" s="71">
        <f>INT((I99*Valores!$C$2*100)+0.5)/100</f>
        <v>13523.61</v>
      </c>
      <c r="K99" s="98">
        <v>0</v>
      </c>
      <c r="L99" s="71">
        <f>INT((K99*Valores!$C$2*100)+0.5)/100</f>
        <v>0</v>
      </c>
      <c r="M99" s="96">
        <v>0</v>
      </c>
      <c r="N99" s="71">
        <f>INT((M99*Valores!$C$2*100)+0.5)/100</f>
        <v>0</v>
      </c>
      <c r="O99" s="71">
        <f t="shared" si="15"/>
        <v>2816.7000000000003</v>
      </c>
      <c r="P99" s="71">
        <f t="shared" si="16"/>
        <v>0</v>
      </c>
      <c r="Q99" s="73">
        <f>Valores!$C$15</f>
        <v>4920.96</v>
      </c>
      <c r="R99" s="73">
        <f>Valores!$D$4</f>
        <v>3421.44</v>
      </c>
      <c r="S99" s="97">
        <f>Valores!$C$26</f>
        <v>3568.39</v>
      </c>
      <c r="T99" s="102">
        <f>Valores!$C$42</f>
        <v>1414.4</v>
      </c>
      <c r="U99" s="71">
        <f>Valores!$C$23</f>
        <v>3159.22</v>
      </c>
      <c r="V99" s="71">
        <f t="shared" si="13"/>
        <v>3159.22</v>
      </c>
      <c r="W99" s="71">
        <v>0</v>
      </c>
      <c r="X99" s="71">
        <v>0</v>
      </c>
      <c r="Y99" s="75">
        <v>0</v>
      </c>
      <c r="Z99" s="71">
        <f>Y99*Valores!$C$2</f>
        <v>0</v>
      </c>
      <c r="AA99" s="71">
        <v>0</v>
      </c>
      <c r="AB99" s="76">
        <f>Valores!$C$29</f>
        <v>184.78</v>
      </c>
      <c r="AC99" s="71">
        <f t="shared" si="19"/>
        <v>0</v>
      </c>
      <c r="AD99" s="71">
        <f>Valores!$C$30</f>
        <v>184.78</v>
      </c>
      <c r="AE99" s="75">
        <v>0</v>
      </c>
      <c r="AF99" s="71">
        <f>INT(((AE99*Valores!$C$2)*100)+0.5)/100</f>
        <v>0</v>
      </c>
      <c r="AG99" s="71">
        <f>Valores!$C$58</f>
        <v>375.86</v>
      </c>
      <c r="AH99" s="71">
        <f>Valores!$C$60</f>
        <v>107.38</v>
      </c>
      <c r="AI99" s="77">
        <f t="shared" si="20"/>
        <v>34358.28999999999</v>
      </c>
      <c r="AJ99" s="73">
        <f>Valores!$C$35</f>
        <v>876.57</v>
      </c>
      <c r="AK99" s="74">
        <f>Valores!$C$8</f>
        <v>0</v>
      </c>
      <c r="AL99" s="74">
        <f>Valores!$C$81</f>
        <v>1500</v>
      </c>
      <c r="AM99" s="74">
        <v>1400</v>
      </c>
      <c r="AN99" s="76">
        <f>Valores!$C$51</f>
        <v>157.49</v>
      </c>
      <c r="AO99" s="78">
        <f t="shared" si="21"/>
        <v>2376.57</v>
      </c>
      <c r="AP99" s="79">
        <f>AI99*-Valores!$C$65</f>
        <v>-4466.577699999999</v>
      </c>
      <c r="AQ99" s="79">
        <f>AI99*-Valores!$C$66</f>
        <v>-171.79144999999997</v>
      </c>
      <c r="AR99" s="73">
        <f>AI99*-Valores!$C$67</f>
        <v>-1546.1230499999997</v>
      </c>
      <c r="AS99" s="73">
        <f>AI99*-Valores!$C$68</f>
        <v>-927.6738299999998</v>
      </c>
      <c r="AT99" s="73">
        <f>AI99*-Valores!$C$69</f>
        <v>-103.07486999999999</v>
      </c>
      <c r="AU99" s="77">
        <f t="shared" si="17"/>
        <v>30550.367799999996</v>
      </c>
      <c r="AV99" s="77">
        <f t="shared" si="18"/>
        <v>31065.74215</v>
      </c>
      <c r="AW99" s="73">
        <f>AI99*Valores!$C$71</f>
        <v>5497.326399999999</v>
      </c>
      <c r="AX99" s="73">
        <f>AI99*Valores!$C$72</f>
        <v>1546.1230499999997</v>
      </c>
      <c r="AY99" s="73">
        <f>AI99*Valores!$C$73</f>
        <v>343.58289999999994</v>
      </c>
      <c r="AZ99" s="73">
        <f>AI99*Valores!$C$75</f>
        <v>1202.5401499999998</v>
      </c>
      <c r="BA99" s="73">
        <f>AI99*Valores!$C$76</f>
        <v>206.14973999999998</v>
      </c>
      <c r="BB99" s="73">
        <f t="shared" si="22"/>
        <v>1855.3476599999997</v>
      </c>
      <c r="BC99" s="47"/>
      <c r="BD99" s="81"/>
      <c r="BE99" s="24" t="s">
        <v>4</v>
      </c>
    </row>
    <row r="100" spans="1:57" s="24" customFormat="1" ht="11.25" customHeight="1">
      <c r="A100" s="47">
        <v>99</v>
      </c>
      <c r="B100" s="47"/>
      <c r="C100" s="24" t="s">
        <v>338</v>
      </c>
      <c r="E100" s="24">
        <f t="shared" si="14"/>
        <v>31</v>
      </c>
      <c r="F100" s="67" t="s">
        <v>339</v>
      </c>
      <c r="G100" s="68">
        <v>89</v>
      </c>
      <c r="H100" s="69">
        <f>INT((G100*Valores!$C$2*100)+0.5)/100</f>
        <v>680.77</v>
      </c>
      <c r="I100" s="70">
        <v>2211</v>
      </c>
      <c r="J100" s="71">
        <f>INT((I100*Valores!$C$2*100)+0.5)/100</f>
        <v>16912.16</v>
      </c>
      <c r="K100" s="98">
        <v>0</v>
      </c>
      <c r="L100" s="71">
        <f>INT((K100*Valores!$C$2*100)+0.5)/100</f>
        <v>0</v>
      </c>
      <c r="M100" s="96">
        <v>0</v>
      </c>
      <c r="N100" s="71">
        <f>INT((M100*Valores!$C$2*100)+0.5)/100</f>
        <v>0</v>
      </c>
      <c r="O100" s="71">
        <f t="shared" si="15"/>
        <v>3324.9825000000005</v>
      </c>
      <c r="P100" s="71">
        <f t="shared" si="16"/>
        <v>0</v>
      </c>
      <c r="Q100" s="73">
        <f>Valores!$C$15</f>
        <v>4920.96</v>
      </c>
      <c r="R100" s="73">
        <f>Valores!$D$4</f>
        <v>3421.44</v>
      </c>
      <c r="S100" s="97">
        <f>Valores!$C$26</f>
        <v>3568.39</v>
      </c>
      <c r="T100" s="102">
        <f>Valores!$C$42</f>
        <v>1414.4</v>
      </c>
      <c r="U100" s="71">
        <f>Valores!$C$23</f>
        <v>3159.22</v>
      </c>
      <c r="V100" s="71">
        <f t="shared" si="13"/>
        <v>3159.22</v>
      </c>
      <c r="W100" s="71">
        <v>0</v>
      </c>
      <c r="X100" s="71">
        <v>0</v>
      </c>
      <c r="Y100" s="75">
        <v>0</v>
      </c>
      <c r="Z100" s="71">
        <f>Y100*Valores!$C$2</f>
        <v>0</v>
      </c>
      <c r="AA100" s="71">
        <v>0</v>
      </c>
      <c r="AB100" s="76">
        <f>Valores!$C$29</f>
        <v>184.78</v>
      </c>
      <c r="AC100" s="71">
        <f t="shared" si="19"/>
        <v>0</v>
      </c>
      <c r="AD100" s="71">
        <f>Valores!$C$30</f>
        <v>184.78</v>
      </c>
      <c r="AE100" s="75">
        <v>0</v>
      </c>
      <c r="AF100" s="71">
        <f>INT(((AE100*Valores!$C$2)*100)+0.5)/100</f>
        <v>0</v>
      </c>
      <c r="AG100" s="71">
        <f>Valores!$C$58</f>
        <v>375.86</v>
      </c>
      <c r="AH100" s="71">
        <f>Valores!$C$60</f>
        <v>107.38</v>
      </c>
      <c r="AI100" s="77">
        <f t="shared" si="20"/>
        <v>38255.1225</v>
      </c>
      <c r="AJ100" s="73">
        <f>Valores!$C$35</f>
        <v>876.57</v>
      </c>
      <c r="AK100" s="74">
        <f>Valores!$C$8</f>
        <v>0</v>
      </c>
      <c r="AL100" s="74">
        <f>Valores!$C$81</f>
        <v>1500</v>
      </c>
      <c r="AM100" s="74">
        <v>1400</v>
      </c>
      <c r="AN100" s="76">
        <f>Valores!$C$51</f>
        <v>157.49</v>
      </c>
      <c r="AO100" s="78">
        <f t="shared" si="21"/>
        <v>2376.57</v>
      </c>
      <c r="AP100" s="79">
        <f>AI100*-Valores!$C$65</f>
        <v>-4973.165925</v>
      </c>
      <c r="AQ100" s="79">
        <f>AI100*-Valores!$C$66</f>
        <v>-191.2756125</v>
      </c>
      <c r="AR100" s="73">
        <f>AI100*-Valores!$C$67</f>
        <v>-1721.4805124999998</v>
      </c>
      <c r="AS100" s="73">
        <f>AI100*-Valores!$C$68</f>
        <v>-1032.8883074999999</v>
      </c>
      <c r="AT100" s="73">
        <f>AI100*-Valores!$C$69</f>
        <v>-114.7653675</v>
      </c>
      <c r="AU100" s="77">
        <f t="shared" si="17"/>
        <v>33745.770449999996</v>
      </c>
      <c r="AV100" s="77">
        <f t="shared" si="18"/>
        <v>34319.5972875</v>
      </c>
      <c r="AW100" s="73">
        <f>AI100*Valores!$C$71</f>
        <v>6120.8196</v>
      </c>
      <c r="AX100" s="73">
        <f>AI100*Valores!$C$72</f>
        <v>1721.4805124999998</v>
      </c>
      <c r="AY100" s="73">
        <f>AI100*Valores!$C$73</f>
        <v>382.551225</v>
      </c>
      <c r="AZ100" s="73">
        <f>AI100*Valores!$C$75</f>
        <v>1338.9292875</v>
      </c>
      <c r="BA100" s="73">
        <f>AI100*Valores!$C$76</f>
        <v>229.530735</v>
      </c>
      <c r="BB100" s="73">
        <f t="shared" si="22"/>
        <v>2065.7766149999998</v>
      </c>
      <c r="BC100" s="47"/>
      <c r="BD100" s="47"/>
      <c r="BE100" s="24" t="s">
        <v>4</v>
      </c>
    </row>
    <row r="101" spans="1:57" s="24" customFormat="1" ht="11.25" customHeight="1">
      <c r="A101" s="81">
        <v>100</v>
      </c>
      <c r="B101" s="81" t="s">
        <v>163</v>
      </c>
      <c r="C101" s="82" t="s">
        <v>340</v>
      </c>
      <c r="D101" s="82"/>
      <c r="E101" s="82">
        <f t="shared" si="14"/>
        <v>31</v>
      </c>
      <c r="F101" s="83" t="s">
        <v>341</v>
      </c>
      <c r="G101" s="84">
        <v>89</v>
      </c>
      <c r="H101" s="85">
        <f>INT((G101*Valores!$C$2*100)+0.5)/100</f>
        <v>680.77</v>
      </c>
      <c r="I101" s="86">
        <v>1956</v>
      </c>
      <c r="J101" s="87">
        <f>INT((I101*Valores!$C$2*100)+0.5)/100</f>
        <v>14961.64</v>
      </c>
      <c r="K101" s="100">
        <v>0</v>
      </c>
      <c r="L101" s="87">
        <f>INT((K101*Valores!$C$2*100)+0.5)/100</f>
        <v>0</v>
      </c>
      <c r="M101" s="101">
        <v>0</v>
      </c>
      <c r="N101" s="87">
        <f>INT((M101*Valores!$C$2*100)+0.5)/100</f>
        <v>0</v>
      </c>
      <c r="O101" s="87">
        <f t="shared" si="15"/>
        <v>3032.4045</v>
      </c>
      <c r="P101" s="87">
        <f t="shared" si="16"/>
        <v>0</v>
      </c>
      <c r="Q101" s="89">
        <f>Valores!$C$20</f>
        <v>4706.17</v>
      </c>
      <c r="R101" s="89">
        <f>Valores!$D$4</f>
        <v>3421.44</v>
      </c>
      <c r="S101" s="87">
        <v>0</v>
      </c>
      <c r="T101" s="90">
        <f>Valores!$C$42</f>
        <v>1414.4</v>
      </c>
      <c r="U101" s="87">
        <f>Valores!$C$23</f>
        <v>3159.22</v>
      </c>
      <c r="V101" s="87">
        <f t="shared" si="13"/>
        <v>3159.22</v>
      </c>
      <c r="W101" s="87">
        <v>0</v>
      </c>
      <c r="X101" s="87">
        <v>0</v>
      </c>
      <c r="Y101" s="91">
        <v>0</v>
      </c>
      <c r="Z101" s="87">
        <f>Y101*Valores!$C$2</f>
        <v>0</v>
      </c>
      <c r="AA101" s="87">
        <v>0</v>
      </c>
      <c r="AB101" s="92">
        <f>Valores!$C$29</f>
        <v>184.78</v>
      </c>
      <c r="AC101" s="87">
        <f t="shared" si="19"/>
        <v>0</v>
      </c>
      <c r="AD101" s="87">
        <f>Valores!$C$30</f>
        <v>184.78</v>
      </c>
      <c r="AE101" s="91">
        <v>0</v>
      </c>
      <c r="AF101" s="87">
        <f>INT(((AE101*Valores!$C$2)*100)+0.5)/100</f>
        <v>0</v>
      </c>
      <c r="AG101" s="87">
        <f>Valores!$C$58</f>
        <v>375.86</v>
      </c>
      <c r="AH101" s="87">
        <f>Valores!$C$60</f>
        <v>107.38</v>
      </c>
      <c r="AI101" s="93">
        <f t="shared" si="20"/>
        <v>32228.8445</v>
      </c>
      <c r="AJ101" s="89">
        <f>Valores!$C$35</f>
        <v>876.57</v>
      </c>
      <c r="AK101" s="90">
        <f>Valores!$C$8</f>
        <v>0</v>
      </c>
      <c r="AL101" s="90">
        <f>Valores!$C$81</f>
        <v>1500</v>
      </c>
      <c r="AM101" s="74">
        <v>1400</v>
      </c>
      <c r="AN101" s="92">
        <f>Valores!$C$51</f>
        <v>157.49</v>
      </c>
      <c r="AO101" s="94">
        <f t="shared" si="21"/>
        <v>2376.57</v>
      </c>
      <c r="AP101" s="95">
        <f>AI101*-Valores!$C$65</f>
        <v>-4189.749785</v>
      </c>
      <c r="AQ101" s="95">
        <f>AI101*-Valores!$C$66</f>
        <v>-161.1442225</v>
      </c>
      <c r="AR101" s="89">
        <f>AI101*-Valores!$C$67</f>
        <v>-1450.2980025</v>
      </c>
      <c r="AS101" s="89">
        <f>AI101*-Valores!$C$68</f>
        <v>-870.1788015</v>
      </c>
      <c r="AT101" s="89">
        <f>AI101*-Valores!$C$69</f>
        <v>-96.6865335</v>
      </c>
      <c r="AU101" s="93">
        <f t="shared" si="17"/>
        <v>28804.22249</v>
      </c>
      <c r="AV101" s="93">
        <f t="shared" si="18"/>
        <v>29287.6551575</v>
      </c>
      <c r="AW101" s="89">
        <f>AI101*Valores!$C$71</f>
        <v>5156.61512</v>
      </c>
      <c r="AX101" s="89">
        <f>AI101*Valores!$C$72</f>
        <v>1450.2980025</v>
      </c>
      <c r="AY101" s="89">
        <f>AI101*Valores!$C$73</f>
        <v>322.288445</v>
      </c>
      <c r="AZ101" s="89">
        <f>AI101*Valores!$C$75</f>
        <v>1128.0095575</v>
      </c>
      <c r="BA101" s="89">
        <f>AI101*Valores!$C$76</f>
        <v>193.373067</v>
      </c>
      <c r="BB101" s="89">
        <f t="shared" si="22"/>
        <v>1740.357603</v>
      </c>
      <c r="BC101" s="81"/>
      <c r="BD101" s="81"/>
      <c r="BE101" s="82" t="s">
        <v>8</v>
      </c>
    </row>
    <row r="102" spans="1:57" s="24" customFormat="1" ht="11.25" customHeight="1">
      <c r="A102" s="47">
        <v>101</v>
      </c>
      <c r="B102" s="47"/>
      <c r="C102" s="24" t="s">
        <v>342</v>
      </c>
      <c r="E102" s="24">
        <f t="shared" si="14"/>
        <v>31</v>
      </c>
      <c r="F102" s="67" t="s">
        <v>343</v>
      </c>
      <c r="G102" s="68">
        <v>89</v>
      </c>
      <c r="H102" s="69">
        <f>INT((G102*Valores!$C$2*100)+0.5)/100</f>
        <v>680.77</v>
      </c>
      <c r="I102" s="70">
        <v>1267</v>
      </c>
      <c r="J102" s="71">
        <f>INT((I102*Valores!$C$2*100)+0.5)/100</f>
        <v>9691.41</v>
      </c>
      <c r="K102" s="98">
        <v>0</v>
      </c>
      <c r="L102" s="71">
        <f>INT((K102*Valores!$C$2*100)+0.5)/100</f>
        <v>0</v>
      </c>
      <c r="M102" s="96">
        <v>0</v>
      </c>
      <c r="N102" s="71">
        <f>INT((M102*Valores!$C$2*100)+0.5)/100</f>
        <v>0</v>
      </c>
      <c r="O102" s="71">
        <f t="shared" si="15"/>
        <v>2241.87</v>
      </c>
      <c r="P102" s="71">
        <f t="shared" si="16"/>
        <v>0</v>
      </c>
      <c r="Q102" s="73">
        <f>Valores!$C$20</f>
        <v>4706.17</v>
      </c>
      <c r="R102" s="73">
        <f>Valores!$D$4</f>
        <v>3421.44</v>
      </c>
      <c r="S102" s="71">
        <v>0</v>
      </c>
      <c r="T102" s="74">
        <f>Valores!$C$42</f>
        <v>1414.4</v>
      </c>
      <c r="U102" s="71">
        <f>Valores!$C$23</f>
        <v>3159.22</v>
      </c>
      <c r="V102" s="71">
        <f t="shared" si="13"/>
        <v>3159.22</v>
      </c>
      <c r="W102" s="71">
        <v>0</v>
      </c>
      <c r="X102" s="71">
        <v>0</v>
      </c>
      <c r="Y102" s="75">
        <v>0</v>
      </c>
      <c r="Z102" s="71">
        <f>Y102*Valores!$C$2</f>
        <v>0</v>
      </c>
      <c r="AA102" s="71">
        <v>0</v>
      </c>
      <c r="AB102" s="76">
        <f>Valores!$C$29</f>
        <v>184.78</v>
      </c>
      <c r="AC102" s="71">
        <f t="shared" si="19"/>
        <v>0</v>
      </c>
      <c r="AD102" s="71">
        <f>Valores!$C$30</f>
        <v>184.78</v>
      </c>
      <c r="AE102" s="75">
        <v>0</v>
      </c>
      <c r="AF102" s="71">
        <f>INT(((AE102*Valores!$C$2)*100)+0.5)/100</f>
        <v>0</v>
      </c>
      <c r="AG102" s="71">
        <f>Valores!$C$58</f>
        <v>375.86</v>
      </c>
      <c r="AH102" s="71">
        <f>Valores!$C$60</f>
        <v>107.38</v>
      </c>
      <c r="AI102" s="77">
        <f t="shared" si="20"/>
        <v>26168.08</v>
      </c>
      <c r="AJ102" s="73">
        <f>Valores!$C$35</f>
        <v>876.57</v>
      </c>
      <c r="AK102" s="74">
        <f>Valores!$C$8</f>
        <v>0</v>
      </c>
      <c r="AL102" s="74">
        <f>Valores!$C$81</f>
        <v>1500</v>
      </c>
      <c r="AM102" s="74">
        <v>1400</v>
      </c>
      <c r="AN102" s="76">
        <f>Valores!$C$51</f>
        <v>157.49</v>
      </c>
      <c r="AO102" s="78">
        <f t="shared" si="21"/>
        <v>2376.57</v>
      </c>
      <c r="AP102" s="79">
        <f>AI102*-Valores!$C$65</f>
        <v>-3401.8504000000003</v>
      </c>
      <c r="AQ102" s="79">
        <f>AI102*-Valores!$C$66</f>
        <v>-130.84040000000002</v>
      </c>
      <c r="AR102" s="73">
        <f>AI102*-Valores!$C$67</f>
        <v>-1177.5636</v>
      </c>
      <c r="AS102" s="73">
        <f>AI102*-Valores!$C$68</f>
        <v>-706.5381600000001</v>
      </c>
      <c r="AT102" s="73">
        <f>AI102*-Valores!$C$69</f>
        <v>-78.50424000000001</v>
      </c>
      <c r="AU102" s="77">
        <f t="shared" si="17"/>
        <v>23834.3956</v>
      </c>
      <c r="AV102" s="77">
        <f t="shared" si="18"/>
        <v>24226.916800000003</v>
      </c>
      <c r="AW102" s="73">
        <f>AI102*Valores!$C$71</f>
        <v>4186.8928000000005</v>
      </c>
      <c r="AX102" s="73">
        <f>AI102*Valores!$C$72</f>
        <v>1177.5636</v>
      </c>
      <c r="AY102" s="73">
        <f>AI102*Valores!$C$73</f>
        <v>261.68080000000003</v>
      </c>
      <c r="AZ102" s="73">
        <f>AI102*Valores!$C$75</f>
        <v>915.8828000000002</v>
      </c>
      <c r="BA102" s="73">
        <f>AI102*Valores!$C$76</f>
        <v>157.00848000000002</v>
      </c>
      <c r="BB102" s="73">
        <f t="shared" si="22"/>
        <v>1413.0763200000001</v>
      </c>
      <c r="BC102" s="47"/>
      <c r="BD102" s="47"/>
      <c r="BE102" s="24" t="s">
        <v>8</v>
      </c>
    </row>
    <row r="103" spans="1:57" s="24" customFormat="1" ht="11.25" customHeight="1">
      <c r="A103" s="47">
        <v>102</v>
      </c>
      <c r="B103" s="47"/>
      <c r="C103" s="24" t="s">
        <v>344</v>
      </c>
      <c r="E103" s="24">
        <f t="shared" si="14"/>
        <v>31</v>
      </c>
      <c r="F103" s="67" t="s">
        <v>345</v>
      </c>
      <c r="G103" s="68">
        <v>67</v>
      </c>
      <c r="H103" s="69">
        <f>INT((G103*Valores!$C$2*100)+0.5)/100</f>
        <v>512.49</v>
      </c>
      <c r="I103" s="70">
        <v>2108</v>
      </c>
      <c r="J103" s="71">
        <f>INT((I103*Valores!$C$2*100)+0.5)/100</f>
        <v>16124.3</v>
      </c>
      <c r="K103" s="98">
        <v>0</v>
      </c>
      <c r="L103" s="71">
        <f>INT((K103*Valores!$C$2*100)+0.5)/100</f>
        <v>0</v>
      </c>
      <c r="M103" s="96">
        <v>0</v>
      </c>
      <c r="N103" s="71">
        <f>INT((M103*Valores!$C$2*100)+0.5)/100</f>
        <v>0</v>
      </c>
      <c r="O103" s="71">
        <f t="shared" si="15"/>
        <v>3122.0685</v>
      </c>
      <c r="P103" s="71">
        <f t="shared" si="16"/>
        <v>0</v>
      </c>
      <c r="Q103" s="73">
        <f>Valores!$C$20</f>
        <v>4706.17</v>
      </c>
      <c r="R103" s="73">
        <f>Valores!$D$4</f>
        <v>3421.44</v>
      </c>
      <c r="S103" s="71">
        <v>0</v>
      </c>
      <c r="T103" s="74">
        <f>Valores!$C$40</f>
        <v>1060.77</v>
      </c>
      <c r="U103" s="97">
        <f>Valores!$C$24</f>
        <v>3116.23</v>
      </c>
      <c r="V103" s="71">
        <f t="shared" si="13"/>
        <v>3116.23</v>
      </c>
      <c r="W103" s="71">
        <v>0</v>
      </c>
      <c r="X103" s="71">
        <v>0</v>
      </c>
      <c r="Y103" s="75">
        <v>0</v>
      </c>
      <c r="Z103" s="71">
        <f>Y103*Valores!$C$2</f>
        <v>0</v>
      </c>
      <c r="AA103" s="71">
        <v>0</v>
      </c>
      <c r="AB103" s="76">
        <f>Valores!$C$29</f>
        <v>184.78</v>
      </c>
      <c r="AC103" s="71">
        <f t="shared" si="19"/>
        <v>0</v>
      </c>
      <c r="AD103" s="71">
        <f>Valores!$C$30</f>
        <v>184.78</v>
      </c>
      <c r="AE103" s="75">
        <v>0</v>
      </c>
      <c r="AF103" s="71">
        <f>INT(((AE103*Valores!$C$2)*100)+0.5)/100</f>
        <v>0</v>
      </c>
      <c r="AG103" s="71">
        <f>Valores!$C$58</f>
        <v>375.86</v>
      </c>
      <c r="AH103" s="71">
        <f>Valores!$C$60</f>
        <v>107.38</v>
      </c>
      <c r="AI103" s="77">
        <f t="shared" si="20"/>
        <v>32916.26849999999</v>
      </c>
      <c r="AJ103" s="73">
        <f>Valores!$C$35</f>
        <v>876.57</v>
      </c>
      <c r="AK103" s="74">
        <f>Valores!$C$6</f>
        <v>0</v>
      </c>
      <c r="AL103" s="74">
        <f>Valores!$C$81</f>
        <v>1500</v>
      </c>
      <c r="AM103" s="74">
        <v>1400</v>
      </c>
      <c r="AN103" s="76">
        <f>Valores!$C$51</f>
        <v>157.49</v>
      </c>
      <c r="AO103" s="78">
        <f t="shared" si="21"/>
        <v>2376.57</v>
      </c>
      <c r="AP103" s="79">
        <f>AI103*-Valores!$C$65</f>
        <v>-4279.1149049999985</v>
      </c>
      <c r="AQ103" s="79">
        <f>AI103*-Valores!$C$66</f>
        <v>-164.58134249999995</v>
      </c>
      <c r="AR103" s="73">
        <f>AI103*-Valores!$C$67</f>
        <v>-1481.2320824999995</v>
      </c>
      <c r="AS103" s="73">
        <f>AI103*-Valores!$C$68</f>
        <v>-888.7392494999998</v>
      </c>
      <c r="AT103" s="73">
        <f>AI103*-Valores!$C$69</f>
        <v>-98.74880549999997</v>
      </c>
      <c r="AU103" s="77">
        <f t="shared" si="17"/>
        <v>29367.910169999992</v>
      </c>
      <c r="AV103" s="77">
        <f t="shared" si="18"/>
        <v>29861.65419749999</v>
      </c>
      <c r="AW103" s="73">
        <f>AI103*Valores!$C$71</f>
        <v>5266.602959999998</v>
      </c>
      <c r="AX103" s="73">
        <f>AI103*Valores!$C$72</f>
        <v>1481.2320824999995</v>
      </c>
      <c r="AY103" s="73">
        <f>AI103*Valores!$C$73</f>
        <v>329.1626849999999</v>
      </c>
      <c r="AZ103" s="73">
        <f>AI103*Valores!$C$75</f>
        <v>1152.0693974999997</v>
      </c>
      <c r="BA103" s="73">
        <f>AI103*Valores!$C$76</f>
        <v>197.49761099999995</v>
      </c>
      <c r="BB103" s="73">
        <f t="shared" si="22"/>
        <v>1777.4784989999998</v>
      </c>
      <c r="BC103" s="47"/>
      <c r="BD103" s="47">
        <v>30</v>
      </c>
      <c r="BE103" s="24" t="s">
        <v>4</v>
      </c>
    </row>
    <row r="104" spans="1:57" s="24" customFormat="1" ht="11.25" customHeight="1">
      <c r="A104" s="47">
        <v>103</v>
      </c>
      <c r="B104" s="47"/>
      <c r="C104" s="24" t="s">
        <v>346</v>
      </c>
      <c r="E104" s="24">
        <f t="shared" si="14"/>
        <v>30</v>
      </c>
      <c r="F104" s="67" t="s">
        <v>347</v>
      </c>
      <c r="G104" s="68">
        <v>45</v>
      </c>
      <c r="H104" s="69">
        <f>INT((G104*Valores!$C$2*100)+0.5)/100</f>
        <v>344.21</v>
      </c>
      <c r="I104" s="70">
        <v>1502</v>
      </c>
      <c r="J104" s="71">
        <f>INT((I104*Valores!$C$2*100)+0.5)/100</f>
        <v>11488.95</v>
      </c>
      <c r="K104" s="98">
        <v>0</v>
      </c>
      <c r="L104" s="71">
        <f>INT((K104*Valores!$C$2*100)+0.5)/100</f>
        <v>0</v>
      </c>
      <c r="M104" s="96">
        <v>0</v>
      </c>
      <c r="N104" s="71">
        <f>INT((M104*Valores!$C$2*100)+0.5)/100</f>
        <v>0</v>
      </c>
      <c r="O104" s="71">
        <f t="shared" si="15"/>
        <v>2401.524</v>
      </c>
      <c r="P104" s="71">
        <f t="shared" si="16"/>
        <v>0</v>
      </c>
      <c r="Q104" s="73">
        <f>Valores!$C$20</f>
        <v>4706.17</v>
      </c>
      <c r="R104" s="73">
        <f>Valores!$D$4</f>
        <v>3421.44</v>
      </c>
      <c r="S104" s="71">
        <v>0</v>
      </c>
      <c r="T104" s="74">
        <f>Valores!$C$40</f>
        <v>1060.77</v>
      </c>
      <c r="U104" s="97">
        <f>Valores!$C$24</f>
        <v>3116.23</v>
      </c>
      <c r="V104" s="71">
        <f t="shared" si="13"/>
        <v>3116.23</v>
      </c>
      <c r="W104" s="71">
        <v>0</v>
      </c>
      <c r="X104" s="71">
        <v>0</v>
      </c>
      <c r="Y104" s="75">
        <v>0</v>
      </c>
      <c r="Z104" s="71">
        <f>Y104*Valores!$C$2</f>
        <v>0</v>
      </c>
      <c r="AA104" s="71">
        <v>0</v>
      </c>
      <c r="AB104" s="76">
        <f>Valores!$C$29</f>
        <v>184.78</v>
      </c>
      <c r="AC104" s="71">
        <f t="shared" si="19"/>
        <v>0</v>
      </c>
      <c r="AD104" s="71">
        <f>Valores!$C$30</f>
        <v>184.78</v>
      </c>
      <c r="AE104" s="75">
        <v>0</v>
      </c>
      <c r="AF104" s="71">
        <f>INT(((AE104*Valores!$C$2)*100)+0.5)/100</f>
        <v>0</v>
      </c>
      <c r="AG104" s="71">
        <f>Valores!$C$58</f>
        <v>375.86</v>
      </c>
      <c r="AH104" s="71">
        <f>Valores!$C$60</f>
        <v>107.38</v>
      </c>
      <c r="AI104" s="77">
        <f t="shared" si="20"/>
        <v>27392.093999999997</v>
      </c>
      <c r="AJ104" s="73">
        <f>Valores!$C$35</f>
        <v>876.57</v>
      </c>
      <c r="AK104" s="74">
        <f>Valores!$C$6</f>
        <v>0</v>
      </c>
      <c r="AL104" s="74">
        <f>Valores!$C$81</f>
        <v>1500</v>
      </c>
      <c r="AM104" s="74">
        <v>1400</v>
      </c>
      <c r="AN104" s="76">
        <f>Valores!$C$51</f>
        <v>157.49</v>
      </c>
      <c r="AO104" s="78">
        <f t="shared" si="21"/>
        <v>2376.57</v>
      </c>
      <c r="AP104" s="79">
        <f>AI104*-Valores!$C$65</f>
        <v>-3560.9722199999997</v>
      </c>
      <c r="AQ104" s="79">
        <f>AI104*-Valores!$C$66</f>
        <v>-136.96047</v>
      </c>
      <c r="AR104" s="73">
        <f>AI104*-Valores!$C$67</f>
        <v>-1232.6442299999999</v>
      </c>
      <c r="AS104" s="73">
        <f>AI104*-Valores!$C$68</f>
        <v>-739.5865379999999</v>
      </c>
      <c r="AT104" s="73">
        <f>AI104*-Valores!$C$69</f>
        <v>-82.176282</v>
      </c>
      <c r="AU104" s="77">
        <f t="shared" si="17"/>
        <v>24838.08708</v>
      </c>
      <c r="AV104" s="77">
        <f t="shared" si="18"/>
        <v>25248.96849</v>
      </c>
      <c r="AW104" s="73">
        <f>AI104*Valores!$C$71</f>
        <v>4382.73504</v>
      </c>
      <c r="AX104" s="73">
        <f>AI104*Valores!$C$72</f>
        <v>1232.6442299999999</v>
      </c>
      <c r="AY104" s="73">
        <f>AI104*Valores!$C$73</f>
        <v>273.92094</v>
      </c>
      <c r="AZ104" s="73">
        <f>AI104*Valores!$C$75</f>
        <v>958.72329</v>
      </c>
      <c r="BA104" s="73">
        <f>AI104*Valores!$C$76</f>
        <v>164.352564</v>
      </c>
      <c r="BB104" s="73">
        <f t="shared" si="22"/>
        <v>1479.173076</v>
      </c>
      <c r="BC104" s="47"/>
      <c r="BD104" s="81"/>
      <c r="BE104" s="24" t="s">
        <v>4</v>
      </c>
    </row>
    <row r="105" spans="1:57" s="24" customFormat="1" ht="11.25" customHeight="1">
      <c r="A105" s="47">
        <v>104</v>
      </c>
      <c r="B105" s="47"/>
      <c r="C105" s="24" t="s">
        <v>348</v>
      </c>
      <c r="E105" s="24">
        <f t="shared" si="14"/>
        <v>32</v>
      </c>
      <c r="F105" s="67" t="s">
        <v>349</v>
      </c>
      <c r="G105" s="68">
        <v>61</v>
      </c>
      <c r="H105" s="69">
        <f>INT((G105*Valores!$C$2*100)+0.5)/100</f>
        <v>466.6</v>
      </c>
      <c r="I105" s="70">
        <v>2114</v>
      </c>
      <c r="J105" s="71">
        <f>INT((I105*Valores!$C$2*100)+0.5)/100</f>
        <v>16170.2</v>
      </c>
      <c r="K105" s="98">
        <v>0</v>
      </c>
      <c r="L105" s="71">
        <f>INT((K105*Valores!$C$2*100)+0.5)/100</f>
        <v>0</v>
      </c>
      <c r="M105" s="96">
        <v>0</v>
      </c>
      <c r="N105" s="71">
        <f>INT((M105*Valores!$C$2*100)+0.5)/100</f>
        <v>0</v>
      </c>
      <c r="O105" s="71">
        <f t="shared" si="15"/>
        <v>3122.0699999999997</v>
      </c>
      <c r="P105" s="71">
        <f t="shared" si="16"/>
        <v>0</v>
      </c>
      <c r="Q105" s="73">
        <f>Valores!$C$20</f>
        <v>4706.17</v>
      </c>
      <c r="R105" s="73">
        <f>Valores!$D$4</f>
        <v>3421.44</v>
      </c>
      <c r="S105" s="71">
        <v>0</v>
      </c>
      <c r="T105" s="74">
        <f>Valores!$C$40</f>
        <v>1060.77</v>
      </c>
      <c r="U105" s="97">
        <f>Valores!$C$24</f>
        <v>3116.23</v>
      </c>
      <c r="V105" s="71">
        <f t="shared" si="13"/>
        <v>3116.23</v>
      </c>
      <c r="W105" s="71">
        <v>0</v>
      </c>
      <c r="X105" s="71">
        <v>0</v>
      </c>
      <c r="Y105" s="75">
        <v>0</v>
      </c>
      <c r="Z105" s="71">
        <f>Y105*Valores!$C$2</f>
        <v>0</v>
      </c>
      <c r="AA105" s="71">
        <v>0</v>
      </c>
      <c r="AB105" s="76">
        <f>Valores!$C$29</f>
        <v>184.78</v>
      </c>
      <c r="AC105" s="71">
        <f t="shared" si="19"/>
        <v>0</v>
      </c>
      <c r="AD105" s="71">
        <f>Valores!$C$30</f>
        <v>184.78</v>
      </c>
      <c r="AE105" s="75">
        <v>0</v>
      </c>
      <c r="AF105" s="71">
        <f>INT(((AE105*Valores!$C$2)*100)+0.5)/100</f>
        <v>0</v>
      </c>
      <c r="AG105" s="71">
        <f>Valores!$C$58</f>
        <v>375.86</v>
      </c>
      <c r="AH105" s="71">
        <f>Valores!$C$60</f>
        <v>107.38</v>
      </c>
      <c r="AI105" s="77">
        <f t="shared" si="20"/>
        <v>32916.27999999999</v>
      </c>
      <c r="AJ105" s="73">
        <f>Valores!$C$35</f>
        <v>876.57</v>
      </c>
      <c r="AK105" s="74">
        <f>Valores!$C$6</f>
        <v>0</v>
      </c>
      <c r="AL105" s="74">
        <f>Valores!$C$81</f>
        <v>1500</v>
      </c>
      <c r="AM105" s="74">
        <v>1400</v>
      </c>
      <c r="AN105" s="76">
        <f>Valores!$C$51</f>
        <v>157.49</v>
      </c>
      <c r="AO105" s="78">
        <f t="shared" si="21"/>
        <v>2376.57</v>
      </c>
      <c r="AP105" s="79">
        <f>AI105*-Valores!$C$65</f>
        <v>-4279.116399999999</v>
      </c>
      <c r="AQ105" s="79">
        <f>AI105*-Valores!$C$66</f>
        <v>-164.58139999999997</v>
      </c>
      <c r="AR105" s="73">
        <f>AI105*-Valores!$C$67</f>
        <v>-1481.2325999999996</v>
      </c>
      <c r="AS105" s="73">
        <f>AI105*-Valores!$C$68</f>
        <v>-888.7395599999998</v>
      </c>
      <c r="AT105" s="73">
        <f>AI105*-Valores!$C$69</f>
        <v>-98.74883999999997</v>
      </c>
      <c r="AU105" s="77">
        <f t="shared" si="17"/>
        <v>29367.919599999987</v>
      </c>
      <c r="AV105" s="77">
        <f t="shared" si="18"/>
        <v>29861.663799999988</v>
      </c>
      <c r="AW105" s="73">
        <f>AI105*Valores!$C$71</f>
        <v>5266.604799999999</v>
      </c>
      <c r="AX105" s="73">
        <f>AI105*Valores!$C$72</f>
        <v>1481.2325999999996</v>
      </c>
      <c r="AY105" s="73">
        <f>AI105*Valores!$C$73</f>
        <v>329.16279999999995</v>
      </c>
      <c r="AZ105" s="73">
        <f>AI105*Valores!$C$75</f>
        <v>1152.0697999999998</v>
      </c>
      <c r="BA105" s="73">
        <f>AI105*Valores!$C$76</f>
        <v>197.49767999999995</v>
      </c>
      <c r="BB105" s="73">
        <f t="shared" si="22"/>
        <v>1777.4791199999995</v>
      </c>
      <c r="BC105" s="47"/>
      <c r="BD105" s="47">
        <v>30</v>
      </c>
      <c r="BE105" s="24" t="s">
        <v>4</v>
      </c>
    </row>
    <row r="106" spans="1:57" s="24" customFormat="1" ht="11.25" customHeight="1">
      <c r="A106" s="81">
        <v>105</v>
      </c>
      <c r="B106" s="81" t="s">
        <v>163</v>
      </c>
      <c r="C106" s="82" t="s">
        <v>350</v>
      </c>
      <c r="D106" s="82"/>
      <c r="E106" s="82">
        <f t="shared" si="14"/>
        <v>32</v>
      </c>
      <c r="F106" s="83" t="s">
        <v>351</v>
      </c>
      <c r="G106" s="84">
        <v>59</v>
      </c>
      <c r="H106" s="85">
        <f>INT((G106*Valores!$C$2*100)+0.5)/100</f>
        <v>451.3</v>
      </c>
      <c r="I106" s="86">
        <v>2013</v>
      </c>
      <c r="J106" s="87">
        <f>INT((I106*Valores!$C$2*100)+0.5)/100</f>
        <v>15397.64</v>
      </c>
      <c r="K106" s="100">
        <v>0</v>
      </c>
      <c r="L106" s="87">
        <f>INT((K106*Valores!$C$2*100)+0.5)/100</f>
        <v>0</v>
      </c>
      <c r="M106" s="101">
        <v>0</v>
      </c>
      <c r="N106" s="87">
        <f>INT((M106*Valores!$C$2*100)+0.5)/100</f>
        <v>0</v>
      </c>
      <c r="O106" s="87">
        <f t="shared" si="15"/>
        <v>3003.8909999999996</v>
      </c>
      <c r="P106" s="87">
        <f t="shared" si="16"/>
        <v>0</v>
      </c>
      <c r="Q106" s="89">
        <f>Valores!$C$20</f>
        <v>4706.17</v>
      </c>
      <c r="R106" s="89">
        <f>Valores!$D$4</f>
        <v>3421.44</v>
      </c>
      <c r="S106" s="87">
        <v>0</v>
      </c>
      <c r="T106" s="90">
        <f>Valores!$C$40</f>
        <v>1060.77</v>
      </c>
      <c r="U106" s="103">
        <f>Valores!$C$24</f>
        <v>3116.23</v>
      </c>
      <c r="V106" s="87">
        <f t="shared" si="13"/>
        <v>3116.23</v>
      </c>
      <c r="W106" s="87">
        <v>0</v>
      </c>
      <c r="X106" s="87">
        <v>0</v>
      </c>
      <c r="Y106" s="91">
        <v>0</v>
      </c>
      <c r="Z106" s="87">
        <f>Y106*Valores!$C$2</f>
        <v>0</v>
      </c>
      <c r="AA106" s="87">
        <v>0</v>
      </c>
      <c r="AB106" s="92">
        <f>Valores!$C$29</f>
        <v>184.78</v>
      </c>
      <c r="AC106" s="87">
        <f t="shared" si="19"/>
        <v>0</v>
      </c>
      <c r="AD106" s="87">
        <f>Valores!$C$30</f>
        <v>184.78</v>
      </c>
      <c r="AE106" s="91">
        <v>0</v>
      </c>
      <c r="AF106" s="87">
        <f>INT(((AE106*Valores!$C$2)*100)+0.5)/100</f>
        <v>0</v>
      </c>
      <c r="AG106" s="87">
        <f>Valores!$C$58</f>
        <v>375.86</v>
      </c>
      <c r="AH106" s="87">
        <f>Valores!$C$60</f>
        <v>107.38</v>
      </c>
      <c r="AI106" s="93">
        <f t="shared" si="20"/>
        <v>32010.240999999995</v>
      </c>
      <c r="AJ106" s="89">
        <f>Valores!$C$35</f>
        <v>876.57</v>
      </c>
      <c r="AK106" s="90">
        <f>Valores!$C$6</f>
        <v>0</v>
      </c>
      <c r="AL106" s="90">
        <f>Valores!$C$81</f>
        <v>1500</v>
      </c>
      <c r="AM106" s="74">
        <v>1400</v>
      </c>
      <c r="AN106" s="92">
        <f>Valores!$C$51</f>
        <v>157.49</v>
      </c>
      <c r="AO106" s="94">
        <f t="shared" si="21"/>
        <v>2376.57</v>
      </c>
      <c r="AP106" s="95">
        <f>AI106*-Valores!$C$65</f>
        <v>-4161.331329999999</v>
      </c>
      <c r="AQ106" s="95">
        <f>AI106*-Valores!$C$66</f>
        <v>-160.05120499999998</v>
      </c>
      <c r="AR106" s="89">
        <f>AI106*-Valores!$C$67</f>
        <v>-1440.4608449999996</v>
      </c>
      <c r="AS106" s="89">
        <f>AI106*-Valores!$C$68</f>
        <v>-864.2765069999998</v>
      </c>
      <c r="AT106" s="89">
        <f>AI106*-Valores!$C$69</f>
        <v>-96.03072299999998</v>
      </c>
      <c r="AU106" s="93">
        <f t="shared" si="17"/>
        <v>28624.96761999999</v>
      </c>
      <c r="AV106" s="93">
        <f t="shared" si="18"/>
        <v>29105.121234999988</v>
      </c>
      <c r="AW106" s="89">
        <f>AI106*Valores!$C$71</f>
        <v>5121.638559999999</v>
      </c>
      <c r="AX106" s="89">
        <f>AI106*Valores!$C$72</f>
        <v>1440.4608449999996</v>
      </c>
      <c r="AY106" s="89">
        <f>AI106*Valores!$C$73</f>
        <v>320.10240999999996</v>
      </c>
      <c r="AZ106" s="89">
        <f>AI106*Valores!$C$75</f>
        <v>1120.3584349999999</v>
      </c>
      <c r="BA106" s="89">
        <f>AI106*Valores!$C$76</f>
        <v>192.06144599999996</v>
      </c>
      <c r="BB106" s="89">
        <f t="shared" si="22"/>
        <v>1728.5530139999996</v>
      </c>
      <c r="BC106" s="81"/>
      <c r="BD106" s="81">
        <v>30</v>
      </c>
      <c r="BE106" s="82" t="s">
        <v>4</v>
      </c>
    </row>
    <row r="107" spans="1:57" s="24" customFormat="1" ht="11.25" customHeight="1">
      <c r="A107" s="47">
        <v>106</v>
      </c>
      <c r="B107" s="47"/>
      <c r="C107" s="24" t="s">
        <v>352</v>
      </c>
      <c r="E107" s="24">
        <f t="shared" si="14"/>
        <v>32</v>
      </c>
      <c r="F107" s="67" t="s">
        <v>353</v>
      </c>
      <c r="G107" s="68">
        <v>56</v>
      </c>
      <c r="H107" s="69">
        <f>INT((G107*Valores!$C$2*100)+0.5)/100</f>
        <v>428.35</v>
      </c>
      <c r="I107" s="70">
        <v>1720</v>
      </c>
      <c r="J107" s="71">
        <f>INT((I107*Valores!$C$2*100)+0.5)/100</f>
        <v>13156.45</v>
      </c>
      <c r="K107" s="98">
        <v>0</v>
      </c>
      <c r="L107" s="71">
        <f>INT((K107*Valores!$C$2*100)+0.5)/100</f>
        <v>0</v>
      </c>
      <c r="M107" s="96">
        <v>0</v>
      </c>
      <c r="N107" s="71">
        <f>INT((M107*Valores!$C$2*100)+0.5)/100</f>
        <v>0</v>
      </c>
      <c r="O107" s="71">
        <f t="shared" si="15"/>
        <v>2664.2700000000004</v>
      </c>
      <c r="P107" s="71">
        <f t="shared" si="16"/>
        <v>0</v>
      </c>
      <c r="Q107" s="73">
        <f>Valores!$C$20</f>
        <v>4706.17</v>
      </c>
      <c r="R107" s="73">
        <f>Valores!$D$4</f>
        <v>3421.44</v>
      </c>
      <c r="S107" s="71">
        <v>0</v>
      </c>
      <c r="T107" s="74">
        <f>Valores!$C$40</f>
        <v>1060.77</v>
      </c>
      <c r="U107" s="97">
        <f>Valores!$C$24</f>
        <v>3116.23</v>
      </c>
      <c r="V107" s="71">
        <f t="shared" si="13"/>
        <v>3116.23</v>
      </c>
      <c r="W107" s="71">
        <v>0</v>
      </c>
      <c r="X107" s="71">
        <v>0</v>
      </c>
      <c r="Y107" s="75">
        <v>0</v>
      </c>
      <c r="Z107" s="71">
        <f>Y107*Valores!$C$2</f>
        <v>0</v>
      </c>
      <c r="AA107" s="71">
        <v>0</v>
      </c>
      <c r="AB107" s="76">
        <f>Valores!$C$29</f>
        <v>184.78</v>
      </c>
      <c r="AC107" s="71">
        <f t="shared" si="19"/>
        <v>0</v>
      </c>
      <c r="AD107" s="71">
        <f>Valores!$C$30</f>
        <v>184.78</v>
      </c>
      <c r="AE107" s="75">
        <v>0</v>
      </c>
      <c r="AF107" s="71">
        <f>INT(((AE107*Valores!$C$2)*100)+0.5)/100</f>
        <v>0</v>
      </c>
      <c r="AG107" s="71">
        <f>Valores!$C$58</f>
        <v>375.86</v>
      </c>
      <c r="AH107" s="71">
        <f>Valores!$C$60</f>
        <v>107.38</v>
      </c>
      <c r="AI107" s="77">
        <f t="shared" si="20"/>
        <v>29406.48</v>
      </c>
      <c r="AJ107" s="73">
        <f>Valores!$C$35</f>
        <v>876.57</v>
      </c>
      <c r="AK107" s="74">
        <f>Valores!$C$6</f>
        <v>0</v>
      </c>
      <c r="AL107" s="74">
        <f>Valores!$C$81</f>
        <v>1500</v>
      </c>
      <c r="AM107" s="74">
        <v>1400</v>
      </c>
      <c r="AN107" s="76">
        <f>Valores!$C$51</f>
        <v>157.49</v>
      </c>
      <c r="AO107" s="78">
        <f t="shared" si="21"/>
        <v>2376.57</v>
      </c>
      <c r="AP107" s="79">
        <f>AI107*-Valores!$C$65</f>
        <v>-3822.8424</v>
      </c>
      <c r="AQ107" s="79">
        <f>AI107*-Valores!$C$66</f>
        <v>-147.0324</v>
      </c>
      <c r="AR107" s="73">
        <f>AI107*-Valores!$C$67</f>
        <v>-1323.2916</v>
      </c>
      <c r="AS107" s="73">
        <f>AI107*-Valores!$C$68</f>
        <v>-793.97496</v>
      </c>
      <c r="AT107" s="73">
        <f>AI107*-Valores!$C$69</f>
        <v>-88.21944</v>
      </c>
      <c r="AU107" s="77">
        <f t="shared" si="17"/>
        <v>26489.883599999997</v>
      </c>
      <c r="AV107" s="77">
        <f t="shared" si="18"/>
        <v>26930.980799999998</v>
      </c>
      <c r="AW107" s="73">
        <f>AI107*Valores!$C$71</f>
        <v>4705.0368</v>
      </c>
      <c r="AX107" s="73">
        <f>AI107*Valores!$C$72</f>
        <v>1323.2916</v>
      </c>
      <c r="AY107" s="73">
        <f>AI107*Valores!$C$73</f>
        <v>294.0648</v>
      </c>
      <c r="AZ107" s="73">
        <f>AI107*Valores!$C$75</f>
        <v>1029.2268000000001</v>
      </c>
      <c r="BA107" s="73">
        <f>AI107*Valores!$C$76</f>
        <v>176.43888</v>
      </c>
      <c r="BB107" s="73">
        <f t="shared" si="22"/>
        <v>1587.94992</v>
      </c>
      <c r="BC107" s="47"/>
      <c r="BD107" s="47">
        <v>30</v>
      </c>
      <c r="BE107" s="24" t="s">
        <v>4</v>
      </c>
    </row>
    <row r="108" spans="1:57" s="24" customFormat="1" ht="11.25" customHeight="1">
      <c r="A108" s="47">
        <v>107</v>
      </c>
      <c r="B108" s="47"/>
      <c r="C108" s="24" t="s">
        <v>354</v>
      </c>
      <c r="E108" s="24">
        <f t="shared" si="14"/>
        <v>30</v>
      </c>
      <c r="F108" s="67" t="s">
        <v>355</v>
      </c>
      <c r="G108" s="68">
        <v>45</v>
      </c>
      <c r="H108" s="69">
        <f>INT((G108*Valores!$C$2*100)+0.5)/100</f>
        <v>344.21</v>
      </c>
      <c r="I108" s="70">
        <v>1502</v>
      </c>
      <c r="J108" s="71">
        <f>INT((I108*Valores!$C$2*100)+0.5)/100</f>
        <v>11488.95</v>
      </c>
      <c r="K108" s="98">
        <v>0</v>
      </c>
      <c r="L108" s="71">
        <f>INT((K108*Valores!$C$2*100)+0.5)/100</f>
        <v>0</v>
      </c>
      <c r="M108" s="96">
        <v>0</v>
      </c>
      <c r="N108" s="71">
        <f>INT((M108*Valores!$C$2*100)+0.5)/100</f>
        <v>0</v>
      </c>
      <c r="O108" s="71">
        <f t="shared" si="15"/>
        <v>2401.524</v>
      </c>
      <c r="P108" s="71">
        <f t="shared" si="16"/>
        <v>0</v>
      </c>
      <c r="Q108" s="73">
        <f>Valores!$C$20</f>
        <v>4706.17</v>
      </c>
      <c r="R108" s="73">
        <f>Valores!$D$4</f>
        <v>3421.44</v>
      </c>
      <c r="S108" s="71">
        <v>0</v>
      </c>
      <c r="T108" s="74">
        <f>Valores!$C$40</f>
        <v>1060.77</v>
      </c>
      <c r="U108" s="97">
        <f>Valores!$C$24</f>
        <v>3116.23</v>
      </c>
      <c r="V108" s="71">
        <f t="shared" si="13"/>
        <v>3116.23</v>
      </c>
      <c r="W108" s="71">
        <v>0</v>
      </c>
      <c r="X108" s="71">
        <v>0</v>
      </c>
      <c r="Y108" s="75">
        <v>0</v>
      </c>
      <c r="Z108" s="71">
        <f>Y108*Valores!$C$2</f>
        <v>0</v>
      </c>
      <c r="AA108" s="71">
        <v>0</v>
      </c>
      <c r="AB108" s="76">
        <f>Valores!$C$29</f>
        <v>184.78</v>
      </c>
      <c r="AC108" s="71">
        <f t="shared" si="19"/>
        <v>0</v>
      </c>
      <c r="AD108" s="71">
        <f>Valores!$C$30</f>
        <v>184.78</v>
      </c>
      <c r="AE108" s="75">
        <v>0</v>
      </c>
      <c r="AF108" s="71">
        <f>INT(((AE108*Valores!$C$2)*100)+0.5)/100</f>
        <v>0</v>
      </c>
      <c r="AG108" s="71">
        <f>Valores!$C$58</f>
        <v>375.86</v>
      </c>
      <c r="AH108" s="71">
        <f>Valores!$C$60</f>
        <v>107.38</v>
      </c>
      <c r="AI108" s="77">
        <f t="shared" si="20"/>
        <v>27392.093999999997</v>
      </c>
      <c r="AJ108" s="73">
        <f>Valores!$C$35</f>
        <v>876.57</v>
      </c>
      <c r="AK108" s="74">
        <f>Valores!$C$6</f>
        <v>0</v>
      </c>
      <c r="AL108" s="74">
        <f>Valores!$C$81</f>
        <v>1500</v>
      </c>
      <c r="AM108" s="74">
        <v>1400</v>
      </c>
      <c r="AN108" s="76">
        <f>Valores!$C$51</f>
        <v>157.49</v>
      </c>
      <c r="AO108" s="78">
        <f t="shared" si="21"/>
        <v>2376.57</v>
      </c>
      <c r="AP108" s="79">
        <f>AI108*-Valores!$C$65</f>
        <v>-3560.9722199999997</v>
      </c>
      <c r="AQ108" s="79">
        <f>AI108*-Valores!$C$66</f>
        <v>-136.96047</v>
      </c>
      <c r="AR108" s="73">
        <f>AI108*-Valores!$C$67</f>
        <v>-1232.6442299999999</v>
      </c>
      <c r="AS108" s="73">
        <f>AI108*-Valores!$C$68</f>
        <v>-739.5865379999999</v>
      </c>
      <c r="AT108" s="73">
        <f>AI108*-Valores!$C$69</f>
        <v>-82.176282</v>
      </c>
      <c r="AU108" s="77">
        <f t="shared" si="17"/>
        <v>24838.08708</v>
      </c>
      <c r="AV108" s="77">
        <f t="shared" si="18"/>
        <v>25248.96849</v>
      </c>
      <c r="AW108" s="73">
        <f>AI108*Valores!$C$71</f>
        <v>4382.73504</v>
      </c>
      <c r="AX108" s="73">
        <f>AI108*Valores!$C$72</f>
        <v>1232.6442299999999</v>
      </c>
      <c r="AY108" s="73">
        <f>AI108*Valores!$C$73</f>
        <v>273.92094</v>
      </c>
      <c r="AZ108" s="73">
        <f>AI108*Valores!$C$75</f>
        <v>958.72329</v>
      </c>
      <c r="BA108" s="73">
        <f>AI108*Valores!$C$76</f>
        <v>164.352564</v>
      </c>
      <c r="BB108" s="73">
        <f t="shared" si="22"/>
        <v>1479.173076</v>
      </c>
      <c r="BC108" s="47"/>
      <c r="BD108" s="47">
        <v>30</v>
      </c>
      <c r="BE108" s="24" t="s">
        <v>4</v>
      </c>
    </row>
    <row r="109" spans="1:57" s="24" customFormat="1" ht="11.25" customHeight="1">
      <c r="A109" s="47">
        <v>108</v>
      </c>
      <c r="B109" s="47"/>
      <c r="C109" s="24" t="s">
        <v>356</v>
      </c>
      <c r="E109" s="24">
        <f t="shared" si="14"/>
        <v>30</v>
      </c>
      <c r="F109" s="67" t="s">
        <v>357</v>
      </c>
      <c r="G109" s="68">
        <v>45</v>
      </c>
      <c r="H109" s="69">
        <f>INT((G109*Valores!$C$2*100)+0.5)/100</f>
        <v>344.21</v>
      </c>
      <c r="I109" s="70">
        <v>1139</v>
      </c>
      <c r="J109" s="71">
        <f>INT((I109*Valores!$C$2*100)+0.5)/100</f>
        <v>8712.32</v>
      </c>
      <c r="K109" s="98">
        <v>0</v>
      </c>
      <c r="L109" s="71">
        <f>INT((K109*Valores!$C$2*100)+0.5)/100</f>
        <v>0</v>
      </c>
      <c r="M109" s="96">
        <v>0</v>
      </c>
      <c r="N109" s="71">
        <f>INT((M109*Valores!$C$2*100)+0.5)/100</f>
        <v>0</v>
      </c>
      <c r="O109" s="71">
        <f t="shared" si="15"/>
        <v>1985.0294999999996</v>
      </c>
      <c r="P109" s="71">
        <f t="shared" si="16"/>
        <v>0</v>
      </c>
      <c r="Q109" s="73">
        <f>Valores!$C$20</f>
        <v>4706.17</v>
      </c>
      <c r="R109" s="73">
        <f>Valores!$D$4</f>
        <v>3421.44</v>
      </c>
      <c r="S109" s="71">
        <v>0</v>
      </c>
      <c r="T109" s="74">
        <f>Valores!$C$40</f>
        <v>1060.77</v>
      </c>
      <c r="U109" s="97">
        <f>Valores!$C$24</f>
        <v>3116.23</v>
      </c>
      <c r="V109" s="71">
        <f t="shared" si="13"/>
        <v>3116.23</v>
      </c>
      <c r="W109" s="71">
        <v>0</v>
      </c>
      <c r="X109" s="71">
        <v>0</v>
      </c>
      <c r="Y109" s="75">
        <v>0</v>
      </c>
      <c r="Z109" s="71">
        <f>Y109*Valores!$C$2</f>
        <v>0</v>
      </c>
      <c r="AA109" s="71">
        <v>0</v>
      </c>
      <c r="AB109" s="76">
        <f>Valores!$C$29</f>
        <v>184.78</v>
      </c>
      <c r="AC109" s="71">
        <f t="shared" si="19"/>
        <v>0</v>
      </c>
      <c r="AD109" s="71">
        <f>Valores!$C$30</f>
        <v>184.78</v>
      </c>
      <c r="AE109" s="75">
        <v>0</v>
      </c>
      <c r="AF109" s="71">
        <f>INT(((AE109*Valores!$C$2)*100)+0.5)/100</f>
        <v>0</v>
      </c>
      <c r="AG109" s="71">
        <f>Valores!$C$58</f>
        <v>375.86</v>
      </c>
      <c r="AH109" s="71">
        <f>Valores!$C$60</f>
        <v>107.38</v>
      </c>
      <c r="AI109" s="77">
        <f t="shared" si="20"/>
        <v>24198.9695</v>
      </c>
      <c r="AJ109" s="73">
        <f>Valores!$C$35</f>
        <v>876.57</v>
      </c>
      <c r="AK109" s="74">
        <f>Valores!$C$6</f>
        <v>0</v>
      </c>
      <c r="AL109" s="74">
        <f>Valores!$C$81</f>
        <v>1500</v>
      </c>
      <c r="AM109" s="74">
        <v>1400</v>
      </c>
      <c r="AN109" s="76">
        <f>Valores!$C$51</f>
        <v>157.49</v>
      </c>
      <c r="AO109" s="78">
        <f t="shared" si="21"/>
        <v>2376.57</v>
      </c>
      <c r="AP109" s="79">
        <f>AI109*-Valores!$C$65</f>
        <v>-3145.866035</v>
      </c>
      <c r="AQ109" s="79">
        <f>AI109*-Valores!$C$66</f>
        <v>-120.99484749999999</v>
      </c>
      <c r="AR109" s="73">
        <f>AI109*-Valores!$C$67</f>
        <v>-1088.9536275</v>
      </c>
      <c r="AS109" s="73">
        <f>AI109*-Valores!$C$68</f>
        <v>-653.3721765</v>
      </c>
      <c r="AT109" s="73">
        <f>AI109*-Valores!$C$69</f>
        <v>-72.5969085</v>
      </c>
      <c r="AU109" s="77">
        <f t="shared" si="17"/>
        <v>22219.724990000002</v>
      </c>
      <c r="AV109" s="77">
        <f t="shared" si="18"/>
        <v>22582.7095325</v>
      </c>
      <c r="AW109" s="73">
        <f>AI109*Valores!$C$71</f>
        <v>3871.8351199999997</v>
      </c>
      <c r="AX109" s="73">
        <f>AI109*Valores!$C$72</f>
        <v>1088.9536275</v>
      </c>
      <c r="AY109" s="73">
        <f>AI109*Valores!$C$73</f>
        <v>241.98969499999998</v>
      </c>
      <c r="AZ109" s="73">
        <f>AI109*Valores!$C$75</f>
        <v>846.9639325</v>
      </c>
      <c r="BA109" s="73">
        <f>AI109*Valores!$C$76</f>
        <v>145.193817</v>
      </c>
      <c r="BB109" s="73">
        <f t="shared" si="22"/>
        <v>1306.744353</v>
      </c>
      <c r="BC109" s="47"/>
      <c r="BD109" s="81">
        <v>30</v>
      </c>
      <c r="BE109" s="24" t="s">
        <v>4</v>
      </c>
    </row>
    <row r="110" spans="1:57" s="24" customFormat="1" ht="11.25" customHeight="1">
      <c r="A110" s="47">
        <v>109</v>
      </c>
      <c r="B110" s="47"/>
      <c r="C110" s="24" t="s">
        <v>358</v>
      </c>
      <c r="E110" s="24">
        <f t="shared" si="14"/>
        <v>30</v>
      </c>
      <c r="F110" s="67" t="s">
        <v>359</v>
      </c>
      <c r="G110" s="68">
        <v>46</v>
      </c>
      <c r="H110" s="69">
        <f>INT((G110*Valores!$C$2*100)+0.5)/100</f>
        <v>351.86</v>
      </c>
      <c r="I110" s="70">
        <v>1102</v>
      </c>
      <c r="J110" s="71">
        <f>INT((I110*Valores!$C$2*100)+0.5)/100</f>
        <v>8429.31</v>
      </c>
      <c r="K110" s="98">
        <v>0</v>
      </c>
      <c r="L110" s="71">
        <f>INT((K110*Valores!$C$2*100)+0.5)/100</f>
        <v>0</v>
      </c>
      <c r="M110" s="96">
        <v>0</v>
      </c>
      <c r="N110" s="71">
        <f>INT((M110*Valores!$C$2*100)+0.5)/100</f>
        <v>0</v>
      </c>
      <c r="O110" s="71">
        <f t="shared" si="15"/>
        <v>1943.7255</v>
      </c>
      <c r="P110" s="71">
        <f t="shared" si="16"/>
        <v>0</v>
      </c>
      <c r="Q110" s="73">
        <f>Valores!$C$20</f>
        <v>4706.17</v>
      </c>
      <c r="R110" s="73">
        <f>Valores!$D$4</f>
        <v>3421.44</v>
      </c>
      <c r="S110" s="71">
        <v>0</v>
      </c>
      <c r="T110" s="74">
        <f>Valores!$C$40</f>
        <v>1060.77</v>
      </c>
      <c r="U110" s="97">
        <f>Valores!$C$24</f>
        <v>3116.23</v>
      </c>
      <c r="V110" s="71">
        <f aca="true" t="shared" si="23" ref="V110:V173">U110*(1+$J$2)</f>
        <v>3116.23</v>
      </c>
      <c r="W110" s="71">
        <v>0</v>
      </c>
      <c r="X110" s="71">
        <v>0</v>
      </c>
      <c r="Y110" s="75">
        <v>0</v>
      </c>
      <c r="Z110" s="71">
        <f>Y110*Valores!$C$2</f>
        <v>0</v>
      </c>
      <c r="AA110" s="71">
        <v>0</v>
      </c>
      <c r="AB110" s="76">
        <f>Valores!$C$29</f>
        <v>184.78</v>
      </c>
      <c r="AC110" s="71">
        <f t="shared" si="19"/>
        <v>0</v>
      </c>
      <c r="AD110" s="71">
        <f>Valores!$C$30</f>
        <v>184.78</v>
      </c>
      <c r="AE110" s="75">
        <v>0</v>
      </c>
      <c r="AF110" s="71">
        <f>INT(((AE110*Valores!$C$2)*100)+0.5)/100</f>
        <v>0</v>
      </c>
      <c r="AG110" s="71">
        <f>Valores!$C$58</f>
        <v>375.86</v>
      </c>
      <c r="AH110" s="71">
        <f>Valores!$C$60</f>
        <v>107.38</v>
      </c>
      <c r="AI110" s="77">
        <f t="shared" si="20"/>
        <v>23882.3055</v>
      </c>
      <c r="AJ110" s="73">
        <f>Valores!$C$35</f>
        <v>876.57</v>
      </c>
      <c r="AK110" s="74">
        <f>Valores!$C$6</f>
        <v>0</v>
      </c>
      <c r="AL110" s="74">
        <f>Valores!$C$81</f>
        <v>1500</v>
      </c>
      <c r="AM110" s="74">
        <v>1400</v>
      </c>
      <c r="AN110" s="76">
        <f>Valores!$C$51</f>
        <v>157.49</v>
      </c>
      <c r="AO110" s="78">
        <f t="shared" si="21"/>
        <v>2376.57</v>
      </c>
      <c r="AP110" s="79">
        <f>AI110*-Valores!$C$65</f>
        <v>-3104.6997149999997</v>
      </c>
      <c r="AQ110" s="79">
        <f>AI110*-Valores!$C$66</f>
        <v>-119.41152749999999</v>
      </c>
      <c r="AR110" s="73">
        <f>AI110*-Valores!$C$67</f>
        <v>-1074.7037475</v>
      </c>
      <c r="AS110" s="73">
        <f>AI110*-Valores!$C$68</f>
        <v>-644.8222485</v>
      </c>
      <c r="AT110" s="73">
        <f>AI110*-Valores!$C$69</f>
        <v>-71.6469165</v>
      </c>
      <c r="AU110" s="77">
        <f t="shared" si="17"/>
        <v>21960.06051</v>
      </c>
      <c r="AV110" s="77">
        <f t="shared" si="18"/>
        <v>22318.295092499997</v>
      </c>
      <c r="AW110" s="73">
        <f>AI110*Valores!$C$71</f>
        <v>3821.1688799999997</v>
      </c>
      <c r="AX110" s="73">
        <f>AI110*Valores!$C$72</f>
        <v>1074.7037475</v>
      </c>
      <c r="AY110" s="73">
        <f>AI110*Valores!$C$73</f>
        <v>238.82305499999998</v>
      </c>
      <c r="AZ110" s="73">
        <f>AI110*Valores!$C$75</f>
        <v>835.8806925</v>
      </c>
      <c r="BA110" s="73">
        <f>AI110*Valores!$C$76</f>
        <v>143.293833</v>
      </c>
      <c r="BB110" s="73">
        <f t="shared" si="22"/>
        <v>1289.644497</v>
      </c>
      <c r="BC110" s="47"/>
      <c r="BD110" s="47">
        <v>30</v>
      </c>
      <c r="BE110" s="24" t="s">
        <v>4</v>
      </c>
    </row>
    <row r="111" spans="1:57" s="24" customFormat="1" ht="11.25" customHeight="1">
      <c r="A111" s="81">
        <v>110</v>
      </c>
      <c r="B111" s="81" t="s">
        <v>163</v>
      </c>
      <c r="C111" s="82" t="s">
        <v>360</v>
      </c>
      <c r="D111" s="82"/>
      <c r="E111" s="82">
        <f t="shared" si="14"/>
        <v>32</v>
      </c>
      <c r="F111" s="83" t="s">
        <v>361</v>
      </c>
      <c r="G111" s="84">
        <v>66</v>
      </c>
      <c r="H111" s="85">
        <f>INT((G111*Valores!$C$2*100)+0.5)/100</f>
        <v>504.84</v>
      </c>
      <c r="I111" s="86">
        <v>1911</v>
      </c>
      <c r="J111" s="87">
        <f>INT((I111*Valores!$C$2*100)+0.5)/100</f>
        <v>14617.43</v>
      </c>
      <c r="K111" s="100">
        <v>0</v>
      </c>
      <c r="L111" s="87">
        <f>INT((K111*Valores!$C$2*100)+0.5)/100</f>
        <v>0</v>
      </c>
      <c r="M111" s="101">
        <v>0</v>
      </c>
      <c r="N111" s="87">
        <f>INT((M111*Valores!$C$2*100)+0.5)/100</f>
        <v>0</v>
      </c>
      <c r="O111" s="87">
        <f t="shared" si="15"/>
        <v>2894.8905</v>
      </c>
      <c r="P111" s="87">
        <f t="shared" si="16"/>
        <v>0</v>
      </c>
      <c r="Q111" s="89">
        <f>Valores!$C$20</f>
        <v>4706.17</v>
      </c>
      <c r="R111" s="89">
        <f>Valores!$D$4</f>
        <v>3421.44</v>
      </c>
      <c r="S111" s="103">
        <f>Valores!$C$26</f>
        <v>3568.39</v>
      </c>
      <c r="T111" s="104">
        <f>Valores!$C$40</f>
        <v>1060.77</v>
      </c>
      <c r="U111" s="103">
        <f>Valores!$C$24</f>
        <v>3116.23</v>
      </c>
      <c r="V111" s="87">
        <f t="shared" si="23"/>
        <v>3116.23</v>
      </c>
      <c r="W111" s="87">
        <v>0</v>
      </c>
      <c r="X111" s="87">
        <v>0</v>
      </c>
      <c r="Y111" s="91">
        <v>0</v>
      </c>
      <c r="Z111" s="87">
        <f>Y111*Valores!$C$2</f>
        <v>0</v>
      </c>
      <c r="AA111" s="87">
        <v>0</v>
      </c>
      <c r="AB111" s="92">
        <f>Valores!$C$29</f>
        <v>184.78</v>
      </c>
      <c r="AC111" s="87">
        <f t="shared" si="19"/>
        <v>0</v>
      </c>
      <c r="AD111" s="87">
        <f>Valores!$C$30</f>
        <v>184.78</v>
      </c>
      <c r="AE111" s="91">
        <v>94</v>
      </c>
      <c r="AF111" s="87">
        <f>INT(((AE111*Valores!$C$2)*100)+0.5)/100</f>
        <v>719.02</v>
      </c>
      <c r="AG111" s="87">
        <f>Valores!$C$58</f>
        <v>375.86</v>
      </c>
      <c r="AH111" s="87">
        <f>Valores!$C$60</f>
        <v>107.38</v>
      </c>
      <c r="AI111" s="93">
        <f t="shared" si="20"/>
        <v>35461.98049999999</v>
      </c>
      <c r="AJ111" s="89">
        <f>Valores!$C$35</f>
        <v>876.57</v>
      </c>
      <c r="AK111" s="90">
        <f>Valores!$C$6</f>
        <v>0</v>
      </c>
      <c r="AL111" s="90">
        <f>Valores!$C$81</f>
        <v>1500</v>
      </c>
      <c r="AM111" s="74">
        <v>1400</v>
      </c>
      <c r="AN111" s="92">
        <f>Valores!$C$51</f>
        <v>157.49</v>
      </c>
      <c r="AO111" s="94">
        <f t="shared" si="21"/>
        <v>2376.57</v>
      </c>
      <c r="AP111" s="95">
        <f>AI111*-Valores!$C$65</f>
        <v>-4610.057464999999</v>
      </c>
      <c r="AQ111" s="95">
        <f>AI111*-Valores!$C$66</f>
        <v>-177.30990249999996</v>
      </c>
      <c r="AR111" s="89">
        <f>AI111*-Valores!$C$67</f>
        <v>-1595.7891224999996</v>
      </c>
      <c r="AS111" s="89">
        <f>AI111*-Valores!$C$68</f>
        <v>-957.4734734999997</v>
      </c>
      <c r="AT111" s="89">
        <f>AI111*-Valores!$C$69</f>
        <v>-106.38594149999997</v>
      </c>
      <c r="AU111" s="93">
        <f t="shared" si="17"/>
        <v>31455.394009999996</v>
      </c>
      <c r="AV111" s="93">
        <f t="shared" si="18"/>
        <v>31987.323717499992</v>
      </c>
      <c r="AW111" s="89">
        <f>AI111*Valores!$C$71</f>
        <v>5673.916879999999</v>
      </c>
      <c r="AX111" s="89">
        <f>AI111*Valores!$C$72</f>
        <v>1595.7891224999996</v>
      </c>
      <c r="AY111" s="89">
        <f>AI111*Valores!$C$73</f>
        <v>354.61980499999993</v>
      </c>
      <c r="AZ111" s="89">
        <f>AI111*Valores!$C$75</f>
        <v>1241.1693174999998</v>
      </c>
      <c r="BA111" s="89">
        <f>AI111*Valores!$C$76</f>
        <v>212.77188299999995</v>
      </c>
      <c r="BB111" s="89">
        <f t="shared" si="22"/>
        <v>1914.9469469999997</v>
      </c>
      <c r="BC111" s="81"/>
      <c r="BD111" s="81">
        <v>25</v>
      </c>
      <c r="BE111" s="82" t="s">
        <v>4</v>
      </c>
    </row>
    <row r="112" spans="1:57" s="24" customFormat="1" ht="11.25" customHeight="1">
      <c r="A112" s="47">
        <v>111</v>
      </c>
      <c r="B112" s="47"/>
      <c r="C112" s="24" t="s">
        <v>362</v>
      </c>
      <c r="E112" s="24">
        <f t="shared" si="14"/>
        <v>30</v>
      </c>
      <c r="F112" s="67" t="s">
        <v>363</v>
      </c>
      <c r="G112" s="68">
        <v>61</v>
      </c>
      <c r="H112" s="69">
        <f>INT((G112*Valores!$C$2*100)+0.5)/100</f>
        <v>466.6</v>
      </c>
      <c r="I112" s="70">
        <v>1545</v>
      </c>
      <c r="J112" s="71">
        <f>INT((I112*Valores!$C$2*100)+0.5)/100</f>
        <v>11817.86</v>
      </c>
      <c r="K112" s="98">
        <v>0</v>
      </c>
      <c r="L112" s="71">
        <f>INT((K112*Valores!$C$2*100)+0.5)/100</f>
        <v>0</v>
      </c>
      <c r="M112" s="96">
        <v>0</v>
      </c>
      <c r="N112" s="71">
        <f>INT((M112*Valores!$C$2*100)+0.5)/100</f>
        <v>0</v>
      </c>
      <c r="O112" s="71">
        <f t="shared" si="15"/>
        <v>2469.2189999999996</v>
      </c>
      <c r="P112" s="71">
        <f t="shared" si="16"/>
        <v>0</v>
      </c>
      <c r="Q112" s="73">
        <f>Valores!$C$20</f>
        <v>4706.17</v>
      </c>
      <c r="R112" s="73">
        <f>Valores!$D$4</f>
        <v>3421.44</v>
      </c>
      <c r="S112" s="71">
        <f>Valores!$C$26</f>
        <v>3568.39</v>
      </c>
      <c r="T112" s="74">
        <f>Valores!$C$40</f>
        <v>1060.77</v>
      </c>
      <c r="U112" s="97">
        <f>Valores!$C$24</f>
        <v>3116.23</v>
      </c>
      <c r="V112" s="71">
        <f t="shared" si="23"/>
        <v>3116.23</v>
      </c>
      <c r="W112" s="71">
        <v>0</v>
      </c>
      <c r="X112" s="71">
        <v>0</v>
      </c>
      <c r="Y112" s="75">
        <v>0</v>
      </c>
      <c r="Z112" s="71">
        <f>Y112*Valores!$C$2</f>
        <v>0</v>
      </c>
      <c r="AA112" s="71">
        <v>0</v>
      </c>
      <c r="AB112" s="76">
        <f>Valores!$C$29</f>
        <v>184.78</v>
      </c>
      <c r="AC112" s="71">
        <f t="shared" si="19"/>
        <v>0</v>
      </c>
      <c r="AD112" s="71">
        <f>Valores!$C$30</f>
        <v>184.78</v>
      </c>
      <c r="AE112" s="75">
        <v>94</v>
      </c>
      <c r="AF112" s="71">
        <f>INT(((AE112*Valores!$C$2)*100)+0.5)/100</f>
        <v>719.02</v>
      </c>
      <c r="AG112" s="71">
        <f>Valores!$C$58</f>
        <v>375.86</v>
      </c>
      <c r="AH112" s="71">
        <f>Valores!$C$60</f>
        <v>107.38</v>
      </c>
      <c r="AI112" s="77">
        <f t="shared" si="20"/>
        <v>32198.499</v>
      </c>
      <c r="AJ112" s="73">
        <f>Valores!$C$35</f>
        <v>876.57</v>
      </c>
      <c r="AK112" s="74">
        <f>Valores!$C$6</f>
        <v>0</v>
      </c>
      <c r="AL112" s="74">
        <f>Valores!$C$81</f>
        <v>1500</v>
      </c>
      <c r="AM112" s="74">
        <v>1400</v>
      </c>
      <c r="AN112" s="76">
        <f>Valores!$C$51</f>
        <v>157.49</v>
      </c>
      <c r="AO112" s="78">
        <f t="shared" si="21"/>
        <v>2376.57</v>
      </c>
      <c r="AP112" s="79">
        <f>AI112*-Valores!$C$65</f>
        <v>-4185.80487</v>
      </c>
      <c r="AQ112" s="79">
        <f>AI112*-Valores!$C$66</f>
        <v>-160.992495</v>
      </c>
      <c r="AR112" s="73">
        <f>AI112*-Valores!$C$67</f>
        <v>-1448.932455</v>
      </c>
      <c r="AS112" s="73">
        <f>AI112*-Valores!$C$68</f>
        <v>-869.359473</v>
      </c>
      <c r="AT112" s="73">
        <f>AI112*-Valores!$C$69</f>
        <v>-96.595497</v>
      </c>
      <c r="AU112" s="77">
        <f t="shared" si="17"/>
        <v>28779.339180000003</v>
      </c>
      <c r="AV112" s="77">
        <f t="shared" si="18"/>
        <v>29262.31666500001</v>
      </c>
      <c r="AW112" s="73">
        <f>AI112*Valores!$C$71</f>
        <v>5151.75984</v>
      </c>
      <c r="AX112" s="73">
        <f>AI112*Valores!$C$72</f>
        <v>1448.932455</v>
      </c>
      <c r="AY112" s="73">
        <f>AI112*Valores!$C$73</f>
        <v>321.98499</v>
      </c>
      <c r="AZ112" s="73">
        <f>AI112*Valores!$C$75</f>
        <v>1126.9474650000002</v>
      </c>
      <c r="BA112" s="73">
        <f>AI112*Valores!$C$76</f>
        <v>193.190994</v>
      </c>
      <c r="BB112" s="73">
        <f t="shared" si="22"/>
        <v>1738.718946</v>
      </c>
      <c r="BC112" s="47"/>
      <c r="BD112" s="47">
        <v>25</v>
      </c>
      <c r="BE112" s="24" t="s">
        <v>8</v>
      </c>
    </row>
    <row r="113" spans="1:57" s="24" customFormat="1" ht="11.25" customHeight="1">
      <c r="A113" s="47">
        <v>112</v>
      </c>
      <c r="B113" s="47"/>
      <c r="C113" s="24" t="s">
        <v>364</v>
      </c>
      <c r="E113" s="24">
        <f t="shared" si="14"/>
        <v>30</v>
      </c>
      <c r="F113" s="67" t="s">
        <v>365</v>
      </c>
      <c r="G113" s="68">
        <f>75+143</f>
        <v>218</v>
      </c>
      <c r="H113" s="69">
        <f>INT((G113*Valores!$C$2*100)+0.5)/100</f>
        <v>1667.5</v>
      </c>
      <c r="I113" s="70">
        <v>2100</v>
      </c>
      <c r="J113" s="71">
        <f>INT((I113*Valores!$C$2*100)+0.5)/100</f>
        <v>16063.11</v>
      </c>
      <c r="K113" s="98">
        <v>0</v>
      </c>
      <c r="L113" s="71">
        <f>INT((K113*Valores!$C$2*100)+0.5)/100</f>
        <v>0</v>
      </c>
      <c r="M113" s="96">
        <v>0</v>
      </c>
      <c r="N113" s="71">
        <f>INT((M113*Valores!$C$2*100)+0.5)/100</f>
        <v>0</v>
      </c>
      <c r="O113" s="71">
        <f t="shared" si="15"/>
        <v>3286.1415</v>
      </c>
      <c r="P113" s="71">
        <f t="shared" si="16"/>
        <v>0</v>
      </c>
      <c r="Q113" s="73">
        <f>Valores!$C$20</f>
        <v>4706.17</v>
      </c>
      <c r="R113" s="73">
        <f>Valores!$D$4</f>
        <v>3421.44</v>
      </c>
      <c r="S113" s="97">
        <f>Valores!$C$26</f>
        <v>3568.39</v>
      </c>
      <c r="T113" s="102">
        <f>Valores!$C$40</f>
        <v>1060.77</v>
      </c>
      <c r="U113" s="97">
        <f>Valores!$C$24</f>
        <v>3116.23</v>
      </c>
      <c r="V113" s="71">
        <f t="shared" si="23"/>
        <v>3116.23</v>
      </c>
      <c r="W113" s="71">
        <v>0</v>
      </c>
      <c r="X113" s="71">
        <v>0</v>
      </c>
      <c r="Y113" s="75">
        <v>0</v>
      </c>
      <c r="Z113" s="71">
        <f>Y113*Valores!$C$2</f>
        <v>0</v>
      </c>
      <c r="AA113" s="71">
        <v>0</v>
      </c>
      <c r="AB113" s="76">
        <f>Valores!$C$29</f>
        <v>184.78</v>
      </c>
      <c r="AC113" s="71">
        <f t="shared" si="19"/>
        <v>0</v>
      </c>
      <c r="AD113" s="71">
        <f>Valores!$C$30</f>
        <v>184.78</v>
      </c>
      <c r="AE113" s="75">
        <v>0</v>
      </c>
      <c r="AF113" s="71">
        <f>INT(((AE113*Valores!$C$2)*100)+0.5)/100</f>
        <v>0</v>
      </c>
      <c r="AG113" s="71">
        <f>Valores!$C$58</f>
        <v>375.86</v>
      </c>
      <c r="AH113" s="71">
        <f>Valores!$C$60</f>
        <v>107.38</v>
      </c>
      <c r="AI113" s="77">
        <f t="shared" si="20"/>
        <v>37742.551499999994</v>
      </c>
      <c r="AJ113" s="73">
        <f>Valores!$C$35</f>
        <v>876.57</v>
      </c>
      <c r="AK113" s="74">
        <f>Valores!$C$6</f>
        <v>0</v>
      </c>
      <c r="AL113" s="74">
        <f>Valores!$C$81</f>
        <v>1500</v>
      </c>
      <c r="AM113" s="74">
        <v>1400</v>
      </c>
      <c r="AN113" s="76">
        <f>Valores!$C$51</f>
        <v>157.49</v>
      </c>
      <c r="AO113" s="78">
        <f t="shared" si="21"/>
        <v>2376.57</v>
      </c>
      <c r="AP113" s="79">
        <f>AI113*-Valores!$C$65</f>
        <v>-4906.531695</v>
      </c>
      <c r="AQ113" s="79">
        <f>AI113*-Valores!$C$66</f>
        <v>-188.71275749999998</v>
      </c>
      <c r="AR113" s="73">
        <f>AI113*-Valores!$C$67</f>
        <v>-1698.4148174999996</v>
      </c>
      <c r="AS113" s="73">
        <f>AI113*-Valores!$C$68</f>
        <v>-1019.0488904999999</v>
      </c>
      <c r="AT113" s="73">
        <f>AI113*-Valores!$C$69</f>
        <v>-113.22765449999999</v>
      </c>
      <c r="AU113" s="77">
        <f t="shared" si="17"/>
        <v>33325.46223</v>
      </c>
      <c r="AV113" s="77">
        <f t="shared" si="18"/>
        <v>33891.6005025</v>
      </c>
      <c r="AW113" s="73">
        <f>AI113*Valores!$C$71</f>
        <v>6038.808239999999</v>
      </c>
      <c r="AX113" s="73">
        <f>AI113*Valores!$C$72</f>
        <v>1698.4148174999996</v>
      </c>
      <c r="AY113" s="73">
        <f>AI113*Valores!$C$73</f>
        <v>377.42551499999996</v>
      </c>
      <c r="AZ113" s="73">
        <f>AI113*Valores!$C$75</f>
        <v>1320.9893025</v>
      </c>
      <c r="BA113" s="73">
        <f>AI113*Valores!$C$76</f>
        <v>226.45530899999997</v>
      </c>
      <c r="BB113" s="73">
        <f t="shared" si="22"/>
        <v>2038.097781</v>
      </c>
      <c r="BC113" s="47"/>
      <c r="BD113" s="47">
        <v>30</v>
      </c>
      <c r="BE113" s="24" t="s">
        <v>4</v>
      </c>
    </row>
    <row r="114" spans="1:57" s="24" customFormat="1" ht="11.25" customHeight="1">
      <c r="A114" s="47">
        <v>113</v>
      </c>
      <c r="B114" s="47"/>
      <c r="C114" s="24" t="s">
        <v>366</v>
      </c>
      <c r="E114" s="24">
        <f t="shared" si="14"/>
        <v>30</v>
      </c>
      <c r="F114" s="67" t="s">
        <v>367</v>
      </c>
      <c r="G114" s="68">
        <f>77+143</f>
        <v>220</v>
      </c>
      <c r="H114" s="69">
        <f>INT((G114*Valores!$C$2*100)+0.5)/100</f>
        <v>1682.8</v>
      </c>
      <c r="I114" s="70">
        <v>1995</v>
      </c>
      <c r="J114" s="71">
        <f>INT((I114*Valores!$C$2*100)+0.5)/100</f>
        <v>15259.95</v>
      </c>
      <c r="K114" s="98">
        <v>0</v>
      </c>
      <c r="L114" s="71">
        <f>INT((K114*Valores!$C$2*100)+0.5)/100</f>
        <v>0</v>
      </c>
      <c r="M114" s="96">
        <v>0</v>
      </c>
      <c r="N114" s="71">
        <f>INT((M114*Valores!$C$2*100)+0.5)/100</f>
        <v>0</v>
      </c>
      <c r="O114" s="71">
        <f t="shared" si="15"/>
        <v>3167.9625</v>
      </c>
      <c r="P114" s="71">
        <f t="shared" si="16"/>
        <v>0</v>
      </c>
      <c r="Q114" s="73">
        <f>Valores!$C$20</f>
        <v>4706.17</v>
      </c>
      <c r="R114" s="73">
        <f>Valores!$D$4</f>
        <v>3421.44</v>
      </c>
      <c r="S114" s="97">
        <f>Valores!$C$26</f>
        <v>3568.39</v>
      </c>
      <c r="T114" s="102">
        <f>Valores!$C$40</f>
        <v>1060.77</v>
      </c>
      <c r="U114" s="97">
        <f>Valores!$C$24</f>
        <v>3116.23</v>
      </c>
      <c r="V114" s="71">
        <f t="shared" si="23"/>
        <v>3116.23</v>
      </c>
      <c r="W114" s="71">
        <v>0</v>
      </c>
      <c r="X114" s="71">
        <v>0</v>
      </c>
      <c r="Y114" s="75">
        <v>0</v>
      </c>
      <c r="Z114" s="71">
        <f>Y114*Valores!$C$2</f>
        <v>0</v>
      </c>
      <c r="AA114" s="71">
        <v>0</v>
      </c>
      <c r="AB114" s="76">
        <f>Valores!$C$29</f>
        <v>184.78</v>
      </c>
      <c r="AC114" s="71">
        <f t="shared" si="19"/>
        <v>0</v>
      </c>
      <c r="AD114" s="71">
        <f>Valores!$C$30</f>
        <v>184.78</v>
      </c>
      <c r="AE114" s="75">
        <v>0</v>
      </c>
      <c r="AF114" s="71">
        <f>INT(((AE114*Valores!$C$2)*100)+0.5)/100</f>
        <v>0</v>
      </c>
      <c r="AG114" s="71">
        <f>Valores!$C$58</f>
        <v>375.86</v>
      </c>
      <c r="AH114" s="71">
        <f>Valores!$C$60</f>
        <v>107.38</v>
      </c>
      <c r="AI114" s="77">
        <f t="shared" si="20"/>
        <v>36836.51249999999</v>
      </c>
      <c r="AJ114" s="73">
        <f>Valores!$C$35</f>
        <v>876.57</v>
      </c>
      <c r="AK114" s="74">
        <f>Valores!$C$6</f>
        <v>0</v>
      </c>
      <c r="AL114" s="74">
        <f>Valores!$C$81</f>
        <v>1500</v>
      </c>
      <c r="AM114" s="74">
        <v>1400</v>
      </c>
      <c r="AN114" s="76">
        <f>Valores!$C$51</f>
        <v>157.49</v>
      </c>
      <c r="AO114" s="78">
        <f t="shared" si="21"/>
        <v>2376.57</v>
      </c>
      <c r="AP114" s="79">
        <f>AI114*-Valores!$C$65</f>
        <v>-4788.746624999999</v>
      </c>
      <c r="AQ114" s="79">
        <f>AI114*-Valores!$C$66</f>
        <v>-184.18256249999996</v>
      </c>
      <c r="AR114" s="73">
        <f>AI114*-Valores!$C$67</f>
        <v>-1657.6430624999996</v>
      </c>
      <c r="AS114" s="73">
        <f>AI114*-Valores!$C$68</f>
        <v>-994.5858374999997</v>
      </c>
      <c r="AT114" s="73">
        <f>AI114*-Valores!$C$69</f>
        <v>-110.50953749999996</v>
      </c>
      <c r="AU114" s="77">
        <f t="shared" si="17"/>
        <v>32582.510249999992</v>
      </c>
      <c r="AV114" s="77">
        <f t="shared" si="18"/>
        <v>33135.05793749999</v>
      </c>
      <c r="AW114" s="73">
        <f>AI114*Valores!$C$71</f>
        <v>5893.841999999999</v>
      </c>
      <c r="AX114" s="73">
        <f>AI114*Valores!$C$72</f>
        <v>1657.6430624999996</v>
      </c>
      <c r="AY114" s="73">
        <f>AI114*Valores!$C$73</f>
        <v>368.3651249999999</v>
      </c>
      <c r="AZ114" s="73">
        <f>AI114*Valores!$C$75</f>
        <v>1289.2779374999998</v>
      </c>
      <c r="BA114" s="73">
        <f>AI114*Valores!$C$76</f>
        <v>221.01907499999993</v>
      </c>
      <c r="BB114" s="73">
        <f t="shared" si="22"/>
        <v>1989.1716749999996</v>
      </c>
      <c r="BC114" s="47"/>
      <c r="BD114" s="81">
        <v>30</v>
      </c>
      <c r="BE114" s="24" t="s">
        <v>4</v>
      </c>
    </row>
    <row r="115" spans="1:57" s="24" customFormat="1" ht="11.25" customHeight="1">
      <c r="A115" s="47">
        <v>114</v>
      </c>
      <c r="B115" s="47"/>
      <c r="C115" s="24" t="s">
        <v>368</v>
      </c>
      <c r="E115" s="24">
        <f t="shared" si="14"/>
        <v>30</v>
      </c>
      <c r="F115" s="67" t="s">
        <v>369</v>
      </c>
      <c r="G115" s="68">
        <f>72+115</f>
        <v>187</v>
      </c>
      <c r="H115" s="69">
        <f>INT((G115*Valores!$C$2*100)+0.5)/100</f>
        <v>1430.38</v>
      </c>
      <c r="I115" s="70">
        <v>1704</v>
      </c>
      <c r="J115" s="71">
        <f>INT((I115*Valores!$C$2*100)+0.5)/100</f>
        <v>13034.07</v>
      </c>
      <c r="K115" s="98">
        <v>0</v>
      </c>
      <c r="L115" s="71">
        <f>INT((K115*Valores!$C$2*100)+0.5)/100</f>
        <v>0</v>
      </c>
      <c r="M115" s="96">
        <v>0</v>
      </c>
      <c r="N115" s="71">
        <f>INT((M115*Valores!$C$2*100)+0.5)/100</f>
        <v>0</v>
      </c>
      <c r="O115" s="71">
        <f t="shared" si="15"/>
        <v>2796.2175</v>
      </c>
      <c r="P115" s="71">
        <f t="shared" si="16"/>
        <v>0</v>
      </c>
      <c r="Q115" s="73">
        <f>Valores!$C$20</f>
        <v>4706.17</v>
      </c>
      <c r="R115" s="73">
        <f>Valores!$D$4</f>
        <v>3421.44</v>
      </c>
      <c r="S115" s="97">
        <f>Valores!$C$26</f>
        <v>3568.39</v>
      </c>
      <c r="T115" s="102">
        <f>Valores!$C$40</f>
        <v>1060.77</v>
      </c>
      <c r="U115" s="97">
        <f>Valores!$C$24</f>
        <v>3116.23</v>
      </c>
      <c r="V115" s="71">
        <f t="shared" si="23"/>
        <v>3116.23</v>
      </c>
      <c r="W115" s="71">
        <v>0</v>
      </c>
      <c r="X115" s="71">
        <v>0</v>
      </c>
      <c r="Y115" s="75">
        <v>0</v>
      </c>
      <c r="Z115" s="71">
        <f>Y115*Valores!$C$2</f>
        <v>0</v>
      </c>
      <c r="AA115" s="71">
        <v>0</v>
      </c>
      <c r="AB115" s="76">
        <f>Valores!$C$29</f>
        <v>184.78</v>
      </c>
      <c r="AC115" s="71">
        <f t="shared" si="19"/>
        <v>0</v>
      </c>
      <c r="AD115" s="71">
        <f>Valores!$C$30</f>
        <v>184.78</v>
      </c>
      <c r="AE115" s="75">
        <v>0</v>
      </c>
      <c r="AF115" s="71">
        <f>INT(((AE115*Valores!$C$2)*100)+0.5)/100</f>
        <v>0</v>
      </c>
      <c r="AG115" s="71">
        <f>Valores!$C$58</f>
        <v>375.86</v>
      </c>
      <c r="AH115" s="71">
        <f>Valores!$C$60</f>
        <v>107.38</v>
      </c>
      <c r="AI115" s="77">
        <f t="shared" si="20"/>
        <v>33986.46749999999</v>
      </c>
      <c r="AJ115" s="73">
        <f>Valores!$C$35</f>
        <v>876.57</v>
      </c>
      <c r="AK115" s="74">
        <f>Valores!$C$6</f>
        <v>0</v>
      </c>
      <c r="AL115" s="74">
        <f>Valores!$C$81</f>
        <v>1500</v>
      </c>
      <c r="AM115" s="74">
        <v>1400</v>
      </c>
      <c r="AN115" s="76">
        <f>Valores!$C$51</f>
        <v>157.49</v>
      </c>
      <c r="AO115" s="78">
        <f t="shared" si="21"/>
        <v>2376.57</v>
      </c>
      <c r="AP115" s="79">
        <f>AI115*-Valores!$C$65</f>
        <v>-4418.240774999999</v>
      </c>
      <c r="AQ115" s="79">
        <f>AI115*-Valores!$C$66</f>
        <v>-169.93233749999996</v>
      </c>
      <c r="AR115" s="73">
        <f>AI115*-Valores!$C$67</f>
        <v>-1529.3910374999996</v>
      </c>
      <c r="AS115" s="73">
        <f>AI115*-Valores!$C$68</f>
        <v>-917.6346224999998</v>
      </c>
      <c r="AT115" s="73">
        <f>AI115*-Valores!$C$69</f>
        <v>-101.95940249999998</v>
      </c>
      <c r="AU115" s="77">
        <f t="shared" si="17"/>
        <v>30245.473349999993</v>
      </c>
      <c r="AV115" s="77">
        <f t="shared" si="18"/>
        <v>30755.27036249999</v>
      </c>
      <c r="AW115" s="73">
        <f>AI115*Valores!$C$71</f>
        <v>5437.834799999999</v>
      </c>
      <c r="AX115" s="73">
        <f>AI115*Valores!$C$72</f>
        <v>1529.3910374999996</v>
      </c>
      <c r="AY115" s="73">
        <f>AI115*Valores!$C$73</f>
        <v>339.8646749999999</v>
      </c>
      <c r="AZ115" s="73">
        <f>AI115*Valores!$C$75</f>
        <v>1189.5263624999998</v>
      </c>
      <c r="BA115" s="73">
        <f>AI115*Valores!$C$76</f>
        <v>203.91880499999996</v>
      </c>
      <c r="BB115" s="73">
        <f t="shared" si="22"/>
        <v>1835.2692449999997</v>
      </c>
      <c r="BC115" s="47"/>
      <c r="BD115" s="47">
        <v>30</v>
      </c>
      <c r="BE115" s="24" t="s">
        <v>4</v>
      </c>
    </row>
    <row r="116" spans="1:57" s="24" customFormat="1" ht="11.25" customHeight="1">
      <c r="A116" s="81">
        <v>115</v>
      </c>
      <c r="B116" s="81" t="s">
        <v>163</v>
      </c>
      <c r="C116" s="82" t="s">
        <v>370</v>
      </c>
      <c r="D116" s="82"/>
      <c r="E116" s="82">
        <f t="shared" si="14"/>
        <v>30</v>
      </c>
      <c r="F116" s="83" t="s">
        <v>371</v>
      </c>
      <c r="G116" s="84">
        <f>67+94</f>
        <v>161</v>
      </c>
      <c r="H116" s="85">
        <f>INT((G116*Valores!$C$2*100)+0.5)/100</f>
        <v>1231.51</v>
      </c>
      <c r="I116" s="86">
        <v>1480</v>
      </c>
      <c r="J116" s="87">
        <f>INT((I116*Valores!$C$2*100)+0.5)/100</f>
        <v>11320.67</v>
      </c>
      <c r="K116" s="100">
        <v>0</v>
      </c>
      <c r="L116" s="87">
        <f>INT((K116*Valores!$C$2*100)+0.5)/100</f>
        <v>0</v>
      </c>
      <c r="M116" s="101">
        <v>0</v>
      </c>
      <c r="N116" s="87">
        <f>INT((M116*Valores!$C$2*100)+0.5)/100</f>
        <v>0</v>
      </c>
      <c r="O116" s="87">
        <f t="shared" si="15"/>
        <v>2509.377</v>
      </c>
      <c r="P116" s="87">
        <f t="shared" si="16"/>
        <v>0</v>
      </c>
      <c r="Q116" s="89">
        <f>Valores!$C$20</f>
        <v>4706.17</v>
      </c>
      <c r="R116" s="89">
        <f>Valores!$D$4</f>
        <v>3421.44</v>
      </c>
      <c r="S116" s="103">
        <f>Valores!$C$26</f>
        <v>3568.39</v>
      </c>
      <c r="T116" s="104">
        <f>Valores!$C$40</f>
        <v>1060.77</v>
      </c>
      <c r="U116" s="103">
        <f>Valores!$C$24</f>
        <v>3116.23</v>
      </c>
      <c r="V116" s="87">
        <f t="shared" si="23"/>
        <v>3116.23</v>
      </c>
      <c r="W116" s="87">
        <v>0</v>
      </c>
      <c r="X116" s="87">
        <v>0</v>
      </c>
      <c r="Y116" s="91">
        <v>0</v>
      </c>
      <c r="Z116" s="87">
        <f>Y116*Valores!$C$2</f>
        <v>0</v>
      </c>
      <c r="AA116" s="87">
        <v>0</v>
      </c>
      <c r="AB116" s="92">
        <f>Valores!$C$29</f>
        <v>184.78</v>
      </c>
      <c r="AC116" s="87">
        <f t="shared" si="19"/>
        <v>0</v>
      </c>
      <c r="AD116" s="87">
        <f>Valores!$C$30</f>
        <v>184.78</v>
      </c>
      <c r="AE116" s="91">
        <v>0</v>
      </c>
      <c r="AF116" s="87">
        <f>INT(((AE116*Valores!$C$2)*100)+0.5)/100</f>
        <v>0</v>
      </c>
      <c r="AG116" s="87">
        <f>Valores!$C$58</f>
        <v>375.86</v>
      </c>
      <c r="AH116" s="87">
        <f>Valores!$C$60</f>
        <v>107.38</v>
      </c>
      <c r="AI116" s="93">
        <f t="shared" si="20"/>
        <v>31787.356999999996</v>
      </c>
      <c r="AJ116" s="89">
        <f>Valores!$C$35</f>
        <v>876.57</v>
      </c>
      <c r="AK116" s="90">
        <f>Valores!$C$6</f>
        <v>0</v>
      </c>
      <c r="AL116" s="90">
        <f>Valores!$C$81</f>
        <v>1500</v>
      </c>
      <c r="AM116" s="74">
        <v>1400</v>
      </c>
      <c r="AN116" s="92">
        <f>Valores!$C$51</f>
        <v>157.49</v>
      </c>
      <c r="AO116" s="94">
        <f t="shared" si="21"/>
        <v>2376.57</v>
      </c>
      <c r="AP116" s="95">
        <f>AI116*-Valores!$C$65</f>
        <v>-4132.356409999999</v>
      </c>
      <c r="AQ116" s="95">
        <f>AI116*-Valores!$C$66</f>
        <v>-158.936785</v>
      </c>
      <c r="AR116" s="89">
        <f>AI116*-Valores!$C$67</f>
        <v>-1430.4310649999998</v>
      </c>
      <c r="AS116" s="89">
        <f>AI116*-Valores!$C$68</f>
        <v>-858.2586389999999</v>
      </c>
      <c r="AT116" s="89">
        <f>AI116*-Valores!$C$69</f>
        <v>-95.36207099999999</v>
      </c>
      <c r="AU116" s="93">
        <f t="shared" si="17"/>
        <v>28442.202739999997</v>
      </c>
      <c r="AV116" s="93">
        <f t="shared" si="18"/>
        <v>28919.013095</v>
      </c>
      <c r="AW116" s="89">
        <f>AI116*Valores!$C$71</f>
        <v>5085.97712</v>
      </c>
      <c r="AX116" s="89">
        <f>AI116*Valores!$C$72</f>
        <v>1430.4310649999998</v>
      </c>
      <c r="AY116" s="89">
        <f>AI116*Valores!$C$73</f>
        <v>317.87357</v>
      </c>
      <c r="AZ116" s="89">
        <f>AI116*Valores!$C$75</f>
        <v>1112.557495</v>
      </c>
      <c r="BA116" s="89">
        <f>AI116*Valores!$C$76</f>
        <v>190.72414199999997</v>
      </c>
      <c r="BB116" s="89">
        <f t="shared" si="22"/>
        <v>1716.517278</v>
      </c>
      <c r="BC116" s="81"/>
      <c r="BD116" s="81">
        <v>30</v>
      </c>
      <c r="BE116" s="82" t="s">
        <v>4</v>
      </c>
    </row>
    <row r="117" spans="1:57" s="24" customFormat="1" ht="11.25" customHeight="1">
      <c r="A117" s="47">
        <v>116</v>
      </c>
      <c r="B117" s="47"/>
      <c r="C117" s="24" t="s">
        <v>372</v>
      </c>
      <c r="E117" s="24">
        <f t="shared" si="14"/>
        <v>30</v>
      </c>
      <c r="F117" s="67" t="s">
        <v>373</v>
      </c>
      <c r="G117" s="68">
        <f>1184+94</f>
        <v>1278</v>
      </c>
      <c r="H117" s="69">
        <f>INT((G117*Valores!$C$2*100)+0.5)/100</f>
        <v>9775.55</v>
      </c>
      <c r="I117" s="108">
        <v>0</v>
      </c>
      <c r="J117" s="71">
        <f>INT((I117*Valores!$C$2*100)+0.5)/100</f>
        <v>0</v>
      </c>
      <c r="K117" s="98">
        <v>0</v>
      </c>
      <c r="L117" s="71">
        <f>INT((K117*Valores!$C$2*100)+0.5)/100</f>
        <v>0</v>
      </c>
      <c r="M117" s="96">
        <v>0</v>
      </c>
      <c r="N117" s="71">
        <f>INT((M117*Valores!$C$2*100)+0.5)/100</f>
        <v>0</v>
      </c>
      <c r="O117" s="71">
        <f t="shared" si="15"/>
        <v>2092.8824999999997</v>
      </c>
      <c r="P117" s="71">
        <f t="shared" si="16"/>
        <v>0</v>
      </c>
      <c r="Q117" s="73">
        <f>Valores!$C$20</f>
        <v>4706.17</v>
      </c>
      <c r="R117" s="73">
        <f>Valores!$D$4</f>
        <v>3421.44</v>
      </c>
      <c r="S117" s="71">
        <f>Valores!$C$26</f>
        <v>3568.39</v>
      </c>
      <c r="T117" s="74">
        <f>Valores!$C$40</f>
        <v>1060.77</v>
      </c>
      <c r="U117" s="97">
        <f>Valores!$C$24</f>
        <v>3116.23</v>
      </c>
      <c r="V117" s="71">
        <f t="shared" si="23"/>
        <v>3116.23</v>
      </c>
      <c r="W117" s="71">
        <v>0</v>
      </c>
      <c r="X117" s="71">
        <v>0</v>
      </c>
      <c r="Y117" s="75">
        <v>0</v>
      </c>
      <c r="Z117" s="71">
        <f>Y117*Valores!$C$2</f>
        <v>0</v>
      </c>
      <c r="AA117" s="71">
        <v>0</v>
      </c>
      <c r="AB117" s="76">
        <f>Valores!$C$29</f>
        <v>184.78</v>
      </c>
      <c r="AC117" s="71">
        <f t="shared" si="19"/>
        <v>0</v>
      </c>
      <c r="AD117" s="71">
        <f>Valores!$C$30</f>
        <v>184.78</v>
      </c>
      <c r="AE117" s="75">
        <v>0</v>
      </c>
      <c r="AF117" s="71">
        <f>INT(((AE117*Valores!$C$2)*100)+0.5)/100</f>
        <v>0</v>
      </c>
      <c r="AG117" s="71">
        <f>Valores!$C$58</f>
        <v>375.86</v>
      </c>
      <c r="AH117" s="71">
        <f>Valores!$C$60</f>
        <v>107.38</v>
      </c>
      <c r="AI117" s="77">
        <f t="shared" si="20"/>
        <v>28594.2325</v>
      </c>
      <c r="AJ117" s="73">
        <f>Valores!$C$35</f>
        <v>876.57</v>
      </c>
      <c r="AK117" s="74">
        <f>Valores!$C$6</f>
        <v>0</v>
      </c>
      <c r="AL117" s="74">
        <f>Valores!$C$81</f>
        <v>1500</v>
      </c>
      <c r="AM117" s="74">
        <v>1400</v>
      </c>
      <c r="AN117" s="76">
        <f>Valores!$C$51</f>
        <v>157.49</v>
      </c>
      <c r="AO117" s="78">
        <f t="shared" si="21"/>
        <v>2376.57</v>
      </c>
      <c r="AP117" s="79">
        <f>AI117*-Valores!$C$65</f>
        <v>-3717.250225</v>
      </c>
      <c r="AQ117" s="79">
        <f>AI117*-Valores!$C$66</f>
        <v>-142.9711625</v>
      </c>
      <c r="AR117" s="73">
        <f>AI117*-Valores!$C$67</f>
        <v>-1286.7404625</v>
      </c>
      <c r="AS117" s="73">
        <f>AI117*-Valores!$C$68</f>
        <v>-772.0442774999999</v>
      </c>
      <c r="AT117" s="73">
        <f>AI117*-Valores!$C$69</f>
        <v>-85.7826975</v>
      </c>
      <c r="AU117" s="77">
        <f t="shared" si="17"/>
        <v>25823.840650000002</v>
      </c>
      <c r="AV117" s="77">
        <f t="shared" si="18"/>
        <v>26252.7541375</v>
      </c>
      <c r="AW117" s="73">
        <f>AI117*Valores!$C$71</f>
        <v>4575.0772</v>
      </c>
      <c r="AX117" s="73">
        <f>AI117*Valores!$C$72</f>
        <v>1286.7404625</v>
      </c>
      <c r="AY117" s="73">
        <f>AI117*Valores!$C$73</f>
        <v>285.942325</v>
      </c>
      <c r="AZ117" s="73">
        <f>AI117*Valores!$C$75</f>
        <v>1000.7981375</v>
      </c>
      <c r="BA117" s="73">
        <f>AI117*Valores!$C$76</f>
        <v>171.565395</v>
      </c>
      <c r="BB117" s="73">
        <f t="shared" si="22"/>
        <v>1544.088555</v>
      </c>
      <c r="BC117" s="47"/>
      <c r="BD117" s="47">
        <v>30</v>
      </c>
      <c r="BE117" s="24" t="s">
        <v>4</v>
      </c>
    </row>
    <row r="118" spans="1:57" s="24" customFormat="1" ht="11.25" customHeight="1">
      <c r="A118" s="47">
        <v>117</v>
      </c>
      <c r="B118" s="47"/>
      <c r="C118" s="24" t="s">
        <v>374</v>
      </c>
      <c r="E118" s="24">
        <f t="shared" si="14"/>
        <v>17</v>
      </c>
      <c r="F118" s="67" t="s">
        <v>375</v>
      </c>
      <c r="G118" s="68">
        <v>77</v>
      </c>
      <c r="H118" s="69">
        <f>INT((G118*Valores!$C$2*100)+0.5)/100</f>
        <v>588.98</v>
      </c>
      <c r="I118" s="108">
        <v>2073</v>
      </c>
      <c r="J118" s="71">
        <f>INT((I118*Valores!$C$2*100)+0.5)/100</f>
        <v>15856.58</v>
      </c>
      <c r="K118" s="98">
        <v>0</v>
      </c>
      <c r="L118" s="71">
        <f>INT((K118*Valores!$C$2*100)+0.5)/100</f>
        <v>0</v>
      </c>
      <c r="M118" s="96">
        <v>0</v>
      </c>
      <c r="N118" s="71">
        <f>INT((M118*Valores!$C$2*100)+0.5)/100</f>
        <v>0</v>
      </c>
      <c r="O118" s="71">
        <f t="shared" si="15"/>
        <v>3152.8770000000004</v>
      </c>
      <c r="P118" s="71">
        <f t="shared" si="16"/>
        <v>0</v>
      </c>
      <c r="Q118" s="73">
        <f>Valores!$C$15</f>
        <v>4920.96</v>
      </c>
      <c r="R118" s="73">
        <f>Valores!$D$4</f>
        <v>3421.44</v>
      </c>
      <c r="S118" s="97">
        <f>Valores!$C$26</f>
        <v>3568.39</v>
      </c>
      <c r="T118" s="102">
        <f>Valores!$C$42</f>
        <v>1414.4</v>
      </c>
      <c r="U118" s="71">
        <f>Valores!$C$23</f>
        <v>3159.22</v>
      </c>
      <c r="V118" s="71">
        <f t="shared" si="23"/>
        <v>3159.22</v>
      </c>
      <c r="W118" s="71">
        <v>0</v>
      </c>
      <c r="X118" s="71">
        <v>0</v>
      </c>
      <c r="Y118" s="75">
        <v>0</v>
      </c>
      <c r="Z118" s="71">
        <f>Y118*Valores!$C$2</f>
        <v>0</v>
      </c>
      <c r="AA118" s="71">
        <v>0</v>
      </c>
      <c r="AB118" s="76">
        <f>Valores!$C$29</f>
        <v>184.78</v>
      </c>
      <c r="AC118" s="71">
        <f t="shared" si="19"/>
        <v>0</v>
      </c>
      <c r="AD118" s="71">
        <f>Valores!$C$30</f>
        <v>184.78</v>
      </c>
      <c r="AE118" s="75">
        <v>0</v>
      </c>
      <c r="AF118" s="71">
        <f>INT(((AE118*Valores!$C$2)*100)+0.5)/100</f>
        <v>0</v>
      </c>
      <c r="AG118" s="71">
        <f>Valores!$C$58</f>
        <v>375.86</v>
      </c>
      <c r="AH118" s="71">
        <f>Valores!$C$60</f>
        <v>107.38</v>
      </c>
      <c r="AI118" s="77">
        <f t="shared" si="20"/>
        <v>36935.647</v>
      </c>
      <c r="AJ118" s="73">
        <f>Valores!$C$35</f>
        <v>876.57</v>
      </c>
      <c r="AK118" s="74">
        <f>Valores!$C$8</f>
        <v>0</v>
      </c>
      <c r="AL118" s="74">
        <f>Valores!$C$81</f>
        <v>1500</v>
      </c>
      <c r="AM118" s="74">
        <v>1400</v>
      </c>
      <c r="AN118" s="76">
        <f>Valores!$C$51</f>
        <v>157.49</v>
      </c>
      <c r="AO118" s="78">
        <f t="shared" si="21"/>
        <v>2376.57</v>
      </c>
      <c r="AP118" s="79">
        <f>AI118*-Valores!$C$65</f>
        <v>-4801.63411</v>
      </c>
      <c r="AQ118" s="79">
        <f>AI118*-Valores!$C$66</f>
        <v>-184.678235</v>
      </c>
      <c r="AR118" s="73">
        <f>AI118*-Valores!$C$67</f>
        <v>-1662.1041149999999</v>
      </c>
      <c r="AS118" s="73">
        <f>AI118*-Valores!$C$68</f>
        <v>-997.2624689999999</v>
      </c>
      <c r="AT118" s="73">
        <f>AI118*-Valores!$C$69</f>
        <v>-110.806941</v>
      </c>
      <c r="AU118" s="77">
        <f t="shared" si="17"/>
        <v>32663.800539999997</v>
      </c>
      <c r="AV118" s="77">
        <f t="shared" si="18"/>
        <v>33217.835244999995</v>
      </c>
      <c r="AW118" s="73">
        <f>AI118*Valores!$C$71</f>
        <v>5909.70352</v>
      </c>
      <c r="AX118" s="73">
        <f>AI118*Valores!$C$72</f>
        <v>1662.1041149999999</v>
      </c>
      <c r="AY118" s="73">
        <f>AI118*Valores!$C$73</f>
        <v>369.35647</v>
      </c>
      <c r="AZ118" s="73">
        <f>AI118*Valores!$C$75</f>
        <v>1292.747645</v>
      </c>
      <c r="BA118" s="73">
        <f>AI118*Valores!$C$76</f>
        <v>221.613882</v>
      </c>
      <c r="BB118" s="73">
        <f t="shared" si="22"/>
        <v>1994.524938</v>
      </c>
      <c r="BC118" s="47"/>
      <c r="BD118" s="47">
        <v>30</v>
      </c>
      <c r="BE118" s="24" t="s">
        <v>4</v>
      </c>
    </row>
    <row r="119" spans="1:57" s="24" customFormat="1" ht="11.25" customHeight="1">
      <c r="A119" s="47">
        <v>118</v>
      </c>
      <c r="B119" s="47"/>
      <c r="C119" s="24" t="s">
        <v>376</v>
      </c>
      <c r="E119" s="24">
        <f t="shared" si="14"/>
        <v>29</v>
      </c>
      <c r="F119" s="67" t="s">
        <v>377</v>
      </c>
      <c r="G119" s="68">
        <v>77</v>
      </c>
      <c r="H119" s="69">
        <f>INT((G119*Valores!$C$2*100)+0.5)/100</f>
        <v>588.98</v>
      </c>
      <c r="I119" s="108">
        <v>2043</v>
      </c>
      <c r="J119" s="71">
        <f>INT((I119*Valores!$C$2*100)+0.5)/100</f>
        <v>15627.11</v>
      </c>
      <c r="K119" s="98">
        <v>0</v>
      </c>
      <c r="L119" s="71">
        <f>INT((K119*Valores!$C$2*100)+0.5)/100</f>
        <v>0</v>
      </c>
      <c r="M119" s="96">
        <v>0</v>
      </c>
      <c r="N119" s="71">
        <f>INT((M119*Valores!$C$2*100)+0.5)/100</f>
        <v>0</v>
      </c>
      <c r="O119" s="71">
        <f t="shared" si="15"/>
        <v>3118.4565000000002</v>
      </c>
      <c r="P119" s="71">
        <f t="shared" si="16"/>
        <v>0</v>
      </c>
      <c r="Q119" s="73">
        <f>Valores!$C$16</f>
        <v>4949.59</v>
      </c>
      <c r="R119" s="73">
        <f>Valores!$D$4</f>
        <v>3421.44</v>
      </c>
      <c r="S119" s="97">
        <f>Valores!$C$26</f>
        <v>3568.39</v>
      </c>
      <c r="T119" s="102">
        <f>Valores!$C$42</f>
        <v>1414.4</v>
      </c>
      <c r="U119" s="71">
        <f>Valores!$C$23</f>
        <v>3159.22</v>
      </c>
      <c r="V119" s="71">
        <f t="shared" si="23"/>
        <v>3159.22</v>
      </c>
      <c r="W119" s="71">
        <v>0</v>
      </c>
      <c r="X119" s="71">
        <v>0</v>
      </c>
      <c r="Y119" s="75">
        <v>0</v>
      </c>
      <c r="Z119" s="71">
        <f>Y119*Valores!$C$2</f>
        <v>0</v>
      </c>
      <c r="AA119" s="71">
        <v>0</v>
      </c>
      <c r="AB119" s="76">
        <f>Valores!$C$29</f>
        <v>184.78</v>
      </c>
      <c r="AC119" s="71">
        <f t="shared" si="19"/>
        <v>0</v>
      </c>
      <c r="AD119" s="71">
        <f>Valores!$C$30</f>
        <v>184.78</v>
      </c>
      <c r="AE119" s="75">
        <v>0</v>
      </c>
      <c r="AF119" s="71">
        <f>INT(((AE119*Valores!$C$2)*100)+0.5)/100</f>
        <v>0</v>
      </c>
      <c r="AG119" s="71">
        <f>Valores!$C$58</f>
        <v>375.86</v>
      </c>
      <c r="AH119" s="71">
        <f>Valores!$C$60</f>
        <v>107.38</v>
      </c>
      <c r="AI119" s="77">
        <f t="shared" si="20"/>
        <v>36700.38649999999</v>
      </c>
      <c r="AJ119" s="73">
        <f>Valores!$C$35</f>
        <v>876.57</v>
      </c>
      <c r="AK119" s="74">
        <f>Valores!$C$8</f>
        <v>0</v>
      </c>
      <c r="AL119" s="74">
        <f>Valores!$C$81</f>
        <v>1500</v>
      </c>
      <c r="AM119" s="74">
        <v>1400</v>
      </c>
      <c r="AN119" s="76">
        <f>Valores!$C$51</f>
        <v>157.49</v>
      </c>
      <c r="AO119" s="78">
        <f t="shared" si="21"/>
        <v>2376.57</v>
      </c>
      <c r="AP119" s="79">
        <f>AI119*-Valores!$C$65</f>
        <v>-4771.050244999999</v>
      </c>
      <c r="AQ119" s="79">
        <f>AI119*-Valores!$C$66</f>
        <v>-183.50193249999998</v>
      </c>
      <c r="AR119" s="73">
        <f>AI119*-Valores!$C$67</f>
        <v>-1651.5173924999997</v>
      </c>
      <c r="AS119" s="73">
        <f>AI119*-Valores!$C$68</f>
        <v>-990.9104354999998</v>
      </c>
      <c r="AT119" s="73">
        <f>AI119*-Valores!$C$69</f>
        <v>-110.10115949999998</v>
      </c>
      <c r="AU119" s="77">
        <f t="shared" si="17"/>
        <v>32470.886929999993</v>
      </c>
      <c r="AV119" s="77">
        <f t="shared" si="18"/>
        <v>33021.39272749999</v>
      </c>
      <c r="AW119" s="73">
        <f>AI119*Valores!$C$71</f>
        <v>5872.061839999999</v>
      </c>
      <c r="AX119" s="73">
        <f>AI119*Valores!$C$72</f>
        <v>1651.5173924999997</v>
      </c>
      <c r="AY119" s="73">
        <f>AI119*Valores!$C$73</f>
        <v>367.00386499999996</v>
      </c>
      <c r="AZ119" s="73">
        <f>AI119*Valores!$C$75</f>
        <v>1284.5135274999998</v>
      </c>
      <c r="BA119" s="73">
        <f>AI119*Valores!$C$76</f>
        <v>220.20231899999996</v>
      </c>
      <c r="BB119" s="73">
        <f t="shared" si="22"/>
        <v>1981.8208709999997</v>
      </c>
      <c r="BC119" s="47"/>
      <c r="BD119" s="81">
        <v>30</v>
      </c>
      <c r="BE119" s="24" t="s">
        <v>4</v>
      </c>
    </row>
    <row r="120" spans="1:57" s="24" customFormat="1" ht="11.25" customHeight="1">
      <c r="A120" s="47">
        <v>119</v>
      </c>
      <c r="B120" s="47"/>
      <c r="C120" s="24" t="s">
        <v>378</v>
      </c>
      <c r="E120" s="24">
        <f t="shared" si="14"/>
        <v>29</v>
      </c>
      <c r="F120" s="67" t="s">
        <v>379</v>
      </c>
      <c r="G120" s="68">
        <v>76</v>
      </c>
      <c r="H120" s="69">
        <f>INT((G120*Valores!$C$2*100)+0.5)/100</f>
        <v>581.33</v>
      </c>
      <c r="I120" s="108">
        <v>1954</v>
      </c>
      <c r="J120" s="71">
        <f>INT((I120*Valores!$C$2*100)+0.5)/100</f>
        <v>14946.34</v>
      </c>
      <c r="K120" s="98">
        <v>0</v>
      </c>
      <c r="L120" s="71">
        <f>INT((K120*Valores!$C$2*100)+0.5)/100</f>
        <v>0</v>
      </c>
      <c r="M120" s="96">
        <v>0</v>
      </c>
      <c r="N120" s="71">
        <f>INT((M120*Valores!$C$2*100)+0.5)/100</f>
        <v>0</v>
      </c>
      <c r="O120" s="71">
        <f t="shared" si="15"/>
        <v>3015.1935</v>
      </c>
      <c r="P120" s="71">
        <f t="shared" si="16"/>
        <v>0</v>
      </c>
      <c r="Q120" s="73">
        <f>Valores!$C$16</f>
        <v>4949.59</v>
      </c>
      <c r="R120" s="73">
        <f>Valores!$D$4</f>
        <v>3421.44</v>
      </c>
      <c r="S120" s="97">
        <f>Valores!$C$26</f>
        <v>3568.39</v>
      </c>
      <c r="T120" s="102">
        <f>Valores!$C$42</f>
        <v>1414.4</v>
      </c>
      <c r="U120" s="71">
        <f>Valores!$C$23</f>
        <v>3159.22</v>
      </c>
      <c r="V120" s="71">
        <f t="shared" si="23"/>
        <v>3159.22</v>
      </c>
      <c r="W120" s="71">
        <v>0</v>
      </c>
      <c r="X120" s="71">
        <v>0</v>
      </c>
      <c r="Y120" s="75">
        <v>0</v>
      </c>
      <c r="Z120" s="71">
        <f>Y120*Valores!$C$2</f>
        <v>0</v>
      </c>
      <c r="AA120" s="71">
        <v>0</v>
      </c>
      <c r="AB120" s="76">
        <f>Valores!$C$29</f>
        <v>184.78</v>
      </c>
      <c r="AC120" s="71">
        <f t="shared" si="19"/>
        <v>0</v>
      </c>
      <c r="AD120" s="71">
        <f>Valores!$C$30</f>
        <v>184.78</v>
      </c>
      <c r="AE120" s="75">
        <v>0</v>
      </c>
      <c r="AF120" s="71">
        <f>INT(((AE120*Valores!$C$2)*100)+0.5)/100</f>
        <v>0</v>
      </c>
      <c r="AG120" s="71">
        <f>Valores!$C$58</f>
        <v>375.86</v>
      </c>
      <c r="AH120" s="71">
        <f>Valores!$C$60</f>
        <v>107.38</v>
      </c>
      <c r="AI120" s="77">
        <f t="shared" si="20"/>
        <v>35908.703499999996</v>
      </c>
      <c r="AJ120" s="73">
        <f>Valores!$C$35</f>
        <v>876.57</v>
      </c>
      <c r="AK120" s="74">
        <f>Valores!$C$8</f>
        <v>0</v>
      </c>
      <c r="AL120" s="74">
        <f>Valores!$C$81</f>
        <v>1500</v>
      </c>
      <c r="AM120" s="74">
        <v>1400</v>
      </c>
      <c r="AN120" s="76">
        <f>Valores!$C$51</f>
        <v>157.49</v>
      </c>
      <c r="AO120" s="78">
        <f t="shared" si="21"/>
        <v>2376.57</v>
      </c>
      <c r="AP120" s="79">
        <f>AI120*-Valores!$C$65</f>
        <v>-4668.131455</v>
      </c>
      <c r="AQ120" s="79">
        <f>AI120*-Valores!$C$66</f>
        <v>-179.54351749999998</v>
      </c>
      <c r="AR120" s="73">
        <f>AI120*-Valores!$C$67</f>
        <v>-1615.8916574999998</v>
      </c>
      <c r="AS120" s="73">
        <f>AI120*-Valores!$C$68</f>
        <v>-969.5349944999999</v>
      </c>
      <c r="AT120" s="73">
        <f>AI120*-Valores!$C$69</f>
        <v>-107.72611049999999</v>
      </c>
      <c r="AU120" s="77">
        <f t="shared" si="17"/>
        <v>31821.706869999998</v>
      </c>
      <c r="AV120" s="77">
        <f t="shared" si="18"/>
        <v>32360.337422499997</v>
      </c>
      <c r="AW120" s="73">
        <f>AI120*Valores!$C$71</f>
        <v>5745.392559999999</v>
      </c>
      <c r="AX120" s="73">
        <f>AI120*Valores!$C$72</f>
        <v>1615.8916574999998</v>
      </c>
      <c r="AY120" s="73">
        <f>AI120*Valores!$C$73</f>
        <v>359.08703499999996</v>
      </c>
      <c r="AZ120" s="73">
        <f>AI120*Valores!$C$75</f>
        <v>1256.8046225</v>
      </c>
      <c r="BA120" s="73">
        <f>AI120*Valores!$C$76</f>
        <v>215.45222099999998</v>
      </c>
      <c r="BB120" s="73">
        <f t="shared" si="22"/>
        <v>1939.0699889999999</v>
      </c>
      <c r="BC120" s="47"/>
      <c r="BD120" s="47">
        <v>30</v>
      </c>
      <c r="BE120" s="24" t="s">
        <v>4</v>
      </c>
    </row>
    <row r="121" spans="1:57" s="24" customFormat="1" ht="11.25" customHeight="1">
      <c r="A121" s="81">
        <v>120</v>
      </c>
      <c r="B121" s="81" t="s">
        <v>163</v>
      </c>
      <c r="C121" s="82" t="s">
        <v>380</v>
      </c>
      <c r="D121" s="82"/>
      <c r="E121" s="82">
        <f t="shared" si="14"/>
        <v>29</v>
      </c>
      <c r="F121" s="83" t="s">
        <v>381</v>
      </c>
      <c r="G121" s="84">
        <v>274</v>
      </c>
      <c r="H121" s="85">
        <f>INT((G121*Valores!$C$2*100)+0.5)/100</f>
        <v>2095.85</v>
      </c>
      <c r="I121" s="99">
        <v>1163</v>
      </c>
      <c r="J121" s="87">
        <f>INT((I121*Valores!$C$2*100)+0.5)/100</f>
        <v>8895.9</v>
      </c>
      <c r="K121" s="100">
        <v>0</v>
      </c>
      <c r="L121" s="87">
        <f>INT((K121*Valores!$C$2*100)+0.5)/100</f>
        <v>0</v>
      </c>
      <c r="M121" s="101">
        <v>0</v>
      </c>
      <c r="N121" s="87">
        <f>INT((M121*Valores!$C$2*100)+0.5)/100</f>
        <v>0</v>
      </c>
      <c r="O121" s="87">
        <f t="shared" si="15"/>
        <v>2334.8055</v>
      </c>
      <c r="P121" s="87">
        <f t="shared" si="16"/>
        <v>0</v>
      </c>
      <c r="Q121" s="89">
        <f>Valores!$C$16</f>
        <v>4949.59</v>
      </c>
      <c r="R121" s="89">
        <f>Valores!$D$4</f>
        <v>3421.44</v>
      </c>
      <c r="S121" s="103">
        <f>Valores!$C$26</f>
        <v>3568.39</v>
      </c>
      <c r="T121" s="104">
        <f>Valores!$C$42</f>
        <v>1414.4</v>
      </c>
      <c r="U121" s="87">
        <f>Valores!$C$23</f>
        <v>3159.22</v>
      </c>
      <c r="V121" s="87">
        <f t="shared" si="23"/>
        <v>3159.22</v>
      </c>
      <c r="W121" s="87">
        <v>0</v>
      </c>
      <c r="X121" s="87">
        <v>0</v>
      </c>
      <c r="Y121" s="91">
        <v>0</v>
      </c>
      <c r="Z121" s="87">
        <f>Y121*Valores!$C$2</f>
        <v>0</v>
      </c>
      <c r="AA121" s="87">
        <v>0</v>
      </c>
      <c r="AB121" s="92">
        <f>Valores!$C$29</f>
        <v>184.78</v>
      </c>
      <c r="AC121" s="87">
        <f t="shared" si="19"/>
        <v>0</v>
      </c>
      <c r="AD121" s="87">
        <f>Valores!$C$30</f>
        <v>184.78</v>
      </c>
      <c r="AE121" s="91">
        <v>0</v>
      </c>
      <c r="AF121" s="87">
        <f>INT(((AE121*Valores!$C$2)*100)+0.5)/100</f>
        <v>0</v>
      </c>
      <c r="AG121" s="87">
        <f>Valores!$C$58</f>
        <v>375.86</v>
      </c>
      <c r="AH121" s="87">
        <f>Valores!$C$60</f>
        <v>107.38</v>
      </c>
      <c r="AI121" s="93">
        <f t="shared" si="20"/>
        <v>30692.3955</v>
      </c>
      <c r="AJ121" s="89">
        <f>Valores!$C$35</f>
        <v>876.57</v>
      </c>
      <c r="AK121" s="90">
        <f>Valores!$C$8</f>
        <v>0</v>
      </c>
      <c r="AL121" s="90">
        <f>Valores!$C$81</f>
        <v>1500</v>
      </c>
      <c r="AM121" s="74">
        <v>1400</v>
      </c>
      <c r="AN121" s="92">
        <f>Valores!$C$51</f>
        <v>157.49</v>
      </c>
      <c r="AO121" s="94">
        <f t="shared" si="21"/>
        <v>2376.57</v>
      </c>
      <c r="AP121" s="95">
        <f>AI121*-Valores!$C$65</f>
        <v>-3990.011415</v>
      </c>
      <c r="AQ121" s="95">
        <f>AI121*-Valores!$C$66</f>
        <v>-153.4619775</v>
      </c>
      <c r="AR121" s="89">
        <f>AI121*-Valores!$C$67</f>
        <v>-1381.1577974999998</v>
      </c>
      <c r="AS121" s="89">
        <f>AI121*-Valores!$C$68</f>
        <v>-828.6946785</v>
      </c>
      <c r="AT121" s="89">
        <f>AI121*-Valores!$C$69</f>
        <v>-92.0771865</v>
      </c>
      <c r="AU121" s="93">
        <f t="shared" si="17"/>
        <v>27544.334309999995</v>
      </c>
      <c r="AV121" s="93">
        <f t="shared" si="18"/>
        <v>28004.720242499996</v>
      </c>
      <c r="AW121" s="89">
        <f>AI121*Valores!$C$71</f>
        <v>4910.78328</v>
      </c>
      <c r="AX121" s="89">
        <f>AI121*Valores!$C$72</f>
        <v>1381.1577974999998</v>
      </c>
      <c r="AY121" s="89">
        <f>AI121*Valores!$C$73</f>
        <v>306.923955</v>
      </c>
      <c r="AZ121" s="89">
        <f>AI121*Valores!$C$75</f>
        <v>1074.2338425</v>
      </c>
      <c r="BA121" s="89">
        <f>AI121*Valores!$C$76</f>
        <v>184.154373</v>
      </c>
      <c r="BB121" s="89">
        <f t="shared" si="22"/>
        <v>1657.389357</v>
      </c>
      <c r="BC121" s="81"/>
      <c r="BD121" s="81">
        <v>30</v>
      </c>
      <c r="BE121" s="82" t="s">
        <v>4</v>
      </c>
    </row>
    <row r="122" spans="1:57" s="24" customFormat="1" ht="11.25" customHeight="1">
      <c r="A122" s="47">
        <v>121</v>
      </c>
      <c r="B122" s="47"/>
      <c r="C122" s="24" t="s">
        <v>382</v>
      </c>
      <c r="E122" s="24">
        <f t="shared" si="14"/>
        <v>27</v>
      </c>
      <c r="F122" s="67" t="s">
        <v>383</v>
      </c>
      <c r="G122" s="68">
        <v>2800</v>
      </c>
      <c r="H122" s="69">
        <f>INT((G122*Valores!$C$2*100)+0.5)/100</f>
        <v>21417.48</v>
      </c>
      <c r="I122" s="108">
        <v>0</v>
      </c>
      <c r="J122" s="71">
        <f>INT((I122*Valores!$C$2*100)+0.5)/100</f>
        <v>0</v>
      </c>
      <c r="K122" s="98">
        <v>0</v>
      </c>
      <c r="L122" s="71">
        <f>INT((K122*Valores!$C$2*100)+0.5)/100</f>
        <v>0</v>
      </c>
      <c r="M122" s="96">
        <v>0</v>
      </c>
      <c r="N122" s="71">
        <f>INT((M122*Valores!$C$2*100)+0.5)/100</f>
        <v>0</v>
      </c>
      <c r="O122" s="71">
        <f t="shared" si="15"/>
        <v>3998.2919999999995</v>
      </c>
      <c r="P122" s="71">
        <f t="shared" si="16"/>
        <v>0</v>
      </c>
      <c r="Q122" s="73">
        <f>Valores!$C$20</f>
        <v>4706.17</v>
      </c>
      <c r="R122" s="73">
        <f>Valores!$D$4</f>
        <v>3421.44</v>
      </c>
      <c r="S122" s="71">
        <f>Valores!$C$26</f>
        <v>3568.39</v>
      </c>
      <c r="T122" s="74">
        <f>Valores!$C$43</f>
        <v>2121.57</v>
      </c>
      <c r="U122" s="97">
        <f>Valores!$C$24</f>
        <v>3116.23</v>
      </c>
      <c r="V122" s="71">
        <f t="shared" si="23"/>
        <v>3116.23</v>
      </c>
      <c r="W122" s="71">
        <v>0</v>
      </c>
      <c r="X122" s="71">
        <v>0</v>
      </c>
      <c r="Y122" s="75">
        <v>0</v>
      </c>
      <c r="Z122" s="71">
        <f>Y122*Valores!$C$2</f>
        <v>0</v>
      </c>
      <c r="AA122" s="71">
        <v>0</v>
      </c>
      <c r="AB122" s="76">
        <f>Valores!$C$29</f>
        <v>184.78</v>
      </c>
      <c r="AC122" s="71">
        <f t="shared" si="19"/>
        <v>0</v>
      </c>
      <c r="AD122" s="71">
        <f>Valores!$C$30</f>
        <v>184.78</v>
      </c>
      <c r="AE122" s="75">
        <v>0</v>
      </c>
      <c r="AF122" s="71">
        <f>INT(((AE122*Valores!$C$2)*100)+0.5)/100</f>
        <v>0</v>
      </c>
      <c r="AG122" s="71">
        <f>Valores!$C$58</f>
        <v>375.86</v>
      </c>
      <c r="AH122" s="71">
        <f>Valores!$C$60</f>
        <v>107.38</v>
      </c>
      <c r="AI122" s="77">
        <f t="shared" si="20"/>
        <v>43202.371999999996</v>
      </c>
      <c r="AJ122" s="73">
        <f>Valores!$C$35</f>
        <v>876.57</v>
      </c>
      <c r="AK122" s="74">
        <f>Valores!$C$9</f>
        <v>0</v>
      </c>
      <c r="AL122" s="74">
        <f>Valores!$C$81</f>
        <v>1500</v>
      </c>
      <c r="AM122" s="74">
        <v>1400</v>
      </c>
      <c r="AN122" s="76">
        <f>Valores!$C$50</f>
        <v>314.98</v>
      </c>
      <c r="AO122" s="78">
        <f t="shared" si="21"/>
        <v>2376.57</v>
      </c>
      <c r="AP122" s="79">
        <f>AI122*-Valores!$C$65</f>
        <v>-5616.30836</v>
      </c>
      <c r="AQ122" s="79">
        <f>AI122*-Valores!$C$66</f>
        <v>-216.01185999999998</v>
      </c>
      <c r="AR122" s="73">
        <f>AI122*-Valores!$C$67</f>
        <v>-1944.1067399999997</v>
      </c>
      <c r="AS122" s="73">
        <f>AI122*-Valores!$C$68</f>
        <v>-1166.4640439999998</v>
      </c>
      <c r="AT122" s="73">
        <f>AI122*-Valores!$C$69</f>
        <v>-129.607116</v>
      </c>
      <c r="AU122" s="77">
        <f t="shared" si="17"/>
        <v>37802.51503999999</v>
      </c>
      <c r="AV122" s="77">
        <f t="shared" si="18"/>
        <v>38450.550619999995</v>
      </c>
      <c r="AW122" s="73">
        <f>AI122*Valores!$C$71</f>
        <v>6912.3795199999995</v>
      </c>
      <c r="AX122" s="73">
        <f>AI122*Valores!$C$72</f>
        <v>1944.1067399999997</v>
      </c>
      <c r="AY122" s="73">
        <f>AI122*Valores!$C$73</f>
        <v>432.02371999999997</v>
      </c>
      <c r="AZ122" s="73">
        <f>AI122*Valores!$C$75</f>
        <v>1512.08302</v>
      </c>
      <c r="BA122" s="73">
        <f>AI122*Valores!$C$76</f>
        <v>259.214232</v>
      </c>
      <c r="BB122" s="73">
        <f t="shared" si="22"/>
        <v>2332.928088</v>
      </c>
      <c r="BC122" s="47"/>
      <c r="BD122" s="47"/>
      <c r="BE122" s="24" t="s">
        <v>4</v>
      </c>
    </row>
    <row r="123" spans="1:57" s="24" customFormat="1" ht="11.25" customHeight="1">
      <c r="A123" s="47">
        <v>122</v>
      </c>
      <c r="B123" s="47"/>
      <c r="C123" s="24" t="s">
        <v>384</v>
      </c>
      <c r="E123" s="24">
        <f t="shared" si="14"/>
        <v>27</v>
      </c>
      <c r="F123" s="67" t="s">
        <v>385</v>
      </c>
      <c r="G123" s="68">
        <v>2850</v>
      </c>
      <c r="H123" s="69">
        <f>INT((G123*Valores!$C$2*100)+0.5)/100</f>
        <v>21799.94</v>
      </c>
      <c r="I123" s="108">
        <v>0</v>
      </c>
      <c r="J123" s="71">
        <f>INT((I123*Valores!$C$2*100)+0.5)/100</f>
        <v>0</v>
      </c>
      <c r="K123" s="98">
        <v>0</v>
      </c>
      <c r="L123" s="71">
        <f>INT((K123*Valores!$C$2*100)+0.5)/100</f>
        <v>0</v>
      </c>
      <c r="M123" s="96">
        <v>0</v>
      </c>
      <c r="N123" s="71">
        <f>INT((M123*Valores!$C$2*100)+0.5)/100</f>
        <v>0</v>
      </c>
      <c r="O123" s="71">
        <f t="shared" si="15"/>
        <v>4055.6609999999996</v>
      </c>
      <c r="P123" s="71">
        <f t="shared" si="16"/>
        <v>0</v>
      </c>
      <c r="Q123" s="73">
        <f>Valores!$C$16</f>
        <v>4949.59</v>
      </c>
      <c r="R123" s="73">
        <f>Valores!$D$4</f>
        <v>3421.44</v>
      </c>
      <c r="S123" s="97">
        <f>Valores!$C$26</f>
        <v>3568.39</v>
      </c>
      <c r="T123" s="102">
        <f>Valores!$C$43</f>
        <v>2121.57</v>
      </c>
      <c r="U123" s="97">
        <f>Valores!$C$24</f>
        <v>3116.23</v>
      </c>
      <c r="V123" s="71">
        <f t="shared" si="23"/>
        <v>3116.23</v>
      </c>
      <c r="W123" s="71">
        <v>0</v>
      </c>
      <c r="X123" s="71">
        <v>0</v>
      </c>
      <c r="Y123" s="75">
        <v>0</v>
      </c>
      <c r="Z123" s="71">
        <f>Y123*Valores!$C$2</f>
        <v>0</v>
      </c>
      <c r="AA123" s="71">
        <v>0</v>
      </c>
      <c r="AB123" s="76">
        <f>Valores!$C$29</f>
        <v>184.78</v>
      </c>
      <c r="AC123" s="71">
        <f t="shared" si="19"/>
        <v>0</v>
      </c>
      <c r="AD123" s="71">
        <f>Valores!$C$30</f>
        <v>184.78</v>
      </c>
      <c r="AE123" s="75">
        <v>0</v>
      </c>
      <c r="AF123" s="71">
        <f>INT(((AE123*Valores!$C$2)*100)+0.5)/100</f>
        <v>0</v>
      </c>
      <c r="AG123" s="71">
        <f>Valores!$C$58</f>
        <v>375.86</v>
      </c>
      <c r="AH123" s="71">
        <f>Valores!$C$60</f>
        <v>107.38</v>
      </c>
      <c r="AI123" s="77">
        <f t="shared" si="20"/>
        <v>43885.621</v>
      </c>
      <c r="AJ123" s="73">
        <f>Valores!$C$35</f>
        <v>876.57</v>
      </c>
      <c r="AK123" s="74">
        <f>Valores!$C$9</f>
        <v>0</v>
      </c>
      <c r="AL123" s="74">
        <f>Valores!$C$83</f>
        <v>3000</v>
      </c>
      <c r="AM123" s="74">
        <v>2800</v>
      </c>
      <c r="AN123" s="76">
        <f>Valores!$C$50</f>
        <v>314.98</v>
      </c>
      <c r="AO123" s="78">
        <f t="shared" si="21"/>
        <v>3876.57</v>
      </c>
      <c r="AP123" s="79">
        <f>AI123*-Valores!$C$65</f>
        <v>-5705.13073</v>
      </c>
      <c r="AQ123" s="79">
        <f>AI123*-Valores!$C$66</f>
        <v>-219.428105</v>
      </c>
      <c r="AR123" s="73">
        <f>AI123*-Valores!$C$67</f>
        <v>-1974.8529449999999</v>
      </c>
      <c r="AS123" s="73">
        <f>AI123*-Valores!$C$68</f>
        <v>-1184.911767</v>
      </c>
      <c r="AT123" s="73">
        <f>AI123*-Valores!$C$69</f>
        <v>-131.656863</v>
      </c>
      <c r="AU123" s="77">
        <f t="shared" si="17"/>
        <v>39862.779220000004</v>
      </c>
      <c r="AV123" s="77">
        <f t="shared" si="18"/>
        <v>40521.06353500001</v>
      </c>
      <c r="AW123" s="73">
        <f>AI123*Valores!$C$71</f>
        <v>7021.69936</v>
      </c>
      <c r="AX123" s="73">
        <f>AI123*Valores!$C$72</f>
        <v>1974.8529449999999</v>
      </c>
      <c r="AY123" s="73">
        <f>AI123*Valores!$C$73</f>
        <v>438.85621</v>
      </c>
      <c r="AZ123" s="73">
        <f>AI123*Valores!$C$75</f>
        <v>1535.9967350000002</v>
      </c>
      <c r="BA123" s="73">
        <f>AI123*Valores!$C$76</f>
        <v>263.313726</v>
      </c>
      <c r="BB123" s="73">
        <f t="shared" si="22"/>
        <v>2369.823534</v>
      </c>
      <c r="BC123" s="47"/>
      <c r="BD123" s="47"/>
      <c r="BE123" s="24" t="s">
        <v>4</v>
      </c>
    </row>
    <row r="124" spans="1:57" s="24" customFormat="1" ht="11.25" customHeight="1">
      <c r="A124" s="47">
        <v>123</v>
      </c>
      <c r="B124" s="47"/>
      <c r="C124" s="24" t="s">
        <v>386</v>
      </c>
      <c r="E124" s="24">
        <f t="shared" si="14"/>
        <v>21</v>
      </c>
      <c r="F124" s="67" t="s">
        <v>387</v>
      </c>
      <c r="G124" s="68">
        <v>1735</v>
      </c>
      <c r="H124" s="69">
        <f>INT((G124*Valores!$C$2*100)+0.5)/100</f>
        <v>13271.19</v>
      </c>
      <c r="I124" s="108">
        <v>0</v>
      </c>
      <c r="J124" s="71">
        <f>INT((I124*Valores!$C$2*100)+0.5)/100</f>
        <v>0</v>
      </c>
      <c r="K124" s="98">
        <v>0</v>
      </c>
      <c r="L124" s="71">
        <f>INT((K124*Valores!$C$2*100)+0.5)/100</f>
        <v>0</v>
      </c>
      <c r="M124" s="96">
        <v>0</v>
      </c>
      <c r="N124" s="71">
        <f>INT((M124*Valores!$C$2*100)+0.5)/100</f>
        <v>0</v>
      </c>
      <c r="O124" s="71">
        <f t="shared" si="15"/>
        <v>2643.75</v>
      </c>
      <c r="P124" s="71">
        <f t="shared" si="16"/>
        <v>0</v>
      </c>
      <c r="Q124" s="73">
        <f>Valores!$C$20</f>
        <v>4706.17</v>
      </c>
      <c r="R124" s="73">
        <f>Valores!$D$4</f>
        <v>3421.44</v>
      </c>
      <c r="S124" s="71">
        <v>0</v>
      </c>
      <c r="T124" s="74">
        <f>Valores!$C$41</f>
        <v>1237.58</v>
      </c>
      <c r="U124" s="97">
        <f>Valores!$C$24</f>
        <v>3116.23</v>
      </c>
      <c r="V124" s="71">
        <f t="shared" si="23"/>
        <v>3116.23</v>
      </c>
      <c r="W124" s="71">
        <v>0</v>
      </c>
      <c r="X124" s="71">
        <v>0</v>
      </c>
      <c r="Y124" s="75">
        <v>0</v>
      </c>
      <c r="Z124" s="71">
        <f>Y124*Valores!$C$2</f>
        <v>0</v>
      </c>
      <c r="AA124" s="71">
        <v>0</v>
      </c>
      <c r="AB124" s="76">
        <f>Valores!$C$29</f>
        <v>184.78</v>
      </c>
      <c r="AC124" s="71">
        <f t="shared" si="19"/>
        <v>0</v>
      </c>
      <c r="AD124" s="71">
        <f>Valores!$C$30</f>
        <v>184.78</v>
      </c>
      <c r="AE124" s="75">
        <v>0</v>
      </c>
      <c r="AF124" s="71">
        <f>INT(((AE124*Valores!$C$2)*100)+0.5)/100</f>
        <v>0</v>
      </c>
      <c r="AG124" s="71">
        <f>Valores!$C$58</f>
        <v>375.86</v>
      </c>
      <c r="AH124" s="71">
        <f>Valores!$C$60</f>
        <v>107.38</v>
      </c>
      <c r="AI124" s="77">
        <f t="shared" si="20"/>
        <v>29249.16</v>
      </c>
      <c r="AJ124" s="73">
        <f>Valores!$C$35</f>
        <v>876.57</v>
      </c>
      <c r="AK124" s="74">
        <f>Valores!$C$7</f>
        <v>0</v>
      </c>
      <c r="AL124" s="74">
        <f>Valores!$C$81</f>
        <v>1500</v>
      </c>
      <c r="AM124" s="74">
        <v>1400</v>
      </c>
      <c r="AN124" s="76">
        <f>Valores!$C$51</f>
        <v>157.49</v>
      </c>
      <c r="AO124" s="78">
        <f t="shared" si="21"/>
        <v>2376.57</v>
      </c>
      <c r="AP124" s="79">
        <f>AI124*-Valores!$C$65</f>
        <v>-3802.3908</v>
      </c>
      <c r="AQ124" s="79">
        <f>AI124*-Valores!$C$66</f>
        <v>-146.2458</v>
      </c>
      <c r="AR124" s="73">
        <f>AI124*-Valores!$C$67</f>
        <v>-1316.2122</v>
      </c>
      <c r="AS124" s="73">
        <f>AI124*-Valores!$C$68</f>
        <v>-789.72732</v>
      </c>
      <c r="AT124" s="73">
        <f>AI124*-Valores!$C$69</f>
        <v>-87.74748</v>
      </c>
      <c r="AU124" s="77">
        <f t="shared" si="17"/>
        <v>26360.881199999996</v>
      </c>
      <c r="AV124" s="77">
        <f t="shared" si="18"/>
        <v>26799.6186</v>
      </c>
      <c r="AW124" s="73">
        <f>AI124*Valores!$C$71</f>
        <v>4679.8656</v>
      </c>
      <c r="AX124" s="73">
        <f>AI124*Valores!$C$72</f>
        <v>1316.2122</v>
      </c>
      <c r="AY124" s="73">
        <f>AI124*Valores!$C$73</f>
        <v>292.4916</v>
      </c>
      <c r="AZ124" s="73">
        <f>AI124*Valores!$C$75</f>
        <v>1023.7206000000001</v>
      </c>
      <c r="BA124" s="73">
        <f>AI124*Valores!$C$76</f>
        <v>175.49496</v>
      </c>
      <c r="BB124" s="73">
        <f t="shared" si="22"/>
        <v>1579.4546400000002</v>
      </c>
      <c r="BC124" s="47"/>
      <c r="BD124" s="81"/>
      <c r="BE124" s="24" t="s">
        <v>4</v>
      </c>
    </row>
    <row r="125" spans="1:57" s="24" customFormat="1" ht="11.25" customHeight="1">
      <c r="A125" s="47">
        <v>124</v>
      </c>
      <c r="B125" s="47"/>
      <c r="C125" s="24" t="s">
        <v>388</v>
      </c>
      <c r="E125" s="24">
        <f t="shared" si="14"/>
        <v>35</v>
      </c>
      <c r="F125" s="67" t="s">
        <v>389</v>
      </c>
      <c r="G125" s="68">
        <v>72</v>
      </c>
      <c r="H125" s="69">
        <f>INT((G125*Valores!$C$2*100)+0.5)/100</f>
        <v>550.74</v>
      </c>
      <c r="I125" s="108">
        <v>1590</v>
      </c>
      <c r="J125" s="71">
        <f>INT((I125*Valores!$C$2*100)+0.5)/100</f>
        <v>12162.07</v>
      </c>
      <c r="K125" s="98">
        <v>0</v>
      </c>
      <c r="L125" s="71">
        <f>INT((K125*Valores!$C$2*100)+0.5)/100</f>
        <v>0</v>
      </c>
      <c r="M125" s="96">
        <v>0</v>
      </c>
      <c r="N125" s="71">
        <f>INT((M125*Valores!$C$2*100)+0.5)/100</f>
        <v>0</v>
      </c>
      <c r="O125" s="71">
        <f t="shared" si="15"/>
        <v>2559.993</v>
      </c>
      <c r="P125" s="71">
        <f t="shared" si="16"/>
        <v>0</v>
      </c>
      <c r="Q125" s="73">
        <f>Valores!$C$20</f>
        <v>4706.17</v>
      </c>
      <c r="R125" s="73">
        <f>Valores!$D$4</f>
        <v>3421.44</v>
      </c>
      <c r="S125" s="74">
        <f>Valores!$C$26</f>
        <v>3568.39</v>
      </c>
      <c r="T125" s="74">
        <f>Valores!$C$41</f>
        <v>1237.58</v>
      </c>
      <c r="U125" s="97">
        <f>Valores!$C$24</f>
        <v>3116.23</v>
      </c>
      <c r="V125" s="71">
        <f t="shared" si="23"/>
        <v>3116.23</v>
      </c>
      <c r="W125" s="71">
        <v>0</v>
      </c>
      <c r="X125" s="71">
        <v>0</v>
      </c>
      <c r="Y125" s="75">
        <v>0</v>
      </c>
      <c r="Z125" s="71">
        <f>Y125*Valores!$C$2</f>
        <v>0</v>
      </c>
      <c r="AA125" s="71">
        <v>0</v>
      </c>
      <c r="AB125" s="76">
        <f>Valores!$C$29</f>
        <v>184.78</v>
      </c>
      <c r="AC125" s="71">
        <f t="shared" si="19"/>
        <v>0</v>
      </c>
      <c r="AD125" s="71">
        <f>Valores!$C$30</f>
        <v>184.78</v>
      </c>
      <c r="AE125" s="75">
        <v>0</v>
      </c>
      <c r="AF125" s="71">
        <f>INT(((AE125*Valores!$C$2)*100)+0.5)/100</f>
        <v>0</v>
      </c>
      <c r="AG125" s="71">
        <f>Valores!$C$58</f>
        <v>375.86</v>
      </c>
      <c r="AH125" s="71">
        <f>Valores!$C$60</f>
        <v>107.38</v>
      </c>
      <c r="AI125" s="77">
        <f t="shared" si="20"/>
        <v>32175.412999999997</v>
      </c>
      <c r="AJ125" s="73">
        <f>Valores!$C$35</f>
        <v>876.57</v>
      </c>
      <c r="AK125" s="74">
        <f>Valores!$C$7</f>
        <v>0</v>
      </c>
      <c r="AL125" s="74">
        <f>Valores!$C$81</f>
        <v>1500</v>
      </c>
      <c r="AM125" s="74">
        <v>1400</v>
      </c>
      <c r="AN125" s="76">
        <f>Valores!$C$51</f>
        <v>157.49</v>
      </c>
      <c r="AO125" s="78">
        <f t="shared" si="21"/>
        <v>2376.57</v>
      </c>
      <c r="AP125" s="79">
        <f>AI125*-Valores!$C$65</f>
        <v>-4182.80369</v>
      </c>
      <c r="AQ125" s="79">
        <f>AI125*-Valores!$C$66</f>
        <v>-160.877065</v>
      </c>
      <c r="AR125" s="73">
        <f>AI125*-Valores!$C$67</f>
        <v>-1447.8935849999998</v>
      </c>
      <c r="AS125" s="73">
        <f>AI125*-Valores!$C$68</f>
        <v>-868.736151</v>
      </c>
      <c r="AT125" s="73">
        <f>AI125*-Valores!$C$69</f>
        <v>-96.52623899999999</v>
      </c>
      <c r="AU125" s="77">
        <f t="shared" si="17"/>
        <v>28760.40866</v>
      </c>
      <c r="AV125" s="77">
        <f t="shared" si="18"/>
        <v>29243.039855000003</v>
      </c>
      <c r="AW125" s="73">
        <f>AI125*Valores!$C$71</f>
        <v>5148.06608</v>
      </c>
      <c r="AX125" s="73">
        <f>AI125*Valores!$C$72</f>
        <v>1447.8935849999998</v>
      </c>
      <c r="AY125" s="73">
        <f>AI125*Valores!$C$73</f>
        <v>321.75413</v>
      </c>
      <c r="AZ125" s="73">
        <f>AI125*Valores!$C$75</f>
        <v>1126.139455</v>
      </c>
      <c r="BA125" s="73">
        <f>AI125*Valores!$C$76</f>
        <v>193.05247799999998</v>
      </c>
      <c r="BB125" s="73">
        <f t="shared" si="22"/>
        <v>1737.472302</v>
      </c>
      <c r="BC125" s="47"/>
      <c r="BD125" s="47">
        <v>25</v>
      </c>
      <c r="BE125" s="24" t="s">
        <v>4</v>
      </c>
    </row>
    <row r="126" spans="1:57" s="24" customFormat="1" ht="11.25" customHeight="1">
      <c r="A126" s="81">
        <v>125</v>
      </c>
      <c r="B126" s="81" t="s">
        <v>163</v>
      </c>
      <c r="C126" s="82" t="s">
        <v>390</v>
      </c>
      <c r="D126" s="82"/>
      <c r="E126" s="82">
        <f t="shared" si="14"/>
        <v>32</v>
      </c>
      <c r="F126" s="83" t="s">
        <v>391</v>
      </c>
      <c r="G126" s="84">
        <v>72</v>
      </c>
      <c r="H126" s="85">
        <f>INT((G126*Valores!$C$2*100)+0.5)/100</f>
        <v>550.74</v>
      </c>
      <c r="I126" s="99">
        <v>1590</v>
      </c>
      <c r="J126" s="87">
        <f>INT((I126*Valores!$C$2*100)+0.5)/100</f>
        <v>12162.07</v>
      </c>
      <c r="K126" s="100">
        <v>0</v>
      </c>
      <c r="L126" s="87">
        <f>INT((K126*Valores!$C$2*100)+0.5)/100</f>
        <v>0</v>
      </c>
      <c r="M126" s="101">
        <v>0</v>
      </c>
      <c r="N126" s="87">
        <f>INT((M126*Valores!$C$2*100)+0.5)/100</f>
        <v>0</v>
      </c>
      <c r="O126" s="87">
        <f t="shared" si="15"/>
        <v>2559.993</v>
      </c>
      <c r="P126" s="87">
        <f t="shared" si="16"/>
        <v>0</v>
      </c>
      <c r="Q126" s="89">
        <f>Valores!$C$20</f>
        <v>4706.17</v>
      </c>
      <c r="R126" s="89">
        <f>Valores!$D$4</f>
        <v>3421.44</v>
      </c>
      <c r="S126" s="104">
        <f>Valores!$C$26</f>
        <v>3568.39</v>
      </c>
      <c r="T126" s="104">
        <f>Valores!$C$41</f>
        <v>1237.58</v>
      </c>
      <c r="U126" s="103">
        <f>Valores!$C$24</f>
        <v>3116.23</v>
      </c>
      <c r="V126" s="87">
        <f t="shared" si="23"/>
        <v>3116.23</v>
      </c>
      <c r="W126" s="87">
        <v>0</v>
      </c>
      <c r="X126" s="87">
        <v>0</v>
      </c>
      <c r="Y126" s="91">
        <v>0</v>
      </c>
      <c r="Z126" s="87">
        <f>Y126*Valores!$C$2</f>
        <v>0</v>
      </c>
      <c r="AA126" s="87">
        <v>0</v>
      </c>
      <c r="AB126" s="92">
        <f>Valores!$C$29</f>
        <v>184.78</v>
      </c>
      <c r="AC126" s="87">
        <f t="shared" si="19"/>
        <v>0</v>
      </c>
      <c r="AD126" s="87">
        <f>Valores!$C$30</f>
        <v>184.78</v>
      </c>
      <c r="AE126" s="91">
        <v>94</v>
      </c>
      <c r="AF126" s="87">
        <f>INT(((AE126*Valores!$C$2)*100)+0.5)/100</f>
        <v>719.02</v>
      </c>
      <c r="AG126" s="87">
        <f>Valores!$C$58</f>
        <v>375.86</v>
      </c>
      <c r="AH126" s="87">
        <f>Valores!$C$60</f>
        <v>107.38</v>
      </c>
      <c r="AI126" s="93">
        <f t="shared" si="20"/>
        <v>32894.43299999999</v>
      </c>
      <c r="AJ126" s="89">
        <f>Valores!$C$35</f>
        <v>876.57</v>
      </c>
      <c r="AK126" s="90">
        <f>Valores!$C$7</f>
        <v>0</v>
      </c>
      <c r="AL126" s="90">
        <f>Valores!$C$81</f>
        <v>1500</v>
      </c>
      <c r="AM126" s="74">
        <v>1400</v>
      </c>
      <c r="AN126" s="92">
        <f>Valores!$C$51</f>
        <v>157.49</v>
      </c>
      <c r="AO126" s="94">
        <f t="shared" si="21"/>
        <v>2376.57</v>
      </c>
      <c r="AP126" s="95">
        <f>AI126*-Valores!$C$65</f>
        <v>-4276.276289999999</v>
      </c>
      <c r="AQ126" s="95">
        <f>AI126*-Valores!$C$66</f>
        <v>-164.47216499999996</v>
      </c>
      <c r="AR126" s="89">
        <f>AI126*-Valores!$C$67</f>
        <v>-1480.2494849999996</v>
      </c>
      <c r="AS126" s="89">
        <f>AI126*-Valores!$C$68</f>
        <v>-888.1496909999997</v>
      </c>
      <c r="AT126" s="89">
        <f>AI126*-Valores!$C$69</f>
        <v>-98.68329899999998</v>
      </c>
      <c r="AU126" s="93">
        <f t="shared" si="17"/>
        <v>29350.005059999992</v>
      </c>
      <c r="AV126" s="93">
        <f t="shared" si="18"/>
        <v>29843.421554999994</v>
      </c>
      <c r="AW126" s="89">
        <f>AI126*Valores!$C$71</f>
        <v>5263.109279999999</v>
      </c>
      <c r="AX126" s="89">
        <f>AI126*Valores!$C$72</f>
        <v>1480.2494849999996</v>
      </c>
      <c r="AY126" s="89">
        <f>AI126*Valores!$C$73</f>
        <v>328.9443299999999</v>
      </c>
      <c r="AZ126" s="89">
        <f>AI126*Valores!$C$75</f>
        <v>1151.3051549999998</v>
      </c>
      <c r="BA126" s="89">
        <f>AI126*Valores!$C$76</f>
        <v>197.36659799999995</v>
      </c>
      <c r="BB126" s="89">
        <f t="shared" si="22"/>
        <v>1776.2993819999995</v>
      </c>
      <c r="BC126" s="81"/>
      <c r="BD126" s="81">
        <v>20</v>
      </c>
      <c r="BE126" s="82" t="s">
        <v>4</v>
      </c>
    </row>
    <row r="127" spans="1:57" s="24" customFormat="1" ht="11.25" customHeight="1">
      <c r="A127" s="47">
        <v>126</v>
      </c>
      <c r="B127" s="47"/>
      <c r="C127" s="24" t="s">
        <v>392</v>
      </c>
      <c r="E127" s="24">
        <f t="shared" si="14"/>
        <v>36</v>
      </c>
      <c r="F127" s="67" t="s">
        <v>393</v>
      </c>
      <c r="G127" s="68">
        <v>77</v>
      </c>
      <c r="H127" s="69">
        <f>INT((G127*Valores!$C$2*100)+0.5)/100</f>
        <v>588.98</v>
      </c>
      <c r="I127" s="108">
        <v>2043</v>
      </c>
      <c r="J127" s="71">
        <f>INT((I127*Valores!$C$2*100)+0.5)/100</f>
        <v>15627.11</v>
      </c>
      <c r="K127" s="98">
        <v>0</v>
      </c>
      <c r="L127" s="71">
        <f>INT((K127*Valores!$C$2*100)+0.5)/100</f>
        <v>0</v>
      </c>
      <c r="M127" s="96">
        <v>0</v>
      </c>
      <c r="N127" s="71">
        <f>INT((M127*Valores!$C$2*100)+0.5)/100</f>
        <v>0</v>
      </c>
      <c r="O127" s="71">
        <f t="shared" si="15"/>
        <v>3118.4565000000002</v>
      </c>
      <c r="P127" s="71">
        <f t="shared" si="16"/>
        <v>0</v>
      </c>
      <c r="Q127" s="105">
        <f>Valores!$C$16</f>
        <v>4949.59</v>
      </c>
      <c r="R127" s="73">
        <f>Valores!$D$4</f>
        <v>3421.44</v>
      </c>
      <c r="S127" s="74">
        <f>Valores!$C$26</f>
        <v>3568.39</v>
      </c>
      <c r="T127" s="74">
        <f>Valores!$C$42</f>
        <v>1414.4</v>
      </c>
      <c r="U127" s="71">
        <f>Valores!$C$23</f>
        <v>3159.22</v>
      </c>
      <c r="V127" s="71">
        <f t="shared" si="23"/>
        <v>3159.22</v>
      </c>
      <c r="W127" s="71">
        <v>0</v>
      </c>
      <c r="X127" s="71">
        <v>0</v>
      </c>
      <c r="Y127" s="75">
        <v>0</v>
      </c>
      <c r="Z127" s="71">
        <f>Y127*Valores!$C$2</f>
        <v>0</v>
      </c>
      <c r="AA127" s="71">
        <v>0</v>
      </c>
      <c r="AB127" s="76">
        <f>Valores!$C$29</f>
        <v>184.78</v>
      </c>
      <c r="AC127" s="71">
        <f t="shared" si="19"/>
        <v>0</v>
      </c>
      <c r="AD127" s="71">
        <f>Valores!$C$30</f>
        <v>184.78</v>
      </c>
      <c r="AE127" s="75">
        <v>0</v>
      </c>
      <c r="AF127" s="71">
        <f>INT(((AE127*Valores!$C$2)*100)+0.5)/100</f>
        <v>0</v>
      </c>
      <c r="AG127" s="71">
        <f>Valores!$C$58</f>
        <v>375.86</v>
      </c>
      <c r="AH127" s="71">
        <f>Valores!$C$60</f>
        <v>107.38</v>
      </c>
      <c r="AI127" s="77">
        <f t="shared" si="20"/>
        <v>36700.38649999999</v>
      </c>
      <c r="AJ127" s="73">
        <f>Valores!$C$35</f>
        <v>876.57</v>
      </c>
      <c r="AK127" s="74">
        <f>Valores!$C$8</f>
        <v>0</v>
      </c>
      <c r="AL127" s="74">
        <f>Valores!$C$81</f>
        <v>1500</v>
      </c>
      <c r="AM127" s="74">
        <v>1400</v>
      </c>
      <c r="AN127" s="76">
        <f>Valores!$C$51</f>
        <v>157.49</v>
      </c>
      <c r="AO127" s="78">
        <f t="shared" si="21"/>
        <v>2376.57</v>
      </c>
      <c r="AP127" s="79">
        <f>AI127*-Valores!$C$65</f>
        <v>-4771.050244999999</v>
      </c>
      <c r="AQ127" s="79">
        <f>AI127*-Valores!$C$66</f>
        <v>-183.50193249999998</v>
      </c>
      <c r="AR127" s="73">
        <f>AI127*-Valores!$C$67</f>
        <v>-1651.5173924999997</v>
      </c>
      <c r="AS127" s="73">
        <f>AI127*-Valores!$C$68</f>
        <v>-990.9104354999998</v>
      </c>
      <c r="AT127" s="73">
        <f>AI127*-Valores!$C$69</f>
        <v>-110.10115949999998</v>
      </c>
      <c r="AU127" s="77">
        <f t="shared" si="17"/>
        <v>32470.886929999993</v>
      </c>
      <c r="AV127" s="77">
        <f t="shared" si="18"/>
        <v>33021.39272749999</v>
      </c>
      <c r="AW127" s="73">
        <f>AI127*Valores!$C$71</f>
        <v>5872.061839999999</v>
      </c>
      <c r="AX127" s="73">
        <f>AI127*Valores!$C$72</f>
        <v>1651.5173924999997</v>
      </c>
      <c r="AY127" s="73">
        <f>AI127*Valores!$C$73</f>
        <v>367.00386499999996</v>
      </c>
      <c r="AZ127" s="73">
        <f>AI127*Valores!$C$75</f>
        <v>1284.5135274999998</v>
      </c>
      <c r="BA127" s="73">
        <f>AI127*Valores!$C$76</f>
        <v>220.20231899999996</v>
      </c>
      <c r="BB127" s="73">
        <f t="shared" si="22"/>
        <v>1981.8208709999997</v>
      </c>
      <c r="BC127" s="47"/>
      <c r="BD127" s="47"/>
      <c r="BE127" s="24" t="s">
        <v>4</v>
      </c>
    </row>
    <row r="128" spans="1:57" s="24" customFormat="1" ht="11.25" customHeight="1">
      <c r="A128" s="47">
        <v>127</v>
      </c>
      <c r="B128" s="47"/>
      <c r="C128" s="24" t="s">
        <v>394</v>
      </c>
      <c r="E128" s="24">
        <f t="shared" si="14"/>
        <v>35</v>
      </c>
      <c r="F128" s="67" t="s">
        <v>395</v>
      </c>
      <c r="G128" s="68">
        <v>61</v>
      </c>
      <c r="H128" s="69">
        <f>INT((G128*Valores!$C$2*100)+0.5)/100</f>
        <v>466.6</v>
      </c>
      <c r="I128" s="108">
        <v>1217</v>
      </c>
      <c r="J128" s="71">
        <f>INT((I128*Valores!$C$2*100)+0.5)/100</f>
        <v>9308.95</v>
      </c>
      <c r="K128" s="98">
        <v>0</v>
      </c>
      <c r="L128" s="71">
        <f>INT((K128*Valores!$C$2*100)+0.5)/100</f>
        <v>0</v>
      </c>
      <c r="M128" s="96">
        <v>0</v>
      </c>
      <c r="N128" s="71">
        <f>INT((M128*Valores!$C$2*100)+0.5)/100</f>
        <v>0</v>
      </c>
      <c r="O128" s="71">
        <f t="shared" si="15"/>
        <v>2125.8525</v>
      </c>
      <c r="P128" s="71">
        <f t="shared" si="16"/>
        <v>0</v>
      </c>
      <c r="Q128" s="73">
        <f>Valores!$C$20</f>
        <v>4706.17</v>
      </c>
      <c r="R128" s="73">
        <f>Valores!$D$4</f>
        <v>3421.44</v>
      </c>
      <c r="S128" s="74">
        <f>Valores!$C$26</f>
        <v>3568.39</v>
      </c>
      <c r="T128" s="74">
        <f>Valores!$C$41</f>
        <v>1237.58</v>
      </c>
      <c r="U128" s="97">
        <f>Valores!$C$23</f>
        <v>3159.22</v>
      </c>
      <c r="V128" s="71">
        <f t="shared" si="23"/>
        <v>3159.22</v>
      </c>
      <c r="W128" s="71">
        <v>0</v>
      </c>
      <c r="X128" s="71">
        <v>0</v>
      </c>
      <c r="Y128" s="75">
        <v>0</v>
      </c>
      <c r="Z128" s="71">
        <f>Y128*Valores!$C$2</f>
        <v>0</v>
      </c>
      <c r="AA128" s="71">
        <v>0</v>
      </c>
      <c r="AB128" s="76">
        <f>Valores!$C$29</f>
        <v>184.78</v>
      </c>
      <c r="AC128" s="71">
        <f t="shared" si="19"/>
        <v>0</v>
      </c>
      <c r="AD128" s="71">
        <f>Valores!$C$30</f>
        <v>184.78</v>
      </c>
      <c r="AE128" s="75">
        <v>0</v>
      </c>
      <c r="AF128" s="71">
        <f>INT(((AE128*Valores!$C$2)*100)+0.5)/100</f>
        <v>0</v>
      </c>
      <c r="AG128" s="71">
        <f>Valores!$C$58</f>
        <v>375.86</v>
      </c>
      <c r="AH128" s="71">
        <f>Valores!$C$60</f>
        <v>107.38</v>
      </c>
      <c r="AI128" s="77">
        <f t="shared" si="20"/>
        <v>28847.0025</v>
      </c>
      <c r="AJ128" s="73">
        <f>Valores!$C$35</f>
        <v>876.57</v>
      </c>
      <c r="AK128" s="74">
        <f>Valores!$C$7</f>
        <v>0</v>
      </c>
      <c r="AL128" s="74">
        <f>Valores!$C$81</f>
        <v>1500</v>
      </c>
      <c r="AM128" s="74">
        <v>1400</v>
      </c>
      <c r="AN128" s="76">
        <f>Valores!$C$51</f>
        <v>157.49</v>
      </c>
      <c r="AO128" s="78">
        <f t="shared" si="21"/>
        <v>2376.57</v>
      </c>
      <c r="AP128" s="79">
        <f>AI128*-Valores!$C$65</f>
        <v>-3750.110325</v>
      </c>
      <c r="AQ128" s="79">
        <f>AI128*-Valores!$C$66</f>
        <v>-144.2350125</v>
      </c>
      <c r="AR128" s="73">
        <f>AI128*-Valores!$C$67</f>
        <v>-1298.1151125</v>
      </c>
      <c r="AS128" s="73">
        <f>AI128*-Valores!$C$68</f>
        <v>-778.8690674999999</v>
      </c>
      <c r="AT128" s="73">
        <f>AI128*-Valores!$C$69</f>
        <v>-86.54100749999999</v>
      </c>
      <c r="AU128" s="77">
        <f t="shared" si="17"/>
        <v>26031.112049999996</v>
      </c>
      <c r="AV128" s="77">
        <f t="shared" si="18"/>
        <v>26463.817087499996</v>
      </c>
      <c r="AW128" s="73">
        <f>AI128*Valores!$C$71</f>
        <v>4615.5204</v>
      </c>
      <c r="AX128" s="73">
        <f>AI128*Valores!$C$72</f>
        <v>1298.1151125</v>
      </c>
      <c r="AY128" s="73">
        <f>AI128*Valores!$C$73</f>
        <v>288.470025</v>
      </c>
      <c r="AZ128" s="73">
        <f>AI128*Valores!$C$75</f>
        <v>1009.6450875</v>
      </c>
      <c r="BA128" s="73">
        <f>AI128*Valores!$C$76</f>
        <v>173.08201499999998</v>
      </c>
      <c r="BB128" s="73">
        <f t="shared" si="22"/>
        <v>1557.7381349999998</v>
      </c>
      <c r="BC128" s="47"/>
      <c r="BD128" s="47">
        <v>25</v>
      </c>
      <c r="BE128" s="24" t="s">
        <v>4</v>
      </c>
    </row>
    <row r="129" spans="1:57" s="24" customFormat="1" ht="11.25" customHeight="1">
      <c r="A129" s="47">
        <v>128</v>
      </c>
      <c r="B129" s="47"/>
      <c r="C129" s="24" t="s">
        <v>396</v>
      </c>
      <c r="E129" s="24">
        <f t="shared" si="14"/>
        <v>32</v>
      </c>
      <c r="F129" s="67" t="s">
        <v>397</v>
      </c>
      <c r="G129" s="68">
        <v>72</v>
      </c>
      <c r="H129" s="69">
        <f>INT((G129*Valores!$C$2*100)+0.5)/100</f>
        <v>550.74</v>
      </c>
      <c r="I129" s="108">
        <v>1206</v>
      </c>
      <c r="J129" s="71">
        <f>INT((I129*Valores!$C$2*100)+0.5)/100</f>
        <v>9224.81</v>
      </c>
      <c r="K129" s="98">
        <v>0</v>
      </c>
      <c r="L129" s="71">
        <f>INT((K129*Valores!$C$2*100)+0.5)/100</f>
        <v>0</v>
      </c>
      <c r="M129" s="96">
        <v>0</v>
      </c>
      <c r="N129" s="71">
        <f>INT((M129*Valores!$C$2*100)+0.5)/100</f>
        <v>0</v>
      </c>
      <c r="O129" s="71">
        <f t="shared" si="15"/>
        <v>2125.8524999999995</v>
      </c>
      <c r="P129" s="71">
        <f t="shared" si="16"/>
        <v>0</v>
      </c>
      <c r="Q129" s="73">
        <f>Valores!$C$20</f>
        <v>4706.17</v>
      </c>
      <c r="R129" s="73">
        <f>Valores!$D$4</f>
        <v>3421.44</v>
      </c>
      <c r="S129" s="102">
        <f>Valores!$C$26</f>
        <v>3568.39</v>
      </c>
      <c r="T129" s="102">
        <f>Valores!$C$41</f>
        <v>1237.58</v>
      </c>
      <c r="U129" s="71">
        <f>Valores!$C$23</f>
        <v>3159.22</v>
      </c>
      <c r="V129" s="71">
        <f t="shared" si="23"/>
        <v>3159.22</v>
      </c>
      <c r="W129" s="71">
        <v>0</v>
      </c>
      <c r="X129" s="71">
        <v>0</v>
      </c>
      <c r="Y129" s="75">
        <v>0</v>
      </c>
      <c r="Z129" s="71">
        <f>Y129*Valores!$C$2</f>
        <v>0</v>
      </c>
      <c r="AA129" s="71">
        <v>0</v>
      </c>
      <c r="AB129" s="76">
        <f>Valores!$C$29</f>
        <v>184.78</v>
      </c>
      <c r="AC129" s="71">
        <f t="shared" si="19"/>
        <v>0</v>
      </c>
      <c r="AD129" s="71">
        <f>Valores!$C$30</f>
        <v>184.78</v>
      </c>
      <c r="AE129" s="75">
        <v>94</v>
      </c>
      <c r="AF129" s="71">
        <f>INT(((AE129*Valores!$C$2)*100)+0.5)/100</f>
        <v>719.02</v>
      </c>
      <c r="AG129" s="71">
        <f>Valores!$C$58</f>
        <v>375.86</v>
      </c>
      <c r="AH129" s="71">
        <f>Valores!$C$60</f>
        <v>107.38</v>
      </c>
      <c r="AI129" s="77">
        <f t="shared" si="20"/>
        <v>29566.022499999995</v>
      </c>
      <c r="AJ129" s="73">
        <f>Valores!$C$35</f>
        <v>876.57</v>
      </c>
      <c r="AK129" s="74">
        <f>Valores!$C$7</f>
        <v>0</v>
      </c>
      <c r="AL129" s="74">
        <f>Valores!$C$81</f>
        <v>1500</v>
      </c>
      <c r="AM129" s="74">
        <v>1400</v>
      </c>
      <c r="AN129" s="76">
        <f>Valores!$C$51</f>
        <v>157.49</v>
      </c>
      <c r="AO129" s="78">
        <f t="shared" si="21"/>
        <v>2376.57</v>
      </c>
      <c r="AP129" s="79">
        <f>AI129*-Valores!$C$65</f>
        <v>-3843.5829249999997</v>
      </c>
      <c r="AQ129" s="79">
        <f>AI129*-Valores!$C$66</f>
        <v>-147.83011249999998</v>
      </c>
      <c r="AR129" s="73">
        <f>AI129*-Valores!$C$67</f>
        <v>-1330.4710124999997</v>
      </c>
      <c r="AS129" s="73">
        <f>AI129*-Valores!$C$68</f>
        <v>-798.2826074999998</v>
      </c>
      <c r="AT129" s="73">
        <f>AI129*-Valores!$C$69</f>
        <v>-88.6980675</v>
      </c>
      <c r="AU129" s="77">
        <f t="shared" si="17"/>
        <v>26620.70845</v>
      </c>
      <c r="AV129" s="77">
        <f t="shared" si="18"/>
        <v>27064.198787499994</v>
      </c>
      <c r="AW129" s="73">
        <f>AI129*Valores!$C$71</f>
        <v>4730.5635999999995</v>
      </c>
      <c r="AX129" s="73">
        <f>AI129*Valores!$C$72</f>
        <v>1330.4710124999997</v>
      </c>
      <c r="AY129" s="73">
        <f>AI129*Valores!$C$73</f>
        <v>295.66022499999997</v>
      </c>
      <c r="AZ129" s="73">
        <f>AI129*Valores!$C$75</f>
        <v>1034.8107874999998</v>
      </c>
      <c r="BA129" s="73">
        <f>AI129*Valores!$C$76</f>
        <v>177.396135</v>
      </c>
      <c r="BB129" s="73">
        <f t="shared" si="22"/>
        <v>1596.5652149999996</v>
      </c>
      <c r="BC129" s="47"/>
      <c r="BD129" s="81">
        <v>20</v>
      </c>
      <c r="BE129" s="24" t="s">
        <v>4</v>
      </c>
    </row>
    <row r="130" spans="1:57" s="24" customFormat="1" ht="11.25" customHeight="1">
      <c r="A130" s="47">
        <v>129</v>
      </c>
      <c r="B130" s="47"/>
      <c r="C130" s="24" t="s">
        <v>398</v>
      </c>
      <c r="E130" s="24">
        <f t="shared" si="14"/>
        <v>33</v>
      </c>
      <c r="F130" s="67" t="s">
        <v>399</v>
      </c>
      <c r="G130" s="68">
        <v>61</v>
      </c>
      <c r="H130" s="69">
        <f>INT((G130*Valores!$C$2*100)+0.5)/100</f>
        <v>466.6</v>
      </c>
      <c r="I130" s="108">
        <v>1217</v>
      </c>
      <c r="J130" s="71">
        <f>INT((I130*Valores!$C$2*100)+0.5)/100</f>
        <v>9308.95</v>
      </c>
      <c r="K130" s="98">
        <v>0</v>
      </c>
      <c r="L130" s="71">
        <f>INT((K130*Valores!$C$2*100)+0.5)/100</f>
        <v>0</v>
      </c>
      <c r="M130" s="96">
        <v>0</v>
      </c>
      <c r="N130" s="71">
        <f>INT((M130*Valores!$C$2*100)+0.5)/100</f>
        <v>0</v>
      </c>
      <c r="O130" s="71">
        <f t="shared" si="15"/>
        <v>2119.404</v>
      </c>
      <c r="P130" s="71">
        <f t="shared" si="16"/>
        <v>0</v>
      </c>
      <c r="Q130" s="73">
        <f>Valores!$C$20</f>
        <v>4706.17</v>
      </c>
      <c r="R130" s="73">
        <f>Valores!$D$4</f>
        <v>3421.44</v>
      </c>
      <c r="S130" s="71">
        <v>0</v>
      </c>
      <c r="T130" s="74">
        <f>Valores!$C$41</f>
        <v>1237.58</v>
      </c>
      <c r="U130" s="97">
        <f>Valores!$C$24</f>
        <v>3116.23</v>
      </c>
      <c r="V130" s="71">
        <f t="shared" si="23"/>
        <v>3116.23</v>
      </c>
      <c r="W130" s="71">
        <v>0</v>
      </c>
      <c r="X130" s="71">
        <v>0</v>
      </c>
      <c r="Y130" s="75">
        <v>0</v>
      </c>
      <c r="Z130" s="71">
        <f>Y130*Valores!$C$2</f>
        <v>0</v>
      </c>
      <c r="AA130" s="71">
        <v>0</v>
      </c>
      <c r="AB130" s="76">
        <f>Valores!$C$29</f>
        <v>184.78</v>
      </c>
      <c r="AC130" s="71">
        <f t="shared" si="19"/>
        <v>0</v>
      </c>
      <c r="AD130" s="71">
        <f>Valores!$C$30</f>
        <v>184.78</v>
      </c>
      <c r="AE130" s="75">
        <v>0</v>
      </c>
      <c r="AF130" s="71">
        <f>INT(((AE130*Valores!$C$2)*100)+0.5)/100</f>
        <v>0</v>
      </c>
      <c r="AG130" s="71">
        <f>Valores!$C$58</f>
        <v>375.86</v>
      </c>
      <c r="AH130" s="71">
        <f>Valores!$C$60</f>
        <v>107.38</v>
      </c>
      <c r="AI130" s="77">
        <f t="shared" si="20"/>
        <v>25229.174000000003</v>
      </c>
      <c r="AJ130" s="73">
        <f>Valores!$C$35</f>
        <v>876.57</v>
      </c>
      <c r="AK130" s="74">
        <f>Valores!$C$7</f>
        <v>0</v>
      </c>
      <c r="AL130" s="74">
        <f>Valores!$C$81</f>
        <v>1500</v>
      </c>
      <c r="AM130" s="74">
        <v>1400</v>
      </c>
      <c r="AN130" s="76">
        <f>Valores!$C$51</f>
        <v>157.49</v>
      </c>
      <c r="AO130" s="78">
        <f t="shared" si="21"/>
        <v>2376.57</v>
      </c>
      <c r="AP130" s="79">
        <f>AI130*-Valores!$C$65</f>
        <v>-3279.7926200000006</v>
      </c>
      <c r="AQ130" s="79">
        <f>AI130*-Valores!$C$66</f>
        <v>-126.14587000000002</v>
      </c>
      <c r="AR130" s="73">
        <f>AI130*-Valores!$C$67</f>
        <v>-1135.31283</v>
      </c>
      <c r="AS130" s="73">
        <f>AI130*-Valores!$C$68</f>
        <v>-681.1876980000001</v>
      </c>
      <c r="AT130" s="73">
        <f>AI130*-Valores!$C$69</f>
        <v>-75.68752200000002</v>
      </c>
      <c r="AU130" s="77">
        <f t="shared" si="17"/>
        <v>23064.492680000003</v>
      </c>
      <c r="AV130" s="77">
        <f t="shared" si="18"/>
        <v>23442.93029</v>
      </c>
      <c r="AW130" s="73">
        <f>AI130*Valores!$C$71</f>
        <v>4036.6678400000005</v>
      </c>
      <c r="AX130" s="73">
        <f>AI130*Valores!$C$72</f>
        <v>1135.31283</v>
      </c>
      <c r="AY130" s="73">
        <f>AI130*Valores!$C$73</f>
        <v>252.29174000000003</v>
      </c>
      <c r="AZ130" s="73">
        <f>AI130*Valores!$C$75</f>
        <v>883.0210900000002</v>
      </c>
      <c r="BA130" s="73">
        <f>AI130*Valores!$C$76</f>
        <v>151.37504400000003</v>
      </c>
      <c r="BB130" s="73">
        <f t="shared" si="22"/>
        <v>1362.3753960000001</v>
      </c>
      <c r="BC130" s="47"/>
      <c r="BD130" s="47"/>
      <c r="BE130" s="24" t="s">
        <v>8</v>
      </c>
    </row>
    <row r="131" spans="1:57" s="24" customFormat="1" ht="11.25" customHeight="1">
      <c r="A131" s="81">
        <v>130</v>
      </c>
      <c r="B131" s="81" t="s">
        <v>163</v>
      </c>
      <c r="C131" s="82" t="s">
        <v>400</v>
      </c>
      <c r="D131" s="82"/>
      <c r="E131" s="82">
        <f t="shared" si="14"/>
        <v>24</v>
      </c>
      <c r="F131" s="83" t="s">
        <v>401</v>
      </c>
      <c r="G131" s="84">
        <v>1278</v>
      </c>
      <c r="H131" s="85">
        <f>INT((G131*Valores!$C$2*100)+0.5)/100</f>
        <v>9775.55</v>
      </c>
      <c r="I131" s="99">
        <v>0</v>
      </c>
      <c r="J131" s="87">
        <f>INT((I131*Valores!$C$2*100)+0.5)/100</f>
        <v>0</v>
      </c>
      <c r="K131" s="100">
        <v>0</v>
      </c>
      <c r="L131" s="87">
        <f>INT((K131*Valores!$C$2*100)+0.5)/100</f>
        <v>0</v>
      </c>
      <c r="M131" s="101">
        <v>0</v>
      </c>
      <c r="N131" s="87">
        <f>INT((M131*Valores!$C$2*100)+0.5)/100</f>
        <v>0</v>
      </c>
      <c r="O131" s="87">
        <f t="shared" si="15"/>
        <v>2145.9269999999997</v>
      </c>
      <c r="P131" s="87">
        <f t="shared" si="16"/>
        <v>0</v>
      </c>
      <c r="Q131" s="89">
        <f>Valores!$C$20</f>
        <v>4706.17</v>
      </c>
      <c r="R131" s="89">
        <f>Valores!$D$4</f>
        <v>3421.44</v>
      </c>
      <c r="S131" s="103">
        <f>Valores!$C$26</f>
        <v>3568.39</v>
      </c>
      <c r="T131" s="104">
        <f>Valores!$C$42</f>
        <v>1414.4</v>
      </c>
      <c r="U131" s="103">
        <f>Valores!$C$24</f>
        <v>3116.23</v>
      </c>
      <c r="V131" s="87">
        <f t="shared" si="23"/>
        <v>3116.23</v>
      </c>
      <c r="W131" s="87">
        <v>0</v>
      </c>
      <c r="X131" s="87">
        <v>0</v>
      </c>
      <c r="Y131" s="91">
        <v>0</v>
      </c>
      <c r="Z131" s="87">
        <f>Y131*Valores!$C$2</f>
        <v>0</v>
      </c>
      <c r="AA131" s="87">
        <v>0</v>
      </c>
      <c r="AB131" s="92">
        <f>Valores!$C$29</f>
        <v>184.78</v>
      </c>
      <c r="AC131" s="87">
        <f t="shared" si="19"/>
        <v>0</v>
      </c>
      <c r="AD131" s="87">
        <f>Valores!$C$30</f>
        <v>184.78</v>
      </c>
      <c r="AE131" s="91">
        <v>0</v>
      </c>
      <c r="AF131" s="87">
        <f>INT(((AE131*Valores!$C$2)*100)+0.5)/100</f>
        <v>0</v>
      </c>
      <c r="AG131" s="87">
        <f>Valores!$C$58</f>
        <v>375.86</v>
      </c>
      <c r="AH131" s="87">
        <f>Valores!$C$60</f>
        <v>107.38</v>
      </c>
      <c r="AI131" s="93">
        <f t="shared" si="20"/>
        <v>29000.906999999996</v>
      </c>
      <c r="AJ131" s="89">
        <f>Valores!$C$35</f>
        <v>876.57</v>
      </c>
      <c r="AK131" s="90">
        <f>Valores!$C$8</f>
        <v>0</v>
      </c>
      <c r="AL131" s="90">
        <f>Valores!$C$81</f>
        <v>1500</v>
      </c>
      <c r="AM131" s="74">
        <v>1400</v>
      </c>
      <c r="AN131" s="92">
        <f>Valores!$C$51</f>
        <v>157.49</v>
      </c>
      <c r="AO131" s="94">
        <f t="shared" si="21"/>
        <v>2376.57</v>
      </c>
      <c r="AP131" s="95">
        <f>AI131*-Valores!$C$65</f>
        <v>-3770.1179099999995</v>
      </c>
      <c r="AQ131" s="95">
        <f>AI131*-Valores!$C$66</f>
        <v>-145.00453499999998</v>
      </c>
      <c r="AR131" s="89">
        <f>AI131*-Valores!$C$67</f>
        <v>-1305.0408149999998</v>
      </c>
      <c r="AS131" s="89">
        <f>AI131*-Valores!$C$68</f>
        <v>-783.0244889999999</v>
      </c>
      <c r="AT131" s="89">
        <f>AI131*-Valores!$C$69</f>
        <v>-87.002721</v>
      </c>
      <c r="AU131" s="93">
        <f t="shared" si="17"/>
        <v>26157.313739999994</v>
      </c>
      <c r="AV131" s="93">
        <f t="shared" si="18"/>
        <v>26592.327344999994</v>
      </c>
      <c r="AW131" s="89">
        <f>AI131*Valores!$C$71</f>
        <v>4640.145119999999</v>
      </c>
      <c r="AX131" s="89">
        <f>AI131*Valores!$C$72</f>
        <v>1305.0408149999998</v>
      </c>
      <c r="AY131" s="89">
        <f>AI131*Valores!$C$73</f>
        <v>290.00906999999995</v>
      </c>
      <c r="AZ131" s="89">
        <f>AI131*Valores!$C$75</f>
        <v>1015.0317449999999</v>
      </c>
      <c r="BA131" s="89">
        <f>AI131*Valores!$C$76</f>
        <v>174.005442</v>
      </c>
      <c r="BB131" s="89">
        <f t="shared" si="22"/>
        <v>1566.0489779999998</v>
      </c>
      <c r="BC131" s="81"/>
      <c r="BD131" s="81">
        <v>22</v>
      </c>
      <c r="BE131" s="82" t="s">
        <v>4</v>
      </c>
    </row>
    <row r="132" spans="1:57" s="24" customFormat="1" ht="11.25" customHeight="1">
      <c r="A132" s="47">
        <v>131</v>
      </c>
      <c r="B132" s="47"/>
      <c r="C132" s="24" t="s">
        <v>402</v>
      </c>
      <c r="E132" s="24">
        <f t="shared" si="14"/>
        <v>30</v>
      </c>
      <c r="F132" s="67" t="s">
        <v>403</v>
      </c>
      <c r="G132" s="68">
        <v>1278</v>
      </c>
      <c r="H132" s="69">
        <f>INT((G132*Valores!$C$2*100)+0.5)/100</f>
        <v>9775.55</v>
      </c>
      <c r="I132" s="108">
        <v>0</v>
      </c>
      <c r="J132" s="71">
        <f>INT((I132*Valores!$C$2*100)+0.5)/100</f>
        <v>0</v>
      </c>
      <c r="K132" s="98">
        <v>0</v>
      </c>
      <c r="L132" s="71">
        <f>INT((K132*Valores!$C$2*100)+0.5)/100</f>
        <v>0</v>
      </c>
      <c r="M132" s="96">
        <v>0</v>
      </c>
      <c r="N132" s="71">
        <f>INT((M132*Valores!$C$2*100)+0.5)/100</f>
        <v>0</v>
      </c>
      <c r="O132" s="71">
        <f t="shared" si="15"/>
        <v>2152.3754999999996</v>
      </c>
      <c r="P132" s="71">
        <f t="shared" si="16"/>
        <v>0</v>
      </c>
      <c r="Q132" s="73">
        <f>Valores!$C$20</f>
        <v>4706.17</v>
      </c>
      <c r="R132" s="73">
        <f>Valores!$D$4</f>
        <v>3421.44</v>
      </c>
      <c r="S132" s="71">
        <f>Valores!$C$26</f>
        <v>3568.39</v>
      </c>
      <c r="T132" s="74">
        <f>Valores!$C$42</f>
        <v>1414.4</v>
      </c>
      <c r="U132" s="71">
        <f>Valores!$C$23</f>
        <v>3159.22</v>
      </c>
      <c r="V132" s="71">
        <f t="shared" si="23"/>
        <v>3159.22</v>
      </c>
      <c r="W132" s="71">
        <v>0</v>
      </c>
      <c r="X132" s="71">
        <v>0</v>
      </c>
      <c r="Y132" s="75">
        <v>0</v>
      </c>
      <c r="Z132" s="71">
        <f>Y132*Valores!$C$2</f>
        <v>0</v>
      </c>
      <c r="AA132" s="71">
        <v>0</v>
      </c>
      <c r="AB132" s="76">
        <f>Valores!$C$29</f>
        <v>184.78</v>
      </c>
      <c r="AC132" s="71">
        <f t="shared" si="19"/>
        <v>0</v>
      </c>
      <c r="AD132" s="71">
        <f>Valores!$C$30</f>
        <v>184.78</v>
      </c>
      <c r="AE132" s="75">
        <v>94</v>
      </c>
      <c r="AF132" s="71">
        <f>INT(((AE132*Valores!$C$2)*100)+0.5)/100</f>
        <v>719.02</v>
      </c>
      <c r="AG132" s="71">
        <f>Valores!$C$58</f>
        <v>375.86</v>
      </c>
      <c r="AH132" s="71">
        <f>Valores!$C$60</f>
        <v>107.38</v>
      </c>
      <c r="AI132" s="77">
        <f t="shared" si="20"/>
        <v>29769.3655</v>
      </c>
      <c r="AJ132" s="73">
        <f>Valores!$C$35</f>
        <v>876.57</v>
      </c>
      <c r="AK132" s="74">
        <f>Valores!$C$8</f>
        <v>0</v>
      </c>
      <c r="AL132" s="74">
        <f>Valores!$C$81</f>
        <v>1500</v>
      </c>
      <c r="AM132" s="74">
        <v>1400</v>
      </c>
      <c r="AN132" s="76">
        <f>Valores!$C$51</f>
        <v>157.49</v>
      </c>
      <c r="AO132" s="78">
        <f t="shared" si="21"/>
        <v>2376.57</v>
      </c>
      <c r="AP132" s="79">
        <f>AI132*-Valores!$C$65</f>
        <v>-3870.017515</v>
      </c>
      <c r="AQ132" s="79">
        <f>AI132*-Valores!$C$66</f>
        <v>-148.8468275</v>
      </c>
      <c r="AR132" s="73">
        <f>AI132*-Valores!$C$67</f>
        <v>-1339.6214475</v>
      </c>
      <c r="AS132" s="73">
        <f>AI132*-Valores!$C$68</f>
        <v>-803.7728685</v>
      </c>
      <c r="AT132" s="73">
        <f>AI132*-Valores!$C$69</f>
        <v>-89.3080965</v>
      </c>
      <c r="AU132" s="77">
        <f t="shared" si="17"/>
        <v>26787.449709999997</v>
      </c>
      <c r="AV132" s="77">
        <f t="shared" si="18"/>
        <v>27233.990192499998</v>
      </c>
      <c r="AW132" s="73">
        <f>AI132*Valores!$C$71</f>
        <v>4763.09848</v>
      </c>
      <c r="AX132" s="73">
        <f>AI132*Valores!$C$72</f>
        <v>1339.6214475</v>
      </c>
      <c r="AY132" s="73">
        <f>AI132*Valores!$C$73</f>
        <v>297.693655</v>
      </c>
      <c r="AZ132" s="73">
        <f>AI132*Valores!$C$75</f>
        <v>1041.9277925000001</v>
      </c>
      <c r="BA132" s="73">
        <f>AI132*Valores!$C$76</f>
        <v>178.616193</v>
      </c>
      <c r="BB132" s="73">
        <f t="shared" si="22"/>
        <v>1607.5457370000001</v>
      </c>
      <c r="BC132" s="47"/>
      <c r="BD132" s="47">
        <v>20</v>
      </c>
      <c r="BE132" s="24" t="s">
        <v>4</v>
      </c>
    </row>
    <row r="133" spans="1:57" s="24" customFormat="1" ht="11.25" customHeight="1">
      <c r="A133" s="47">
        <v>132</v>
      </c>
      <c r="B133" s="47"/>
      <c r="C133" s="24" t="s">
        <v>404</v>
      </c>
      <c r="E133" s="24">
        <f t="shared" si="14"/>
        <v>19</v>
      </c>
      <c r="F133" s="67" t="s">
        <v>405</v>
      </c>
      <c r="G133" s="68">
        <v>936</v>
      </c>
      <c r="H133" s="69">
        <f>INT((G133*Valores!$C$2*100)+0.5)/100</f>
        <v>7159.56</v>
      </c>
      <c r="I133" s="108">
        <v>0</v>
      </c>
      <c r="J133" s="71">
        <f>INT((I133*Valores!$C$2*100)+0.5)/100</f>
        <v>0</v>
      </c>
      <c r="K133" s="98">
        <v>0</v>
      </c>
      <c r="L133" s="71">
        <f>INT((K133*Valores!$C$2*100)+0.5)/100</f>
        <v>0</v>
      </c>
      <c r="M133" s="96">
        <v>0</v>
      </c>
      <c r="N133" s="71">
        <f>INT((M133*Valores!$C$2*100)+0.5)/100</f>
        <v>0</v>
      </c>
      <c r="O133" s="71">
        <f t="shared" si="15"/>
        <v>1727.0055</v>
      </c>
      <c r="P133" s="71">
        <f t="shared" si="16"/>
        <v>0</v>
      </c>
      <c r="Q133" s="97">
        <f>Valores!$C$20</f>
        <v>4706.17</v>
      </c>
      <c r="R133" s="97">
        <f>Valores!$D$4</f>
        <v>3421.44</v>
      </c>
      <c r="S133" s="97">
        <f>Valores!$C$27</f>
        <v>3289.21</v>
      </c>
      <c r="T133" s="102">
        <f>Valores!$C$41</f>
        <v>1237.58</v>
      </c>
      <c r="U133" s="97">
        <f>Valores!$C$24</f>
        <v>3116.23</v>
      </c>
      <c r="V133" s="71">
        <f t="shared" si="23"/>
        <v>3116.23</v>
      </c>
      <c r="W133" s="71">
        <v>0</v>
      </c>
      <c r="X133" s="71">
        <v>0</v>
      </c>
      <c r="Y133" s="75">
        <v>0</v>
      </c>
      <c r="Z133" s="71">
        <f>Y133*Valores!$C$2</f>
        <v>0</v>
      </c>
      <c r="AA133" s="71">
        <v>0</v>
      </c>
      <c r="AB133" s="76">
        <f>Valores!$C$29</f>
        <v>184.78</v>
      </c>
      <c r="AC133" s="71">
        <f t="shared" si="19"/>
        <v>0</v>
      </c>
      <c r="AD133" s="71">
        <f>Valores!$C$30</f>
        <v>184.78</v>
      </c>
      <c r="AE133" s="109">
        <v>94</v>
      </c>
      <c r="AF133" s="74">
        <f>INT(((AE133*Valores!$C$2)*100)+0.5)/100</f>
        <v>719.02</v>
      </c>
      <c r="AG133" s="74">
        <f>Valores!$C$58</f>
        <v>375.86</v>
      </c>
      <c r="AH133" s="74">
        <f>Valores!$C$60</f>
        <v>107.38</v>
      </c>
      <c r="AI133" s="110">
        <f t="shared" si="20"/>
        <v>26229.015499999998</v>
      </c>
      <c r="AJ133" s="97">
        <f>Valores!$C$35</f>
        <v>876.57</v>
      </c>
      <c r="AK133" s="74">
        <f>Valores!$C$7</f>
        <v>0</v>
      </c>
      <c r="AL133" s="74">
        <f>Valores!$C$81</f>
        <v>1500</v>
      </c>
      <c r="AM133" s="74">
        <v>1400</v>
      </c>
      <c r="AN133" s="76">
        <f>Valores!$C$51</f>
        <v>157.49</v>
      </c>
      <c r="AO133" s="78">
        <f t="shared" si="21"/>
        <v>2376.57</v>
      </c>
      <c r="AP133" s="57">
        <f>AI133*-Valores!$C$65</f>
        <v>-3409.772015</v>
      </c>
      <c r="AQ133" s="57">
        <f>AI133*-Valores!$C$66</f>
        <v>-131.14507749999999</v>
      </c>
      <c r="AR133" s="73">
        <f>AI133*-Valores!$C$67</f>
        <v>-1180.3056975</v>
      </c>
      <c r="AS133" s="73">
        <f>AI133*-Valores!$C$68</f>
        <v>-708.1834184999999</v>
      </c>
      <c r="AT133" s="73">
        <f>AI133*-Valores!$C$69</f>
        <v>-78.6870465</v>
      </c>
      <c r="AU133" s="77">
        <f t="shared" si="17"/>
        <v>23884.362709999998</v>
      </c>
      <c r="AV133" s="77">
        <f t="shared" si="18"/>
        <v>24277.797942499998</v>
      </c>
      <c r="AW133" s="73">
        <f>AI133*Valores!$C$71</f>
        <v>4196.6424799999995</v>
      </c>
      <c r="AX133" s="73">
        <f>AI133*Valores!$C$72</f>
        <v>1180.3056975</v>
      </c>
      <c r="AY133" s="73">
        <f>AI133*Valores!$C$73</f>
        <v>262.29015499999997</v>
      </c>
      <c r="AZ133" s="73">
        <f>AI133*Valores!$C$75</f>
        <v>918.0155425</v>
      </c>
      <c r="BA133" s="73">
        <f>AI133*Valores!$C$76</f>
        <v>157.374093</v>
      </c>
      <c r="BB133" s="73">
        <f t="shared" si="22"/>
        <v>1416.366837</v>
      </c>
      <c r="BC133" s="47">
        <v>8</v>
      </c>
      <c r="BD133" s="47"/>
      <c r="BE133" s="24" t="s">
        <v>4</v>
      </c>
    </row>
    <row r="134" spans="1:57" s="24" customFormat="1" ht="11.25" customHeight="1">
      <c r="A134" s="47">
        <v>133</v>
      </c>
      <c r="B134" s="47"/>
      <c r="C134" s="24" t="s">
        <v>406</v>
      </c>
      <c r="E134" s="24">
        <f t="shared" si="14"/>
        <v>19</v>
      </c>
      <c r="F134" s="67" t="s">
        <v>407</v>
      </c>
      <c r="G134" s="68">
        <v>1278</v>
      </c>
      <c r="H134" s="69">
        <f>INT((G134*Valores!$C$2*100)+0.5)/100</f>
        <v>9775.55</v>
      </c>
      <c r="I134" s="108">
        <v>0</v>
      </c>
      <c r="J134" s="71">
        <f>INT((I134*Valores!$C$2*100)+0.5)/100</f>
        <v>0</v>
      </c>
      <c r="K134" s="98">
        <v>0</v>
      </c>
      <c r="L134" s="71">
        <f>INT((K134*Valores!$C$2*100)+0.5)/100</f>
        <v>0</v>
      </c>
      <c r="M134" s="96">
        <v>0</v>
      </c>
      <c r="N134" s="71">
        <f>INT((M134*Valores!$C$2*100)+0.5)/100</f>
        <v>0</v>
      </c>
      <c r="O134" s="71">
        <f t="shared" si="15"/>
        <v>2119.4039999999995</v>
      </c>
      <c r="P134" s="71">
        <f t="shared" si="16"/>
        <v>0</v>
      </c>
      <c r="Q134" s="97">
        <f>Valores!$C$15</f>
        <v>4920.96</v>
      </c>
      <c r="R134" s="97">
        <f>Valores!$D$4</f>
        <v>3421.44</v>
      </c>
      <c r="S134" s="74">
        <v>0</v>
      </c>
      <c r="T134" s="74">
        <f>Valores!$C$41</f>
        <v>1237.58</v>
      </c>
      <c r="U134" s="97">
        <f>Valores!$C$24</f>
        <v>3116.23</v>
      </c>
      <c r="V134" s="71">
        <f t="shared" si="23"/>
        <v>3116.23</v>
      </c>
      <c r="W134" s="71">
        <v>0</v>
      </c>
      <c r="X134" s="71">
        <v>0</v>
      </c>
      <c r="Y134" s="75">
        <v>0</v>
      </c>
      <c r="Z134" s="71">
        <f>Y134*Valores!$C$2</f>
        <v>0</v>
      </c>
      <c r="AA134" s="71">
        <v>0</v>
      </c>
      <c r="AB134" s="76">
        <f>Valores!$C$29</f>
        <v>184.78</v>
      </c>
      <c r="AC134" s="71">
        <f t="shared" si="19"/>
        <v>0</v>
      </c>
      <c r="AD134" s="71">
        <f>Valores!$C$30</f>
        <v>184.78</v>
      </c>
      <c r="AE134" s="109">
        <v>94</v>
      </c>
      <c r="AF134" s="74">
        <f>INT(((AE134*Valores!$C$2)*100)+0.5)/100</f>
        <v>719.02</v>
      </c>
      <c r="AG134" s="74">
        <f>Valores!$C$58</f>
        <v>375.86</v>
      </c>
      <c r="AH134" s="74">
        <f>Valores!$C$60</f>
        <v>107.38</v>
      </c>
      <c r="AI134" s="110">
        <f t="shared" si="20"/>
        <v>26162.983999999993</v>
      </c>
      <c r="AJ134" s="97">
        <f>Valores!$C$35</f>
        <v>876.57</v>
      </c>
      <c r="AK134" s="74">
        <f>Valores!$C$7</f>
        <v>0</v>
      </c>
      <c r="AL134" s="74">
        <f>Valores!$C$81</f>
        <v>1500</v>
      </c>
      <c r="AM134" s="74">
        <v>1400</v>
      </c>
      <c r="AN134" s="76">
        <f>Valores!$C$51</f>
        <v>157.49</v>
      </c>
      <c r="AO134" s="78">
        <f t="shared" si="21"/>
        <v>2376.57</v>
      </c>
      <c r="AP134" s="57">
        <f>AI134*-Valores!$C$65</f>
        <v>-3401.1879199999994</v>
      </c>
      <c r="AQ134" s="57">
        <f>AI134*-Valores!$C$66</f>
        <v>-130.81491999999997</v>
      </c>
      <c r="AR134" s="73">
        <f>AI134*-Valores!$C$67</f>
        <v>-1177.3342799999996</v>
      </c>
      <c r="AS134" s="73">
        <f>AI134*-Valores!$C$68</f>
        <v>-706.4005679999998</v>
      </c>
      <c r="AT134" s="73">
        <f>AI134*-Valores!$C$69</f>
        <v>-78.48895199999998</v>
      </c>
      <c r="AU134" s="77">
        <f t="shared" si="17"/>
        <v>23830.216879999993</v>
      </c>
      <c r="AV134" s="77">
        <f t="shared" si="18"/>
        <v>24222.66163999999</v>
      </c>
      <c r="AW134" s="73">
        <f>AI134*Valores!$C$71</f>
        <v>4186.077439999999</v>
      </c>
      <c r="AX134" s="73">
        <f>AI134*Valores!$C$72</f>
        <v>1177.3342799999996</v>
      </c>
      <c r="AY134" s="73">
        <f>AI134*Valores!$C$73</f>
        <v>261.62983999999994</v>
      </c>
      <c r="AZ134" s="73">
        <f>AI134*Valores!$C$75</f>
        <v>915.7044399999999</v>
      </c>
      <c r="BA134" s="73">
        <f>AI134*Valores!$C$76</f>
        <v>156.97790399999997</v>
      </c>
      <c r="BB134" s="73">
        <f t="shared" si="22"/>
        <v>1412.8011359999998</v>
      </c>
      <c r="BC134" s="47"/>
      <c r="BD134" s="81">
        <v>22</v>
      </c>
      <c r="BE134" s="24" t="s">
        <v>4</v>
      </c>
    </row>
    <row r="135" spans="1:57" s="24" customFormat="1" ht="11.25" customHeight="1">
      <c r="A135" s="47">
        <v>134</v>
      </c>
      <c r="B135" s="47"/>
      <c r="C135" s="24" t="s">
        <v>408</v>
      </c>
      <c r="E135" s="24">
        <f aca="true" t="shared" si="24" ref="E135:E198">LEN(F135)</f>
        <v>26</v>
      </c>
      <c r="F135" s="67" t="s">
        <v>409</v>
      </c>
      <c r="G135" s="68">
        <v>1278</v>
      </c>
      <c r="H135" s="69">
        <f>INT((G135*Valores!$C$2*100)+0.5)/100</f>
        <v>9775.55</v>
      </c>
      <c r="I135" s="108">
        <v>0</v>
      </c>
      <c r="J135" s="71">
        <f>INT((I135*Valores!$C$2*100)+0.5)/100</f>
        <v>0</v>
      </c>
      <c r="K135" s="98">
        <v>0</v>
      </c>
      <c r="L135" s="71">
        <f>INT((K135*Valores!$C$2*100)+0.5)/100</f>
        <v>0</v>
      </c>
      <c r="M135" s="96">
        <v>0</v>
      </c>
      <c r="N135" s="71">
        <f>INT((M135*Valores!$C$2*100)+0.5)/100</f>
        <v>0</v>
      </c>
      <c r="O135" s="71">
        <f aca="true" t="shared" si="25" ref="O135:O198">IF($J$2=0,IF(C135&lt;&gt;"13-930",(SUM(H135,J135,L135,N135,Z135,U135,T135)*$O$2),0),0)</f>
        <v>2152.3754999999996</v>
      </c>
      <c r="P135" s="71">
        <f aca="true" t="shared" si="26" ref="P135:P198">SUM(H135,J135,L135,N135,Z135,T135)*$J$2</f>
        <v>0</v>
      </c>
      <c r="Q135" s="97">
        <f>Valores!$C$15</f>
        <v>4920.96</v>
      </c>
      <c r="R135" s="97">
        <f>Valores!$D$4</f>
        <v>3421.44</v>
      </c>
      <c r="S135" s="97">
        <f>Valores!$C$26</f>
        <v>3568.39</v>
      </c>
      <c r="T135" s="102">
        <f>Valores!$C$42</f>
        <v>1414.4</v>
      </c>
      <c r="U135" s="71">
        <f>Valores!$C$23</f>
        <v>3159.22</v>
      </c>
      <c r="V135" s="71">
        <f t="shared" si="23"/>
        <v>3159.22</v>
      </c>
      <c r="W135" s="71">
        <v>0</v>
      </c>
      <c r="X135" s="71">
        <v>0</v>
      </c>
      <c r="Y135" s="75">
        <v>0</v>
      </c>
      <c r="Z135" s="71">
        <f>Y135*Valores!$C$2</f>
        <v>0</v>
      </c>
      <c r="AA135" s="71">
        <v>0</v>
      </c>
      <c r="AB135" s="76">
        <f>Valores!$C$29</f>
        <v>184.78</v>
      </c>
      <c r="AC135" s="71">
        <f t="shared" si="19"/>
        <v>0</v>
      </c>
      <c r="AD135" s="71">
        <f>Valores!$C$30</f>
        <v>184.78</v>
      </c>
      <c r="AE135" s="75">
        <v>0</v>
      </c>
      <c r="AF135" s="71">
        <f>INT(((AE135*Valores!$C$2)*100)+0.5)/100</f>
        <v>0</v>
      </c>
      <c r="AG135" s="71">
        <f>Valores!$C$58</f>
        <v>375.86</v>
      </c>
      <c r="AH135" s="71">
        <f>Valores!$C$60</f>
        <v>107.38</v>
      </c>
      <c r="AI135" s="110">
        <f t="shared" si="20"/>
        <v>29265.1355</v>
      </c>
      <c r="AJ135" s="97">
        <f>Valores!$C$35</f>
        <v>876.57</v>
      </c>
      <c r="AK135" s="74">
        <f>Valores!$C$8</f>
        <v>0</v>
      </c>
      <c r="AL135" s="74">
        <f>Valores!$C$81</f>
        <v>1500</v>
      </c>
      <c r="AM135" s="74">
        <v>1400</v>
      </c>
      <c r="AN135" s="76">
        <f>Valores!$C$51</f>
        <v>157.49</v>
      </c>
      <c r="AO135" s="78">
        <f t="shared" si="21"/>
        <v>2376.57</v>
      </c>
      <c r="AP135" s="57">
        <f>AI135*-Valores!$C$65</f>
        <v>-3804.467615</v>
      </c>
      <c r="AQ135" s="57">
        <f>AI135*-Valores!$C$66</f>
        <v>-146.3256775</v>
      </c>
      <c r="AR135" s="73">
        <f>AI135*-Valores!$C$67</f>
        <v>-1316.9310975</v>
      </c>
      <c r="AS135" s="73">
        <f>AI135*-Valores!$C$68</f>
        <v>-790.1586585</v>
      </c>
      <c r="AT135" s="73">
        <f>AI135*-Valores!$C$69</f>
        <v>-87.7954065</v>
      </c>
      <c r="AU135" s="77">
        <f aca="true" t="shared" si="27" ref="AU135:AU198">AI135+AO135+AQ135+AR135+AP135</f>
        <v>26373.981109999997</v>
      </c>
      <c r="AV135" s="77">
        <f aca="true" t="shared" si="28" ref="AV135:AV198">AI135+AO135+AQ135+AS135+AP135+AT135</f>
        <v>26812.958142499996</v>
      </c>
      <c r="AW135" s="73">
        <f>AI135*Valores!$C$71</f>
        <v>4682.42168</v>
      </c>
      <c r="AX135" s="73">
        <f>AI135*Valores!$C$72</f>
        <v>1316.9310975</v>
      </c>
      <c r="AY135" s="73">
        <f>AI135*Valores!$C$73</f>
        <v>292.651355</v>
      </c>
      <c r="AZ135" s="73">
        <f>AI135*Valores!$C$75</f>
        <v>1024.2797425</v>
      </c>
      <c r="BA135" s="73">
        <f>AI135*Valores!$C$76</f>
        <v>175.590813</v>
      </c>
      <c r="BB135" s="73">
        <f t="shared" si="22"/>
        <v>1580.317317</v>
      </c>
      <c r="BC135" s="47"/>
      <c r="BD135" s="47"/>
      <c r="BE135" s="24" t="s">
        <v>4</v>
      </c>
    </row>
    <row r="136" spans="1:57" s="24" customFormat="1" ht="11.25" customHeight="1">
      <c r="A136" s="81">
        <v>135</v>
      </c>
      <c r="B136" s="81" t="s">
        <v>163</v>
      </c>
      <c r="C136" s="82" t="s">
        <v>410</v>
      </c>
      <c r="D136" s="82"/>
      <c r="E136" s="82">
        <f t="shared" si="24"/>
        <v>19</v>
      </c>
      <c r="F136" s="83" t="s">
        <v>411</v>
      </c>
      <c r="G136" s="84">
        <v>1278</v>
      </c>
      <c r="H136" s="85">
        <f>INT((G136*Valores!$C$2*100)+0.5)/100</f>
        <v>9775.55</v>
      </c>
      <c r="I136" s="99">
        <v>0</v>
      </c>
      <c r="J136" s="87">
        <f>INT((I136*Valores!$C$2*100)+0.5)/100</f>
        <v>0</v>
      </c>
      <c r="K136" s="100">
        <v>0</v>
      </c>
      <c r="L136" s="87">
        <f>INT((K136*Valores!$C$2*100)+0.5)/100</f>
        <v>0</v>
      </c>
      <c r="M136" s="101">
        <v>0</v>
      </c>
      <c r="N136" s="87">
        <f>INT((M136*Valores!$C$2*100)+0.5)/100</f>
        <v>0</v>
      </c>
      <c r="O136" s="87">
        <f t="shared" si="25"/>
        <v>2152.3754999999996</v>
      </c>
      <c r="P136" s="87">
        <f t="shared" si="26"/>
        <v>0</v>
      </c>
      <c r="Q136" s="103">
        <f>Valores!$C$15</f>
        <v>4920.96</v>
      </c>
      <c r="R136" s="103">
        <f>Valores!$D$4</f>
        <v>3421.44</v>
      </c>
      <c r="S136" s="103">
        <f>Valores!$C$26</f>
        <v>3568.39</v>
      </c>
      <c r="T136" s="104">
        <f>Valores!$C$42</f>
        <v>1414.4</v>
      </c>
      <c r="U136" s="87">
        <f>Valores!$C$23</f>
        <v>3159.22</v>
      </c>
      <c r="V136" s="87">
        <f t="shared" si="23"/>
        <v>3159.22</v>
      </c>
      <c r="W136" s="87">
        <v>0</v>
      </c>
      <c r="X136" s="87">
        <v>0</v>
      </c>
      <c r="Y136" s="91">
        <v>0</v>
      </c>
      <c r="Z136" s="87">
        <f>Y136*Valores!$C$2</f>
        <v>0</v>
      </c>
      <c r="AA136" s="87">
        <v>0</v>
      </c>
      <c r="AB136" s="92">
        <f>Valores!$C$29</f>
        <v>184.78</v>
      </c>
      <c r="AC136" s="87">
        <f aca="true" t="shared" si="29" ref="AC136:AC199">SUM(H136,J136,L136,Z136,T136)*$H$3/100</f>
        <v>0</v>
      </c>
      <c r="AD136" s="87">
        <f>Valores!$C$30</f>
        <v>184.78</v>
      </c>
      <c r="AE136" s="91">
        <v>0</v>
      </c>
      <c r="AF136" s="87">
        <f>INT(((AE136*Valores!$C$2)*100)+0.5)/100</f>
        <v>0</v>
      </c>
      <c r="AG136" s="87">
        <f>Valores!$C$58</f>
        <v>375.86</v>
      </c>
      <c r="AH136" s="87">
        <f>Valores!$C$60</f>
        <v>107.38</v>
      </c>
      <c r="AI136" s="111">
        <f aca="true" t="shared" si="30" ref="AI136:AI199">SUM(H136,J136,L136,N136,O136,P136,Q136,R136,S136,V136,W136,X136,Z136,AA136,AB136,AC136,AD136,AF136,T136,AG136,AH136)</f>
        <v>29265.1355</v>
      </c>
      <c r="AJ136" s="103">
        <f>Valores!$C$35</f>
        <v>876.57</v>
      </c>
      <c r="AK136" s="90">
        <f>Valores!$C$8</f>
        <v>0</v>
      </c>
      <c r="AL136" s="90">
        <f>Valores!$C$81</f>
        <v>1500</v>
      </c>
      <c r="AM136" s="74">
        <v>1400</v>
      </c>
      <c r="AN136" s="92">
        <f>Valores!$C$51</f>
        <v>157.49</v>
      </c>
      <c r="AO136" s="94">
        <f aca="true" t="shared" si="31" ref="AO136:AO199">IF($H$4="SI",SUM(AJ136:AL136,AN136),SUM(AJ136:AL136))</f>
        <v>2376.57</v>
      </c>
      <c r="AP136" s="112">
        <f>AI136*-Valores!$C$65</f>
        <v>-3804.467615</v>
      </c>
      <c r="AQ136" s="112">
        <f>AI136*-Valores!$C$66</f>
        <v>-146.3256775</v>
      </c>
      <c r="AR136" s="89">
        <f>AI136*-Valores!$C$67</f>
        <v>-1316.9310975</v>
      </c>
      <c r="AS136" s="89">
        <f>AI136*-Valores!$C$68</f>
        <v>-790.1586585</v>
      </c>
      <c r="AT136" s="89">
        <f>AI136*-Valores!$C$69</f>
        <v>-87.7954065</v>
      </c>
      <c r="AU136" s="93">
        <f t="shared" si="27"/>
        <v>26373.981109999997</v>
      </c>
      <c r="AV136" s="93">
        <f t="shared" si="28"/>
        <v>26812.958142499996</v>
      </c>
      <c r="AW136" s="89">
        <f>AI136*Valores!$C$71</f>
        <v>4682.42168</v>
      </c>
      <c r="AX136" s="89">
        <f>AI136*Valores!$C$72</f>
        <v>1316.9310975</v>
      </c>
      <c r="AY136" s="89">
        <f>AI136*Valores!$C$73</f>
        <v>292.651355</v>
      </c>
      <c r="AZ136" s="89">
        <f>AI136*Valores!$C$75</f>
        <v>1024.2797425</v>
      </c>
      <c r="BA136" s="89">
        <f>AI136*Valores!$C$76</f>
        <v>175.590813</v>
      </c>
      <c r="BB136" s="89">
        <f t="shared" si="22"/>
        <v>1580.317317</v>
      </c>
      <c r="BC136" s="81"/>
      <c r="BD136" s="81"/>
      <c r="BE136" s="82" t="s">
        <v>4</v>
      </c>
    </row>
    <row r="137" spans="1:57" s="24" customFormat="1" ht="11.25" customHeight="1">
      <c r="A137" s="47">
        <v>136</v>
      </c>
      <c r="B137" s="47"/>
      <c r="C137" s="24" t="s">
        <v>412</v>
      </c>
      <c r="E137" s="24">
        <f t="shared" si="24"/>
        <v>29</v>
      </c>
      <c r="F137" s="67" t="s">
        <v>413</v>
      </c>
      <c r="G137" s="68">
        <v>1278</v>
      </c>
      <c r="H137" s="69">
        <f>INT((G137*Valores!$C$2*100)+0.5)/100</f>
        <v>9775.55</v>
      </c>
      <c r="I137" s="108">
        <v>0</v>
      </c>
      <c r="J137" s="71">
        <f>INT((I137*Valores!$C$2*100)+0.5)/100</f>
        <v>0</v>
      </c>
      <c r="K137" s="98">
        <v>0</v>
      </c>
      <c r="L137" s="71">
        <f>INT((K137*Valores!$C$2*100)+0.5)/100</f>
        <v>0</v>
      </c>
      <c r="M137" s="96">
        <v>0</v>
      </c>
      <c r="N137" s="71">
        <f>INT((M137*Valores!$C$2*100)+0.5)/100</f>
        <v>0</v>
      </c>
      <c r="O137" s="71">
        <f t="shared" si="25"/>
        <v>2152.3754999999996</v>
      </c>
      <c r="P137" s="71">
        <f t="shared" si="26"/>
        <v>0</v>
      </c>
      <c r="Q137" s="97">
        <f>Valores!$C$20</f>
        <v>4706.17</v>
      </c>
      <c r="R137" s="97">
        <f>Valores!$D$4</f>
        <v>3421.44</v>
      </c>
      <c r="S137" s="71">
        <v>0</v>
      </c>
      <c r="T137" s="74">
        <f>Valores!$C$42</f>
        <v>1414.4</v>
      </c>
      <c r="U137" s="71">
        <f>Valores!$C$23</f>
        <v>3159.22</v>
      </c>
      <c r="V137" s="71">
        <f t="shared" si="23"/>
        <v>3159.22</v>
      </c>
      <c r="W137" s="71">
        <v>0</v>
      </c>
      <c r="X137" s="71">
        <v>0</v>
      </c>
      <c r="Y137" s="75">
        <v>0</v>
      </c>
      <c r="Z137" s="71">
        <f>Y137*Valores!$C$2</f>
        <v>0</v>
      </c>
      <c r="AA137" s="71">
        <v>0</v>
      </c>
      <c r="AB137" s="76">
        <f>Valores!$C$29</f>
        <v>184.78</v>
      </c>
      <c r="AC137" s="71">
        <f t="shared" si="29"/>
        <v>0</v>
      </c>
      <c r="AD137" s="71">
        <f>Valores!$C$30</f>
        <v>184.78</v>
      </c>
      <c r="AE137" s="75">
        <v>0</v>
      </c>
      <c r="AF137" s="71">
        <f>INT(((AE137*Valores!$C$2)*100)+0.5)/100</f>
        <v>0</v>
      </c>
      <c r="AG137" s="71">
        <f>Valores!$C$58</f>
        <v>375.86</v>
      </c>
      <c r="AH137" s="71">
        <f>Valores!$C$60</f>
        <v>107.38</v>
      </c>
      <c r="AI137" s="110">
        <f t="shared" si="30"/>
        <v>25481.9555</v>
      </c>
      <c r="AJ137" s="97">
        <f>Valores!$C$35</f>
        <v>876.57</v>
      </c>
      <c r="AK137" s="74">
        <f>Valores!$C$8</f>
        <v>0</v>
      </c>
      <c r="AL137" s="74">
        <f>Valores!$C$81</f>
        <v>1500</v>
      </c>
      <c r="AM137" s="74">
        <v>1400</v>
      </c>
      <c r="AN137" s="76">
        <f>Valores!$C$51</f>
        <v>157.49</v>
      </c>
      <c r="AO137" s="78">
        <f t="shared" si="31"/>
        <v>2376.57</v>
      </c>
      <c r="AP137" s="57">
        <f>AI137*-Valores!$C$65</f>
        <v>-3312.654215</v>
      </c>
      <c r="AQ137" s="57">
        <f>AI137*-Valores!$C$66</f>
        <v>-127.4097775</v>
      </c>
      <c r="AR137" s="73">
        <f>AI137*-Valores!$C$67</f>
        <v>-1146.6879975</v>
      </c>
      <c r="AS137" s="73">
        <f>AI137*-Valores!$C$68</f>
        <v>-688.0127985</v>
      </c>
      <c r="AT137" s="73">
        <f>AI137*-Valores!$C$69</f>
        <v>-76.44586650000001</v>
      </c>
      <c r="AU137" s="77">
        <f t="shared" si="27"/>
        <v>23271.77351</v>
      </c>
      <c r="AV137" s="77">
        <f t="shared" si="28"/>
        <v>23654.002842500002</v>
      </c>
      <c r="AW137" s="73">
        <f>AI137*Valores!$C$71</f>
        <v>4077.11288</v>
      </c>
      <c r="AX137" s="73">
        <f>AI137*Valores!$C$72</f>
        <v>1146.6879975</v>
      </c>
      <c r="AY137" s="73">
        <f>AI137*Valores!$C$73</f>
        <v>254.819555</v>
      </c>
      <c r="AZ137" s="73">
        <f>AI137*Valores!$C$75</f>
        <v>891.8684425000001</v>
      </c>
      <c r="BA137" s="73">
        <f>AI137*Valores!$C$76</f>
        <v>152.89173300000002</v>
      </c>
      <c r="BB137" s="73">
        <f aca="true" t="shared" si="32" ref="BB137:BB200">AI137*5.4/100</f>
        <v>1376.025597</v>
      </c>
      <c r="BC137" s="47">
        <v>12</v>
      </c>
      <c r="BD137" s="47">
        <v>15</v>
      </c>
      <c r="BE137" s="24" t="s">
        <v>8</v>
      </c>
    </row>
    <row r="138" spans="1:57" s="24" customFormat="1" ht="11.25" customHeight="1">
      <c r="A138" s="47">
        <v>137</v>
      </c>
      <c r="B138" s="47"/>
      <c r="C138" s="24" t="s">
        <v>414</v>
      </c>
      <c r="E138" s="24">
        <f t="shared" si="24"/>
        <v>26</v>
      </c>
      <c r="F138" s="67" t="s">
        <v>415</v>
      </c>
      <c r="G138" s="68">
        <v>616</v>
      </c>
      <c r="H138" s="69">
        <f>INT((G138*Valores!$C$2*100)+0.5)/100</f>
        <v>4711.85</v>
      </c>
      <c r="I138" s="108">
        <v>0</v>
      </c>
      <c r="J138" s="71">
        <f>INT((I138*Valores!$C$2*100)+0.5)/100</f>
        <v>0</v>
      </c>
      <c r="K138" s="98">
        <v>0</v>
      </c>
      <c r="L138" s="71">
        <f>INT((K138*Valores!$C$2*100)+0.5)/100</f>
        <v>0</v>
      </c>
      <c r="M138" s="96">
        <v>0</v>
      </c>
      <c r="N138" s="71">
        <f>INT((M138*Valores!$C$2*100)+0.5)/100</f>
        <v>0</v>
      </c>
      <c r="O138" s="71">
        <f t="shared" si="25"/>
        <v>1392.8204999999998</v>
      </c>
      <c r="P138" s="71">
        <f t="shared" si="26"/>
        <v>0</v>
      </c>
      <c r="Q138" s="97">
        <f>Valores!$C$15</f>
        <v>4920.96</v>
      </c>
      <c r="R138" s="97">
        <f>Valores!$D$4</f>
        <v>3421.44</v>
      </c>
      <c r="S138" s="97">
        <f>Valores!$C$26</f>
        <v>3568.39</v>
      </c>
      <c r="T138" s="102">
        <f>Valores!$C$42</f>
        <v>1414.4</v>
      </c>
      <c r="U138" s="71">
        <f>Valores!$C$23</f>
        <v>3159.22</v>
      </c>
      <c r="V138" s="71">
        <f t="shared" si="23"/>
        <v>3159.22</v>
      </c>
      <c r="W138" s="71">
        <v>0</v>
      </c>
      <c r="X138" s="71">
        <v>0</v>
      </c>
      <c r="Y138" s="75">
        <v>0</v>
      </c>
      <c r="Z138" s="71">
        <f>Y138*Valores!$C$2</f>
        <v>0</v>
      </c>
      <c r="AA138" s="71">
        <v>0</v>
      </c>
      <c r="AB138" s="76">
        <f>Valores!$C$29</f>
        <v>184.78</v>
      </c>
      <c r="AC138" s="71">
        <f t="shared" si="29"/>
        <v>0</v>
      </c>
      <c r="AD138" s="71">
        <f>Valores!$C$30</f>
        <v>184.78</v>
      </c>
      <c r="AE138" s="75">
        <v>0</v>
      </c>
      <c r="AF138" s="71">
        <f>INT(((AE138*Valores!$C$2)*100)+0.5)/100</f>
        <v>0</v>
      </c>
      <c r="AG138" s="71">
        <f>Valores!$C$58</f>
        <v>375.86</v>
      </c>
      <c r="AH138" s="71">
        <f>Valores!$C$60</f>
        <v>107.38</v>
      </c>
      <c r="AI138" s="110">
        <f t="shared" si="30"/>
        <v>23441.880500000003</v>
      </c>
      <c r="AJ138" s="97">
        <f>Valores!$C$35</f>
        <v>876.57</v>
      </c>
      <c r="AK138" s="74">
        <f>Valores!$C$8</f>
        <v>0</v>
      </c>
      <c r="AL138" s="74">
        <f>Valores!$C$81</f>
        <v>1500</v>
      </c>
      <c r="AM138" s="74">
        <v>1400</v>
      </c>
      <c r="AN138" s="76">
        <f>Valores!$C$51</f>
        <v>157.49</v>
      </c>
      <c r="AO138" s="78">
        <f t="shared" si="31"/>
        <v>2376.57</v>
      </c>
      <c r="AP138" s="57">
        <f>AI138*-Valores!$C$65</f>
        <v>-3047.4444650000005</v>
      </c>
      <c r="AQ138" s="57">
        <f>AI138*-Valores!$C$66</f>
        <v>-117.20940250000001</v>
      </c>
      <c r="AR138" s="73">
        <f>AI138*-Valores!$C$67</f>
        <v>-1054.8846225000002</v>
      </c>
      <c r="AS138" s="73">
        <f>AI138*-Valores!$C$68</f>
        <v>-632.9307735000001</v>
      </c>
      <c r="AT138" s="73">
        <f>AI138*-Valores!$C$69</f>
        <v>-70.3256415</v>
      </c>
      <c r="AU138" s="77">
        <f t="shared" si="27"/>
        <v>21598.91201</v>
      </c>
      <c r="AV138" s="77">
        <f t="shared" si="28"/>
        <v>21950.5402175</v>
      </c>
      <c r="AW138" s="73">
        <f>AI138*Valores!$C$71</f>
        <v>3750.7008800000003</v>
      </c>
      <c r="AX138" s="73">
        <f>AI138*Valores!$C$72</f>
        <v>1054.8846225000002</v>
      </c>
      <c r="AY138" s="73">
        <f>AI138*Valores!$C$73</f>
        <v>234.41880500000002</v>
      </c>
      <c r="AZ138" s="73">
        <f>AI138*Valores!$C$75</f>
        <v>820.4658175000002</v>
      </c>
      <c r="BA138" s="73">
        <f>AI138*Valores!$C$76</f>
        <v>140.651283</v>
      </c>
      <c r="BB138" s="73">
        <f t="shared" si="32"/>
        <v>1265.8615470000002</v>
      </c>
      <c r="BC138" s="47">
        <v>6</v>
      </c>
      <c r="BD138" s="47"/>
      <c r="BE138" s="24" t="s">
        <v>4</v>
      </c>
    </row>
    <row r="139" spans="1:57" s="24" customFormat="1" ht="11.25" customHeight="1">
      <c r="A139" s="47">
        <v>138</v>
      </c>
      <c r="B139" s="47"/>
      <c r="C139" s="24" t="s">
        <v>416</v>
      </c>
      <c r="E139" s="24">
        <f t="shared" si="24"/>
        <v>31</v>
      </c>
      <c r="F139" s="67" t="s">
        <v>417</v>
      </c>
      <c r="G139" s="68">
        <v>1278</v>
      </c>
      <c r="H139" s="69">
        <f>INT((G139*Valores!$C$2*100)+0.5)/100</f>
        <v>9775.55</v>
      </c>
      <c r="I139" s="108">
        <v>0</v>
      </c>
      <c r="J139" s="71">
        <f>INT((I139*Valores!$C$2*100)+0.5)/100</f>
        <v>0</v>
      </c>
      <c r="K139" s="98">
        <v>0</v>
      </c>
      <c r="L139" s="71">
        <f>INT((K139*Valores!$C$2*100)+0.5)/100</f>
        <v>0</v>
      </c>
      <c r="M139" s="96">
        <v>0</v>
      </c>
      <c r="N139" s="71">
        <f>INT((M139*Valores!$C$2*100)+0.5)/100</f>
        <v>0</v>
      </c>
      <c r="O139" s="71">
        <f t="shared" si="25"/>
        <v>2145.9269999999997</v>
      </c>
      <c r="P139" s="71">
        <f t="shared" si="26"/>
        <v>0</v>
      </c>
      <c r="Q139" s="97">
        <f>Valores!$C$20</f>
        <v>4706.17</v>
      </c>
      <c r="R139" s="97">
        <f>Valores!$D$4</f>
        <v>3421.44</v>
      </c>
      <c r="S139" s="71">
        <v>0</v>
      </c>
      <c r="T139" s="74">
        <f>Valores!$C$42</f>
        <v>1414.4</v>
      </c>
      <c r="U139" s="97">
        <f>Valores!$C$24</f>
        <v>3116.23</v>
      </c>
      <c r="V139" s="71">
        <f t="shared" si="23"/>
        <v>3116.23</v>
      </c>
      <c r="W139" s="71">
        <v>0</v>
      </c>
      <c r="X139" s="71">
        <v>0</v>
      </c>
      <c r="Y139" s="75">
        <v>0</v>
      </c>
      <c r="Z139" s="71">
        <f>Y139*Valores!$C$2</f>
        <v>0</v>
      </c>
      <c r="AA139" s="71">
        <v>0</v>
      </c>
      <c r="AB139" s="76">
        <f>Valores!$C$29</f>
        <v>184.78</v>
      </c>
      <c r="AC139" s="71">
        <f t="shared" si="29"/>
        <v>0</v>
      </c>
      <c r="AD139" s="71">
        <f>Valores!$C$30</f>
        <v>184.78</v>
      </c>
      <c r="AE139" s="75">
        <v>0</v>
      </c>
      <c r="AF139" s="71">
        <f>INT(((AE139*Valores!$C$2)*100)+0.5)/100</f>
        <v>0</v>
      </c>
      <c r="AG139" s="71">
        <f>Valores!$C$58</f>
        <v>375.86</v>
      </c>
      <c r="AH139" s="71">
        <f>Valores!$C$60</f>
        <v>107.38</v>
      </c>
      <c r="AI139" s="110">
        <f t="shared" si="30"/>
        <v>25432.516999999996</v>
      </c>
      <c r="AJ139" s="97">
        <f>Valores!$C$35</f>
        <v>876.57</v>
      </c>
      <c r="AK139" s="74">
        <f>Valores!$C$8</f>
        <v>0</v>
      </c>
      <c r="AL139" s="74">
        <f>Valores!$C$81</f>
        <v>1500</v>
      </c>
      <c r="AM139" s="74">
        <v>1400</v>
      </c>
      <c r="AN139" s="76">
        <f>Valores!$C$53</f>
        <v>143.48</v>
      </c>
      <c r="AO139" s="78">
        <f t="shared" si="31"/>
        <v>2376.57</v>
      </c>
      <c r="AP139" s="57">
        <f>AI139*-Valores!$C$65</f>
        <v>-3306.2272099999996</v>
      </c>
      <c r="AQ139" s="57">
        <f>AI139*-Valores!$C$66</f>
        <v>-127.16258499999998</v>
      </c>
      <c r="AR139" s="73">
        <f>AI139*-Valores!$C$67</f>
        <v>-1144.4632649999999</v>
      </c>
      <c r="AS139" s="73">
        <f>AI139*-Valores!$C$68</f>
        <v>-686.6779589999999</v>
      </c>
      <c r="AT139" s="73">
        <f>AI139*-Valores!$C$69</f>
        <v>-76.29755099999998</v>
      </c>
      <c r="AU139" s="77">
        <f t="shared" si="27"/>
        <v>23231.23394</v>
      </c>
      <c r="AV139" s="77">
        <f t="shared" si="28"/>
        <v>23612.721694999997</v>
      </c>
      <c r="AW139" s="73">
        <f>AI139*Valores!$C$71</f>
        <v>4069.2027199999993</v>
      </c>
      <c r="AX139" s="73">
        <f>AI139*Valores!$C$72</f>
        <v>1144.4632649999999</v>
      </c>
      <c r="AY139" s="73">
        <f>AI139*Valores!$C$73</f>
        <v>254.32516999999996</v>
      </c>
      <c r="AZ139" s="73">
        <f>AI139*Valores!$C$75</f>
        <v>890.1380949999999</v>
      </c>
      <c r="BA139" s="73">
        <f>AI139*Valores!$C$76</f>
        <v>152.59510199999997</v>
      </c>
      <c r="BB139" s="73">
        <f t="shared" si="32"/>
        <v>1373.355918</v>
      </c>
      <c r="BC139" s="47">
        <v>12</v>
      </c>
      <c r="BD139" s="81">
        <v>15</v>
      </c>
      <c r="BE139" s="24" t="s">
        <v>4</v>
      </c>
    </row>
    <row r="140" spans="1:57" s="24" customFormat="1" ht="11.25" customHeight="1">
      <c r="A140" s="47">
        <v>139</v>
      </c>
      <c r="B140" s="47"/>
      <c r="C140" s="24" t="s">
        <v>418</v>
      </c>
      <c r="E140" s="24">
        <f t="shared" si="24"/>
        <v>33</v>
      </c>
      <c r="F140" s="67" t="s">
        <v>419</v>
      </c>
      <c r="G140" s="68">
        <v>1983</v>
      </c>
      <c r="H140" s="69">
        <f>INT((G140*Valores!$C$2*100)+0.5)/100</f>
        <v>15168.17</v>
      </c>
      <c r="I140" s="108">
        <v>0</v>
      </c>
      <c r="J140" s="71">
        <f>INT((I140*Valores!$C$2*100)+0.5)/100</f>
        <v>0</v>
      </c>
      <c r="K140" s="98">
        <v>0</v>
      </c>
      <c r="L140" s="71">
        <f>INT((K140*Valores!$C$2*100)+0.5)/100</f>
        <v>0</v>
      </c>
      <c r="M140" s="96">
        <v>0</v>
      </c>
      <c r="N140" s="71">
        <f>INT((M140*Valores!$C$2*100)+0.5)/100</f>
        <v>0</v>
      </c>
      <c r="O140" s="71">
        <f t="shared" si="25"/>
        <v>2961.2685</v>
      </c>
      <c r="P140" s="71">
        <f t="shared" si="26"/>
        <v>0</v>
      </c>
      <c r="Q140" s="97">
        <f>Valores!$C$15</f>
        <v>4920.96</v>
      </c>
      <c r="R140" s="97">
        <f>Valores!$D$4</f>
        <v>3421.44</v>
      </c>
      <c r="S140" s="97">
        <f>Valores!$C$26</f>
        <v>3568.39</v>
      </c>
      <c r="T140" s="102">
        <f>Valores!$C$42</f>
        <v>1414.4</v>
      </c>
      <c r="U140" s="71">
        <f>Valores!$C$23</f>
        <v>3159.22</v>
      </c>
      <c r="V140" s="71">
        <f t="shared" si="23"/>
        <v>3159.22</v>
      </c>
      <c r="W140" s="71">
        <v>0</v>
      </c>
      <c r="X140" s="71">
        <v>0</v>
      </c>
      <c r="Y140" s="75">
        <v>0</v>
      </c>
      <c r="Z140" s="71">
        <f>Y140*Valores!$C$2</f>
        <v>0</v>
      </c>
      <c r="AA140" s="71">
        <v>0</v>
      </c>
      <c r="AB140" s="76">
        <f>Valores!$C$29</f>
        <v>184.78</v>
      </c>
      <c r="AC140" s="71">
        <f t="shared" si="29"/>
        <v>0</v>
      </c>
      <c r="AD140" s="71">
        <f>Valores!$C$30</f>
        <v>184.78</v>
      </c>
      <c r="AE140" s="75">
        <v>94</v>
      </c>
      <c r="AF140" s="71">
        <f>INT(((AE140*Valores!$C$2)*100)+0.5)/100</f>
        <v>719.02</v>
      </c>
      <c r="AG140" s="71">
        <f>Valores!$C$58</f>
        <v>375.86</v>
      </c>
      <c r="AH140" s="71">
        <f>Valores!$C$60</f>
        <v>107.38</v>
      </c>
      <c r="AI140" s="110">
        <f t="shared" si="30"/>
        <v>36185.66849999999</v>
      </c>
      <c r="AJ140" s="97">
        <f>Valores!$C$35</f>
        <v>876.57</v>
      </c>
      <c r="AK140" s="74">
        <f>Valores!$C$8</f>
        <v>0</v>
      </c>
      <c r="AL140" s="74">
        <f>Valores!$C$81</f>
        <v>1500</v>
      </c>
      <c r="AM140" s="74">
        <v>1400</v>
      </c>
      <c r="AN140" s="76">
        <f>Valores!$C$51</f>
        <v>157.49</v>
      </c>
      <c r="AO140" s="78">
        <f t="shared" si="31"/>
        <v>2376.57</v>
      </c>
      <c r="AP140" s="57">
        <f>AI140*-Valores!$C$65</f>
        <v>-4704.136904999999</v>
      </c>
      <c r="AQ140" s="57">
        <f>AI140*-Valores!$C$66</f>
        <v>-180.92834249999996</v>
      </c>
      <c r="AR140" s="73">
        <f>AI140*-Valores!$C$67</f>
        <v>-1628.3550824999995</v>
      </c>
      <c r="AS140" s="73">
        <f>AI140*-Valores!$C$68</f>
        <v>-977.0130494999997</v>
      </c>
      <c r="AT140" s="73">
        <f>AI140*-Valores!$C$69</f>
        <v>-108.55700549999997</v>
      </c>
      <c r="AU140" s="77">
        <f t="shared" si="27"/>
        <v>32048.81816999999</v>
      </c>
      <c r="AV140" s="77">
        <f t="shared" si="28"/>
        <v>32591.603197499993</v>
      </c>
      <c r="AW140" s="73">
        <f>AI140*Valores!$C$71</f>
        <v>5789.706959999999</v>
      </c>
      <c r="AX140" s="73">
        <f>AI140*Valores!$C$72</f>
        <v>1628.3550824999995</v>
      </c>
      <c r="AY140" s="73">
        <f>AI140*Valores!$C$73</f>
        <v>361.8566849999999</v>
      </c>
      <c r="AZ140" s="73">
        <f>AI140*Valores!$C$75</f>
        <v>1266.4983974999998</v>
      </c>
      <c r="BA140" s="73">
        <f>AI140*Valores!$C$76</f>
        <v>217.11401099999995</v>
      </c>
      <c r="BB140" s="73">
        <f t="shared" si="32"/>
        <v>1954.0260989999997</v>
      </c>
      <c r="BC140" s="47"/>
      <c r="BD140" s="47"/>
      <c r="BE140" s="24" t="s">
        <v>8</v>
      </c>
    </row>
    <row r="141" spans="1:57" s="24" customFormat="1" ht="11.25" customHeight="1">
      <c r="A141" s="81">
        <v>140</v>
      </c>
      <c r="B141" s="81" t="s">
        <v>163</v>
      </c>
      <c r="C141" s="82" t="s">
        <v>420</v>
      </c>
      <c r="D141" s="82"/>
      <c r="E141" s="82">
        <f t="shared" si="24"/>
        <v>29</v>
      </c>
      <c r="F141" s="83" t="s">
        <v>421</v>
      </c>
      <c r="G141" s="84">
        <v>1378</v>
      </c>
      <c r="H141" s="85">
        <f>INT((G141*Valores!$C$2*100)+0.5)/100</f>
        <v>10540.46</v>
      </c>
      <c r="I141" s="99">
        <v>0</v>
      </c>
      <c r="J141" s="87">
        <f>INT((I141*Valores!$C$2*100)+0.5)/100</f>
        <v>0</v>
      </c>
      <c r="K141" s="100">
        <v>0</v>
      </c>
      <c r="L141" s="87">
        <f>INT((K141*Valores!$C$2*100)+0.5)/100</f>
        <v>0</v>
      </c>
      <c r="M141" s="101">
        <v>0</v>
      </c>
      <c r="N141" s="87">
        <f>INT((M141*Valores!$C$2*100)+0.5)/100</f>
        <v>0</v>
      </c>
      <c r="O141" s="87">
        <f t="shared" si="25"/>
        <v>2260.6634999999997</v>
      </c>
      <c r="P141" s="87">
        <f t="shared" si="26"/>
        <v>0</v>
      </c>
      <c r="Q141" s="103">
        <f>Valores!$C$20</f>
        <v>4706.17</v>
      </c>
      <c r="R141" s="103">
        <f>Valores!$D$4</f>
        <v>3421.44</v>
      </c>
      <c r="S141" s="103">
        <f>Valores!$C$26</f>
        <v>3568.39</v>
      </c>
      <c r="T141" s="104">
        <f>Valores!$C$42</f>
        <v>1414.4</v>
      </c>
      <c r="U141" s="103">
        <f>Valores!$C$24</f>
        <v>3116.23</v>
      </c>
      <c r="V141" s="87">
        <f t="shared" si="23"/>
        <v>3116.23</v>
      </c>
      <c r="W141" s="87">
        <v>0</v>
      </c>
      <c r="X141" s="87">
        <v>0</v>
      </c>
      <c r="Y141" s="91">
        <v>0</v>
      </c>
      <c r="Z141" s="87">
        <f>Y141*Valores!$C$2</f>
        <v>0</v>
      </c>
      <c r="AA141" s="87">
        <v>0</v>
      </c>
      <c r="AB141" s="92">
        <f>Valores!$C$29</f>
        <v>184.78</v>
      </c>
      <c r="AC141" s="87">
        <f t="shared" si="29"/>
        <v>0</v>
      </c>
      <c r="AD141" s="87">
        <f>Valores!$C$30</f>
        <v>184.78</v>
      </c>
      <c r="AE141" s="91">
        <v>0</v>
      </c>
      <c r="AF141" s="87">
        <f>INT(((AE141*Valores!$C$2)*100)+0.5)/100</f>
        <v>0</v>
      </c>
      <c r="AG141" s="87">
        <f>Valores!$C$58</f>
        <v>375.86</v>
      </c>
      <c r="AH141" s="87">
        <f>Valores!$C$60</f>
        <v>107.38</v>
      </c>
      <c r="AI141" s="111">
        <f t="shared" si="30"/>
        <v>29880.553499999998</v>
      </c>
      <c r="AJ141" s="103">
        <f>Valores!$C$35</f>
        <v>876.57</v>
      </c>
      <c r="AK141" s="90">
        <f>Valores!$C$8</f>
        <v>0</v>
      </c>
      <c r="AL141" s="90">
        <f>Valores!$C$81</f>
        <v>1500</v>
      </c>
      <c r="AM141" s="74">
        <v>1400</v>
      </c>
      <c r="AN141" s="92">
        <f>Valores!$C$51</f>
        <v>157.49</v>
      </c>
      <c r="AO141" s="94">
        <f t="shared" si="31"/>
        <v>2376.57</v>
      </c>
      <c r="AP141" s="112">
        <f>AI141*-Valores!$C$65</f>
        <v>-3884.471955</v>
      </c>
      <c r="AQ141" s="112">
        <f>AI141*-Valores!$C$66</f>
        <v>-149.40276749999998</v>
      </c>
      <c r="AR141" s="89">
        <f>AI141*-Valores!$C$67</f>
        <v>-1344.6249074999998</v>
      </c>
      <c r="AS141" s="89">
        <f>AI141*-Valores!$C$68</f>
        <v>-806.7749445</v>
      </c>
      <c r="AT141" s="89">
        <f>AI141*-Valores!$C$69</f>
        <v>-89.6416605</v>
      </c>
      <c r="AU141" s="93">
        <f t="shared" si="27"/>
        <v>26878.623869999996</v>
      </c>
      <c r="AV141" s="93">
        <f t="shared" si="28"/>
        <v>27326.832172499995</v>
      </c>
      <c r="AW141" s="89">
        <f>AI141*Valores!$C$71</f>
        <v>4780.888559999999</v>
      </c>
      <c r="AX141" s="89">
        <f>AI141*Valores!$C$72</f>
        <v>1344.6249074999998</v>
      </c>
      <c r="AY141" s="89">
        <f>AI141*Valores!$C$73</f>
        <v>298.80553499999996</v>
      </c>
      <c r="AZ141" s="89">
        <f>AI141*Valores!$C$75</f>
        <v>1045.8193725</v>
      </c>
      <c r="BA141" s="89">
        <f>AI141*Valores!$C$76</f>
        <v>179.283321</v>
      </c>
      <c r="BB141" s="89">
        <f t="shared" si="32"/>
        <v>1613.549889</v>
      </c>
      <c r="BC141" s="81"/>
      <c r="BD141" s="81">
        <v>22</v>
      </c>
      <c r="BE141" s="82" t="s">
        <v>4</v>
      </c>
    </row>
    <row r="142" spans="1:57" s="24" customFormat="1" ht="11.25" customHeight="1">
      <c r="A142" s="47">
        <v>141</v>
      </c>
      <c r="B142" s="47"/>
      <c r="C142" s="24" t="s">
        <v>422</v>
      </c>
      <c r="E142" s="24">
        <f t="shared" si="24"/>
        <v>30</v>
      </c>
      <c r="F142" s="67" t="s">
        <v>423</v>
      </c>
      <c r="G142" s="68">
        <v>1278</v>
      </c>
      <c r="H142" s="69">
        <f>INT((G142*Valores!$C$2*100)+0.5)/100</f>
        <v>9775.55</v>
      </c>
      <c r="I142" s="108">
        <v>0</v>
      </c>
      <c r="J142" s="71">
        <f>INT((I142*Valores!$C$2*100)+0.5)/100</f>
        <v>0</v>
      </c>
      <c r="K142" s="98">
        <v>0</v>
      </c>
      <c r="L142" s="71">
        <f>INT((K142*Valores!$C$2*100)+0.5)/100</f>
        <v>0</v>
      </c>
      <c r="M142" s="96">
        <v>0</v>
      </c>
      <c r="N142" s="71">
        <f>INT((M142*Valores!$C$2*100)+0.5)/100</f>
        <v>0</v>
      </c>
      <c r="O142" s="71">
        <f t="shared" si="25"/>
        <v>2152.3754999999996</v>
      </c>
      <c r="P142" s="71">
        <f t="shared" si="26"/>
        <v>0</v>
      </c>
      <c r="Q142" s="97">
        <f>Valores!$C$20</f>
        <v>4706.17</v>
      </c>
      <c r="R142" s="97">
        <f>Valores!$D$4</f>
        <v>3421.44</v>
      </c>
      <c r="S142" s="71">
        <f>Valores!$C$26</f>
        <v>3568.39</v>
      </c>
      <c r="T142" s="74">
        <f>Valores!$C$42</f>
        <v>1414.4</v>
      </c>
      <c r="U142" s="71">
        <f>Valores!$C$23</f>
        <v>3159.22</v>
      </c>
      <c r="V142" s="71">
        <f t="shared" si="23"/>
        <v>3159.22</v>
      </c>
      <c r="W142" s="71">
        <v>0</v>
      </c>
      <c r="X142" s="71">
        <v>0</v>
      </c>
      <c r="Y142" s="75">
        <v>0</v>
      </c>
      <c r="Z142" s="71">
        <f>Y142*Valores!$C$2</f>
        <v>0</v>
      </c>
      <c r="AA142" s="71">
        <v>0</v>
      </c>
      <c r="AB142" s="76">
        <f>Valores!$C$29</f>
        <v>184.78</v>
      </c>
      <c r="AC142" s="71">
        <f t="shared" si="29"/>
        <v>0</v>
      </c>
      <c r="AD142" s="71">
        <f>Valores!$C$30</f>
        <v>184.78</v>
      </c>
      <c r="AE142" s="75">
        <v>0</v>
      </c>
      <c r="AF142" s="71">
        <f>INT(((AE142*Valores!$C$2)*100)+0.5)/100</f>
        <v>0</v>
      </c>
      <c r="AG142" s="71">
        <f>Valores!$C$58</f>
        <v>375.86</v>
      </c>
      <c r="AH142" s="71">
        <f>Valores!$C$60</f>
        <v>107.38</v>
      </c>
      <c r="AI142" s="110">
        <f t="shared" si="30"/>
        <v>29050.3455</v>
      </c>
      <c r="AJ142" s="97">
        <f>Valores!$C$35</f>
        <v>876.57</v>
      </c>
      <c r="AK142" s="74">
        <f>Valores!$C$8</f>
        <v>0</v>
      </c>
      <c r="AL142" s="74">
        <f>Valores!$C$81</f>
        <v>1500</v>
      </c>
      <c r="AM142" s="74">
        <v>1400</v>
      </c>
      <c r="AN142" s="76">
        <f>Valores!$C$51</f>
        <v>157.49</v>
      </c>
      <c r="AO142" s="78">
        <f t="shared" si="31"/>
        <v>2376.57</v>
      </c>
      <c r="AP142" s="57">
        <f>AI142*-Valores!$C$65</f>
        <v>-3776.544915</v>
      </c>
      <c r="AQ142" s="57">
        <f>AI142*-Valores!$C$66</f>
        <v>-145.2517275</v>
      </c>
      <c r="AR142" s="73">
        <f>AI142*-Valores!$C$67</f>
        <v>-1307.2655475</v>
      </c>
      <c r="AS142" s="73">
        <f>AI142*-Valores!$C$68</f>
        <v>-784.3593285</v>
      </c>
      <c r="AT142" s="73">
        <f>AI142*-Valores!$C$69</f>
        <v>-87.1510365</v>
      </c>
      <c r="AU142" s="77">
        <f t="shared" si="27"/>
        <v>26197.853310000002</v>
      </c>
      <c r="AV142" s="77">
        <f t="shared" si="28"/>
        <v>26633.608492500003</v>
      </c>
      <c r="AW142" s="73">
        <f>AI142*Valores!$C$71</f>
        <v>4648.05528</v>
      </c>
      <c r="AX142" s="73">
        <f>AI142*Valores!$C$72</f>
        <v>1307.2655475</v>
      </c>
      <c r="AY142" s="73">
        <f>AI142*Valores!$C$73</f>
        <v>290.503455</v>
      </c>
      <c r="AZ142" s="73">
        <f>AI142*Valores!$C$75</f>
        <v>1016.7620925000001</v>
      </c>
      <c r="BA142" s="73">
        <f>AI142*Valores!$C$76</f>
        <v>174.302073</v>
      </c>
      <c r="BB142" s="73">
        <f t="shared" si="32"/>
        <v>1568.718657</v>
      </c>
      <c r="BC142" s="47"/>
      <c r="BD142" s="47">
        <v>22</v>
      </c>
      <c r="BE142" s="24" t="s">
        <v>4</v>
      </c>
    </row>
    <row r="143" spans="1:57" s="24" customFormat="1" ht="11.25" customHeight="1">
      <c r="A143" s="47">
        <v>142</v>
      </c>
      <c r="B143" s="47"/>
      <c r="C143" s="24" t="s">
        <v>424</v>
      </c>
      <c r="E143" s="24">
        <f t="shared" si="24"/>
        <v>31</v>
      </c>
      <c r="F143" s="67" t="s">
        <v>425</v>
      </c>
      <c r="G143" s="68">
        <v>1278</v>
      </c>
      <c r="H143" s="69">
        <f>INT((G143*Valores!$C$2*100)+0.5)/100</f>
        <v>9775.55</v>
      </c>
      <c r="I143" s="108">
        <v>0</v>
      </c>
      <c r="J143" s="71">
        <f>INT((I143*Valores!$C$2*100)+0.5)/100</f>
        <v>0</v>
      </c>
      <c r="K143" s="98">
        <v>0</v>
      </c>
      <c r="L143" s="71">
        <f>INT((K143*Valores!$C$2*100)+0.5)/100</f>
        <v>0</v>
      </c>
      <c r="M143" s="96">
        <v>0</v>
      </c>
      <c r="N143" s="71">
        <f>INT((M143*Valores!$C$2*100)+0.5)/100</f>
        <v>0</v>
      </c>
      <c r="O143" s="71">
        <f t="shared" si="25"/>
        <v>2039.8469999999998</v>
      </c>
      <c r="P143" s="71">
        <f t="shared" si="26"/>
        <v>0</v>
      </c>
      <c r="Q143" s="97">
        <f>Valores!$C$20</f>
        <v>4706.17</v>
      </c>
      <c r="R143" s="97">
        <f>Valores!$D$4</f>
        <v>3421.44</v>
      </c>
      <c r="S143" s="97">
        <f>Valores!$C$26</f>
        <v>3568.39</v>
      </c>
      <c r="T143" s="74">
        <f>Valores!$C$42/2</f>
        <v>707.2</v>
      </c>
      <c r="U143" s="97">
        <f>Valores!$C$24</f>
        <v>3116.23</v>
      </c>
      <c r="V143" s="71">
        <f t="shared" si="23"/>
        <v>3116.23</v>
      </c>
      <c r="W143" s="71">
        <v>0</v>
      </c>
      <c r="X143" s="71">
        <v>0</v>
      </c>
      <c r="Y143" s="75">
        <v>0</v>
      </c>
      <c r="Z143" s="71">
        <f>Y143*Valores!$C$2</f>
        <v>0</v>
      </c>
      <c r="AA143" s="71">
        <v>0</v>
      </c>
      <c r="AB143" s="76">
        <f>Valores!$C$29</f>
        <v>184.78</v>
      </c>
      <c r="AC143" s="71">
        <f t="shared" si="29"/>
        <v>0</v>
      </c>
      <c r="AD143" s="71">
        <f>Valores!$C$30</f>
        <v>184.78</v>
      </c>
      <c r="AE143" s="75">
        <v>0</v>
      </c>
      <c r="AF143" s="71">
        <f>INT(((AE143*Valores!$C$2)*100)+0.5)/100</f>
        <v>0</v>
      </c>
      <c r="AG143" s="71">
        <f>Valores!$C$58/2</f>
        <v>187.93</v>
      </c>
      <c r="AH143" s="71">
        <f>Valores!$C$60/2</f>
        <v>53.69</v>
      </c>
      <c r="AI143" s="110">
        <f t="shared" si="30"/>
        <v>27946.006999999994</v>
      </c>
      <c r="AJ143" s="97">
        <f>Valores!$C$35</f>
        <v>876.57</v>
      </c>
      <c r="AK143" s="74">
        <f>Valores!$C$8/2</f>
        <v>0</v>
      </c>
      <c r="AL143" s="74">
        <f>Valores!$C$81</f>
        <v>1500</v>
      </c>
      <c r="AM143" s="74">
        <v>1400</v>
      </c>
      <c r="AN143" s="76">
        <f>Valores!$C$51</f>
        <v>157.49</v>
      </c>
      <c r="AO143" s="78">
        <f t="shared" si="31"/>
        <v>2376.57</v>
      </c>
      <c r="AP143" s="57">
        <f>AI143*-Valores!$C$65</f>
        <v>-3632.9809099999993</v>
      </c>
      <c r="AQ143" s="57">
        <f>AI143*-Valores!$C$66</f>
        <v>-139.730035</v>
      </c>
      <c r="AR143" s="73">
        <f>AI143*-Valores!$C$67</f>
        <v>-1257.5703149999997</v>
      </c>
      <c r="AS143" s="73">
        <f>AI143*-Valores!$C$68</f>
        <v>-754.5421889999998</v>
      </c>
      <c r="AT143" s="73">
        <f>AI143*-Valores!$C$69</f>
        <v>-83.83802099999998</v>
      </c>
      <c r="AU143" s="77">
        <f t="shared" si="27"/>
        <v>25292.295739999994</v>
      </c>
      <c r="AV143" s="77">
        <f t="shared" si="28"/>
        <v>25711.485844999996</v>
      </c>
      <c r="AW143" s="73">
        <f>AI143*Valores!$C$71</f>
        <v>4471.36112</v>
      </c>
      <c r="AX143" s="73">
        <f>AI143*Valores!$C$72</f>
        <v>1257.5703149999997</v>
      </c>
      <c r="AY143" s="73">
        <f>AI143*Valores!$C$73</f>
        <v>279.46007</v>
      </c>
      <c r="AZ143" s="73">
        <f>AI143*Valores!$C$75</f>
        <v>978.1102449999998</v>
      </c>
      <c r="BA143" s="73">
        <f>AI143*Valores!$C$76</f>
        <v>167.67604199999997</v>
      </c>
      <c r="BB143" s="73">
        <f t="shared" si="32"/>
        <v>1509.0843779999998</v>
      </c>
      <c r="BC143" s="47"/>
      <c r="BD143" s="47"/>
      <c r="BE143" s="24" t="s">
        <v>8</v>
      </c>
    </row>
    <row r="144" spans="1:57" s="24" customFormat="1" ht="11.25" customHeight="1">
      <c r="A144" s="47">
        <v>143</v>
      </c>
      <c r="B144" s="47"/>
      <c r="C144" s="24" t="s">
        <v>426</v>
      </c>
      <c r="E144" s="24">
        <f t="shared" si="24"/>
        <v>19</v>
      </c>
      <c r="F144" s="67" t="s">
        <v>427</v>
      </c>
      <c r="G144" s="68">
        <v>1278</v>
      </c>
      <c r="H144" s="69">
        <f>INT((G144*Valores!$C$2*100)+0.5)/100</f>
        <v>9775.55</v>
      </c>
      <c r="I144" s="108">
        <v>0</v>
      </c>
      <c r="J144" s="71">
        <f>INT((I144*Valores!$C$2*100)+0.5)/100</f>
        <v>0</v>
      </c>
      <c r="K144" s="98">
        <v>0</v>
      </c>
      <c r="L144" s="71">
        <f>INT((K144*Valores!$C$2*100)+0.5)/100</f>
        <v>0</v>
      </c>
      <c r="M144" s="96">
        <v>0</v>
      </c>
      <c r="N144" s="71">
        <f>INT((M144*Valores!$C$2*100)+0.5)/100</f>
        <v>0</v>
      </c>
      <c r="O144" s="71">
        <f t="shared" si="25"/>
        <v>2152.3754999999996</v>
      </c>
      <c r="P144" s="71">
        <f t="shared" si="26"/>
        <v>0</v>
      </c>
      <c r="Q144" s="97">
        <f>Valores!$C$20</f>
        <v>4706.17</v>
      </c>
      <c r="R144" s="97">
        <f>Valores!$D$4</f>
        <v>3421.44</v>
      </c>
      <c r="S144" s="97">
        <f>Valores!$C$26</f>
        <v>3568.39</v>
      </c>
      <c r="T144" s="102">
        <f>Valores!$C$42</f>
        <v>1414.4</v>
      </c>
      <c r="U144" s="71">
        <f>Valores!$C$23</f>
        <v>3159.22</v>
      </c>
      <c r="V144" s="71">
        <f t="shared" si="23"/>
        <v>3159.22</v>
      </c>
      <c r="W144" s="71">
        <v>0</v>
      </c>
      <c r="X144" s="71">
        <v>0</v>
      </c>
      <c r="Y144" s="75">
        <v>0</v>
      </c>
      <c r="Z144" s="71">
        <f>Y144*Valores!$C$2</f>
        <v>0</v>
      </c>
      <c r="AA144" s="71">
        <v>0</v>
      </c>
      <c r="AB144" s="76">
        <f>Valores!$C$29</f>
        <v>184.78</v>
      </c>
      <c r="AC144" s="71">
        <f t="shared" si="29"/>
        <v>0</v>
      </c>
      <c r="AD144" s="71">
        <f>Valores!$C$30</f>
        <v>184.78</v>
      </c>
      <c r="AE144" s="75">
        <v>0</v>
      </c>
      <c r="AF144" s="71">
        <f>INT(((AE144*Valores!$C$2)*100)+0.5)/100</f>
        <v>0</v>
      </c>
      <c r="AG144" s="71">
        <f>Valores!$C$58</f>
        <v>375.86</v>
      </c>
      <c r="AH144" s="71">
        <f>Valores!$C$60</f>
        <v>107.38</v>
      </c>
      <c r="AI144" s="110">
        <f t="shared" si="30"/>
        <v>29050.3455</v>
      </c>
      <c r="AJ144" s="97">
        <f>Valores!$C$35</f>
        <v>876.57</v>
      </c>
      <c r="AK144" s="74">
        <f>Valores!$C$8</f>
        <v>0</v>
      </c>
      <c r="AL144" s="74">
        <f>Valores!$C$81</f>
        <v>1500</v>
      </c>
      <c r="AM144" s="74">
        <v>1400</v>
      </c>
      <c r="AN144" s="76">
        <f>Valores!$C$51</f>
        <v>157.49</v>
      </c>
      <c r="AO144" s="78">
        <f t="shared" si="31"/>
        <v>2376.57</v>
      </c>
      <c r="AP144" s="57">
        <f>AI144*-Valores!$C$65</f>
        <v>-3776.544915</v>
      </c>
      <c r="AQ144" s="57">
        <f>AI144*-Valores!$C$66</f>
        <v>-145.2517275</v>
      </c>
      <c r="AR144" s="73">
        <f>AI144*-Valores!$C$67</f>
        <v>-1307.2655475</v>
      </c>
      <c r="AS144" s="73">
        <f>AI144*-Valores!$C$68</f>
        <v>-784.3593285</v>
      </c>
      <c r="AT144" s="73">
        <f>AI144*-Valores!$C$69</f>
        <v>-87.1510365</v>
      </c>
      <c r="AU144" s="77">
        <f t="shared" si="27"/>
        <v>26197.853310000002</v>
      </c>
      <c r="AV144" s="77">
        <f t="shared" si="28"/>
        <v>26633.608492500003</v>
      </c>
      <c r="AW144" s="73">
        <f>AI144*Valores!$C$71</f>
        <v>4648.05528</v>
      </c>
      <c r="AX144" s="73">
        <f>AI144*Valores!$C$72</f>
        <v>1307.2655475</v>
      </c>
      <c r="AY144" s="73">
        <f>AI144*Valores!$C$73</f>
        <v>290.503455</v>
      </c>
      <c r="AZ144" s="73">
        <f>AI144*Valores!$C$75</f>
        <v>1016.7620925000001</v>
      </c>
      <c r="BA144" s="73">
        <f>AI144*Valores!$C$76</f>
        <v>174.302073</v>
      </c>
      <c r="BB144" s="73">
        <f t="shared" si="32"/>
        <v>1568.718657</v>
      </c>
      <c r="BC144" s="47"/>
      <c r="BD144" s="81"/>
      <c r="BE144" s="24" t="s">
        <v>4</v>
      </c>
    </row>
    <row r="145" spans="1:57" s="24" customFormat="1" ht="11.25" customHeight="1">
      <c r="A145" s="47">
        <v>144</v>
      </c>
      <c r="B145" s="47"/>
      <c r="C145" s="24" t="s">
        <v>428</v>
      </c>
      <c r="E145" s="24">
        <f t="shared" si="24"/>
        <v>29</v>
      </c>
      <c r="F145" s="67" t="s">
        <v>429</v>
      </c>
      <c r="G145" s="68">
        <v>1278</v>
      </c>
      <c r="H145" s="69">
        <f>INT((G145*Valores!$C$2*100)+0.5)/100</f>
        <v>9775.55</v>
      </c>
      <c r="I145" s="108">
        <v>0</v>
      </c>
      <c r="J145" s="71">
        <f>INT((I145*Valores!$C$2*100)+0.5)/100</f>
        <v>0</v>
      </c>
      <c r="K145" s="98">
        <v>0</v>
      </c>
      <c r="L145" s="71">
        <f>INT((K145*Valores!$C$2*100)+0.5)/100</f>
        <v>0</v>
      </c>
      <c r="M145" s="96">
        <v>0</v>
      </c>
      <c r="N145" s="71">
        <f>INT((M145*Valores!$C$2*100)+0.5)/100</f>
        <v>0</v>
      </c>
      <c r="O145" s="71">
        <f t="shared" si="25"/>
        <v>2152.3754999999996</v>
      </c>
      <c r="P145" s="71">
        <f t="shared" si="26"/>
        <v>0</v>
      </c>
      <c r="Q145" s="97">
        <f>Valores!$C$20</f>
        <v>4706.17</v>
      </c>
      <c r="R145" s="97">
        <f>Valores!$D$4</f>
        <v>3421.44</v>
      </c>
      <c r="S145" s="97">
        <f>Valores!$C$26</f>
        <v>3568.39</v>
      </c>
      <c r="T145" s="102">
        <f>Valores!$C$42</f>
        <v>1414.4</v>
      </c>
      <c r="U145" s="71">
        <f>Valores!$C$23</f>
        <v>3159.22</v>
      </c>
      <c r="V145" s="71">
        <f t="shared" si="23"/>
        <v>3159.22</v>
      </c>
      <c r="W145" s="71">
        <v>0</v>
      </c>
      <c r="X145" s="71">
        <v>0</v>
      </c>
      <c r="Y145" s="75">
        <v>0</v>
      </c>
      <c r="Z145" s="71">
        <f>Y145*Valores!$C$2</f>
        <v>0</v>
      </c>
      <c r="AA145" s="71">
        <v>0</v>
      </c>
      <c r="AB145" s="76">
        <f>Valores!$C$29</f>
        <v>184.78</v>
      </c>
      <c r="AC145" s="71">
        <f t="shared" si="29"/>
        <v>0</v>
      </c>
      <c r="AD145" s="71">
        <f>Valores!$C$30</f>
        <v>184.78</v>
      </c>
      <c r="AE145" s="75">
        <v>0</v>
      </c>
      <c r="AF145" s="71">
        <f>INT(((AE145*Valores!$C$2)*100)+0.5)/100</f>
        <v>0</v>
      </c>
      <c r="AG145" s="71">
        <f>Valores!$C$58</f>
        <v>375.86</v>
      </c>
      <c r="AH145" s="71">
        <f>Valores!$C$60</f>
        <v>107.38</v>
      </c>
      <c r="AI145" s="110">
        <f t="shared" si="30"/>
        <v>29050.3455</v>
      </c>
      <c r="AJ145" s="97">
        <f>Valores!$C$35</f>
        <v>876.57</v>
      </c>
      <c r="AK145" s="74">
        <f>Valores!$C$8</f>
        <v>0</v>
      </c>
      <c r="AL145" s="74">
        <f>Valores!$C$81</f>
        <v>1500</v>
      </c>
      <c r="AM145" s="74">
        <v>1400</v>
      </c>
      <c r="AN145" s="76">
        <f>Valores!$C$51</f>
        <v>157.49</v>
      </c>
      <c r="AO145" s="78">
        <f t="shared" si="31"/>
        <v>2376.57</v>
      </c>
      <c r="AP145" s="57">
        <f>AI145*-Valores!$C$65</f>
        <v>-3776.544915</v>
      </c>
      <c r="AQ145" s="57">
        <f>AI145*-Valores!$C$66</f>
        <v>-145.2517275</v>
      </c>
      <c r="AR145" s="73">
        <f>AI145*-Valores!$C$67</f>
        <v>-1307.2655475</v>
      </c>
      <c r="AS145" s="73">
        <f>AI145*-Valores!$C$68</f>
        <v>-784.3593285</v>
      </c>
      <c r="AT145" s="73">
        <f>AI145*-Valores!$C$69</f>
        <v>-87.1510365</v>
      </c>
      <c r="AU145" s="77">
        <f t="shared" si="27"/>
        <v>26197.853310000002</v>
      </c>
      <c r="AV145" s="77">
        <f t="shared" si="28"/>
        <v>26633.608492500003</v>
      </c>
      <c r="AW145" s="73">
        <f>AI145*Valores!$C$71</f>
        <v>4648.05528</v>
      </c>
      <c r="AX145" s="73">
        <f>AI145*Valores!$C$72</f>
        <v>1307.2655475</v>
      </c>
      <c r="AY145" s="73">
        <f>AI145*Valores!$C$73</f>
        <v>290.503455</v>
      </c>
      <c r="AZ145" s="73">
        <f>AI145*Valores!$C$75</f>
        <v>1016.7620925000001</v>
      </c>
      <c r="BA145" s="73">
        <f>AI145*Valores!$C$76</f>
        <v>174.302073</v>
      </c>
      <c r="BB145" s="73">
        <f t="shared" si="32"/>
        <v>1568.718657</v>
      </c>
      <c r="BC145" s="47"/>
      <c r="BD145" s="47">
        <v>20</v>
      </c>
      <c r="BE145" s="24" t="s">
        <v>4</v>
      </c>
    </row>
    <row r="146" spans="1:57" s="24" customFormat="1" ht="11.25" customHeight="1">
      <c r="A146" s="81">
        <v>145</v>
      </c>
      <c r="B146" s="81" t="s">
        <v>163</v>
      </c>
      <c r="C146" s="82" t="s">
        <v>430</v>
      </c>
      <c r="D146" s="82"/>
      <c r="E146" s="82">
        <f t="shared" si="24"/>
        <v>31</v>
      </c>
      <c r="F146" s="83" t="s">
        <v>431</v>
      </c>
      <c r="G146" s="84">
        <v>1278</v>
      </c>
      <c r="H146" s="85">
        <f>INT((G146*Valores!$C$2*100)+0.5)/100</f>
        <v>9775.55</v>
      </c>
      <c r="I146" s="99">
        <v>0</v>
      </c>
      <c r="J146" s="87">
        <f>INT((I146*Valores!$C$2*100)+0.5)/100</f>
        <v>0</v>
      </c>
      <c r="K146" s="100">
        <v>0</v>
      </c>
      <c r="L146" s="87">
        <f>INT((K146*Valores!$C$2*100)+0.5)/100</f>
        <v>0</v>
      </c>
      <c r="M146" s="101">
        <v>0</v>
      </c>
      <c r="N146" s="87">
        <f>INT((M146*Valores!$C$2*100)+0.5)/100</f>
        <v>0</v>
      </c>
      <c r="O146" s="87">
        <f t="shared" si="25"/>
        <v>2152.3754999999996</v>
      </c>
      <c r="P146" s="87">
        <f t="shared" si="26"/>
        <v>0</v>
      </c>
      <c r="Q146" s="103">
        <f>Valores!$C$20</f>
        <v>4706.17</v>
      </c>
      <c r="R146" s="103">
        <f>Valores!$D$4</f>
        <v>3421.44</v>
      </c>
      <c r="S146" s="103">
        <f>Valores!$C$26</f>
        <v>3568.39</v>
      </c>
      <c r="T146" s="104">
        <f>Valores!$C$42</f>
        <v>1414.4</v>
      </c>
      <c r="U146" s="87">
        <f>Valores!$C$23</f>
        <v>3159.22</v>
      </c>
      <c r="V146" s="87">
        <f t="shared" si="23"/>
        <v>3159.22</v>
      </c>
      <c r="W146" s="87">
        <v>0</v>
      </c>
      <c r="X146" s="87">
        <v>0</v>
      </c>
      <c r="Y146" s="91">
        <v>0</v>
      </c>
      <c r="Z146" s="87">
        <f>Y146*Valores!$C$2</f>
        <v>0</v>
      </c>
      <c r="AA146" s="87">
        <v>0</v>
      </c>
      <c r="AB146" s="92">
        <f>Valores!$C$29</f>
        <v>184.78</v>
      </c>
      <c r="AC146" s="87">
        <f t="shared" si="29"/>
        <v>0</v>
      </c>
      <c r="AD146" s="87">
        <f>Valores!$C$30</f>
        <v>184.78</v>
      </c>
      <c r="AE146" s="91">
        <v>94</v>
      </c>
      <c r="AF146" s="87">
        <f>INT(((AE146*Valores!$C$2)*100)+0.5)/100</f>
        <v>719.02</v>
      </c>
      <c r="AG146" s="87">
        <f>Valores!$C$58</f>
        <v>375.86</v>
      </c>
      <c r="AH146" s="87">
        <f>Valores!$C$60</f>
        <v>107.38</v>
      </c>
      <c r="AI146" s="111">
        <f t="shared" si="30"/>
        <v>29769.3655</v>
      </c>
      <c r="AJ146" s="103">
        <f>Valores!$C$35</f>
        <v>876.57</v>
      </c>
      <c r="AK146" s="90">
        <f>Valores!$C$8</f>
        <v>0</v>
      </c>
      <c r="AL146" s="90">
        <f>Valores!$C$81</f>
        <v>1500</v>
      </c>
      <c r="AM146" s="74">
        <v>1400</v>
      </c>
      <c r="AN146" s="92">
        <f>Valores!$C$51</f>
        <v>157.49</v>
      </c>
      <c r="AO146" s="94">
        <f t="shared" si="31"/>
        <v>2376.57</v>
      </c>
      <c r="AP146" s="112">
        <f>AI146*-Valores!$C$65</f>
        <v>-3870.017515</v>
      </c>
      <c r="AQ146" s="112">
        <f>AI146*-Valores!$C$66</f>
        <v>-148.8468275</v>
      </c>
      <c r="AR146" s="89">
        <f>AI146*-Valores!$C$67</f>
        <v>-1339.6214475</v>
      </c>
      <c r="AS146" s="89">
        <f>AI146*-Valores!$C$68</f>
        <v>-803.7728685</v>
      </c>
      <c r="AT146" s="89">
        <f>AI146*-Valores!$C$69</f>
        <v>-89.3080965</v>
      </c>
      <c r="AU146" s="93">
        <f t="shared" si="27"/>
        <v>26787.449709999997</v>
      </c>
      <c r="AV146" s="93">
        <f t="shared" si="28"/>
        <v>27233.990192499998</v>
      </c>
      <c r="AW146" s="89">
        <f>AI146*Valores!$C$71</f>
        <v>4763.09848</v>
      </c>
      <c r="AX146" s="89">
        <f>AI146*Valores!$C$72</f>
        <v>1339.6214475</v>
      </c>
      <c r="AY146" s="89">
        <f>AI146*Valores!$C$73</f>
        <v>297.693655</v>
      </c>
      <c r="AZ146" s="89">
        <f>AI146*Valores!$C$75</f>
        <v>1041.9277925000001</v>
      </c>
      <c r="BA146" s="89">
        <f>AI146*Valores!$C$76</f>
        <v>178.616193</v>
      </c>
      <c r="BB146" s="89">
        <f t="shared" si="32"/>
        <v>1607.5457370000001</v>
      </c>
      <c r="BC146" s="81"/>
      <c r="BD146" s="81">
        <v>20</v>
      </c>
      <c r="BE146" s="82" t="s">
        <v>4</v>
      </c>
    </row>
    <row r="147" spans="1:57" s="24" customFormat="1" ht="11.25" customHeight="1">
      <c r="A147" s="47">
        <v>146</v>
      </c>
      <c r="B147" s="47"/>
      <c r="C147" s="24" t="s">
        <v>432</v>
      </c>
      <c r="E147" s="24">
        <f t="shared" si="24"/>
        <v>26</v>
      </c>
      <c r="F147" s="67" t="s">
        <v>433</v>
      </c>
      <c r="G147" s="68">
        <v>1278</v>
      </c>
      <c r="H147" s="69">
        <f>INT((G147*Valores!$C$2*100)+0.5)/100</f>
        <v>9775.55</v>
      </c>
      <c r="I147" s="108">
        <v>0</v>
      </c>
      <c r="J147" s="71">
        <f>INT((I147*Valores!$C$2*100)+0.5)/100</f>
        <v>0</v>
      </c>
      <c r="K147" s="98">
        <v>0</v>
      </c>
      <c r="L147" s="71">
        <f>INT((K147*Valores!$C$2*100)+0.5)/100</f>
        <v>0</v>
      </c>
      <c r="M147" s="96">
        <v>0</v>
      </c>
      <c r="N147" s="71">
        <f>INT((M147*Valores!$C$2*100)+0.5)/100</f>
        <v>0</v>
      </c>
      <c r="O147" s="71">
        <f t="shared" si="25"/>
        <v>2152.3754999999996</v>
      </c>
      <c r="P147" s="71">
        <f t="shared" si="26"/>
        <v>0</v>
      </c>
      <c r="Q147" s="97">
        <f>Valores!$C$20</f>
        <v>4706.17</v>
      </c>
      <c r="R147" s="97">
        <f>Valores!$D$4</f>
        <v>3421.44</v>
      </c>
      <c r="S147" s="74">
        <f>Valores!$C$26</f>
        <v>3568.39</v>
      </c>
      <c r="T147" s="74">
        <f>Valores!$C$42</f>
        <v>1414.4</v>
      </c>
      <c r="U147" s="97">
        <f>Valores!$C$23</f>
        <v>3159.22</v>
      </c>
      <c r="V147" s="71">
        <f t="shared" si="23"/>
        <v>3159.22</v>
      </c>
      <c r="W147" s="71">
        <v>0</v>
      </c>
      <c r="X147" s="71">
        <v>0</v>
      </c>
      <c r="Y147" s="75">
        <v>0</v>
      </c>
      <c r="Z147" s="71">
        <f>Y147*Valores!$C$2</f>
        <v>0</v>
      </c>
      <c r="AA147" s="71">
        <v>0</v>
      </c>
      <c r="AB147" s="76">
        <f>Valores!$C$29</f>
        <v>184.78</v>
      </c>
      <c r="AC147" s="71">
        <f t="shared" si="29"/>
        <v>0</v>
      </c>
      <c r="AD147" s="71">
        <f>Valores!$C$30</f>
        <v>184.78</v>
      </c>
      <c r="AE147" s="75">
        <v>0</v>
      </c>
      <c r="AF147" s="71">
        <f>INT(((AE147*Valores!$C$2)*100)+0.5)/100</f>
        <v>0</v>
      </c>
      <c r="AG147" s="71">
        <f>Valores!$C$58</f>
        <v>375.86</v>
      </c>
      <c r="AH147" s="71">
        <f>Valores!$C$60</f>
        <v>107.38</v>
      </c>
      <c r="AI147" s="110">
        <f t="shared" si="30"/>
        <v>29050.3455</v>
      </c>
      <c r="AJ147" s="97">
        <f>Valores!$C$35</f>
        <v>876.57</v>
      </c>
      <c r="AK147" s="74">
        <f>Valores!$C$8</f>
        <v>0</v>
      </c>
      <c r="AL147" s="74">
        <f>Valores!$C$81</f>
        <v>1500</v>
      </c>
      <c r="AM147" s="74">
        <v>1400</v>
      </c>
      <c r="AN147" s="76">
        <f>Valores!$C$51</f>
        <v>157.49</v>
      </c>
      <c r="AO147" s="78">
        <f t="shared" si="31"/>
        <v>2376.57</v>
      </c>
      <c r="AP147" s="57">
        <f>AI147*-Valores!$C$65</f>
        <v>-3776.544915</v>
      </c>
      <c r="AQ147" s="57">
        <f>AI147*-Valores!$C$66</f>
        <v>-145.2517275</v>
      </c>
      <c r="AR147" s="73">
        <f>AI147*-Valores!$C$67</f>
        <v>-1307.2655475</v>
      </c>
      <c r="AS147" s="73">
        <f>AI147*-Valores!$C$68</f>
        <v>-784.3593285</v>
      </c>
      <c r="AT147" s="73">
        <f>AI147*-Valores!$C$69</f>
        <v>-87.1510365</v>
      </c>
      <c r="AU147" s="77">
        <f t="shared" si="27"/>
        <v>26197.853310000002</v>
      </c>
      <c r="AV147" s="77">
        <f t="shared" si="28"/>
        <v>26633.608492500003</v>
      </c>
      <c r="AW147" s="73">
        <f>AI147*Valores!$C$71</f>
        <v>4648.05528</v>
      </c>
      <c r="AX147" s="73">
        <f>AI147*Valores!$C$72</f>
        <v>1307.2655475</v>
      </c>
      <c r="AY147" s="73">
        <f>AI147*Valores!$C$73</f>
        <v>290.503455</v>
      </c>
      <c r="AZ147" s="73">
        <f>AI147*Valores!$C$75</f>
        <v>1016.7620925000001</v>
      </c>
      <c r="BA147" s="73">
        <f>AI147*Valores!$C$76</f>
        <v>174.302073</v>
      </c>
      <c r="BB147" s="73">
        <f t="shared" si="32"/>
        <v>1568.718657</v>
      </c>
      <c r="BC147" s="47"/>
      <c r="BD147" s="47">
        <v>22</v>
      </c>
      <c r="BE147" s="24" t="s">
        <v>4</v>
      </c>
    </row>
    <row r="148" spans="1:57" s="24" customFormat="1" ht="11.25" customHeight="1">
      <c r="A148" s="47">
        <v>147</v>
      </c>
      <c r="B148" s="47"/>
      <c r="C148" s="24" t="s">
        <v>434</v>
      </c>
      <c r="E148" s="24">
        <f t="shared" si="24"/>
        <v>26</v>
      </c>
      <c r="F148" s="67" t="s">
        <v>435</v>
      </c>
      <c r="G148" s="68">
        <v>1278</v>
      </c>
      <c r="H148" s="69">
        <f>INT((G148*Valores!$C$2*100)+0.5)/100</f>
        <v>9775.55</v>
      </c>
      <c r="I148" s="108">
        <v>0</v>
      </c>
      <c r="J148" s="71">
        <f>INT((I148*Valores!$C$2*100)+0.5)/100</f>
        <v>0</v>
      </c>
      <c r="K148" s="98">
        <v>0</v>
      </c>
      <c r="L148" s="71">
        <f>INT((K148*Valores!$C$2*100)+0.5)/100</f>
        <v>0</v>
      </c>
      <c r="M148" s="96">
        <v>0</v>
      </c>
      <c r="N148" s="71">
        <f>INT((M148*Valores!$C$2*100)+0.5)/100</f>
        <v>0</v>
      </c>
      <c r="O148" s="71">
        <f t="shared" si="25"/>
        <v>2145.9269999999997</v>
      </c>
      <c r="P148" s="71">
        <f t="shared" si="26"/>
        <v>0</v>
      </c>
      <c r="Q148" s="97">
        <f>Valores!$C$20</f>
        <v>4706.17</v>
      </c>
      <c r="R148" s="97">
        <f>Valores!$D$4</f>
        <v>3421.44</v>
      </c>
      <c r="S148" s="74">
        <v>0</v>
      </c>
      <c r="T148" s="74">
        <f>Valores!$C$42</f>
        <v>1414.4</v>
      </c>
      <c r="U148" s="97">
        <f>Valores!$C$24</f>
        <v>3116.23</v>
      </c>
      <c r="V148" s="71">
        <f t="shared" si="23"/>
        <v>3116.23</v>
      </c>
      <c r="W148" s="71">
        <v>0</v>
      </c>
      <c r="X148" s="71">
        <v>0</v>
      </c>
      <c r="Y148" s="75">
        <v>0</v>
      </c>
      <c r="Z148" s="71">
        <f>Y148*Valores!$C$2</f>
        <v>0</v>
      </c>
      <c r="AA148" s="71">
        <v>0</v>
      </c>
      <c r="AB148" s="76">
        <f>Valores!$C$29</f>
        <v>184.78</v>
      </c>
      <c r="AC148" s="71">
        <f t="shared" si="29"/>
        <v>0</v>
      </c>
      <c r="AD148" s="71">
        <f>Valores!$C$30</f>
        <v>184.78</v>
      </c>
      <c r="AE148" s="75">
        <v>0</v>
      </c>
      <c r="AF148" s="71">
        <f>INT(((AE148*Valores!$C$2)*100)+0.5)/100</f>
        <v>0</v>
      </c>
      <c r="AG148" s="71">
        <f>Valores!$C$58</f>
        <v>375.86</v>
      </c>
      <c r="AH148" s="71">
        <f>Valores!$C$60</f>
        <v>107.38</v>
      </c>
      <c r="AI148" s="110">
        <f t="shared" si="30"/>
        <v>25432.516999999996</v>
      </c>
      <c r="AJ148" s="97">
        <f>Valores!$C$35</f>
        <v>876.57</v>
      </c>
      <c r="AK148" s="74">
        <f>Valores!$C$8</f>
        <v>0</v>
      </c>
      <c r="AL148" s="74">
        <f>Valores!$C$81</f>
        <v>1500</v>
      </c>
      <c r="AM148" s="74">
        <v>1400</v>
      </c>
      <c r="AN148" s="76">
        <f>Valores!$C$51</f>
        <v>157.49</v>
      </c>
      <c r="AO148" s="78">
        <f t="shared" si="31"/>
        <v>2376.57</v>
      </c>
      <c r="AP148" s="57">
        <f>AI148*-Valores!$C$65</f>
        <v>-3306.2272099999996</v>
      </c>
      <c r="AQ148" s="57">
        <f>AI148*-Valores!$C$66</f>
        <v>-127.16258499999998</v>
      </c>
      <c r="AR148" s="73">
        <f>AI148*-Valores!$C$67</f>
        <v>-1144.4632649999999</v>
      </c>
      <c r="AS148" s="73">
        <f>AI148*-Valores!$C$68</f>
        <v>-686.6779589999999</v>
      </c>
      <c r="AT148" s="73">
        <f>AI148*-Valores!$C$69</f>
        <v>-76.29755099999998</v>
      </c>
      <c r="AU148" s="77">
        <f t="shared" si="27"/>
        <v>23231.23394</v>
      </c>
      <c r="AV148" s="77">
        <f t="shared" si="28"/>
        <v>23612.721694999997</v>
      </c>
      <c r="AW148" s="73">
        <f>AI148*Valores!$C$71</f>
        <v>4069.2027199999993</v>
      </c>
      <c r="AX148" s="73">
        <f>AI148*Valores!$C$72</f>
        <v>1144.4632649999999</v>
      </c>
      <c r="AY148" s="73">
        <f>AI148*Valores!$C$73</f>
        <v>254.32516999999996</v>
      </c>
      <c r="AZ148" s="73">
        <f>AI148*Valores!$C$75</f>
        <v>890.1380949999999</v>
      </c>
      <c r="BA148" s="73">
        <f>AI148*Valores!$C$76</f>
        <v>152.59510199999997</v>
      </c>
      <c r="BB148" s="73">
        <f t="shared" si="32"/>
        <v>1373.355918</v>
      </c>
      <c r="BC148" s="47"/>
      <c r="BD148" s="47"/>
      <c r="BE148" s="24" t="s">
        <v>8</v>
      </c>
    </row>
    <row r="149" spans="1:57" s="24" customFormat="1" ht="11.25" customHeight="1">
      <c r="A149" s="47">
        <v>148</v>
      </c>
      <c r="B149" s="47"/>
      <c r="C149" s="24" t="s">
        <v>436</v>
      </c>
      <c r="E149" s="24">
        <f t="shared" si="24"/>
        <v>37</v>
      </c>
      <c r="F149" s="67" t="s">
        <v>437</v>
      </c>
      <c r="G149" s="68">
        <v>1278</v>
      </c>
      <c r="H149" s="69">
        <f>INT((G149*Valores!$C$2*100)+0.5)/100</f>
        <v>9775.55</v>
      </c>
      <c r="I149" s="108">
        <v>0</v>
      </c>
      <c r="J149" s="71">
        <f>INT((I149*Valores!$C$2*100)+0.5)/100</f>
        <v>0</v>
      </c>
      <c r="K149" s="98">
        <v>0</v>
      </c>
      <c r="L149" s="71">
        <f>INT((K149*Valores!$C$2*100)+0.5)/100</f>
        <v>0</v>
      </c>
      <c r="M149" s="96">
        <v>0</v>
      </c>
      <c r="N149" s="71">
        <f>INT((M149*Valores!$C$2*100)+0.5)/100</f>
        <v>0</v>
      </c>
      <c r="O149" s="71">
        <f t="shared" si="25"/>
        <v>2145.9269999999997</v>
      </c>
      <c r="P149" s="71">
        <f t="shared" si="26"/>
        <v>0</v>
      </c>
      <c r="Q149" s="97">
        <f>Valores!$C$20</f>
        <v>4706.17</v>
      </c>
      <c r="R149" s="97">
        <f>Valores!$D$4</f>
        <v>3421.44</v>
      </c>
      <c r="S149" s="74">
        <v>0</v>
      </c>
      <c r="T149" s="74">
        <f>Valores!$C$42</f>
        <v>1414.4</v>
      </c>
      <c r="U149" s="97">
        <f>Valores!$C$24</f>
        <v>3116.23</v>
      </c>
      <c r="V149" s="71">
        <f t="shared" si="23"/>
        <v>3116.23</v>
      </c>
      <c r="W149" s="71">
        <v>0</v>
      </c>
      <c r="X149" s="71">
        <v>0</v>
      </c>
      <c r="Y149" s="75">
        <v>0</v>
      </c>
      <c r="Z149" s="71">
        <f>Y149*Valores!$C$2</f>
        <v>0</v>
      </c>
      <c r="AA149" s="71">
        <v>0</v>
      </c>
      <c r="AB149" s="76">
        <f>Valores!$C$29</f>
        <v>184.78</v>
      </c>
      <c r="AC149" s="71">
        <f t="shared" si="29"/>
        <v>0</v>
      </c>
      <c r="AD149" s="71">
        <f>Valores!$C$30</f>
        <v>184.78</v>
      </c>
      <c r="AE149" s="75">
        <v>0</v>
      </c>
      <c r="AF149" s="71">
        <f>INT(((AE149*Valores!$C$2)*100)+0.5)/100</f>
        <v>0</v>
      </c>
      <c r="AG149" s="71">
        <f>Valores!$C$58</f>
        <v>375.86</v>
      </c>
      <c r="AH149" s="71">
        <f>Valores!$C$60</f>
        <v>107.38</v>
      </c>
      <c r="AI149" s="110">
        <f t="shared" si="30"/>
        <v>25432.516999999996</v>
      </c>
      <c r="AJ149" s="97">
        <f>Valores!$C$35</f>
        <v>876.57</v>
      </c>
      <c r="AK149" s="74">
        <f>Valores!$C$8</f>
        <v>0</v>
      </c>
      <c r="AL149" s="74">
        <f>Valores!$C$81</f>
        <v>1500</v>
      </c>
      <c r="AM149" s="74">
        <v>1400</v>
      </c>
      <c r="AN149" s="76">
        <f>Valores!$C$51</f>
        <v>157.49</v>
      </c>
      <c r="AO149" s="78">
        <f t="shared" si="31"/>
        <v>2376.57</v>
      </c>
      <c r="AP149" s="57">
        <f>AI149*-Valores!$C$65</f>
        <v>-3306.2272099999996</v>
      </c>
      <c r="AQ149" s="57">
        <f>AI149*-Valores!$C$66</f>
        <v>-127.16258499999998</v>
      </c>
      <c r="AR149" s="73">
        <f>AI149*-Valores!$C$67</f>
        <v>-1144.4632649999999</v>
      </c>
      <c r="AS149" s="73">
        <f>AI149*-Valores!$C$68</f>
        <v>-686.6779589999999</v>
      </c>
      <c r="AT149" s="73">
        <f>AI149*-Valores!$C$69</f>
        <v>-76.29755099999998</v>
      </c>
      <c r="AU149" s="77">
        <f t="shared" si="27"/>
        <v>23231.23394</v>
      </c>
      <c r="AV149" s="77">
        <f t="shared" si="28"/>
        <v>23612.721694999997</v>
      </c>
      <c r="AW149" s="73">
        <f>AI149*Valores!$C$71</f>
        <v>4069.2027199999993</v>
      </c>
      <c r="AX149" s="73">
        <f>AI149*Valores!$C$72</f>
        <v>1144.4632649999999</v>
      </c>
      <c r="AY149" s="73">
        <f>AI149*Valores!$C$73</f>
        <v>254.32516999999996</v>
      </c>
      <c r="AZ149" s="73">
        <f>AI149*Valores!$C$75</f>
        <v>890.1380949999999</v>
      </c>
      <c r="BA149" s="73">
        <f>AI149*Valores!$C$76</f>
        <v>152.59510199999997</v>
      </c>
      <c r="BB149" s="73">
        <f t="shared" si="32"/>
        <v>1373.355918</v>
      </c>
      <c r="BC149" s="47"/>
      <c r="BD149" s="81"/>
      <c r="BE149" s="24" t="s">
        <v>8</v>
      </c>
    </row>
    <row r="150" spans="1:57" s="24" customFormat="1" ht="11.25" customHeight="1">
      <c r="A150" s="47">
        <v>149</v>
      </c>
      <c r="B150" s="47"/>
      <c r="C150" s="24" t="s">
        <v>438</v>
      </c>
      <c r="E150" s="24">
        <f t="shared" si="24"/>
        <v>27</v>
      </c>
      <c r="F150" s="67" t="s">
        <v>439</v>
      </c>
      <c r="G150" s="68">
        <v>1060</v>
      </c>
      <c r="H150" s="69">
        <f>INT((G150*Valores!$C$2*100)+0.5)/100</f>
        <v>8108.05</v>
      </c>
      <c r="I150" s="108">
        <v>0</v>
      </c>
      <c r="J150" s="71">
        <f>INT((I150*Valores!$C$2*100)+0.5)/100</f>
        <v>0</v>
      </c>
      <c r="K150" s="98">
        <v>0</v>
      </c>
      <c r="L150" s="71">
        <f>INT((K150*Valores!$C$2*100)+0.5)/100</f>
        <v>0</v>
      </c>
      <c r="M150" s="96">
        <v>0</v>
      </c>
      <c r="N150" s="71">
        <f>INT((M150*Valores!$C$2*100)+0.5)/100</f>
        <v>0</v>
      </c>
      <c r="O150" s="71">
        <f t="shared" si="25"/>
        <v>1902.2504999999999</v>
      </c>
      <c r="P150" s="71">
        <f t="shared" si="26"/>
        <v>0</v>
      </c>
      <c r="Q150" s="97">
        <f>Valores!$C$20</f>
        <v>4706.17</v>
      </c>
      <c r="R150" s="97">
        <f>Valores!$D$4</f>
        <v>3421.44</v>
      </c>
      <c r="S150" s="102">
        <f>Valores!$C$26</f>
        <v>3568.39</v>
      </c>
      <c r="T150" s="102">
        <f>Valores!$C$42</f>
        <v>1414.4</v>
      </c>
      <c r="U150" s="71">
        <f>Valores!$C$23</f>
        <v>3159.22</v>
      </c>
      <c r="V150" s="71">
        <f t="shared" si="23"/>
        <v>3159.22</v>
      </c>
      <c r="W150" s="71">
        <v>0</v>
      </c>
      <c r="X150" s="71">
        <v>0</v>
      </c>
      <c r="Y150" s="75">
        <v>0</v>
      </c>
      <c r="Z150" s="71">
        <f>Y150*Valores!$C$2</f>
        <v>0</v>
      </c>
      <c r="AA150" s="71">
        <v>0</v>
      </c>
      <c r="AB150" s="76">
        <f>Valores!$C$29</f>
        <v>184.78</v>
      </c>
      <c r="AC150" s="71">
        <f t="shared" si="29"/>
        <v>0</v>
      </c>
      <c r="AD150" s="71">
        <f>Valores!$C$30</f>
        <v>184.78</v>
      </c>
      <c r="AE150" s="75">
        <v>0</v>
      </c>
      <c r="AF150" s="71">
        <f>INT(((AE150*Valores!$C$2)*100)+0.5)/100</f>
        <v>0</v>
      </c>
      <c r="AG150" s="71">
        <f>Valores!$C$58</f>
        <v>375.86</v>
      </c>
      <c r="AH150" s="71">
        <f>Valores!$C$60</f>
        <v>107.38</v>
      </c>
      <c r="AI150" s="110">
        <f t="shared" si="30"/>
        <v>27132.7205</v>
      </c>
      <c r="AJ150" s="97">
        <f>Valores!$C$35</f>
        <v>876.57</v>
      </c>
      <c r="AK150" s="74">
        <f>Valores!$C$8</f>
        <v>0</v>
      </c>
      <c r="AL150" s="74">
        <f>Valores!$C$81</f>
        <v>1500</v>
      </c>
      <c r="AM150" s="74">
        <v>1400</v>
      </c>
      <c r="AN150" s="76">
        <f>Valores!$C$51</f>
        <v>157.49</v>
      </c>
      <c r="AO150" s="78">
        <f t="shared" si="31"/>
        <v>2376.57</v>
      </c>
      <c r="AP150" s="57">
        <f>AI150*-Valores!$C$65</f>
        <v>-3527.253665</v>
      </c>
      <c r="AQ150" s="57">
        <f>AI150*-Valores!$C$66</f>
        <v>-135.6636025</v>
      </c>
      <c r="AR150" s="73">
        <f>AI150*-Valores!$C$67</f>
        <v>-1220.9724225</v>
      </c>
      <c r="AS150" s="73">
        <f>AI150*-Valores!$C$68</f>
        <v>-732.5834535</v>
      </c>
      <c r="AT150" s="73">
        <f>AI150*-Valores!$C$69</f>
        <v>-81.3981615</v>
      </c>
      <c r="AU150" s="77">
        <f t="shared" si="27"/>
        <v>24625.40081</v>
      </c>
      <c r="AV150" s="77">
        <f t="shared" si="28"/>
        <v>25032.391617499998</v>
      </c>
      <c r="AW150" s="73">
        <f>AI150*Valores!$C$71</f>
        <v>4341.23528</v>
      </c>
      <c r="AX150" s="73">
        <f>AI150*Valores!$C$72</f>
        <v>1220.9724225</v>
      </c>
      <c r="AY150" s="73">
        <f>AI150*Valores!$C$73</f>
        <v>271.327205</v>
      </c>
      <c r="AZ150" s="73">
        <f>AI150*Valores!$C$75</f>
        <v>949.6452175000001</v>
      </c>
      <c r="BA150" s="73">
        <f>AI150*Valores!$C$76</f>
        <v>162.796323</v>
      </c>
      <c r="BB150" s="73">
        <f t="shared" si="32"/>
        <v>1465.166907</v>
      </c>
      <c r="BC150" s="47"/>
      <c r="BD150" s="47"/>
      <c r="BE150" s="24" t="s">
        <v>4</v>
      </c>
    </row>
    <row r="151" spans="1:57" s="24" customFormat="1" ht="11.25" customHeight="1">
      <c r="A151" s="81">
        <v>150</v>
      </c>
      <c r="B151" s="81" t="s">
        <v>163</v>
      </c>
      <c r="C151" s="82" t="s">
        <v>440</v>
      </c>
      <c r="D151" s="82"/>
      <c r="E151" s="82">
        <f t="shared" si="24"/>
        <v>23</v>
      </c>
      <c r="F151" s="83" t="s">
        <v>441</v>
      </c>
      <c r="G151" s="84">
        <v>1278</v>
      </c>
      <c r="H151" s="85">
        <f>INT((G151*Valores!$C$2*100)+0.5)/100</f>
        <v>9775.55</v>
      </c>
      <c r="I151" s="99">
        <v>0</v>
      </c>
      <c r="J151" s="87">
        <f>INT((I151*Valores!$C$2*100)+0.5)/100</f>
        <v>0</v>
      </c>
      <c r="K151" s="100">
        <v>0</v>
      </c>
      <c r="L151" s="87">
        <f>INT((K151*Valores!$C$2*100)+0.5)/100</f>
        <v>0</v>
      </c>
      <c r="M151" s="101">
        <v>0</v>
      </c>
      <c r="N151" s="87">
        <f>INT((M151*Valores!$C$2*100)+0.5)/100</f>
        <v>0</v>
      </c>
      <c r="O151" s="87">
        <f t="shared" si="25"/>
        <v>2145.9269999999997</v>
      </c>
      <c r="P151" s="87">
        <f t="shared" si="26"/>
        <v>0</v>
      </c>
      <c r="Q151" s="103">
        <f>Valores!$C$20</f>
        <v>4706.17</v>
      </c>
      <c r="R151" s="103">
        <f>Valores!$D$4</f>
        <v>3421.44</v>
      </c>
      <c r="S151" s="104">
        <f>Valores!$C$26</f>
        <v>3568.39</v>
      </c>
      <c r="T151" s="104">
        <f>Valores!$C$42</f>
        <v>1414.4</v>
      </c>
      <c r="U151" s="103">
        <f>Valores!$C$24</f>
        <v>3116.23</v>
      </c>
      <c r="V151" s="87">
        <f t="shared" si="23"/>
        <v>3116.23</v>
      </c>
      <c r="W151" s="87">
        <v>0</v>
      </c>
      <c r="X151" s="87">
        <v>0</v>
      </c>
      <c r="Y151" s="91">
        <v>0</v>
      </c>
      <c r="Z151" s="87">
        <f>Y151*Valores!$C$2</f>
        <v>0</v>
      </c>
      <c r="AA151" s="87">
        <v>0</v>
      </c>
      <c r="AB151" s="92">
        <f>Valores!$C$29</f>
        <v>184.78</v>
      </c>
      <c r="AC151" s="87">
        <f t="shared" si="29"/>
        <v>0</v>
      </c>
      <c r="AD151" s="87">
        <f>Valores!$C$30</f>
        <v>184.78</v>
      </c>
      <c r="AE151" s="91">
        <v>0</v>
      </c>
      <c r="AF151" s="87">
        <f>INT(((AE151*Valores!$C$2)*100)+0.5)/100</f>
        <v>0</v>
      </c>
      <c r="AG151" s="87">
        <f>Valores!$C$58</f>
        <v>375.86</v>
      </c>
      <c r="AH151" s="87">
        <f>Valores!$C$60</f>
        <v>107.38</v>
      </c>
      <c r="AI151" s="111">
        <f t="shared" si="30"/>
        <v>29000.906999999996</v>
      </c>
      <c r="AJ151" s="103">
        <f>Valores!$C$35</f>
        <v>876.57</v>
      </c>
      <c r="AK151" s="90">
        <f>Valores!$C$8</f>
        <v>0</v>
      </c>
      <c r="AL151" s="90">
        <f>Valores!$C$81</f>
        <v>1500</v>
      </c>
      <c r="AM151" s="74">
        <v>1400</v>
      </c>
      <c r="AN151" s="92">
        <f>Valores!$C$51</f>
        <v>157.49</v>
      </c>
      <c r="AO151" s="94">
        <f t="shared" si="31"/>
        <v>2376.57</v>
      </c>
      <c r="AP151" s="112">
        <f>AI151*-Valores!$C$65</f>
        <v>-3770.1179099999995</v>
      </c>
      <c r="AQ151" s="112">
        <f>AI151*-Valores!$C$66</f>
        <v>-145.00453499999998</v>
      </c>
      <c r="AR151" s="89">
        <f>AI151*-Valores!$C$67</f>
        <v>-1305.0408149999998</v>
      </c>
      <c r="AS151" s="89">
        <f>AI151*-Valores!$C$68</f>
        <v>-783.0244889999999</v>
      </c>
      <c r="AT151" s="89">
        <f>AI151*-Valores!$C$69</f>
        <v>-87.002721</v>
      </c>
      <c r="AU151" s="93">
        <f t="shared" si="27"/>
        <v>26157.313739999994</v>
      </c>
      <c r="AV151" s="93">
        <f t="shared" si="28"/>
        <v>26592.327344999994</v>
      </c>
      <c r="AW151" s="89">
        <f>AI151*Valores!$C$71</f>
        <v>4640.145119999999</v>
      </c>
      <c r="AX151" s="89">
        <f>AI151*Valores!$C$72</f>
        <v>1305.0408149999998</v>
      </c>
      <c r="AY151" s="89">
        <f>AI151*Valores!$C$73</f>
        <v>290.00906999999995</v>
      </c>
      <c r="AZ151" s="89">
        <f>AI151*Valores!$C$75</f>
        <v>1015.0317449999999</v>
      </c>
      <c r="BA151" s="89">
        <f>AI151*Valores!$C$76</f>
        <v>174.005442</v>
      </c>
      <c r="BB151" s="89">
        <f t="shared" si="32"/>
        <v>1566.0489779999998</v>
      </c>
      <c r="BC151" s="81"/>
      <c r="BD151" s="81">
        <v>22</v>
      </c>
      <c r="BE151" s="82" t="s">
        <v>4</v>
      </c>
    </row>
    <row r="152" spans="1:57" s="24" customFormat="1" ht="11.25" customHeight="1">
      <c r="A152" s="47">
        <v>151</v>
      </c>
      <c r="B152" s="47"/>
      <c r="C152" s="24" t="s">
        <v>442</v>
      </c>
      <c r="E152" s="24">
        <f t="shared" si="24"/>
        <v>18</v>
      </c>
      <c r="F152" s="67" t="s">
        <v>443</v>
      </c>
      <c r="G152" s="68">
        <v>1278</v>
      </c>
      <c r="H152" s="69">
        <f>INT((G152*Valores!$C$2*100)+0.5)/100</f>
        <v>9775.55</v>
      </c>
      <c r="I152" s="108">
        <v>0</v>
      </c>
      <c r="J152" s="71">
        <f>INT((I152*Valores!$C$2*100)+0.5)/100</f>
        <v>0</v>
      </c>
      <c r="K152" s="98">
        <v>0</v>
      </c>
      <c r="L152" s="71">
        <f>INT((K152*Valores!$C$2*100)+0.5)/100</f>
        <v>0</v>
      </c>
      <c r="M152" s="96">
        <v>0</v>
      </c>
      <c r="N152" s="71">
        <f>INT((M152*Valores!$C$2*100)+0.5)/100</f>
        <v>0</v>
      </c>
      <c r="O152" s="71">
        <f t="shared" si="25"/>
        <v>2152.3754999999996</v>
      </c>
      <c r="P152" s="71">
        <f t="shared" si="26"/>
        <v>0</v>
      </c>
      <c r="Q152" s="97">
        <f>Valores!$C$20</f>
        <v>4706.17</v>
      </c>
      <c r="R152" s="97">
        <f>Valores!$D$4</f>
        <v>3421.44</v>
      </c>
      <c r="S152" s="74">
        <f>Valores!$C$26</f>
        <v>3568.39</v>
      </c>
      <c r="T152" s="74">
        <f>Valores!$C$42</f>
        <v>1414.4</v>
      </c>
      <c r="U152" s="71">
        <f>Valores!$C$23</f>
        <v>3159.22</v>
      </c>
      <c r="V152" s="71">
        <f t="shared" si="23"/>
        <v>3159.22</v>
      </c>
      <c r="W152" s="71">
        <v>0</v>
      </c>
      <c r="X152" s="71">
        <v>0</v>
      </c>
      <c r="Y152" s="75">
        <v>0</v>
      </c>
      <c r="Z152" s="71">
        <f>Y152*Valores!$C$2</f>
        <v>0</v>
      </c>
      <c r="AA152" s="71">
        <v>0</v>
      </c>
      <c r="AB152" s="76">
        <f>Valores!$C$29</f>
        <v>184.78</v>
      </c>
      <c r="AC152" s="71">
        <f t="shared" si="29"/>
        <v>0</v>
      </c>
      <c r="AD152" s="71">
        <f>Valores!$C$30</f>
        <v>184.78</v>
      </c>
      <c r="AE152" s="75">
        <v>0</v>
      </c>
      <c r="AF152" s="71">
        <f>INT(((AE152*Valores!$C$2)*100)+0.5)/100</f>
        <v>0</v>
      </c>
      <c r="AG152" s="71">
        <f>Valores!$C$58</f>
        <v>375.86</v>
      </c>
      <c r="AH152" s="71">
        <f>Valores!$C$60</f>
        <v>107.38</v>
      </c>
      <c r="AI152" s="110">
        <f t="shared" si="30"/>
        <v>29050.3455</v>
      </c>
      <c r="AJ152" s="97">
        <f>Valores!$C$35</f>
        <v>876.57</v>
      </c>
      <c r="AK152" s="74">
        <f>Valores!$C$8</f>
        <v>0</v>
      </c>
      <c r="AL152" s="74">
        <f>Valores!$C$81</f>
        <v>1500</v>
      </c>
      <c r="AM152" s="74">
        <v>1400</v>
      </c>
      <c r="AN152" s="76">
        <f>Valores!$C$51</f>
        <v>157.49</v>
      </c>
      <c r="AO152" s="78">
        <f t="shared" si="31"/>
        <v>2376.57</v>
      </c>
      <c r="AP152" s="57">
        <f>AI152*-Valores!$C$65</f>
        <v>-3776.544915</v>
      </c>
      <c r="AQ152" s="57">
        <f>AI152*-Valores!$C$66</f>
        <v>-145.2517275</v>
      </c>
      <c r="AR152" s="73">
        <f>AI152*-Valores!$C$67</f>
        <v>-1307.2655475</v>
      </c>
      <c r="AS152" s="73">
        <f>AI152*-Valores!$C$68</f>
        <v>-784.3593285</v>
      </c>
      <c r="AT152" s="73">
        <f>AI152*-Valores!$C$69</f>
        <v>-87.1510365</v>
      </c>
      <c r="AU152" s="77">
        <f t="shared" si="27"/>
        <v>26197.853310000002</v>
      </c>
      <c r="AV152" s="77">
        <f t="shared" si="28"/>
        <v>26633.608492500003</v>
      </c>
      <c r="AW152" s="73">
        <f>AI152*Valores!$C$71</f>
        <v>4648.05528</v>
      </c>
      <c r="AX152" s="73">
        <f>AI152*Valores!$C$72</f>
        <v>1307.2655475</v>
      </c>
      <c r="AY152" s="73">
        <f>AI152*Valores!$C$73</f>
        <v>290.503455</v>
      </c>
      <c r="AZ152" s="73">
        <f>AI152*Valores!$C$75</f>
        <v>1016.7620925000001</v>
      </c>
      <c r="BA152" s="73">
        <f>AI152*Valores!$C$76</f>
        <v>174.302073</v>
      </c>
      <c r="BB152" s="73">
        <f t="shared" si="32"/>
        <v>1568.718657</v>
      </c>
      <c r="BC152" s="47"/>
      <c r="BD152" s="47">
        <v>25</v>
      </c>
      <c r="BE152" s="24" t="s">
        <v>4</v>
      </c>
    </row>
    <row r="153" spans="1:57" s="24" customFormat="1" ht="11.25" customHeight="1">
      <c r="A153" s="47">
        <v>152</v>
      </c>
      <c r="B153" s="47"/>
      <c r="C153" s="24" t="s">
        <v>444</v>
      </c>
      <c r="E153" s="24">
        <f t="shared" si="24"/>
        <v>13</v>
      </c>
      <c r="F153" s="67" t="s">
        <v>445</v>
      </c>
      <c r="G153" s="68">
        <v>1065</v>
      </c>
      <c r="H153" s="69">
        <f>INT((G153*Valores!$C$2*100)+0.5)/100</f>
        <v>8146.29</v>
      </c>
      <c r="I153" s="108">
        <v>0</v>
      </c>
      <c r="J153" s="71">
        <f>INT((I153*Valores!$C$2*100)+0.5)/100</f>
        <v>0</v>
      </c>
      <c r="K153" s="98">
        <v>0</v>
      </c>
      <c r="L153" s="71">
        <f>INT((K153*Valores!$C$2*100)+0.5)/100</f>
        <v>0</v>
      </c>
      <c r="M153" s="96">
        <v>0</v>
      </c>
      <c r="N153" s="71">
        <f>INT((M153*Valores!$C$2*100)+0.5)/100</f>
        <v>0</v>
      </c>
      <c r="O153" s="71">
        <f t="shared" si="25"/>
        <v>1881.4634999999998</v>
      </c>
      <c r="P153" s="71">
        <f t="shared" si="26"/>
        <v>0</v>
      </c>
      <c r="Q153" s="97">
        <f>Valores!$C$20</f>
        <v>4706.17</v>
      </c>
      <c r="R153" s="97">
        <f>Valores!$D$4</f>
        <v>3421.44</v>
      </c>
      <c r="S153" s="74">
        <f>Valores!$C$27</f>
        <v>3289.21</v>
      </c>
      <c r="T153" s="74">
        <f>Valores!$C$41</f>
        <v>1237.58</v>
      </c>
      <c r="U153" s="97">
        <f>Valores!$C$23</f>
        <v>3159.22</v>
      </c>
      <c r="V153" s="71">
        <f t="shared" si="23"/>
        <v>3159.22</v>
      </c>
      <c r="W153" s="71">
        <v>0</v>
      </c>
      <c r="X153" s="71">
        <v>0</v>
      </c>
      <c r="Y153" s="75">
        <v>0</v>
      </c>
      <c r="Z153" s="71">
        <f>Y153*Valores!$C$2</f>
        <v>0</v>
      </c>
      <c r="AA153" s="71">
        <v>0</v>
      </c>
      <c r="AB153" s="76">
        <f>Valores!$C$29</f>
        <v>184.78</v>
      </c>
      <c r="AC153" s="71">
        <f t="shared" si="29"/>
        <v>0</v>
      </c>
      <c r="AD153" s="71">
        <f>Valores!$C$30</f>
        <v>184.78</v>
      </c>
      <c r="AE153" s="75">
        <v>0</v>
      </c>
      <c r="AF153" s="71">
        <f>INT(((AE153*Valores!$C$2)*100)+0.5)/100</f>
        <v>0</v>
      </c>
      <c r="AG153" s="71">
        <f>Valores!$C$58</f>
        <v>375.86</v>
      </c>
      <c r="AH153" s="71">
        <f>Valores!$C$60</f>
        <v>107.38</v>
      </c>
      <c r="AI153" s="110">
        <f t="shared" si="30"/>
        <v>26694.1735</v>
      </c>
      <c r="AJ153" s="97">
        <f>Valores!$C$35</f>
        <v>876.57</v>
      </c>
      <c r="AK153" s="74">
        <f>Valores!$C$7</f>
        <v>0</v>
      </c>
      <c r="AL153" s="74">
        <f>Valores!$C$81</f>
        <v>1500</v>
      </c>
      <c r="AM153" s="74">
        <v>1400</v>
      </c>
      <c r="AN153" s="76">
        <f>Valores!$C$51</f>
        <v>157.49</v>
      </c>
      <c r="AO153" s="78">
        <f t="shared" si="31"/>
        <v>2376.57</v>
      </c>
      <c r="AP153" s="57">
        <f>AI153*-Valores!$C$65</f>
        <v>-3470.2425550000003</v>
      </c>
      <c r="AQ153" s="57">
        <f>AI153*-Valores!$C$66</f>
        <v>-133.4708675</v>
      </c>
      <c r="AR153" s="73">
        <f>AI153*-Valores!$C$67</f>
        <v>-1201.2378075</v>
      </c>
      <c r="AS153" s="73">
        <f>AI153*-Valores!$C$68</f>
        <v>-720.7426845</v>
      </c>
      <c r="AT153" s="73">
        <f>AI153*-Valores!$C$69</f>
        <v>-80.0825205</v>
      </c>
      <c r="AU153" s="77">
        <f t="shared" si="27"/>
        <v>24265.792269999998</v>
      </c>
      <c r="AV153" s="77">
        <f t="shared" si="28"/>
        <v>24666.2048725</v>
      </c>
      <c r="AW153" s="73">
        <f>AI153*Valores!$C$71</f>
        <v>4271.06776</v>
      </c>
      <c r="AX153" s="73">
        <f>AI153*Valores!$C$72</f>
        <v>1201.2378075</v>
      </c>
      <c r="AY153" s="73">
        <f>AI153*Valores!$C$73</f>
        <v>266.941735</v>
      </c>
      <c r="AZ153" s="73">
        <f>AI153*Valores!$C$75</f>
        <v>934.2960725000002</v>
      </c>
      <c r="BA153" s="73">
        <f>AI153*Valores!$C$76</f>
        <v>160.165041</v>
      </c>
      <c r="BB153" s="73">
        <f t="shared" si="32"/>
        <v>1441.485369</v>
      </c>
      <c r="BC153" s="47"/>
      <c r="BD153" s="47">
        <v>25</v>
      </c>
      <c r="BE153" s="24" t="s">
        <v>4</v>
      </c>
    </row>
    <row r="154" spans="1:57" s="24" customFormat="1" ht="11.25" customHeight="1">
      <c r="A154" s="47">
        <v>153</v>
      </c>
      <c r="B154" s="47"/>
      <c r="C154" s="24" t="s">
        <v>446</v>
      </c>
      <c r="E154" s="24">
        <f t="shared" si="24"/>
        <v>16</v>
      </c>
      <c r="F154" s="67" t="s">
        <v>447</v>
      </c>
      <c r="G154" s="68">
        <v>947</v>
      </c>
      <c r="H154" s="197">
        <f>INT((G154*Valores!$C$2*100)+0.5)/100</f>
        <v>7243.7</v>
      </c>
      <c r="I154" s="108">
        <v>0</v>
      </c>
      <c r="J154" s="71">
        <f>INT((I154*Valores!$C$2*100)+0.5)/100</f>
        <v>0</v>
      </c>
      <c r="K154" s="98">
        <v>0</v>
      </c>
      <c r="L154" s="71">
        <f>INT((K154*Valores!$C$2*100)+0.5)/100</f>
        <v>0</v>
      </c>
      <c r="M154" s="96">
        <v>0</v>
      </c>
      <c r="N154" s="71">
        <f>INT((M154*Valores!$C$2*100)+0.5)/100</f>
        <v>0</v>
      </c>
      <c r="O154" s="71">
        <f t="shared" si="25"/>
        <v>1746.075</v>
      </c>
      <c r="P154" s="71">
        <f t="shared" si="26"/>
        <v>0</v>
      </c>
      <c r="Q154" s="198">
        <f>Valores!$C$20</f>
        <v>4706.17</v>
      </c>
      <c r="R154" s="97">
        <f>Valores!$D$4</f>
        <v>3421.44</v>
      </c>
      <c r="S154" s="74">
        <f>Valores!$C$27</f>
        <v>3289.21</v>
      </c>
      <c r="T154" s="74">
        <f>Valores!$C$41</f>
        <v>1237.58</v>
      </c>
      <c r="U154" s="97">
        <f>Valores!$C$23</f>
        <v>3159.22</v>
      </c>
      <c r="V154" s="71">
        <f t="shared" si="23"/>
        <v>3159.22</v>
      </c>
      <c r="W154" s="71">
        <v>0</v>
      </c>
      <c r="X154" s="71">
        <v>0</v>
      </c>
      <c r="Y154" s="75">
        <v>0</v>
      </c>
      <c r="Z154" s="71">
        <f>Y154*Valores!$C$2</f>
        <v>0</v>
      </c>
      <c r="AA154" s="71">
        <v>0</v>
      </c>
      <c r="AB154" s="76">
        <f>Valores!$C$29</f>
        <v>184.78</v>
      </c>
      <c r="AC154" s="71">
        <f t="shared" si="29"/>
        <v>0</v>
      </c>
      <c r="AD154" s="71">
        <f>Valores!$C$30</f>
        <v>184.78</v>
      </c>
      <c r="AE154" s="75">
        <v>0</v>
      </c>
      <c r="AF154" s="71">
        <f>INT(((AE154*Valores!$C$2)*100)+0.5)/100</f>
        <v>0</v>
      </c>
      <c r="AG154" s="71">
        <f>Valores!$C$58</f>
        <v>375.86</v>
      </c>
      <c r="AH154" s="71">
        <f>Valores!$C$60</f>
        <v>107.38</v>
      </c>
      <c r="AI154" s="110">
        <f t="shared" si="30"/>
        <v>25656.194999999996</v>
      </c>
      <c r="AJ154" s="97">
        <f>Valores!$C$35</f>
        <v>876.57</v>
      </c>
      <c r="AK154" s="74">
        <f>Valores!$C$7</f>
        <v>0</v>
      </c>
      <c r="AL154" s="74">
        <f>Valores!$C$81</f>
        <v>1500</v>
      </c>
      <c r="AM154" s="74">
        <v>1400</v>
      </c>
      <c r="AN154" s="76">
        <f>Valores!$C$51</f>
        <v>157.49</v>
      </c>
      <c r="AO154" s="78">
        <f t="shared" si="31"/>
        <v>2376.57</v>
      </c>
      <c r="AP154" s="57">
        <f>AI154*-Valores!$C$65</f>
        <v>-3335.3053499999996</v>
      </c>
      <c r="AQ154" s="57">
        <f>AI154*-Valores!$C$66</f>
        <v>-128.28097499999998</v>
      </c>
      <c r="AR154" s="73">
        <f>AI154*-Valores!$C$67</f>
        <v>-1154.5287749999998</v>
      </c>
      <c r="AS154" s="73">
        <f>AI154*-Valores!$C$68</f>
        <v>-692.7172649999999</v>
      </c>
      <c r="AT154" s="73">
        <f>AI154*-Valores!$C$69</f>
        <v>-76.96858499999999</v>
      </c>
      <c r="AU154" s="77">
        <f t="shared" si="27"/>
        <v>23414.649899999997</v>
      </c>
      <c r="AV154" s="77">
        <f t="shared" si="28"/>
        <v>23799.492824999998</v>
      </c>
      <c r="AW154" s="73">
        <f>AI154*Valores!$C$71</f>
        <v>4104.9911999999995</v>
      </c>
      <c r="AX154" s="73">
        <f>AI154*Valores!$C$72</f>
        <v>1154.5287749999998</v>
      </c>
      <c r="AY154" s="73">
        <f>AI154*Valores!$C$73</f>
        <v>256.56194999999997</v>
      </c>
      <c r="AZ154" s="73">
        <f>AI154*Valores!$C$75</f>
        <v>897.966825</v>
      </c>
      <c r="BA154" s="73">
        <f>AI154*Valores!$C$76</f>
        <v>153.93716999999998</v>
      </c>
      <c r="BB154" s="73">
        <f t="shared" si="32"/>
        <v>1385.4345299999998</v>
      </c>
      <c r="BC154" s="47"/>
      <c r="BD154" s="81">
        <v>22</v>
      </c>
      <c r="BE154" s="24" t="s">
        <v>4</v>
      </c>
    </row>
    <row r="155" spans="1:57" s="24" customFormat="1" ht="11.25" customHeight="1">
      <c r="A155" s="47">
        <v>154</v>
      </c>
      <c r="B155" s="47"/>
      <c r="C155" s="24" t="s">
        <v>448</v>
      </c>
      <c r="E155" s="24">
        <f t="shared" si="24"/>
        <v>31</v>
      </c>
      <c r="F155" s="67" t="s">
        <v>449</v>
      </c>
      <c r="G155" s="68">
        <v>1800</v>
      </c>
      <c r="H155" s="69">
        <f>INT((G155*Valores!$C$2*100)+0.5)/100</f>
        <v>13768.38</v>
      </c>
      <c r="I155" s="108">
        <v>0</v>
      </c>
      <c r="J155" s="71">
        <f>INT((I155*Valores!$C$2*100)+0.5)/100</f>
        <v>0</v>
      </c>
      <c r="K155" s="98">
        <v>0</v>
      </c>
      <c r="L155" s="71">
        <f>INT((K155*Valores!$C$2*100)+0.5)/100</f>
        <v>0</v>
      </c>
      <c r="M155" s="96">
        <v>0</v>
      </c>
      <c r="N155" s="71">
        <f>INT((M155*Valores!$C$2*100)+0.5)/100</f>
        <v>0</v>
      </c>
      <c r="O155" s="71">
        <f t="shared" si="25"/>
        <v>2857.3754999999996</v>
      </c>
      <c r="P155" s="71">
        <f t="shared" si="26"/>
        <v>0</v>
      </c>
      <c r="Q155" s="97">
        <f>Valores!$C$15</f>
        <v>4920.96</v>
      </c>
      <c r="R155" s="97">
        <f>Valores!$D$4</f>
        <v>3421.44</v>
      </c>
      <c r="S155" s="97">
        <f>Valores!$C$26</f>
        <v>3568.39</v>
      </c>
      <c r="T155" s="102">
        <f>Valores!$C$43</f>
        <v>2121.57</v>
      </c>
      <c r="U155" s="71">
        <f>Valores!$C$23</f>
        <v>3159.22</v>
      </c>
      <c r="V155" s="71">
        <f t="shared" si="23"/>
        <v>3159.22</v>
      </c>
      <c r="W155" s="71">
        <v>0</v>
      </c>
      <c r="X155" s="71">
        <v>0</v>
      </c>
      <c r="Y155" s="75">
        <v>0</v>
      </c>
      <c r="Z155" s="71">
        <f>Y155*Valores!$C$2</f>
        <v>0</v>
      </c>
      <c r="AA155" s="71">
        <v>0</v>
      </c>
      <c r="AB155" s="76">
        <f>Valores!$C$29</f>
        <v>184.78</v>
      </c>
      <c r="AC155" s="71">
        <f t="shared" si="29"/>
        <v>0</v>
      </c>
      <c r="AD155" s="71">
        <f>Valores!$C$30</f>
        <v>184.78</v>
      </c>
      <c r="AE155" s="75">
        <v>0</v>
      </c>
      <c r="AF155" s="71">
        <f>INT(((AE155*Valores!$C$2)*100)+0.5)/100</f>
        <v>0</v>
      </c>
      <c r="AG155" s="71">
        <f>Valores!$C$58</f>
        <v>375.86</v>
      </c>
      <c r="AH155" s="71">
        <f>Valores!$C$60</f>
        <v>107.38</v>
      </c>
      <c r="AI155" s="110">
        <f t="shared" si="30"/>
        <v>34670.1355</v>
      </c>
      <c r="AJ155" s="97">
        <f>Valores!$C$35</f>
        <v>876.57</v>
      </c>
      <c r="AK155" s="74">
        <f>Valores!$C$9</f>
        <v>0</v>
      </c>
      <c r="AL155" s="74">
        <f>Valores!$C$81</f>
        <v>1500</v>
      </c>
      <c r="AM155" s="74">
        <v>1400</v>
      </c>
      <c r="AN155" s="76">
        <f>Valores!$C$51</f>
        <v>157.49</v>
      </c>
      <c r="AO155" s="78">
        <f t="shared" si="31"/>
        <v>2376.57</v>
      </c>
      <c r="AP155" s="57">
        <f>AI155*-Valores!$C$65</f>
        <v>-4507.117615</v>
      </c>
      <c r="AQ155" s="57">
        <f>AI155*-Valores!$C$66</f>
        <v>-173.3506775</v>
      </c>
      <c r="AR155" s="73">
        <f>AI155*-Valores!$C$67</f>
        <v>-1560.1560974999998</v>
      </c>
      <c r="AS155" s="73">
        <f>AI155*-Valores!$C$68</f>
        <v>-936.0936585</v>
      </c>
      <c r="AT155" s="73">
        <f>AI155*-Valores!$C$69</f>
        <v>-104.01040649999999</v>
      </c>
      <c r="AU155" s="77">
        <f t="shared" si="27"/>
        <v>30806.081109999996</v>
      </c>
      <c r="AV155" s="77">
        <f t="shared" si="28"/>
        <v>31326.133142499995</v>
      </c>
      <c r="AW155" s="73">
        <f>AI155*Valores!$C$71</f>
        <v>5547.22168</v>
      </c>
      <c r="AX155" s="73">
        <f>AI155*Valores!$C$72</f>
        <v>1560.1560974999998</v>
      </c>
      <c r="AY155" s="73">
        <f>AI155*Valores!$C$73</f>
        <v>346.701355</v>
      </c>
      <c r="AZ155" s="73">
        <f>AI155*Valores!$C$75</f>
        <v>1213.4547425</v>
      </c>
      <c r="BA155" s="73">
        <f>AI155*Valores!$C$76</f>
        <v>208.02081299999998</v>
      </c>
      <c r="BB155" s="73">
        <f t="shared" si="32"/>
        <v>1872.1873170000001</v>
      </c>
      <c r="BC155" s="47"/>
      <c r="BD155" s="47"/>
      <c r="BE155" s="24" t="s">
        <v>4</v>
      </c>
    </row>
    <row r="156" spans="1:57" s="24" customFormat="1" ht="11.25" customHeight="1">
      <c r="A156" s="81">
        <v>155</v>
      </c>
      <c r="B156" s="81" t="s">
        <v>163</v>
      </c>
      <c r="C156" s="82" t="s">
        <v>450</v>
      </c>
      <c r="D156" s="82"/>
      <c r="E156" s="82">
        <f t="shared" si="24"/>
        <v>19</v>
      </c>
      <c r="F156" s="83" t="s">
        <v>451</v>
      </c>
      <c r="G156" s="84">
        <v>1278</v>
      </c>
      <c r="H156" s="85">
        <f>INT((G156*Valores!$C$2*100)+0.5)/100</f>
        <v>9775.55</v>
      </c>
      <c r="I156" s="99">
        <v>0</v>
      </c>
      <c r="J156" s="87">
        <f>INT((I156*Valores!$C$2*100)+0.5)/100</f>
        <v>0</v>
      </c>
      <c r="K156" s="100">
        <v>0</v>
      </c>
      <c r="L156" s="87">
        <f>INT((K156*Valores!$C$2*100)+0.5)/100</f>
        <v>0</v>
      </c>
      <c r="M156" s="101">
        <v>0</v>
      </c>
      <c r="N156" s="87">
        <f>INT((M156*Valores!$C$2*100)+0.5)/100</f>
        <v>0</v>
      </c>
      <c r="O156" s="87">
        <f t="shared" si="25"/>
        <v>2152.3754999999996</v>
      </c>
      <c r="P156" s="87">
        <f t="shared" si="26"/>
        <v>0</v>
      </c>
      <c r="Q156" s="103">
        <f>Valores!$C$15</f>
        <v>4920.96</v>
      </c>
      <c r="R156" s="103">
        <f>Valores!$D$4</f>
        <v>3421.44</v>
      </c>
      <c r="S156" s="103">
        <f>Valores!$C$26</f>
        <v>3568.39</v>
      </c>
      <c r="T156" s="104">
        <f>Valores!$C$42</f>
        <v>1414.4</v>
      </c>
      <c r="U156" s="87">
        <f>Valores!$C$23</f>
        <v>3159.22</v>
      </c>
      <c r="V156" s="87">
        <f t="shared" si="23"/>
        <v>3159.22</v>
      </c>
      <c r="W156" s="87">
        <v>0</v>
      </c>
      <c r="X156" s="87">
        <v>0</v>
      </c>
      <c r="Y156" s="91">
        <v>0</v>
      </c>
      <c r="Z156" s="87">
        <f>Y156*Valores!$C$2</f>
        <v>0</v>
      </c>
      <c r="AA156" s="87">
        <v>0</v>
      </c>
      <c r="AB156" s="92">
        <f>Valores!$C$29</f>
        <v>184.78</v>
      </c>
      <c r="AC156" s="87">
        <f t="shared" si="29"/>
        <v>0</v>
      </c>
      <c r="AD156" s="87">
        <f>Valores!$C$30</f>
        <v>184.78</v>
      </c>
      <c r="AE156" s="91">
        <v>0</v>
      </c>
      <c r="AF156" s="87">
        <f>INT(((AE156*Valores!$C$2)*100)+0.5)/100</f>
        <v>0</v>
      </c>
      <c r="AG156" s="87">
        <f>Valores!$C$58</f>
        <v>375.86</v>
      </c>
      <c r="AH156" s="87">
        <f>Valores!$C$60</f>
        <v>107.38</v>
      </c>
      <c r="AI156" s="111">
        <f t="shared" si="30"/>
        <v>29265.1355</v>
      </c>
      <c r="AJ156" s="103">
        <f>Valores!$C$35</f>
        <v>876.57</v>
      </c>
      <c r="AK156" s="90">
        <f>Valores!$C$8</f>
        <v>0</v>
      </c>
      <c r="AL156" s="90">
        <f>Valores!$C$81</f>
        <v>1500</v>
      </c>
      <c r="AM156" s="74">
        <v>1400</v>
      </c>
      <c r="AN156" s="92">
        <f>Valores!$C$51</f>
        <v>157.49</v>
      </c>
      <c r="AO156" s="94">
        <f t="shared" si="31"/>
        <v>2376.57</v>
      </c>
      <c r="AP156" s="112">
        <f>AI156*-Valores!$C$65</f>
        <v>-3804.467615</v>
      </c>
      <c r="AQ156" s="112">
        <f>AI156*-Valores!$C$66</f>
        <v>-146.3256775</v>
      </c>
      <c r="AR156" s="89">
        <f>AI156*-Valores!$C$67</f>
        <v>-1316.9310975</v>
      </c>
      <c r="AS156" s="89">
        <f>AI156*-Valores!$C$68</f>
        <v>-790.1586585</v>
      </c>
      <c r="AT156" s="89">
        <f>AI156*-Valores!$C$69</f>
        <v>-87.7954065</v>
      </c>
      <c r="AU156" s="93">
        <f t="shared" si="27"/>
        <v>26373.981109999997</v>
      </c>
      <c r="AV156" s="93">
        <f t="shared" si="28"/>
        <v>26812.958142499996</v>
      </c>
      <c r="AW156" s="89">
        <f>AI156*Valores!$C$71</f>
        <v>4682.42168</v>
      </c>
      <c r="AX156" s="89">
        <f>AI156*Valores!$C$72</f>
        <v>1316.9310975</v>
      </c>
      <c r="AY156" s="89">
        <f>AI156*Valores!$C$73</f>
        <v>292.651355</v>
      </c>
      <c r="AZ156" s="89">
        <f>AI156*Valores!$C$75</f>
        <v>1024.2797425</v>
      </c>
      <c r="BA156" s="89">
        <f>AI156*Valores!$C$76</f>
        <v>175.590813</v>
      </c>
      <c r="BB156" s="89">
        <f t="shared" si="32"/>
        <v>1580.317317</v>
      </c>
      <c r="BC156" s="81"/>
      <c r="BD156" s="81">
        <v>27</v>
      </c>
      <c r="BE156" s="82" t="s">
        <v>4</v>
      </c>
    </row>
    <row r="157" spans="1:57" s="24" customFormat="1" ht="11.25" customHeight="1">
      <c r="A157" s="47">
        <v>156</v>
      </c>
      <c r="B157" s="47"/>
      <c r="C157" s="24" t="s">
        <v>452</v>
      </c>
      <c r="E157" s="24">
        <f t="shared" si="24"/>
        <v>28</v>
      </c>
      <c r="F157" s="67" t="s">
        <v>453</v>
      </c>
      <c r="G157" s="68">
        <v>1214</v>
      </c>
      <c r="H157" s="69">
        <f>INT((G157*Valores!$C$2*100)+0.5)/100</f>
        <v>9286.01</v>
      </c>
      <c r="I157" s="108">
        <v>0</v>
      </c>
      <c r="J157" s="71">
        <f>INT((I157*Valores!$C$2*100)+0.5)/100</f>
        <v>0</v>
      </c>
      <c r="K157" s="98">
        <v>0</v>
      </c>
      <c r="L157" s="71">
        <f>INT((K157*Valores!$C$2*100)+0.5)/100</f>
        <v>0</v>
      </c>
      <c r="M157" s="96">
        <v>0</v>
      </c>
      <c r="N157" s="71">
        <f>INT((M157*Valores!$C$2*100)+0.5)/100</f>
        <v>0</v>
      </c>
      <c r="O157" s="71">
        <f t="shared" si="25"/>
        <v>2078.9444999999996</v>
      </c>
      <c r="P157" s="71">
        <f t="shared" si="26"/>
        <v>0</v>
      </c>
      <c r="Q157" s="97">
        <f>Valores!$C$20</f>
        <v>4706.17</v>
      </c>
      <c r="R157" s="97">
        <f>Valores!$D$4</f>
        <v>3421.44</v>
      </c>
      <c r="S157" s="71">
        <f>Valores!$C$26</f>
        <v>3568.39</v>
      </c>
      <c r="T157" s="74">
        <f>Valores!$C$42</f>
        <v>1414.4</v>
      </c>
      <c r="U157" s="71">
        <f>Valores!$C$23</f>
        <v>3159.22</v>
      </c>
      <c r="V157" s="71">
        <f t="shared" si="23"/>
        <v>3159.22</v>
      </c>
      <c r="W157" s="71">
        <v>0</v>
      </c>
      <c r="X157" s="71">
        <v>0</v>
      </c>
      <c r="Y157" s="75">
        <v>0</v>
      </c>
      <c r="Z157" s="71">
        <f>Y157*Valores!$C$2</f>
        <v>0</v>
      </c>
      <c r="AA157" s="71">
        <v>0</v>
      </c>
      <c r="AB157" s="76">
        <f>Valores!$C$29</f>
        <v>184.78</v>
      </c>
      <c r="AC157" s="71">
        <f t="shared" si="29"/>
        <v>0</v>
      </c>
      <c r="AD157" s="71">
        <f>Valores!$C$30</f>
        <v>184.78</v>
      </c>
      <c r="AE157" s="75">
        <v>0</v>
      </c>
      <c r="AF157" s="71">
        <f>INT(((AE157*Valores!$C$2)*100)+0.5)/100</f>
        <v>0</v>
      </c>
      <c r="AG157" s="71">
        <f>Valores!$C$58</f>
        <v>375.86</v>
      </c>
      <c r="AH157" s="71">
        <f>Valores!$C$60</f>
        <v>107.38</v>
      </c>
      <c r="AI157" s="110">
        <f t="shared" si="30"/>
        <v>28487.3745</v>
      </c>
      <c r="AJ157" s="97">
        <f>Valores!$C$35</f>
        <v>876.57</v>
      </c>
      <c r="AK157" s="74">
        <f>Valores!$C$8</f>
        <v>0</v>
      </c>
      <c r="AL157" s="74">
        <f>Valores!$C$81</f>
        <v>1500</v>
      </c>
      <c r="AM157" s="74">
        <v>1400</v>
      </c>
      <c r="AN157" s="76">
        <f>Valores!$C$51</f>
        <v>157.49</v>
      </c>
      <c r="AO157" s="78">
        <f t="shared" si="31"/>
        <v>2376.57</v>
      </c>
      <c r="AP157" s="57">
        <f>AI157*-Valores!$C$65</f>
        <v>-3703.358685</v>
      </c>
      <c r="AQ157" s="57">
        <f>AI157*-Valores!$C$66</f>
        <v>-142.43687250000002</v>
      </c>
      <c r="AR157" s="73">
        <f>AI157*-Valores!$C$67</f>
        <v>-1281.9318525</v>
      </c>
      <c r="AS157" s="73">
        <f>AI157*-Valores!$C$68</f>
        <v>-769.1591115</v>
      </c>
      <c r="AT157" s="73">
        <f>AI157*-Valores!$C$69</f>
        <v>-85.4621235</v>
      </c>
      <c r="AU157" s="77">
        <f t="shared" si="27"/>
        <v>25736.217090000002</v>
      </c>
      <c r="AV157" s="77">
        <f t="shared" si="28"/>
        <v>26163.5277075</v>
      </c>
      <c r="AW157" s="73">
        <f>AI157*Valores!$C$71</f>
        <v>4557.979920000001</v>
      </c>
      <c r="AX157" s="73">
        <f>AI157*Valores!$C$72</f>
        <v>1281.9318525</v>
      </c>
      <c r="AY157" s="73">
        <f>AI157*Valores!$C$73</f>
        <v>284.87374500000004</v>
      </c>
      <c r="AZ157" s="73">
        <f>AI157*Valores!$C$75</f>
        <v>997.0581075000001</v>
      </c>
      <c r="BA157" s="73">
        <f>AI157*Valores!$C$76</f>
        <v>170.924247</v>
      </c>
      <c r="BB157" s="73">
        <f t="shared" si="32"/>
        <v>1538.3182230000002</v>
      </c>
      <c r="BC157" s="47"/>
      <c r="BD157" s="47"/>
      <c r="BE157" s="24" t="s">
        <v>4</v>
      </c>
    </row>
    <row r="158" spans="1:57" s="24" customFormat="1" ht="11.25" customHeight="1">
      <c r="A158" s="47">
        <v>157</v>
      </c>
      <c r="B158" s="47"/>
      <c r="C158" s="24" t="s">
        <v>454</v>
      </c>
      <c r="E158" s="24">
        <f t="shared" si="24"/>
        <v>25</v>
      </c>
      <c r="F158" s="67" t="s">
        <v>455</v>
      </c>
      <c r="G158" s="68">
        <f>1106+78</f>
        <v>1184</v>
      </c>
      <c r="H158" s="69">
        <f>INT((G158*Valores!$C$2*100)+0.5)/100</f>
        <v>9056.53</v>
      </c>
      <c r="I158" s="108">
        <v>0</v>
      </c>
      <c r="J158" s="71">
        <f>INT((I158*Valores!$C$2*100)+0.5)/100</f>
        <v>0</v>
      </c>
      <c r="K158" s="98">
        <v>0</v>
      </c>
      <c r="L158" s="71">
        <f>INT((K158*Valores!$C$2*100)+0.5)/100</f>
        <v>0</v>
      </c>
      <c r="M158" s="96">
        <v>0</v>
      </c>
      <c r="N158" s="71">
        <f>INT((M158*Valores!$C$2*100)+0.5)/100</f>
        <v>0</v>
      </c>
      <c r="O158" s="71">
        <f t="shared" si="25"/>
        <v>2038.0739999999998</v>
      </c>
      <c r="P158" s="71">
        <f t="shared" si="26"/>
        <v>0</v>
      </c>
      <c r="Q158" s="97">
        <f>Valores!$C$20</f>
        <v>4706.17</v>
      </c>
      <c r="R158" s="97">
        <f>Valores!$D$4</f>
        <v>3421.44</v>
      </c>
      <c r="S158" s="71">
        <v>0</v>
      </c>
      <c r="T158" s="74">
        <f>Valores!$C$42</f>
        <v>1414.4</v>
      </c>
      <c r="U158" s="97">
        <f>Valores!$C$24</f>
        <v>3116.23</v>
      </c>
      <c r="V158" s="71">
        <f t="shared" si="23"/>
        <v>3116.23</v>
      </c>
      <c r="W158" s="71">
        <v>0</v>
      </c>
      <c r="X158" s="71">
        <v>0</v>
      </c>
      <c r="Y158" s="75">
        <v>0</v>
      </c>
      <c r="Z158" s="71">
        <f>Y158*Valores!$C$2</f>
        <v>0</v>
      </c>
      <c r="AA158" s="71">
        <v>0</v>
      </c>
      <c r="AB158" s="76">
        <f>Valores!$C$29</f>
        <v>184.78</v>
      </c>
      <c r="AC158" s="71">
        <f t="shared" si="29"/>
        <v>0</v>
      </c>
      <c r="AD158" s="71">
        <f>Valores!$C$30</f>
        <v>184.78</v>
      </c>
      <c r="AE158" s="75">
        <v>0</v>
      </c>
      <c r="AF158" s="71">
        <f>INT(((AE158*Valores!$C$2)*100)+0.5)/100</f>
        <v>0</v>
      </c>
      <c r="AG158" s="71">
        <f>Valores!$C$58</f>
        <v>375.86</v>
      </c>
      <c r="AH158" s="71">
        <f>Valores!$C$60</f>
        <v>107.38</v>
      </c>
      <c r="AI158" s="110">
        <f t="shared" si="30"/>
        <v>24605.644</v>
      </c>
      <c r="AJ158" s="97">
        <f>Valores!$C$35</f>
        <v>876.57</v>
      </c>
      <c r="AK158" s="74">
        <f>Valores!$C$8</f>
        <v>0</v>
      </c>
      <c r="AL158" s="74">
        <f>Valores!$C$81</f>
        <v>1500</v>
      </c>
      <c r="AM158" s="74">
        <v>1400</v>
      </c>
      <c r="AN158" s="76">
        <f>Valores!$C$51</f>
        <v>157.49</v>
      </c>
      <c r="AO158" s="78">
        <f t="shared" si="31"/>
        <v>2376.57</v>
      </c>
      <c r="AP158" s="57">
        <f>AI158*-Valores!$C$65</f>
        <v>-3198.73372</v>
      </c>
      <c r="AQ158" s="57">
        <f>AI158*-Valores!$C$66</f>
        <v>-123.02822</v>
      </c>
      <c r="AR158" s="73">
        <f>AI158*-Valores!$C$67</f>
        <v>-1107.25398</v>
      </c>
      <c r="AS158" s="73">
        <f>AI158*-Valores!$C$68</f>
        <v>-664.352388</v>
      </c>
      <c r="AT158" s="73">
        <f>AI158*-Valores!$C$69</f>
        <v>-73.81693200000001</v>
      </c>
      <c r="AU158" s="77">
        <f t="shared" si="27"/>
        <v>22553.19808</v>
      </c>
      <c r="AV158" s="77">
        <f t="shared" si="28"/>
        <v>22922.28274</v>
      </c>
      <c r="AW158" s="73">
        <f>AI158*Valores!$C$71</f>
        <v>3936.90304</v>
      </c>
      <c r="AX158" s="73">
        <f>AI158*Valores!$C$72</f>
        <v>1107.25398</v>
      </c>
      <c r="AY158" s="73">
        <f>AI158*Valores!$C$73</f>
        <v>246.05644</v>
      </c>
      <c r="AZ158" s="73">
        <f>AI158*Valores!$C$75</f>
        <v>861.1975400000001</v>
      </c>
      <c r="BA158" s="73">
        <f>AI158*Valores!$C$76</f>
        <v>147.63386400000002</v>
      </c>
      <c r="BB158" s="73">
        <f t="shared" si="32"/>
        <v>1328.704776</v>
      </c>
      <c r="BC158" s="47"/>
      <c r="BD158" s="47"/>
      <c r="BE158" s="24" t="s">
        <v>8</v>
      </c>
    </row>
    <row r="159" spans="1:57" s="24" customFormat="1" ht="11.25" customHeight="1">
      <c r="A159" s="47">
        <v>158</v>
      </c>
      <c r="B159" s="47"/>
      <c r="C159" s="24" t="s">
        <v>456</v>
      </c>
      <c r="E159" s="24">
        <f t="shared" si="24"/>
        <v>24</v>
      </c>
      <c r="F159" s="67" t="s">
        <v>457</v>
      </c>
      <c r="G159" s="68">
        <v>971</v>
      </c>
      <c r="H159" s="69">
        <f>INT((G159*Valores!$C$2*100)+0.5)/100</f>
        <v>7427.28</v>
      </c>
      <c r="I159" s="108">
        <v>0</v>
      </c>
      <c r="J159" s="71">
        <f>INT((I159*Valores!$C$2*100)+0.5)/100</f>
        <v>0</v>
      </c>
      <c r="K159" s="98">
        <v>0</v>
      </c>
      <c r="L159" s="71">
        <f>INT((K159*Valores!$C$2*100)+0.5)/100</f>
        <v>0</v>
      </c>
      <c r="M159" s="96">
        <v>0</v>
      </c>
      <c r="N159" s="71">
        <f>INT((M159*Valores!$C$2*100)+0.5)/100</f>
        <v>0</v>
      </c>
      <c r="O159" s="71">
        <f t="shared" si="25"/>
        <v>1773.6119999999999</v>
      </c>
      <c r="P159" s="71">
        <f t="shared" si="26"/>
        <v>0</v>
      </c>
      <c r="Q159" s="97">
        <f>Valores!$C$20</f>
        <v>4706.17</v>
      </c>
      <c r="R159" s="97">
        <f>Valores!$D$4</f>
        <v>3421.44</v>
      </c>
      <c r="S159" s="97">
        <f>Valores!$C$27</f>
        <v>3289.21</v>
      </c>
      <c r="T159" s="102">
        <f>Valores!$C$41</f>
        <v>1237.58</v>
      </c>
      <c r="U159" s="71">
        <f>Valores!$C$23</f>
        <v>3159.22</v>
      </c>
      <c r="V159" s="71">
        <f t="shared" si="23"/>
        <v>3159.22</v>
      </c>
      <c r="W159" s="71">
        <v>0</v>
      </c>
      <c r="X159" s="71">
        <v>0</v>
      </c>
      <c r="Y159" s="75">
        <v>0</v>
      </c>
      <c r="Z159" s="71">
        <f>Y159*Valores!$C$2</f>
        <v>0</v>
      </c>
      <c r="AA159" s="71">
        <v>0</v>
      </c>
      <c r="AB159" s="76">
        <f>Valores!$C$29</f>
        <v>184.78</v>
      </c>
      <c r="AC159" s="71">
        <f t="shared" si="29"/>
        <v>0</v>
      </c>
      <c r="AD159" s="71">
        <f>Valores!$C$29</f>
        <v>184.78</v>
      </c>
      <c r="AE159" s="75">
        <v>0</v>
      </c>
      <c r="AF159" s="71">
        <f>INT(((AE159*Valores!$C$2)*100)+0.5)/100</f>
        <v>0</v>
      </c>
      <c r="AG159" s="71">
        <f>Valores!$C$58</f>
        <v>375.86</v>
      </c>
      <c r="AH159" s="71">
        <f>Valores!$C$60</f>
        <v>107.38</v>
      </c>
      <c r="AI159" s="110">
        <f t="shared" si="30"/>
        <v>25867.312</v>
      </c>
      <c r="AJ159" s="97">
        <f>Valores!$C$35</f>
        <v>876.57</v>
      </c>
      <c r="AK159" s="74">
        <f>Valores!$C$7</f>
        <v>0</v>
      </c>
      <c r="AL159" s="74">
        <f>Valores!$C$81</f>
        <v>1500</v>
      </c>
      <c r="AM159" s="74">
        <v>1400</v>
      </c>
      <c r="AN159" s="76">
        <f>Valores!$C$53</f>
        <v>143.48</v>
      </c>
      <c r="AO159" s="78">
        <f t="shared" si="31"/>
        <v>2376.57</v>
      </c>
      <c r="AP159" s="57">
        <f>AI159*-Valores!$C$65</f>
        <v>-3362.7505600000004</v>
      </c>
      <c r="AQ159" s="57">
        <f>AI159*-Valores!$C$66</f>
        <v>-129.33656000000002</v>
      </c>
      <c r="AR159" s="73">
        <f>AI159*-Valores!$C$67</f>
        <v>-1164.0290400000001</v>
      </c>
      <c r="AS159" s="73">
        <f>AI159*-Valores!$C$68</f>
        <v>-698.417424</v>
      </c>
      <c r="AT159" s="73">
        <f>AI159*-Valores!$C$69</f>
        <v>-77.60193600000001</v>
      </c>
      <c r="AU159" s="77">
        <f t="shared" si="27"/>
        <v>23587.76584</v>
      </c>
      <c r="AV159" s="77">
        <f t="shared" si="28"/>
        <v>23975.775520000003</v>
      </c>
      <c r="AW159" s="73">
        <f>AI159*Valores!$C$71</f>
        <v>4138.769920000001</v>
      </c>
      <c r="AX159" s="73">
        <f>AI159*Valores!$C$72</f>
        <v>1164.0290400000001</v>
      </c>
      <c r="AY159" s="73">
        <f>AI159*Valores!$C$73</f>
        <v>258.67312000000004</v>
      </c>
      <c r="AZ159" s="73">
        <f>AI159*Valores!$C$75</f>
        <v>905.3559200000002</v>
      </c>
      <c r="BA159" s="73">
        <f>AI159*Valores!$C$76</f>
        <v>155.20387200000002</v>
      </c>
      <c r="BB159" s="73">
        <f t="shared" si="32"/>
        <v>1396.834848</v>
      </c>
      <c r="BC159" s="47">
        <v>12</v>
      </c>
      <c r="BD159" s="81">
        <v>12</v>
      </c>
      <c r="BE159" s="24" t="s">
        <v>4</v>
      </c>
    </row>
    <row r="160" spans="1:57" s="24" customFormat="1" ht="11.25" customHeight="1">
      <c r="A160" s="47">
        <v>159</v>
      </c>
      <c r="B160" s="47"/>
      <c r="C160" s="24" t="s">
        <v>456</v>
      </c>
      <c r="E160" s="24">
        <f t="shared" si="24"/>
        <v>35</v>
      </c>
      <c r="F160" s="67" t="s">
        <v>458</v>
      </c>
      <c r="G160" s="68">
        <v>971</v>
      </c>
      <c r="H160" s="69">
        <f>INT((G160*Valores!$C$2*100)+0.5)/100</f>
        <v>7427.28</v>
      </c>
      <c r="I160" s="108">
        <v>0</v>
      </c>
      <c r="J160" s="71">
        <f>INT((I160*Valores!$C$2*100)+0.5)/100</f>
        <v>0</v>
      </c>
      <c r="K160" s="98">
        <v>0</v>
      </c>
      <c r="L160" s="71">
        <f>INT((K160*Valores!$C$2*100)+0.5)/100</f>
        <v>0</v>
      </c>
      <c r="M160" s="96">
        <v>0</v>
      </c>
      <c r="N160" s="71">
        <f>INT((M160*Valores!$C$2*100)+0.5)/100</f>
        <v>0</v>
      </c>
      <c r="O160" s="71">
        <f t="shared" si="25"/>
        <v>2365.1564999999996</v>
      </c>
      <c r="P160" s="71">
        <f t="shared" si="26"/>
        <v>0</v>
      </c>
      <c r="Q160" s="97">
        <f>Valores!$C$20</f>
        <v>4706.17</v>
      </c>
      <c r="R160" s="97">
        <f>Valores!$D$4</f>
        <v>3421.44</v>
      </c>
      <c r="S160" s="97">
        <f>Valores!$C$27</f>
        <v>3289.21</v>
      </c>
      <c r="T160" s="102">
        <f>Valores!$C$43</f>
        <v>2121.57</v>
      </c>
      <c r="U160" s="71">
        <f>Valores!$C$23</f>
        <v>3159.22</v>
      </c>
      <c r="V160" s="71">
        <f t="shared" si="23"/>
        <v>3159.22</v>
      </c>
      <c r="W160" s="71">
        <v>0</v>
      </c>
      <c r="X160" s="71">
        <v>0</v>
      </c>
      <c r="Y160" s="70">
        <v>400</v>
      </c>
      <c r="Z160" s="71">
        <f>Y160*Valores!$C$2</f>
        <v>3059.64</v>
      </c>
      <c r="AA160" s="97">
        <f>SUM(L160,J160,H160,T160)*Valores!$C$3</f>
        <v>1432.3275</v>
      </c>
      <c r="AB160" s="76">
        <f>Valores!$C$29</f>
        <v>184.78</v>
      </c>
      <c r="AC160" s="71">
        <f t="shared" si="29"/>
        <v>0</v>
      </c>
      <c r="AD160" s="71">
        <f>Valores!$C$29</f>
        <v>184.78</v>
      </c>
      <c r="AE160" s="75">
        <v>94</v>
      </c>
      <c r="AF160" s="71">
        <f>INT(((AE160*Valores!$C$2)*100)+0.5)/100</f>
        <v>719.02</v>
      </c>
      <c r="AG160" s="71">
        <f>Valores!$C$58</f>
        <v>375.86</v>
      </c>
      <c r="AH160" s="71">
        <f>Valores!$C$60</f>
        <v>107.38</v>
      </c>
      <c r="AI160" s="110">
        <f t="shared" si="30"/>
        <v>32553.834</v>
      </c>
      <c r="AJ160" s="97">
        <f>Valores!$C$35</f>
        <v>876.57</v>
      </c>
      <c r="AK160" s="74">
        <f>Valores!$C$9</f>
        <v>0</v>
      </c>
      <c r="AL160" s="74">
        <f>Valores!$C$81</f>
        <v>1500</v>
      </c>
      <c r="AM160" s="74">
        <v>1400</v>
      </c>
      <c r="AN160" s="76">
        <f>Valores!$C$53</f>
        <v>143.48</v>
      </c>
      <c r="AO160" s="78">
        <f t="shared" si="31"/>
        <v>2376.57</v>
      </c>
      <c r="AP160" s="57">
        <f>AI160*-Valores!$C$65</f>
        <v>-4231.99842</v>
      </c>
      <c r="AQ160" s="57">
        <f>AI160*-Valores!$C$66</f>
        <v>-162.76917</v>
      </c>
      <c r="AR160" s="73">
        <f>AI160*-Valores!$C$67</f>
        <v>-1464.9225299999998</v>
      </c>
      <c r="AS160" s="73">
        <f>AI160*-Valores!$C$68</f>
        <v>-878.9535179999999</v>
      </c>
      <c r="AT160" s="73">
        <f>AI160*-Valores!$C$69</f>
        <v>-97.661502</v>
      </c>
      <c r="AU160" s="77">
        <f t="shared" si="27"/>
        <v>29070.71388</v>
      </c>
      <c r="AV160" s="77">
        <f t="shared" si="28"/>
        <v>29559.02139</v>
      </c>
      <c r="AW160" s="73">
        <f>AI160*Valores!$C$71</f>
        <v>5208.61344</v>
      </c>
      <c r="AX160" s="73">
        <f>AI160*Valores!$C$72</f>
        <v>1464.9225299999998</v>
      </c>
      <c r="AY160" s="73">
        <f>AI160*Valores!$C$73</f>
        <v>325.53834</v>
      </c>
      <c r="AZ160" s="73">
        <f>AI160*Valores!$C$75</f>
        <v>1139.38419</v>
      </c>
      <c r="BA160" s="73">
        <f>AI160*Valores!$C$76</f>
        <v>195.323004</v>
      </c>
      <c r="BB160" s="73">
        <f t="shared" si="32"/>
        <v>1757.907036</v>
      </c>
      <c r="BC160" s="47">
        <v>12</v>
      </c>
      <c r="BD160" s="47">
        <v>18</v>
      </c>
      <c r="BE160" s="24" t="s">
        <v>4</v>
      </c>
    </row>
    <row r="161" spans="1:57" s="24" customFormat="1" ht="11.25" customHeight="1">
      <c r="A161" s="81">
        <v>160</v>
      </c>
      <c r="B161" s="81" t="s">
        <v>163</v>
      </c>
      <c r="C161" s="82" t="s">
        <v>456</v>
      </c>
      <c r="D161" s="82"/>
      <c r="E161" s="82">
        <f t="shared" si="24"/>
        <v>44</v>
      </c>
      <c r="F161" s="83" t="s">
        <v>459</v>
      </c>
      <c r="G161" s="84">
        <v>971</v>
      </c>
      <c r="H161" s="85">
        <f>INT((G161*Valores!$C$2*100)+0.5)/100</f>
        <v>7427.28</v>
      </c>
      <c r="I161" s="99">
        <v>0</v>
      </c>
      <c r="J161" s="87">
        <f>INT((I161*Valores!$C$2*100)+0.5)/100</f>
        <v>0</v>
      </c>
      <c r="K161" s="100">
        <v>0</v>
      </c>
      <c r="L161" s="87">
        <f>INT((K161*Valores!$C$2*100)+0.5)/100</f>
        <v>0</v>
      </c>
      <c r="M161" s="101">
        <v>0</v>
      </c>
      <c r="N161" s="87">
        <f>INT((M161*Valores!$C$2*100)+0.5)/100</f>
        <v>0</v>
      </c>
      <c r="O161" s="87">
        <f t="shared" si="25"/>
        <v>2079.6451349999998</v>
      </c>
      <c r="P161" s="87">
        <f t="shared" si="26"/>
        <v>0</v>
      </c>
      <c r="Q161" s="103">
        <f>Valores!$C$20</f>
        <v>4706.17</v>
      </c>
      <c r="R161" s="103">
        <f>Valores!$D$4</f>
        <v>3421.44</v>
      </c>
      <c r="S161" s="103">
        <f>Valores!$C$27</f>
        <v>3289.21</v>
      </c>
      <c r="T161" s="104">
        <v>225.81</v>
      </c>
      <c r="U161" s="87">
        <f>Valores!$C$23</f>
        <v>3159.22</v>
      </c>
      <c r="V161" s="87">
        <f t="shared" si="23"/>
        <v>3159.22</v>
      </c>
      <c r="W161" s="87">
        <v>0</v>
      </c>
      <c r="X161" s="87">
        <v>0</v>
      </c>
      <c r="Y161" s="86">
        <v>399</v>
      </c>
      <c r="Z161" s="87">
        <f>Y161*Valores!$C$2</f>
        <v>3051.9909</v>
      </c>
      <c r="AA161" s="103">
        <f>SUM(L161,J161,H161,T161)*Valores!$C$3</f>
        <v>1147.9635</v>
      </c>
      <c r="AB161" s="92">
        <f>Valores!$C$29</f>
        <v>184.78</v>
      </c>
      <c r="AC161" s="87">
        <f t="shared" si="29"/>
        <v>0</v>
      </c>
      <c r="AD161" s="87">
        <f>Valores!$C$29</f>
        <v>184.78</v>
      </c>
      <c r="AE161" s="91">
        <v>94</v>
      </c>
      <c r="AF161" s="87">
        <f>INT(((AE161*Valores!$C$2)*100)+0.5)/100</f>
        <v>719.02</v>
      </c>
      <c r="AG161" s="87">
        <f>Valores!$C$58</f>
        <v>375.86</v>
      </c>
      <c r="AH161" s="87">
        <f>Valores!$C$60</f>
        <v>107.38</v>
      </c>
      <c r="AI161" s="111">
        <f t="shared" si="30"/>
        <v>30080.549535000002</v>
      </c>
      <c r="AJ161" s="103">
        <v>0</v>
      </c>
      <c r="AK161" s="90">
        <v>0</v>
      </c>
      <c r="AL161" s="90">
        <v>0</v>
      </c>
      <c r="AM161" s="90"/>
      <c r="AN161" s="92">
        <v>0</v>
      </c>
      <c r="AO161" s="94">
        <f t="shared" si="31"/>
        <v>0</v>
      </c>
      <c r="AP161" s="112">
        <f>AI161*-Valores!$C$65</f>
        <v>-3910.4714395500005</v>
      </c>
      <c r="AQ161" s="112">
        <f>AI161*-Valores!$C$66</f>
        <v>-150.402747675</v>
      </c>
      <c r="AR161" s="89">
        <f>AI161*-Valores!$C$67</f>
        <v>-1353.624729075</v>
      </c>
      <c r="AS161" s="89">
        <f>AI161*-Valores!$C$68</f>
        <v>-812.1748374450001</v>
      </c>
      <c r="AT161" s="89">
        <f>AI161*-Valores!$C$69</f>
        <v>-90.24164860500001</v>
      </c>
      <c r="AU161" s="93">
        <f t="shared" si="27"/>
        <v>24666.0506187</v>
      </c>
      <c r="AV161" s="93">
        <f t="shared" si="28"/>
        <v>25117.258861725</v>
      </c>
      <c r="AW161" s="89">
        <f>AI161*Valores!$C$71</f>
        <v>4812.8879256</v>
      </c>
      <c r="AX161" s="89">
        <f>AI161*Valores!$C$72</f>
        <v>1353.624729075</v>
      </c>
      <c r="AY161" s="89">
        <f>AI161*Valores!$C$73</f>
        <v>300.80549535</v>
      </c>
      <c r="AZ161" s="89">
        <f>AI161*Valores!$C$75</f>
        <v>1052.8192337250002</v>
      </c>
      <c r="BA161" s="89">
        <f>AI161*Valores!$C$76</f>
        <v>180.48329721000002</v>
      </c>
      <c r="BB161" s="89">
        <f t="shared" si="32"/>
        <v>1624.3496748900004</v>
      </c>
      <c r="BC161" s="81">
        <v>12</v>
      </c>
      <c r="BD161" s="81">
        <v>18</v>
      </c>
      <c r="BE161" s="82" t="s">
        <v>8</v>
      </c>
    </row>
    <row r="162" spans="1:57" s="24" customFormat="1" ht="11.25" customHeight="1">
      <c r="A162" s="47">
        <v>161</v>
      </c>
      <c r="B162" s="47"/>
      <c r="C162" s="24" t="s">
        <v>460</v>
      </c>
      <c r="E162" s="24">
        <f t="shared" si="24"/>
        <v>21</v>
      </c>
      <c r="F162" s="67" t="s">
        <v>461</v>
      </c>
      <c r="G162" s="68">
        <v>810</v>
      </c>
      <c r="H162" s="69">
        <f>INT((G162*Valores!$C$2*100)+0.5)/100</f>
        <v>6195.77</v>
      </c>
      <c r="I162" s="108">
        <v>0</v>
      </c>
      <c r="J162" s="71">
        <f>INT((I162*Valores!$C$2*100)+0.5)/100</f>
        <v>0</v>
      </c>
      <c r="K162" s="98">
        <v>0</v>
      </c>
      <c r="L162" s="71">
        <f>INT((K162*Valores!$C$2*100)+0.5)/100</f>
        <v>0</v>
      </c>
      <c r="M162" s="96">
        <v>0</v>
      </c>
      <c r="N162" s="71">
        <f>INT((M162*Valores!$C$2*100)+0.5)/100</f>
        <v>0</v>
      </c>
      <c r="O162" s="71">
        <f t="shared" si="25"/>
        <v>1582.437</v>
      </c>
      <c r="P162" s="71">
        <f t="shared" si="26"/>
        <v>0</v>
      </c>
      <c r="Q162" s="97">
        <f>Valores!$C$20</f>
        <v>4706.17</v>
      </c>
      <c r="R162" s="97">
        <f>Valores!$D$4</f>
        <v>3421.44</v>
      </c>
      <c r="S162" s="97">
        <f>Valores!$C$27</f>
        <v>3289.21</v>
      </c>
      <c r="T162" s="102">
        <f>Valores!$C$41</f>
        <v>1237.58</v>
      </c>
      <c r="U162" s="97">
        <f>Valores!$C$24</f>
        <v>3116.23</v>
      </c>
      <c r="V162" s="71">
        <f t="shared" si="23"/>
        <v>3116.23</v>
      </c>
      <c r="W162" s="71">
        <v>0</v>
      </c>
      <c r="X162" s="71">
        <v>0</v>
      </c>
      <c r="Y162" s="75">
        <v>0</v>
      </c>
      <c r="Z162" s="71">
        <f>Y162*Valores!$C$2</f>
        <v>0</v>
      </c>
      <c r="AA162" s="71">
        <v>0</v>
      </c>
      <c r="AB162" s="76">
        <f>Valores!$C$29</f>
        <v>184.78</v>
      </c>
      <c r="AC162" s="71">
        <f t="shared" si="29"/>
        <v>0</v>
      </c>
      <c r="AD162" s="71">
        <f>Valores!$C$30</f>
        <v>184.78</v>
      </c>
      <c r="AE162" s="75">
        <v>0</v>
      </c>
      <c r="AF162" s="71">
        <f>INT(((AE162*Valores!$C$2)*100)+0.5)/100</f>
        <v>0</v>
      </c>
      <c r="AG162" s="71">
        <f>Valores!$C$58</f>
        <v>375.86</v>
      </c>
      <c r="AH162" s="71">
        <f>Valores!$C$60</f>
        <v>107.38</v>
      </c>
      <c r="AI162" s="110">
        <f t="shared" si="30"/>
        <v>24401.637</v>
      </c>
      <c r="AJ162" s="97">
        <f>Valores!$C$35</f>
        <v>876.57</v>
      </c>
      <c r="AK162" s="74">
        <f>Valores!$C$7</f>
        <v>0</v>
      </c>
      <c r="AL162" s="74">
        <f>Valores!$C$81</f>
        <v>1500</v>
      </c>
      <c r="AM162" s="74">
        <v>1400</v>
      </c>
      <c r="AN162" s="76">
        <f>Valores!$C$51</f>
        <v>157.49</v>
      </c>
      <c r="AO162" s="78">
        <f t="shared" si="31"/>
        <v>2376.57</v>
      </c>
      <c r="AP162" s="57">
        <f>AI162*-Valores!$C$65</f>
        <v>-3172.21281</v>
      </c>
      <c r="AQ162" s="57">
        <f>AI162*-Valores!$C$66</f>
        <v>-122.008185</v>
      </c>
      <c r="AR162" s="73">
        <f>AI162*-Valores!$C$67</f>
        <v>-1098.073665</v>
      </c>
      <c r="AS162" s="73">
        <f>AI162*-Valores!$C$68</f>
        <v>-658.844199</v>
      </c>
      <c r="AT162" s="73">
        <f>AI162*-Valores!$C$69</f>
        <v>-73.204911</v>
      </c>
      <c r="AU162" s="77">
        <f t="shared" si="27"/>
        <v>22385.91234</v>
      </c>
      <c r="AV162" s="77">
        <f t="shared" si="28"/>
        <v>22751.936895</v>
      </c>
      <c r="AW162" s="73">
        <f>AI162*Valores!$C$71</f>
        <v>3904.26192</v>
      </c>
      <c r="AX162" s="73">
        <f>AI162*Valores!$C$72</f>
        <v>1098.073665</v>
      </c>
      <c r="AY162" s="73">
        <f>AI162*Valores!$C$73</f>
        <v>244.01637</v>
      </c>
      <c r="AZ162" s="73">
        <f>AI162*Valores!$C$75</f>
        <v>854.0572950000001</v>
      </c>
      <c r="BA162" s="73">
        <f>AI162*Valores!$C$76</f>
        <v>146.409822</v>
      </c>
      <c r="BB162" s="73">
        <f t="shared" si="32"/>
        <v>1317.6883980000002</v>
      </c>
      <c r="BC162" s="47"/>
      <c r="BD162" s="47"/>
      <c r="BE162" s="24" t="s">
        <v>4</v>
      </c>
    </row>
    <row r="163" spans="1:57" s="24" customFormat="1" ht="11.25" customHeight="1">
      <c r="A163" s="47">
        <v>162</v>
      </c>
      <c r="B163" s="47"/>
      <c r="C163" s="24" t="s">
        <v>462</v>
      </c>
      <c r="E163" s="24">
        <f t="shared" si="24"/>
        <v>9</v>
      </c>
      <c r="F163" s="67" t="s">
        <v>463</v>
      </c>
      <c r="G163" s="68">
        <v>1065</v>
      </c>
      <c r="H163" s="69">
        <f>INT((G163*Valores!$C$2*100)+0.5)/100</f>
        <v>8146.29</v>
      </c>
      <c r="I163" s="108">
        <v>0</v>
      </c>
      <c r="J163" s="71">
        <f>INT((I163*Valores!$C$2*100)+0.5)/100</f>
        <v>0</v>
      </c>
      <c r="K163" s="98">
        <v>0</v>
      </c>
      <c r="L163" s="71">
        <f>INT((K163*Valores!$C$2*100)+0.5)/100</f>
        <v>0</v>
      </c>
      <c r="M163" s="96">
        <v>0</v>
      </c>
      <c r="N163" s="71">
        <f>INT((M163*Valores!$C$2*100)+0.5)/100</f>
        <v>0</v>
      </c>
      <c r="O163" s="71">
        <f t="shared" si="25"/>
        <v>1881.4634999999998</v>
      </c>
      <c r="P163" s="71">
        <f t="shared" si="26"/>
        <v>0</v>
      </c>
      <c r="Q163" s="97">
        <f>Valores!$C$20</f>
        <v>4706.17</v>
      </c>
      <c r="R163" s="97">
        <f>Valores!$D$4</f>
        <v>3421.44</v>
      </c>
      <c r="S163" s="74">
        <f>Valores!$C$27</f>
        <v>3289.21</v>
      </c>
      <c r="T163" s="74">
        <f>Valores!$C$41</f>
        <v>1237.58</v>
      </c>
      <c r="U163" s="97">
        <f>Valores!$C$23</f>
        <v>3159.22</v>
      </c>
      <c r="V163" s="71">
        <f t="shared" si="23"/>
        <v>3159.22</v>
      </c>
      <c r="W163" s="71">
        <v>0</v>
      </c>
      <c r="X163" s="71">
        <v>0</v>
      </c>
      <c r="Y163" s="75">
        <v>0</v>
      </c>
      <c r="Z163" s="71">
        <f>Y163*Valores!$C$2</f>
        <v>0</v>
      </c>
      <c r="AA163" s="71">
        <v>0</v>
      </c>
      <c r="AB163" s="76">
        <f>Valores!$C$29</f>
        <v>184.78</v>
      </c>
      <c r="AC163" s="71">
        <f t="shared" si="29"/>
        <v>0</v>
      </c>
      <c r="AD163" s="71">
        <f>Valores!$C$30</f>
        <v>184.78</v>
      </c>
      <c r="AE163" s="75">
        <v>0</v>
      </c>
      <c r="AF163" s="71">
        <f>INT(((AE163*Valores!$C$2)*100)+0.5)/100</f>
        <v>0</v>
      </c>
      <c r="AG163" s="71">
        <f>Valores!$C$58</f>
        <v>375.86</v>
      </c>
      <c r="AH163" s="71">
        <f>Valores!$C$60</f>
        <v>107.38</v>
      </c>
      <c r="AI163" s="110">
        <f t="shared" si="30"/>
        <v>26694.1735</v>
      </c>
      <c r="AJ163" s="97">
        <f>Valores!$C$35</f>
        <v>876.57</v>
      </c>
      <c r="AK163" s="74">
        <f>Valores!$C$7</f>
        <v>0</v>
      </c>
      <c r="AL163" s="74">
        <f>Valores!$C$81</f>
        <v>1500</v>
      </c>
      <c r="AM163" s="74">
        <v>1400</v>
      </c>
      <c r="AN163" s="76">
        <f>Valores!$C$51</f>
        <v>157.49</v>
      </c>
      <c r="AO163" s="78">
        <f t="shared" si="31"/>
        <v>2376.57</v>
      </c>
      <c r="AP163" s="57">
        <f>AI163*-Valores!$C$65</f>
        <v>-3470.2425550000003</v>
      </c>
      <c r="AQ163" s="57">
        <f>AI163*-Valores!$C$66</f>
        <v>-133.4708675</v>
      </c>
      <c r="AR163" s="73">
        <f>AI163*-Valores!$C$67</f>
        <v>-1201.2378075</v>
      </c>
      <c r="AS163" s="73">
        <f>AI163*-Valores!$C$68</f>
        <v>-720.7426845</v>
      </c>
      <c r="AT163" s="73">
        <f>AI163*-Valores!$C$69</f>
        <v>-80.0825205</v>
      </c>
      <c r="AU163" s="77">
        <f t="shared" si="27"/>
        <v>24265.792269999998</v>
      </c>
      <c r="AV163" s="77">
        <f t="shared" si="28"/>
        <v>24666.2048725</v>
      </c>
      <c r="AW163" s="73">
        <f>AI163*Valores!$C$71</f>
        <v>4271.06776</v>
      </c>
      <c r="AX163" s="73">
        <f>AI163*Valores!$C$72</f>
        <v>1201.2378075</v>
      </c>
      <c r="AY163" s="73">
        <f>AI163*Valores!$C$73</f>
        <v>266.941735</v>
      </c>
      <c r="AZ163" s="73">
        <f>AI163*Valores!$C$75</f>
        <v>934.2960725000002</v>
      </c>
      <c r="BA163" s="73">
        <f>AI163*Valores!$C$76</f>
        <v>160.165041</v>
      </c>
      <c r="BB163" s="73">
        <f t="shared" si="32"/>
        <v>1441.485369</v>
      </c>
      <c r="BC163" s="47"/>
      <c r="BD163" s="47">
        <v>27</v>
      </c>
      <c r="BE163" s="24" t="s">
        <v>4</v>
      </c>
    </row>
    <row r="164" spans="1:57" s="24" customFormat="1" ht="11.25" customHeight="1">
      <c r="A164" s="47">
        <v>163</v>
      </c>
      <c r="B164" s="47"/>
      <c r="C164" s="24" t="s">
        <v>462</v>
      </c>
      <c r="E164" s="24">
        <f t="shared" si="24"/>
        <v>33</v>
      </c>
      <c r="F164" s="67" t="s">
        <v>464</v>
      </c>
      <c r="G164" s="68">
        <v>1065</v>
      </c>
      <c r="H164" s="69">
        <f>INT((G164*Valores!$C$2*100)+0.5)/100</f>
        <v>8146.29</v>
      </c>
      <c r="I164" s="108">
        <v>0</v>
      </c>
      <c r="J164" s="71">
        <f>INT((I164*Valores!$C$2*100)+0.5)/100</f>
        <v>0</v>
      </c>
      <c r="K164" s="98">
        <v>0</v>
      </c>
      <c r="L164" s="71">
        <f>INT((K164*Valores!$C$2*100)+0.5)/100</f>
        <v>0</v>
      </c>
      <c r="M164" s="96">
        <v>0</v>
      </c>
      <c r="N164" s="71">
        <f>INT((M164*Valores!$C$2*100)+0.5)/100</f>
        <v>0</v>
      </c>
      <c r="O164" s="71">
        <f t="shared" si="25"/>
        <v>1881.4634999999998</v>
      </c>
      <c r="P164" s="71">
        <f t="shared" si="26"/>
        <v>0</v>
      </c>
      <c r="Q164" s="97">
        <f>Valores!$C$20</f>
        <v>4706.17</v>
      </c>
      <c r="R164" s="97">
        <f>Valores!$D$4</f>
        <v>3421.44</v>
      </c>
      <c r="S164" s="74">
        <f>Valores!$C$27</f>
        <v>3289.21</v>
      </c>
      <c r="T164" s="113">
        <f>Valores!$C$41</f>
        <v>1237.58</v>
      </c>
      <c r="U164" s="71">
        <f>Valores!$C$23</f>
        <v>3159.22</v>
      </c>
      <c r="V164" s="71">
        <f t="shared" si="23"/>
        <v>3159.22</v>
      </c>
      <c r="W164" s="71">
        <v>0</v>
      </c>
      <c r="X164" s="71">
        <v>0</v>
      </c>
      <c r="Y164" s="75">
        <v>0</v>
      </c>
      <c r="Z164" s="71">
        <f>Y164*Valores!$C$2</f>
        <v>0</v>
      </c>
      <c r="AA164" s="71">
        <v>0</v>
      </c>
      <c r="AB164" s="76">
        <f>Valores!$C$29</f>
        <v>184.78</v>
      </c>
      <c r="AC164" s="71">
        <f t="shared" si="29"/>
        <v>0</v>
      </c>
      <c r="AD164" s="71">
        <f>Valores!$C$30</f>
        <v>184.78</v>
      </c>
      <c r="AE164" s="75">
        <v>94</v>
      </c>
      <c r="AF164" s="71">
        <f>INT(((AE164*Valores!$C$2)*100)+0.5)/100</f>
        <v>719.02</v>
      </c>
      <c r="AG164" s="71">
        <f>Valores!$C$58</f>
        <v>375.86</v>
      </c>
      <c r="AH164" s="71">
        <f>Valores!$C$60</f>
        <v>107.38</v>
      </c>
      <c r="AI164" s="110">
        <f t="shared" si="30"/>
        <v>27413.193499999998</v>
      </c>
      <c r="AJ164" s="97">
        <f>Valores!$C$35</f>
        <v>876.57</v>
      </c>
      <c r="AK164" s="74">
        <f>Valores!$C$7</f>
        <v>0</v>
      </c>
      <c r="AL164" s="74">
        <f>Valores!$C$81</f>
        <v>1500</v>
      </c>
      <c r="AM164" s="74">
        <v>1400</v>
      </c>
      <c r="AN164" s="76">
        <f>Valores!$C$51</f>
        <v>157.49</v>
      </c>
      <c r="AO164" s="78">
        <f t="shared" si="31"/>
        <v>2376.57</v>
      </c>
      <c r="AP164" s="57">
        <f>AI164*-Valores!$C$65</f>
        <v>-3563.715155</v>
      </c>
      <c r="AQ164" s="57">
        <f>AI164*-Valores!$C$66</f>
        <v>-137.0659675</v>
      </c>
      <c r="AR164" s="73">
        <f>AI164*-Valores!$C$67</f>
        <v>-1233.5937075</v>
      </c>
      <c r="AS164" s="73">
        <f>AI164*-Valores!$C$68</f>
        <v>-740.1562244999999</v>
      </c>
      <c r="AT164" s="73">
        <f>AI164*-Valores!$C$69</f>
        <v>-82.23958049999999</v>
      </c>
      <c r="AU164" s="77">
        <f t="shared" si="27"/>
        <v>24855.38867</v>
      </c>
      <c r="AV164" s="77">
        <f t="shared" si="28"/>
        <v>25266.5865725</v>
      </c>
      <c r="AW164" s="73">
        <f>AI164*Valores!$C$71</f>
        <v>4386.11096</v>
      </c>
      <c r="AX164" s="73">
        <f>AI164*Valores!$C$72</f>
        <v>1233.5937075</v>
      </c>
      <c r="AY164" s="73">
        <f>AI164*Valores!$C$73</f>
        <v>274.131935</v>
      </c>
      <c r="AZ164" s="73">
        <f>AI164*Valores!$C$75</f>
        <v>959.4617725</v>
      </c>
      <c r="BA164" s="73">
        <f>AI164*Valores!$C$76</f>
        <v>164.47916099999998</v>
      </c>
      <c r="BB164" s="73">
        <f t="shared" si="32"/>
        <v>1480.312449</v>
      </c>
      <c r="BC164" s="47"/>
      <c r="BD164" s="81">
        <v>27</v>
      </c>
      <c r="BE164" s="24" t="s">
        <v>4</v>
      </c>
    </row>
    <row r="165" spans="1:57" s="24" customFormat="1" ht="11.25" customHeight="1">
      <c r="A165" s="47">
        <v>164</v>
      </c>
      <c r="B165" s="47"/>
      <c r="C165" s="24" t="s">
        <v>465</v>
      </c>
      <c r="E165" s="24">
        <f t="shared" si="24"/>
        <v>30</v>
      </c>
      <c r="F165" s="67" t="s">
        <v>466</v>
      </c>
      <c r="G165" s="68">
        <v>98</v>
      </c>
      <c r="H165" s="69">
        <f>INT((G165*Valores!$C$2*100)+0.5)/100</f>
        <v>749.61</v>
      </c>
      <c r="I165" s="108">
        <v>2686</v>
      </c>
      <c r="J165" s="71">
        <f>INT((I165*Valores!$C$2*100)+0.5)/100</f>
        <v>20545.48</v>
      </c>
      <c r="K165" s="98">
        <v>0</v>
      </c>
      <c r="L165" s="71">
        <f>INT((K165*Valores!$C$2*100)+0.5)/100</f>
        <v>0</v>
      </c>
      <c r="M165" s="96">
        <v>0</v>
      </c>
      <c r="N165" s="71">
        <f>INT((M165*Valores!$C$2*100)+0.5)/100</f>
        <v>0</v>
      </c>
      <c r="O165" s="71">
        <f t="shared" si="25"/>
        <v>4789.537499999999</v>
      </c>
      <c r="P165" s="71">
        <f t="shared" si="26"/>
        <v>0</v>
      </c>
      <c r="Q165" s="102">
        <f>Valores!$C$15</f>
        <v>4920.96</v>
      </c>
      <c r="R165" s="97">
        <f>Valores!$D$4</f>
        <v>3421.44</v>
      </c>
      <c r="S165" s="97">
        <f>Valores!$C$26</f>
        <v>3568.39</v>
      </c>
      <c r="T165" s="102">
        <f>Valores!$C$43</f>
        <v>2121.57</v>
      </c>
      <c r="U165" s="71">
        <f>Valores!$C$23</f>
        <v>3159.22</v>
      </c>
      <c r="V165" s="71">
        <f t="shared" si="23"/>
        <v>3159.22</v>
      </c>
      <c r="W165" s="71">
        <v>0</v>
      </c>
      <c r="X165" s="71">
        <v>0</v>
      </c>
      <c r="Y165" s="70">
        <v>700</v>
      </c>
      <c r="Z165" s="71">
        <f>Y165*Valores!$C$2</f>
        <v>5354.37</v>
      </c>
      <c r="AA165" s="97">
        <f>SUM(L165,J165,H165,T165)*Valores!$C$3</f>
        <v>3512.499</v>
      </c>
      <c r="AB165" s="76">
        <f>Valores!$C$29</f>
        <v>184.78</v>
      </c>
      <c r="AC165" s="71">
        <f t="shared" si="29"/>
        <v>0</v>
      </c>
      <c r="AD165" s="71">
        <f>Valores!$C$30</f>
        <v>184.78</v>
      </c>
      <c r="AE165" s="75">
        <v>94</v>
      </c>
      <c r="AF165" s="71">
        <f>INT(((AE165*Valores!$C$2)*100)+0.5)/100</f>
        <v>719.02</v>
      </c>
      <c r="AG165" s="71">
        <f>Valores!$C$58</f>
        <v>375.86</v>
      </c>
      <c r="AH165" s="71">
        <f>Valores!$C$60</f>
        <v>107.38</v>
      </c>
      <c r="AI165" s="110">
        <f t="shared" si="30"/>
        <v>53714.896499999995</v>
      </c>
      <c r="AJ165" s="97">
        <f>Valores!$C$35</f>
        <v>876.57</v>
      </c>
      <c r="AK165" s="74">
        <f>Valores!$C$9</f>
        <v>0</v>
      </c>
      <c r="AL165" s="74">
        <f>Valores!$C$83</f>
        <v>3000</v>
      </c>
      <c r="AM165" s="74">
        <v>2800</v>
      </c>
      <c r="AN165" s="76">
        <v>224.5</v>
      </c>
      <c r="AO165" s="78">
        <f t="shared" si="31"/>
        <v>3876.57</v>
      </c>
      <c r="AP165" s="57">
        <f>AI165*-Valores!$C$65</f>
        <v>-6982.936545</v>
      </c>
      <c r="AQ165" s="57">
        <f>AI165*-Valores!$C$66</f>
        <v>-268.5744825</v>
      </c>
      <c r="AR165" s="73">
        <f>AI165*-Valores!$C$67</f>
        <v>-2417.1703424999996</v>
      </c>
      <c r="AS165" s="73">
        <f>AI165*-Valores!$C$68</f>
        <v>-1450.3022055</v>
      </c>
      <c r="AT165" s="73">
        <f>AI165*-Valores!$C$69</f>
        <v>-161.1446895</v>
      </c>
      <c r="AU165" s="77">
        <f t="shared" si="27"/>
        <v>47922.78513</v>
      </c>
      <c r="AV165" s="77">
        <f t="shared" si="28"/>
        <v>48728.508577500004</v>
      </c>
      <c r="AW165" s="73">
        <f>AI165*Valores!$C$71</f>
        <v>8594.38344</v>
      </c>
      <c r="AX165" s="73">
        <f>AI165*Valores!$C$72</f>
        <v>2417.1703424999996</v>
      </c>
      <c r="AY165" s="73">
        <f>AI165*Valores!$C$73</f>
        <v>537.148965</v>
      </c>
      <c r="AZ165" s="73">
        <f>AI165*Valores!$C$75</f>
        <v>1880.0213775</v>
      </c>
      <c r="BA165" s="73">
        <f>AI165*Valores!$C$76</f>
        <v>322.289379</v>
      </c>
      <c r="BB165" s="73">
        <f t="shared" si="32"/>
        <v>2900.604411</v>
      </c>
      <c r="BC165" s="47"/>
      <c r="BD165" s="47">
        <v>45</v>
      </c>
      <c r="BE165" s="24" t="s">
        <v>4</v>
      </c>
    </row>
    <row r="166" spans="1:57" s="24" customFormat="1" ht="11.25" customHeight="1">
      <c r="A166" s="81">
        <v>165</v>
      </c>
      <c r="B166" s="81" t="s">
        <v>163</v>
      </c>
      <c r="C166" s="82" t="s">
        <v>467</v>
      </c>
      <c r="D166" s="82"/>
      <c r="E166" s="82">
        <f t="shared" si="24"/>
        <v>30</v>
      </c>
      <c r="F166" s="83" t="s">
        <v>468</v>
      </c>
      <c r="G166" s="84">
        <v>93</v>
      </c>
      <c r="H166" s="85">
        <f>INT((G166*Valores!$C$2*100)+0.5)/100</f>
        <v>711.37</v>
      </c>
      <c r="I166" s="86">
        <v>2547</v>
      </c>
      <c r="J166" s="87">
        <f>INT((I166*Valores!$C$2*100)+0.5)/100</f>
        <v>19482.26</v>
      </c>
      <c r="K166" s="100">
        <v>0</v>
      </c>
      <c r="L166" s="87">
        <f>INT((K166*Valores!$C$2*100)+0.5)/100</f>
        <v>0</v>
      </c>
      <c r="M166" s="101">
        <v>0</v>
      </c>
      <c r="N166" s="87">
        <f>INT((M166*Valores!$C$2*100)+0.5)/100</f>
        <v>0</v>
      </c>
      <c r="O166" s="87">
        <f t="shared" si="25"/>
        <v>4624.318499999999</v>
      </c>
      <c r="P166" s="87">
        <f t="shared" si="26"/>
        <v>0</v>
      </c>
      <c r="Q166" s="104">
        <f>Valores!$C$20</f>
        <v>4706.17</v>
      </c>
      <c r="R166" s="103">
        <f>Valores!$D$4</f>
        <v>3421.44</v>
      </c>
      <c r="S166" s="103">
        <f>Valores!$C$26</f>
        <v>3568.39</v>
      </c>
      <c r="T166" s="104">
        <f>Valores!$C$43</f>
        <v>2121.57</v>
      </c>
      <c r="U166" s="87">
        <f>Valores!$C$23</f>
        <v>3159.22</v>
      </c>
      <c r="V166" s="87">
        <f t="shared" si="23"/>
        <v>3159.22</v>
      </c>
      <c r="W166" s="87">
        <v>0</v>
      </c>
      <c r="X166" s="87">
        <v>0</v>
      </c>
      <c r="Y166" s="86">
        <v>700</v>
      </c>
      <c r="Z166" s="87">
        <f>Y166*Valores!$C$2</f>
        <v>5354.37</v>
      </c>
      <c r="AA166" s="103">
        <f>SUM(L166,J166,H166,T166)*Valores!$C$3</f>
        <v>3347.2799999999993</v>
      </c>
      <c r="AB166" s="92">
        <f>Valores!$C$29</f>
        <v>184.78</v>
      </c>
      <c r="AC166" s="87">
        <f t="shared" si="29"/>
        <v>0</v>
      </c>
      <c r="AD166" s="87">
        <f>Valores!$C$30</f>
        <v>184.78</v>
      </c>
      <c r="AE166" s="91">
        <v>94</v>
      </c>
      <c r="AF166" s="87">
        <f>INT(((AE166*Valores!$C$2)*100)+0.5)/100</f>
        <v>719.02</v>
      </c>
      <c r="AG166" s="87">
        <f>Valores!$C$58</f>
        <v>375.86</v>
      </c>
      <c r="AH166" s="87">
        <f>Valores!$C$60</f>
        <v>107.38</v>
      </c>
      <c r="AI166" s="111">
        <f t="shared" si="30"/>
        <v>52068.20849999999</v>
      </c>
      <c r="AJ166" s="103">
        <f>Valores!$C$35</f>
        <v>876.57</v>
      </c>
      <c r="AK166" s="90">
        <f>Valores!$C$9</f>
        <v>0</v>
      </c>
      <c r="AL166" s="90">
        <f>Valores!$C$83</f>
        <v>3000</v>
      </c>
      <c r="AM166" s="74">
        <v>2800</v>
      </c>
      <c r="AN166" s="92">
        <v>224.5</v>
      </c>
      <c r="AO166" s="94">
        <f t="shared" si="31"/>
        <v>3876.57</v>
      </c>
      <c r="AP166" s="112">
        <f>AI166*-Valores!$C$65</f>
        <v>-6768.867104999999</v>
      </c>
      <c r="AQ166" s="112">
        <f>AI166*-Valores!$C$66</f>
        <v>-260.34104249999996</v>
      </c>
      <c r="AR166" s="89">
        <f>AI166*-Valores!$C$67</f>
        <v>-2343.0693824999994</v>
      </c>
      <c r="AS166" s="89">
        <f>AI166*-Valores!$C$68</f>
        <v>-1405.8416294999997</v>
      </c>
      <c r="AT166" s="89">
        <f>AI166*-Valores!$C$69</f>
        <v>-156.2046255</v>
      </c>
      <c r="AU166" s="93">
        <f t="shared" si="27"/>
        <v>46572.50097</v>
      </c>
      <c r="AV166" s="93">
        <f t="shared" si="28"/>
        <v>47353.5240975</v>
      </c>
      <c r="AW166" s="89">
        <f>AI166*Valores!$C$71</f>
        <v>8330.913359999999</v>
      </c>
      <c r="AX166" s="89">
        <f>AI166*Valores!$C$72</f>
        <v>2343.0693824999994</v>
      </c>
      <c r="AY166" s="89">
        <f>AI166*Valores!$C$73</f>
        <v>520.6820849999999</v>
      </c>
      <c r="AZ166" s="89">
        <f>AI166*Valores!$C$75</f>
        <v>1822.3872975</v>
      </c>
      <c r="BA166" s="89">
        <f>AI166*Valores!$C$76</f>
        <v>312.409251</v>
      </c>
      <c r="BB166" s="89">
        <f t="shared" si="32"/>
        <v>2811.683259</v>
      </c>
      <c r="BC166" s="81"/>
      <c r="BD166" s="81">
        <v>45</v>
      </c>
      <c r="BE166" s="82" t="s">
        <v>4</v>
      </c>
    </row>
    <row r="167" spans="1:57" s="24" customFormat="1" ht="11.25" customHeight="1">
      <c r="A167" s="47">
        <v>166</v>
      </c>
      <c r="B167" s="47"/>
      <c r="C167" s="24" t="s">
        <v>469</v>
      </c>
      <c r="E167" s="24">
        <f t="shared" si="24"/>
        <v>30</v>
      </c>
      <c r="F167" s="67" t="s">
        <v>470</v>
      </c>
      <c r="G167" s="68">
        <v>89</v>
      </c>
      <c r="H167" s="69">
        <f>INT((G167*Valores!$C$2*100)+0.5)/100</f>
        <v>680.77</v>
      </c>
      <c r="I167" s="108">
        <v>2251</v>
      </c>
      <c r="J167" s="71">
        <f>INT((I167*Valores!$C$2*100)+0.5)/100</f>
        <v>17218.12</v>
      </c>
      <c r="K167" s="98">
        <v>0</v>
      </c>
      <c r="L167" s="71">
        <f>INT((K167*Valores!$C$2*100)+0.5)/100</f>
        <v>0</v>
      </c>
      <c r="M167" s="96">
        <v>0</v>
      </c>
      <c r="N167" s="71">
        <f>INT((M167*Valores!$C$2*100)+0.5)/100</f>
        <v>0</v>
      </c>
      <c r="O167" s="71">
        <f t="shared" si="25"/>
        <v>4280.1075</v>
      </c>
      <c r="P167" s="71">
        <f t="shared" si="26"/>
        <v>0</v>
      </c>
      <c r="Q167" s="102">
        <f>Valores!$C$20</f>
        <v>4706.17</v>
      </c>
      <c r="R167" s="97">
        <f>Valores!$D$4</f>
        <v>3421.44</v>
      </c>
      <c r="S167" s="97">
        <f>Valores!$C$26</f>
        <v>3568.39</v>
      </c>
      <c r="T167" s="102">
        <f>Valores!$C$43</f>
        <v>2121.57</v>
      </c>
      <c r="U167" s="71">
        <f>Valores!$C$23</f>
        <v>3159.22</v>
      </c>
      <c r="V167" s="71">
        <f t="shared" si="23"/>
        <v>3159.22</v>
      </c>
      <c r="W167" s="71">
        <v>0</v>
      </c>
      <c r="X167" s="71">
        <v>0</v>
      </c>
      <c r="Y167" s="70">
        <v>700</v>
      </c>
      <c r="Z167" s="71">
        <f>Y167*Valores!$C$2</f>
        <v>5354.37</v>
      </c>
      <c r="AA167" s="97">
        <f>SUM(L167,J167,H167,T167)*Valores!$C$3</f>
        <v>3003.069</v>
      </c>
      <c r="AB167" s="76">
        <f>Valores!$C$29</f>
        <v>184.78</v>
      </c>
      <c r="AC167" s="71">
        <f t="shared" si="29"/>
        <v>0</v>
      </c>
      <c r="AD167" s="71">
        <f>Valores!$C$30</f>
        <v>184.78</v>
      </c>
      <c r="AE167" s="75">
        <v>94</v>
      </c>
      <c r="AF167" s="71">
        <f>INT(((AE167*Valores!$C$2)*100)+0.5)/100</f>
        <v>719.02</v>
      </c>
      <c r="AG167" s="71">
        <f>Valores!$C$58</f>
        <v>375.86</v>
      </c>
      <c r="AH167" s="71">
        <f>Valores!$C$60</f>
        <v>107.38</v>
      </c>
      <c r="AI167" s="110">
        <f t="shared" si="30"/>
        <v>49085.0465</v>
      </c>
      <c r="AJ167" s="97">
        <f>Valores!$C$35</f>
        <v>876.57</v>
      </c>
      <c r="AK167" s="74">
        <f>Valores!$C$9</f>
        <v>0</v>
      </c>
      <c r="AL167" s="74">
        <f>Valores!$C$83</f>
        <v>3000</v>
      </c>
      <c r="AM167" s="74">
        <v>2800</v>
      </c>
      <c r="AN167" s="76">
        <v>224.5</v>
      </c>
      <c r="AO167" s="78">
        <f t="shared" si="31"/>
        <v>3876.57</v>
      </c>
      <c r="AP167" s="57">
        <f>AI167*-Valores!$C$65</f>
        <v>-6381.056044999999</v>
      </c>
      <c r="AQ167" s="57">
        <f>AI167*-Valores!$C$66</f>
        <v>-245.4252325</v>
      </c>
      <c r="AR167" s="73">
        <f>AI167*-Valores!$C$67</f>
        <v>-2208.8270924999997</v>
      </c>
      <c r="AS167" s="73">
        <f>AI167*-Valores!$C$68</f>
        <v>-1325.2962555</v>
      </c>
      <c r="AT167" s="73">
        <f>AI167*-Valores!$C$69</f>
        <v>-147.25513949999998</v>
      </c>
      <c r="AU167" s="77">
        <f t="shared" si="27"/>
        <v>44126.30813</v>
      </c>
      <c r="AV167" s="77">
        <f t="shared" si="28"/>
        <v>44862.583827500006</v>
      </c>
      <c r="AW167" s="73">
        <f>AI167*Valores!$C$71</f>
        <v>7853.60744</v>
      </c>
      <c r="AX167" s="73">
        <f>AI167*Valores!$C$72</f>
        <v>2208.8270924999997</v>
      </c>
      <c r="AY167" s="73">
        <f>AI167*Valores!$C$73</f>
        <v>490.850465</v>
      </c>
      <c r="AZ167" s="73">
        <f>AI167*Valores!$C$75</f>
        <v>1717.9766275</v>
      </c>
      <c r="BA167" s="73">
        <f>AI167*Valores!$C$76</f>
        <v>294.51027899999997</v>
      </c>
      <c r="BB167" s="73">
        <f t="shared" si="32"/>
        <v>2650.592511</v>
      </c>
      <c r="BC167" s="47"/>
      <c r="BD167" s="47">
        <v>45</v>
      </c>
      <c r="BE167" s="24" t="s">
        <v>4</v>
      </c>
    </row>
    <row r="168" spans="1:57" s="24" customFormat="1" ht="11.25" customHeight="1">
      <c r="A168" s="47">
        <v>167</v>
      </c>
      <c r="B168" s="47"/>
      <c r="C168" s="24" t="s">
        <v>471</v>
      </c>
      <c r="E168" s="24">
        <f t="shared" si="24"/>
        <v>31</v>
      </c>
      <c r="F168" s="67" t="s">
        <v>472</v>
      </c>
      <c r="G168" s="68">
        <v>83</v>
      </c>
      <c r="H168" s="69">
        <f>INT((G168*Valores!$C$2*100)+0.5)/100</f>
        <v>634.88</v>
      </c>
      <c r="I168" s="108">
        <v>2352</v>
      </c>
      <c r="J168" s="71">
        <f>INT((I168*Valores!$C$2*100)+0.5)/100</f>
        <v>17990.68</v>
      </c>
      <c r="K168" s="98">
        <v>0</v>
      </c>
      <c r="L168" s="71">
        <f>INT((K168*Valores!$C$2*100)+0.5)/100</f>
        <v>0</v>
      </c>
      <c r="M168" s="96">
        <v>0</v>
      </c>
      <c r="N168" s="71">
        <f>INT((M168*Valores!$C$2*100)+0.5)/100</f>
        <v>0</v>
      </c>
      <c r="O168" s="71">
        <f t="shared" si="25"/>
        <v>4389.108</v>
      </c>
      <c r="P168" s="71">
        <f t="shared" si="26"/>
        <v>0</v>
      </c>
      <c r="Q168" s="97">
        <f>Valores!$C$20</f>
        <v>4706.17</v>
      </c>
      <c r="R168" s="97">
        <f>Valores!$D$4</f>
        <v>3421.44</v>
      </c>
      <c r="S168" s="71">
        <v>0</v>
      </c>
      <c r="T168" s="74">
        <f>Valores!$C$43</f>
        <v>2121.57</v>
      </c>
      <c r="U168" s="71">
        <f>Valores!$C$23</f>
        <v>3159.22</v>
      </c>
      <c r="V168" s="71">
        <f t="shared" si="23"/>
        <v>3159.22</v>
      </c>
      <c r="W168" s="71">
        <v>0</v>
      </c>
      <c r="X168" s="71">
        <v>0</v>
      </c>
      <c r="Y168" s="70">
        <v>700</v>
      </c>
      <c r="Z168" s="71">
        <f>Y168*Valores!$C$2</f>
        <v>5354.37</v>
      </c>
      <c r="AA168" s="97">
        <f>SUM(L168,J168,H168,T168)*Valores!$C$3</f>
        <v>3112.0695</v>
      </c>
      <c r="AB168" s="76">
        <f>Valores!$C$29</f>
        <v>184.78</v>
      </c>
      <c r="AC168" s="71">
        <f t="shared" si="29"/>
        <v>0</v>
      </c>
      <c r="AD168" s="71">
        <f>Valores!$C$30</f>
        <v>184.78</v>
      </c>
      <c r="AE168" s="75">
        <v>94</v>
      </c>
      <c r="AF168" s="71">
        <f>INT(((AE168*Valores!$C$2)*100)+0.5)/100</f>
        <v>719.02</v>
      </c>
      <c r="AG168" s="71">
        <f>Valores!$C$58</f>
        <v>375.86</v>
      </c>
      <c r="AH168" s="71">
        <f>Valores!$C$60</f>
        <v>107.38</v>
      </c>
      <c r="AI168" s="110">
        <f t="shared" si="30"/>
        <v>46461.32749999999</v>
      </c>
      <c r="AJ168" s="97">
        <f>Valores!$C$35</f>
        <v>876.57</v>
      </c>
      <c r="AK168" s="74">
        <f>Valores!$C$9</f>
        <v>0</v>
      </c>
      <c r="AL168" s="74">
        <f>Valores!$C$83</f>
        <v>3000</v>
      </c>
      <c r="AM168" s="74">
        <v>2800</v>
      </c>
      <c r="AN168" s="76">
        <v>0</v>
      </c>
      <c r="AO168" s="78">
        <f t="shared" si="31"/>
        <v>3876.57</v>
      </c>
      <c r="AP168" s="57">
        <f>AI168*-Valores!$C$65</f>
        <v>-6039.972574999999</v>
      </c>
      <c r="AQ168" s="57">
        <f>AI168*-Valores!$C$66</f>
        <v>-232.30663749999997</v>
      </c>
      <c r="AR168" s="73">
        <f>AI168*-Valores!$C$67</f>
        <v>-2090.7597374999996</v>
      </c>
      <c r="AS168" s="73">
        <f>AI168*-Valores!$C$68</f>
        <v>-1254.4558424999998</v>
      </c>
      <c r="AT168" s="73">
        <f>AI168*-Valores!$C$69</f>
        <v>-139.38398249999997</v>
      </c>
      <c r="AU168" s="77">
        <f t="shared" si="27"/>
        <v>41974.85855</v>
      </c>
      <c r="AV168" s="77">
        <f t="shared" si="28"/>
        <v>42671.77846249999</v>
      </c>
      <c r="AW168" s="73">
        <f>AI168*Valores!$C$71</f>
        <v>7433.812399999999</v>
      </c>
      <c r="AX168" s="73">
        <f>AI168*Valores!$C$72</f>
        <v>2090.7597374999996</v>
      </c>
      <c r="AY168" s="73">
        <f>AI168*Valores!$C$73</f>
        <v>464.61327499999993</v>
      </c>
      <c r="AZ168" s="73">
        <f>AI168*Valores!$C$75</f>
        <v>1626.1464624999999</v>
      </c>
      <c r="BA168" s="73">
        <f>AI168*Valores!$C$76</f>
        <v>278.76796499999995</v>
      </c>
      <c r="BB168" s="73">
        <f t="shared" si="32"/>
        <v>2508.9116849999996</v>
      </c>
      <c r="BC168" s="47"/>
      <c r="BD168" s="47">
        <v>45</v>
      </c>
      <c r="BE168" s="24" t="s">
        <v>8</v>
      </c>
    </row>
    <row r="169" spans="1:57" s="24" customFormat="1" ht="11.25" customHeight="1">
      <c r="A169" s="47">
        <v>168</v>
      </c>
      <c r="B169" s="47"/>
      <c r="C169" s="24" t="s">
        <v>473</v>
      </c>
      <c r="E169" s="24">
        <f t="shared" si="24"/>
        <v>31</v>
      </c>
      <c r="F169" s="67" t="s">
        <v>474</v>
      </c>
      <c r="G169" s="68">
        <v>83</v>
      </c>
      <c r="H169" s="69">
        <f>INT((G169*Valores!$C$2*100)+0.5)/100</f>
        <v>634.88</v>
      </c>
      <c r="I169" s="108">
        <v>2092</v>
      </c>
      <c r="J169" s="71">
        <f>INT((I169*Valores!$C$2*100)+0.5)/100</f>
        <v>16001.92</v>
      </c>
      <c r="K169" s="98">
        <v>0</v>
      </c>
      <c r="L169" s="71">
        <f>INT((K169*Valores!$C$2*100)+0.5)/100</f>
        <v>0</v>
      </c>
      <c r="M169" s="96">
        <v>0</v>
      </c>
      <c r="N169" s="71">
        <f>INT((M169*Valores!$C$2*100)+0.5)/100</f>
        <v>0</v>
      </c>
      <c r="O169" s="71">
        <f t="shared" si="25"/>
        <v>4090.794</v>
      </c>
      <c r="P169" s="71">
        <f t="shared" si="26"/>
        <v>0</v>
      </c>
      <c r="Q169" s="97">
        <f>Valores!$C$20</f>
        <v>4706.17</v>
      </c>
      <c r="R169" s="97">
        <f>Valores!$D$4</f>
        <v>3421.44</v>
      </c>
      <c r="S169" s="71">
        <v>0</v>
      </c>
      <c r="T169" s="74">
        <f>Valores!$C$43</f>
        <v>2121.57</v>
      </c>
      <c r="U169" s="71">
        <f>Valores!$C$23</f>
        <v>3159.22</v>
      </c>
      <c r="V169" s="71">
        <f t="shared" si="23"/>
        <v>3159.22</v>
      </c>
      <c r="W169" s="71">
        <v>0</v>
      </c>
      <c r="X169" s="71">
        <v>0</v>
      </c>
      <c r="Y169" s="70">
        <v>700</v>
      </c>
      <c r="Z169" s="71">
        <f>Y169*Valores!$C$2</f>
        <v>5354.37</v>
      </c>
      <c r="AA169" s="97">
        <f>SUM(L169,J169,H169,T169)*Valores!$C$3</f>
        <v>2813.7554999999998</v>
      </c>
      <c r="AB169" s="76">
        <f>Valores!$C$29</f>
        <v>184.78</v>
      </c>
      <c r="AC169" s="71">
        <f t="shared" si="29"/>
        <v>0</v>
      </c>
      <c r="AD169" s="71">
        <f>Valores!$C$30</f>
        <v>184.78</v>
      </c>
      <c r="AE169" s="75">
        <v>94</v>
      </c>
      <c r="AF169" s="71">
        <f>INT(((AE169*Valores!$C$2)*100)+0.5)/100</f>
        <v>719.02</v>
      </c>
      <c r="AG169" s="71">
        <f>Valores!$C$58</f>
        <v>375.86</v>
      </c>
      <c r="AH169" s="71">
        <f>Valores!$C$60</f>
        <v>107.38</v>
      </c>
      <c r="AI169" s="110">
        <f t="shared" si="30"/>
        <v>43875.939499999986</v>
      </c>
      <c r="AJ169" s="97">
        <f>Valores!$C$35</f>
        <v>876.57</v>
      </c>
      <c r="AK169" s="74">
        <f>Valores!$C$9</f>
        <v>0</v>
      </c>
      <c r="AL169" s="74">
        <f>Valores!$C$83</f>
        <v>3000</v>
      </c>
      <c r="AM169" s="74">
        <v>2800</v>
      </c>
      <c r="AN169" s="76">
        <v>0</v>
      </c>
      <c r="AO169" s="78">
        <f t="shared" si="31"/>
        <v>3876.57</v>
      </c>
      <c r="AP169" s="57">
        <f>AI169*-Valores!$C$65</f>
        <v>-5703.872134999999</v>
      </c>
      <c r="AQ169" s="57">
        <f>AI169*-Valores!$C$66</f>
        <v>-219.37969749999993</v>
      </c>
      <c r="AR169" s="73">
        <f>AI169*-Valores!$C$67</f>
        <v>-1974.4172774999993</v>
      </c>
      <c r="AS169" s="73">
        <f>AI169*-Valores!$C$68</f>
        <v>-1184.6503664999996</v>
      </c>
      <c r="AT169" s="73">
        <f>AI169*-Valores!$C$69</f>
        <v>-131.62781849999996</v>
      </c>
      <c r="AU169" s="77">
        <f t="shared" si="27"/>
        <v>39854.84038999999</v>
      </c>
      <c r="AV169" s="77">
        <f t="shared" si="28"/>
        <v>40512.97948249999</v>
      </c>
      <c r="AW169" s="73">
        <f>AI169*Valores!$C$71</f>
        <v>7020.150319999998</v>
      </c>
      <c r="AX169" s="73">
        <f>AI169*Valores!$C$72</f>
        <v>1974.4172774999993</v>
      </c>
      <c r="AY169" s="73">
        <f>AI169*Valores!$C$73</f>
        <v>438.75939499999987</v>
      </c>
      <c r="AZ169" s="73">
        <f>AI169*Valores!$C$75</f>
        <v>1535.6578824999997</v>
      </c>
      <c r="BA169" s="73">
        <f>AI169*Valores!$C$76</f>
        <v>263.2556369999999</v>
      </c>
      <c r="BB169" s="73">
        <f t="shared" si="32"/>
        <v>2369.300732999999</v>
      </c>
      <c r="BC169" s="47"/>
      <c r="BD169" s="81">
        <v>45</v>
      </c>
      <c r="BE169" s="24" t="s">
        <v>8</v>
      </c>
    </row>
    <row r="170" spans="1:57" s="24" customFormat="1" ht="11.25" customHeight="1">
      <c r="A170" s="47">
        <v>169</v>
      </c>
      <c r="B170" s="47"/>
      <c r="C170" s="24" t="s">
        <v>475</v>
      </c>
      <c r="E170" s="24">
        <f t="shared" si="24"/>
        <v>31</v>
      </c>
      <c r="F170" s="67" t="s">
        <v>476</v>
      </c>
      <c r="G170" s="68">
        <v>82</v>
      </c>
      <c r="H170" s="69">
        <f>INT((G170*Valores!$C$2*100)+0.5)/100</f>
        <v>627.23</v>
      </c>
      <c r="I170" s="108">
        <v>1941</v>
      </c>
      <c r="J170" s="71">
        <f>INT((I170*Valores!$C$2*100)+0.5)/100</f>
        <v>14846.9</v>
      </c>
      <c r="K170" s="98">
        <v>0</v>
      </c>
      <c r="L170" s="71">
        <f>INT((K170*Valores!$C$2*100)+0.5)/100</f>
        <v>0</v>
      </c>
      <c r="M170" s="96">
        <v>0</v>
      </c>
      <c r="N170" s="71">
        <f>INT((M170*Valores!$C$2*100)+0.5)/100</f>
        <v>0</v>
      </c>
      <c r="O170" s="71">
        <f t="shared" si="25"/>
        <v>3916.3935</v>
      </c>
      <c r="P170" s="71">
        <f t="shared" si="26"/>
        <v>0</v>
      </c>
      <c r="Q170" s="97">
        <f>Valores!$C$20</f>
        <v>4706.17</v>
      </c>
      <c r="R170" s="97">
        <f>Valores!$D$4</f>
        <v>3421.44</v>
      </c>
      <c r="S170" s="71">
        <v>0</v>
      </c>
      <c r="T170" s="74">
        <f>Valores!$C$43</f>
        <v>2121.57</v>
      </c>
      <c r="U170" s="71">
        <f>Valores!$C$23</f>
        <v>3159.22</v>
      </c>
      <c r="V170" s="71">
        <f t="shared" si="23"/>
        <v>3159.22</v>
      </c>
      <c r="W170" s="71">
        <v>0</v>
      </c>
      <c r="X170" s="71">
        <v>0</v>
      </c>
      <c r="Y170" s="70">
        <v>700</v>
      </c>
      <c r="Z170" s="71">
        <f>Y170*Valores!$C$2</f>
        <v>5354.37</v>
      </c>
      <c r="AA170" s="97">
        <f>SUM(L170,J170,H170,T170)*Valores!$C$3</f>
        <v>2639.355</v>
      </c>
      <c r="AB170" s="76">
        <f>Valores!$C$29</f>
        <v>184.78</v>
      </c>
      <c r="AC170" s="71">
        <f t="shared" si="29"/>
        <v>0</v>
      </c>
      <c r="AD170" s="71">
        <f>Valores!$C$30</f>
        <v>184.78</v>
      </c>
      <c r="AE170" s="75">
        <v>94</v>
      </c>
      <c r="AF170" s="71">
        <f>INT(((AE170*Valores!$C$2)*100)+0.5)/100</f>
        <v>719.02</v>
      </c>
      <c r="AG170" s="71">
        <f>Valores!$C$58</f>
        <v>375.86</v>
      </c>
      <c r="AH170" s="71">
        <f>Valores!$C$60</f>
        <v>107.38</v>
      </c>
      <c r="AI170" s="110">
        <f t="shared" si="30"/>
        <v>42364.468499999995</v>
      </c>
      <c r="AJ170" s="97">
        <f>Valores!$C$35</f>
        <v>876.57</v>
      </c>
      <c r="AK170" s="74">
        <f>Valores!$C$9</f>
        <v>0</v>
      </c>
      <c r="AL170" s="74">
        <f>Valores!$C$83</f>
        <v>3000</v>
      </c>
      <c r="AM170" s="74">
        <v>2800</v>
      </c>
      <c r="AN170" s="76">
        <v>0</v>
      </c>
      <c r="AO170" s="78">
        <f t="shared" si="31"/>
        <v>3876.57</v>
      </c>
      <c r="AP170" s="57">
        <f>AI170*-Valores!$C$65</f>
        <v>-5507.380905</v>
      </c>
      <c r="AQ170" s="57">
        <f>AI170*-Valores!$C$66</f>
        <v>-211.8223425</v>
      </c>
      <c r="AR170" s="73">
        <f>AI170*-Valores!$C$67</f>
        <v>-1906.4010824999998</v>
      </c>
      <c r="AS170" s="73">
        <f>AI170*-Valores!$C$68</f>
        <v>-1143.8406495</v>
      </c>
      <c r="AT170" s="73">
        <f>AI170*-Valores!$C$69</f>
        <v>-127.09340549999999</v>
      </c>
      <c r="AU170" s="77">
        <f t="shared" si="27"/>
        <v>38615.43416999999</v>
      </c>
      <c r="AV170" s="77">
        <f t="shared" si="28"/>
        <v>39250.90119749999</v>
      </c>
      <c r="AW170" s="73">
        <f>AI170*Valores!$C$71</f>
        <v>6778.31496</v>
      </c>
      <c r="AX170" s="73">
        <f>AI170*Valores!$C$72</f>
        <v>1906.4010824999998</v>
      </c>
      <c r="AY170" s="73">
        <f>AI170*Valores!$C$73</f>
        <v>423.644685</v>
      </c>
      <c r="AZ170" s="73">
        <f>AI170*Valores!$C$75</f>
        <v>1482.7563975</v>
      </c>
      <c r="BA170" s="73">
        <f>AI170*Valores!$C$76</f>
        <v>254.18681099999998</v>
      </c>
      <c r="BB170" s="73">
        <f t="shared" si="32"/>
        <v>2287.681299</v>
      </c>
      <c r="BC170" s="47"/>
      <c r="BD170" s="47">
        <v>45</v>
      </c>
      <c r="BE170" s="24" t="s">
        <v>8</v>
      </c>
    </row>
    <row r="171" spans="1:57" s="24" customFormat="1" ht="11.25" customHeight="1">
      <c r="A171" s="81">
        <v>170</v>
      </c>
      <c r="B171" s="81" t="s">
        <v>163</v>
      </c>
      <c r="C171" s="82" t="s">
        <v>477</v>
      </c>
      <c r="D171" s="82"/>
      <c r="E171" s="82">
        <f t="shared" si="24"/>
        <v>30</v>
      </c>
      <c r="F171" s="83" t="s">
        <v>478</v>
      </c>
      <c r="G171" s="84">
        <v>79</v>
      </c>
      <c r="H171" s="85">
        <f>INT((G171*Valores!$C$2*100)+0.5)/100</f>
        <v>604.28</v>
      </c>
      <c r="I171" s="99">
        <v>2161</v>
      </c>
      <c r="J171" s="87">
        <f>INT((I171*Valores!$C$2*100)+0.5)/100</f>
        <v>16529.71</v>
      </c>
      <c r="K171" s="100">
        <v>0</v>
      </c>
      <c r="L171" s="87">
        <f>INT((K171*Valores!$C$2*100)+0.5)/100</f>
        <v>0</v>
      </c>
      <c r="M171" s="101">
        <v>0</v>
      </c>
      <c r="N171" s="87">
        <f>INT((M171*Valores!$C$2*100)+0.5)/100</f>
        <v>0</v>
      </c>
      <c r="O171" s="87">
        <f t="shared" si="25"/>
        <v>4165.3724999999995</v>
      </c>
      <c r="P171" s="87">
        <f t="shared" si="26"/>
        <v>0</v>
      </c>
      <c r="Q171" s="103">
        <f>Valores!$C$20</f>
        <v>4706.17</v>
      </c>
      <c r="R171" s="103">
        <f>Valores!$D$4</f>
        <v>3421.44</v>
      </c>
      <c r="S171" s="87">
        <v>0</v>
      </c>
      <c r="T171" s="90">
        <f>Valores!$C$43</f>
        <v>2121.57</v>
      </c>
      <c r="U171" s="87">
        <f>Valores!$C$23</f>
        <v>3159.22</v>
      </c>
      <c r="V171" s="87">
        <f t="shared" si="23"/>
        <v>3159.22</v>
      </c>
      <c r="W171" s="87">
        <v>0</v>
      </c>
      <c r="X171" s="87">
        <v>0</v>
      </c>
      <c r="Y171" s="86">
        <v>700</v>
      </c>
      <c r="Z171" s="87">
        <f>Y171*Valores!$C$2</f>
        <v>5354.37</v>
      </c>
      <c r="AA171" s="103">
        <f>SUM(L171,J171,H171,T171)*Valores!$C$3</f>
        <v>2888.3339999999994</v>
      </c>
      <c r="AB171" s="92">
        <f>Valores!$C$29</f>
        <v>184.78</v>
      </c>
      <c r="AC171" s="87">
        <f t="shared" si="29"/>
        <v>0</v>
      </c>
      <c r="AD171" s="87">
        <f>Valores!$C$30</f>
        <v>184.78</v>
      </c>
      <c r="AE171" s="91">
        <v>94</v>
      </c>
      <c r="AF171" s="87">
        <f>INT(((AE171*Valores!$C$2)*100)+0.5)/100</f>
        <v>719.02</v>
      </c>
      <c r="AG171" s="87">
        <f>Valores!$C$58</f>
        <v>375.86</v>
      </c>
      <c r="AH171" s="87">
        <f>Valores!$C$60</f>
        <v>107.38</v>
      </c>
      <c r="AI171" s="111">
        <f t="shared" si="30"/>
        <v>44522.28649999999</v>
      </c>
      <c r="AJ171" s="103">
        <f>Valores!$C$35</f>
        <v>876.57</v>
      </c>
      <c r="AK171" s="90">
        <f>Valores!$C$9</f>
        <v>0</v>
      </c>
      <c r="AL171" s="90">
        <f>Valores!$C$83</f>
        <v>3000</v>
      </c>
      <c r="AM171" s="74">
        <v>2800</v>
      </c>
      <c r="AN171" s="92">
        <v>0</v>
      </c>
      <c r="AO171" s="94">
        <f t="shared" si="31"/>
        <v>3876.57</v>
      </c>
      <c r="AP171" s="112">
        <f>AI171*-Valores!$C$65</f>
        <v>-5787.897244999998</v>
      </c>
      <c r="AQ171" s="112">
        <f>AI171*-Valores!$C$66</f>
        <v>-222.61143249999995</v>
      </c>
      <c r="AR171" s="89">
        <f>AI171*-Valores!$C$67</f>
        <v>-2003.5028924999995</v>
      </c>
      <c r="AS171" s="89">
        <f>AI171*-Valores!$C$68</f>
        <v>-1202.1017354999997</v>
      </c>
      <c r="AT171" s="89">
        <f>AI171*-Valores!$C$69</f>
        <v>-133.56685949999996</v>
      </c>
      <c r="AU171" s="93">
        <f t="shared" si="27"/>
        <v>40384.844929999985</v>
      </c>
      <c r="AV171" s="93">
        <f t="shared" si="28"/>
        <v>41052.67922749998</v>
      </c>
      <c r="AW171" s="89">
        <f>AI171*Valores!$C$71</f>
        <v>7123.565839999998</v>
      </c>
      <c r="AX171" s="89">
        <f>AI171*Valores!$C$72</f>
        <v>2003.5028924999995</v>
      </c>
      <c r="AY171" s="89">
        <f>AI171*Valores!$C$73</f>
        <v>445.2228649999999</v>
      </c>
      <c r="AZ171" s="89">
        <f>AI171*Valores!$C$75</f>
        <v>1558.2800274999997</v>
      </c>
      <c r="BA171" s="89">
        <f>AI171*Valores!$C$76</f>
        <v>267.1337189999999</v>
      </c>
      <c r="BB171" s="89">
        <f t="shared" si="32"/>
        <v>2404.2034709999994</v>
      </c>
      <c r="BC171" s="81"/>
      <c r="BD171" s="81">
        <v>45</v>
      </c>
      <c r="BE171" s="82" t="s">
        <v>8</v>
      </c>
    </row>
    <row r="172" spans="1:57" s="24" customFormat="1" ht="11.25" customHeight="1">
      <c r="A172" s="47">
        <v>171</v>
      </c>
      <c r="B172" s="47"/>
      <c r="C172" s="24" t="s">
        <v>479</v>
      </c>
      <c r="E172" s="24">
        <f t="shared" si="24"/>
        <v>28</v>
      </c>
      <c r="F172" s="67" t="s">
        <v>480</v>
      </c>
      <c r="G172" s="68">
        <v>98</v>
      </c>
      <c r="H172" s="69">
        <f>INT((G172*Valores!$C$2*100)+0.5)/100</f>
        <v>749.61</v>
      </c>
      <c r="I172" s="108">
        <v>2686</v>
      </c>
      <c r="J172" s="71">
        <f>INT((I172*Valores!$C$2*100)+0.5)/100</f>
        <v>20545.48</v>
      </c>
      <c r="K172" s="98">
        <v>0</v>
      </c>
      <c r="L172" s="71">
        <f>INT((K172*Valores!$C$2*100)+0.5)/100</f>
        <v>0</v>
      </c>
      <c r="M172" s="96">
        <v>0</v>
      </c>
      <c r="N172" s="71">
        <f>INT((M172*Valores!$C$2*100)+0.5)/100</f>
        <v>0</v>
      </c>
      <c r="O172" s="71">
        <f t="shared" si="25"/>
        <v>4789.537499999999</v>
      </c>
      <c r="P172" s="71">
        <f t="shared" si="26"/>
        <v>0</v>
      </c>
      <c r="Q172" s="71">
        <f>Valores!$C$20</f>
        <v>4706.17</v>
      </c>
      <c r="R172" s="97">
        <f>Valores!$D$4</f>
        <v>3421.44</v>
      </c>
      <c r="S172" s="71">
        <v>0</v>
      </c>
      <c r="T172" s="74">
        <f>Valores!$C$43</f>
        <v>2121.57</v>
      </c>
      <c r="U172" s="71">
        <f>Valores!$C$23</f>
        <v>3159.22</v>
      </c>
      <c r="V172" s="71">
        <f t="shared" si="23"/>
        <v>3159.22</v>
      </c>
      <c r="W172" s="71">
        <v>0</v>
      </c>
      <c r="X172" s="71">
        <v>0</v>
      </c>
      <c r="Y172" s="70">
        <v>700</v>
      </c>
      <c r="Z172" s="71">
        <f>Y172*Valores!$C$2</f>
        <v>5354.37</v>
      </c>
      <c r="AA172" s="97">
        <f>SUM(L172,J172,H172,T172)*Valores!$C$3</f>
        <v>3512.499</v>
      </c>
      <c r="AB172" s="76">
        <f>Valores!$C$29</f>
        <v>184.78</v>
      </c>
      <c r="AC172" s="71">
        <f t="shared" si="29"/>
        <v>0</v>
      </c>
      <c r="AD172" s="71">
        <f>Valores!$C$30</f>
        <v>184.78</v>
      </c>
      <c r="AE172" s="75">
        <v>0</v>
      </c>
      <c r="AF172" s="71">
        <f>INT(((AE172*Valores!$C$2)*100)+0.5)/100</f>
        <v>0</v>
      </c>
      <c r="AG172" s="71">
        <f>Valores!$C$58</f>
        <v>375.86</v>
      </c>
      <c r="AH172" s="71">
        <f>Valores!$C$60</f>
        <v>107.38</v>
      </c>
      <c r="AI172" s="110">
        <f t="shared" si="30"/>
        <v>49212.696500000005</v>
      </c>
      <c r="AJ172" s="97">
        <f>Valores!$C$35</f>
        <v>876.57</v>
      </c>
      <c r="AK172" s="74">
        <f>Valores!$C$9</f>
        <v>0</v>
      </c>
      <c r="AL172" s="74">
        <f>Valores!$C$83</f>
        <v>3000</v>
      </c>
      <c r="AM172" s="74">
        <v>2800</v>
      </c>
      <c r="AN172" s="76">
        <v>0</v>
      </c>
      <c r="AO172" s="78">
        <f t="shared" si="31"/>
        <v>3876.57</v>
      </c>
      <c r="AP172" s="57">
        <f>AI172*-Valores!$C$65</f>
        <v>-6397.650545000001</v>
      </c>
      <c r="AQ172" s="57">
        <f>AI172*-Valores!$C$66</f>
        <v>-246.06348250000002</v>
      </c>
      <c r="AR172" s="73">
        <f>AI172*-Valores!$C$67</f>
        <v>-2214.5713425000004</v>
      </c>
      <c r="AS172" s="73">
        <f>AI172*-Valores!$C$68</f>
        <v>-1328.7428055</v>
      </c>
      <c r="AT172" s="73">
        <f>AI172*-Valores!$C$69</f>
        <v>-147.6380895</v>
      </c>
      <c r="AU172" s="77">
        <f t="shared" si="27"/>
        <v>44230.98113</v>
      </c>
      <c r="AV172" s="77">
        <f t="shared" si="28"/>
        <v>44969.171577500005</v>
      </c>
      <c r="AW172" s="73">
        <f>AI172*Valores!$C$71</f>
        <v>7874.031440000001</v>
      </c>
      <c r="AX172" s="73">
        <f>AI172*Valores!$C$72</f>
        <v>2214.5713425000004</v>
      </c>
      <c r="AY172" s="73">
        <f>AI172*Valores!$C$73</f>
        <v>492.12696500000004</v>
      </c>
      <c r="AZ172" s="73">
        <f>AI172*Valores!$C$75</f>
        <v>1722.4443775000004</v>
      </c>
      <c r="BA172" s="73">
        <f>AI172*Valores!$C$76</f>
        <v>295.276179</v>
      </c>
      <c r="BB172" s="73">
        <f t="shared" si="32"/>
        <v>2657.4856110000005</v>
      </c>
      <c r="BC172" s="47"/>
      <c r="BD172" s="47"/>
      <c r="BE172" s="24" t="s">
        <v>8</v>
      </c>
    </row>
    <row r="173" spans="1:57" s="24" customFormat="1" ht="11.25" customHeight="1">
      <c r="A173" s="47">
        <v>172</v>
      </c>
      <c r="B173" s="47"/>
      <c r="C173" s="24" t="s">
        <v>481</v>
      </c>
      <c r="E173" s="24">
        <f t="shared" si="24"/>
        <v>28</v>
      </c>
      <c r="F173" s="67" t="s">
        <v>482</v>
      </c>
      <c r="G173" s="68">
        <v>93</v>
      </c>
      <c r="H173" s="69">
        <f>INT((G173*Valores!$C$2*100)+0.5)/100</f>
        <v>711.37</v>
      </c>
      <c r="I173" s="108">
        <v>2547</v>
      </c>
      <c r="J173" s="71">
        <f>INT((I173*Valores!$C$2*100)+0.5)/100</f>
        <v>19482.26</v>
      </c>
      <c r="K173" s="98">
        <v>0</v>
      </c>
      <c r="L173" s="71">
        <f>INT((K173*Valores!$C$2*100)+0.5)/100</f>
        <v>0</v>
      </c>
      <c r="M173" s="96">
        <v>0</v>
      </c>
      <c r="N173" s="71">
        <f>INT((M173*Valores!$C$2*100)+0.5)/100</f>
        <v>0</v>
      </c>
      <c r="O173" s="71">
        <f t="shared" si="25"/>
        <v>4624.318499999999</v>
      </c>
      <c r="P173" s="71">
        <f t="shared" si="26"/>
        <v>0</v>
      </c>
      <c r="Q173" s="102">
        <f>Valores!$C$20</f>
        <v>4706.17</v>
      </c>
      <c r="R173" s="97">
        <f>Valores!$D$4</f>
        <v>3421.44</v>
      </c>
      <c r="S173" s="71">
        <v>0</v>
      </c>
      <c r="T173" s="74">
        <f>Valores!$C$43</f>
        <v>2121.57</v>
      </c>
      <c r="U173" s="71">
        <f>Valores!$C$23</f>
        <v>3159.22</v>
      </c>
      <c r="V173" s="71">
        <f t="shared" si="23"/>
        <v>3159.22</v>
      </c>
      <c r="W173" s="71">
        <v>0</v>
      </c>
      <c r="X173" s="71">
        <v>0</v>
      </c>
      <c r="Y173" s="70">
        <v>700</v>
      </c>
      <c r="Z173" s="71">
        <f>Y173*Valores!$C$2</f>
        <v>5354.37</v>
      </c>
      <c r="AA173" s="97">
        <f>SUM(L173,J173,H173,T173)*Valores!$C$3</f>
        <v>3347.2799999999993</v>
      </c>
      <c r="AB173" s="76">
        <f>Valores!$C$29</f>
        <v>184.78</v>
      </c>
      <c r="AC173" s="71">
        <f t="shared" si="29"/>
        <v>0</v>
      </c>
      <c r="AD173" s="71">
        <f>Valores!$C$30</f>
        <v>184.78</v>
      </c>
      <c r="AE173" s="75">
        <v>0</v>
      </c>
      <c r="AF173" s="71">
        <f>INT(((AE173*Valores!$C$2)*100)+0.5)/100</f>
        <v>0</v>
      </c>
      <c r="AG173" s="71">
        <f>Valores!$C$58</f>
        <v>375.86</v>
      </c>
      <c r="AH173" s="71">
        <f>Valores!$C$60</f>
        <v>107.38</v>
      </c>
      <c r="AI173" s="110">
        <f t="shared" si="30"/>
        <v>47780.7985</v>
      </c>
      <c r="AJ173" s="97">
        <f>Valores!$C$35</f>
        <v>876.57</v>
      </c>
      <c r="AK173" s="74">
        <f>Valores!$C$9</f>
        <v>0</v>
      </c>
      <c r="AL173" s="74">
        <f>Valores!$C$83</f>
        <v>3000</v>
      </c>
      <c r="AM173" s="74">
        <v>2800</v>
      </c>
      <c r="AN173" s="76">
        <v>0</v>
      </c>
      <c r="AO173" s="78">
        <f t="shared" si="31"/>
        <v>3876.57</v>
      </c>
      <c r="AP173" s="57">
        <f>AI173*-Valores!$C$65</f>
        <v>-6211.503805</v>
      </c>
      <c r="AQ173" s="57">
        <f>AI173*-Valores!$C$66</f>
        <v>-238.9039925</v>
      </c>
      <c r="AR173" s="73">
        <f>AI173*-Valores!$C$67</f>
        <v>-2150.1359325</v>
      </c>
      <c r="AS173" s="73">
        <f>AI173*-Valores!$C$68</f>
        <v>-1290.0815595</v>
      </c>
      <c r="AT173" s="73">
        <f>AI173*-Valores!$C$69</f>
        <v>-143.34239549999998</v>
      </c>
      <c r="AU173" s="77">
        <f t="shared" si="27"/>
        <v>43056.82476999999</v>
      </c>
      <c r="AV173" s="77">
        <f t="shared" si="28"/>
        <v>43773.53674749999</v>
      </c>
      <c r="AW173" s="73">
        <f>AI173*Valores!$C$71</f>
        <v>7644.92776</v>
      </c>
      <c r="AX173" s="73">
        <f>AI173*Valores!$C$72</f>
        <v>2150.1359325</v>
      </c>
      <c r="AY173" s="73">
        <f>AI173*Valores!$C$73</f>
        <v>477.807985</v>
      </c>
      <c r="AZ173" s="73">
        <f>AI173*Valores!$C$75</f>
        <v>1672.3279475000002</v>
      </c>
      <c r="BA173" s="73">
        <f>AI173*Valores!$C$76</f>
        <v>286.68479099999996</v>
      </c>
      <c r="BB173" s="73">
        <f t="shared" si="32"/>
        <v>2580.163119</v>
      </c>
      <c r="BC173" s="47"/>
      <c r="BD173" s="47"/>
      <c r="BE173" s="24" t="s">
        <v>4</v>
      </c>
    </row>
    <row r="174" spans="1:57" s="24" customFormat="1" ht="11.25" customHeight="1">
      <c r="A174" s="47">
        <v>173</v>
      </c>
      <c r="B174" s="47"/>
      <c r="C174" s="24" t="s">
        <v>483</v>
      </c>
      <c r="E174" s="24">
        <f t="shared" si="24"/>
        <v>27</v>
      </c>
      <c r="F174" s="67" t="s">
        <v>484</v>
      </c>
      <c r="G174" s="68">
        <v>1278</v>
      </c>
      <c r="H174" s="69">
        <f>INT((G174*Valores!$C$2*100)+0.5)/100</f>
        <v>9775.55</v>
      </c>
      <c r="I174" s="108">
        <v>0</v>
      </c>
      <c r="J174" s="71">
        <f>INT((I174*Valores!$C$2*100)+0.5)/100</f>
        <v>0</v>
      </c>
      <c r="K174" s="98">
        <v>0</v>
      </c>
      <c r="L174" s="71">
        <f>INT((K174*Valores!$C$2*100)+0.5)/100</f>
        <v>0</v>
      </c>
      <c r="M174" s="96">
        <v>0</v>
      </c>
      <c r="N174" s="71">
        <f>INT((M174*Valores!$C$2*100)+0.5)/100</f>
        <v>0</v>
      </c>
      <c r="O174" s="71">
        <f t="shared" si="25"/>
        <v>3291.0795</v>
      </c>
      <c r="P174" s="71">
        <f t="shared" si="26"/>
        <v>0</v>
      </c>
      <c r="Q174" s="97">
        <f>Valores!$C$20</f>
        <v>4706.17</v>
      </c>
      <c r="R174" s="97">
        <f>Valores!$D$4</f>
        <v>3421.44</v>
      </c>
      <c r="S174" s="71">
        <v>0</v>
      </c>
      <c r="T174" s="74">
        <f>Valores!$C$43</f>
        <v>2121.57</v>
      </c>
      <c r="U174" s="71">
        <f>Valores!$C$23</f>
        <v>3159.22</v>
      </c>
      <c r="V174" s="71">
        <f aca="true" t="shared" si="33" ref="V174:V237">U174*(1+$J$2)</f>
        <v>3159.22</v>
      </c>
      <c r="W174" s="71">
        <v>0</v>
      </c>
      <c r="X174" s="71">
        <v>0</v>
      </c>
      <c r="Y174" s="70">
        <v>900</v>
      </c>
      <c r="Z174" s="71">
        <f>Y174*Valores!$C$2</f>
        <v>6884.19</v>
      </c>
      <c r="AA174" s="97">
        <f>SUM(L174,J174,H174,T174)*Valores!$C$3</f>
        <v>1784.5679999999998</v>
      </c>
      <c r="AB174" s="76">
        <f>Valores!$C$29</f>
        <v>184.78</v>
      </c>
      <c r="AC174" s="71">
        <f t="shared" si="29"/>
        <v>0</v>
      </c>
      <c r="AD174" s="71">
        <f>Valores!$C$30</f>
        <v>184.78</v>
      </c>
      <c r="AE174" s="75">
        <v>94</v>
      </c>
      <c r="AF174" s="71">
        <f>INT(((AE174*Valores!$C$2)*100)+0.5)/100</f>
        <v>719.02</v>
      </c>
      <c r="AG174" s="71">
        <f>Valores!$C$58</f>
        <v>375.86</v>
      </c>
      <c r="AH174" s="71">
        <f>Valores!$C$60</f>
        <v>107.38</v>
      </c>
      <c r="AI174" s="110">
        <f t="shared" si="30"/>
        <v>36715.60749999999</v>
      </c>
      <c r="AJ174" s="97">
        <f>Valores!$C$35</f>
        <v>876.57</v>
      </c>
      <c r="AK174" s="74">
        <f>Valores!$C$9</f>
        <v>0</v>
      </c>
      <c r="AL174" s="74">
        <f>Valores!$C$83</f>
        <v>3000</v>
      </c>
      <c r="AM174" s="74">
        <v>2800</v>
      </c>
      <c r="AN174" s="76">
        <f>Valores!$C$50</f>
        <v>314.98</v>
      </c>
      <c r="AO174" s="78">
        <f t="shared" si="31"/>
        <v>3876.57</v>
      </c>
      <c r="AP174" s="57">
        <f>AI174*-Valores!$C$65</f>
        <v>-4773.028974999999</v>
      </c>
      <c r="AQ174" s="57">
        <f>AI174*-Valores!$C$66</f>
        <v>-183.57803749999997</v>
      </c>
      <c r="AR174" s="73">
        <f>AI174*-Valores!$C$67</f>
        <v>-1652.2023374999994</v>
      </c>
      <c r="AS174" s="73">
        <f>AI174*-Valores!$C$68</f>
        <v>-991.3214024999997</v>
      </c>
      <c r="AT174" s="73">
        <f>AI174*-Valores!$C$69</f>
        <v>-110.14682249999997</v>
      </c>
      <c r="AU174" s="77">
        <f t="shared" si="27"/>
        <v>33983.36814999999</v>
      </c>
      <c r="AV174" s="77">
        <f t="shared" si="28"/>
        <v>34534.10226249999</v>
      </c>
      <c r="AW174" s="73">
        <f>AI174*Valores!$C$71</f>
        <v>5874.497199999999</v>
      </c>
      <c r="AX174" s="73">
        <f>AI174*Valores!$C$72</f>
        <v>1652.2023374999994</v>
      </c>
      <c r="AY174" s="73">
        <f>AI174*Valores!$C$73</f>
        <v>367.15607499999993</v>
      </c>
      <c r="AZ174" s="73">
        <f>AI174*Valores!$C$75</f>
        <v>1285.0462624999998</v>
      </c>
      <c r="BA174" s="73">
        <f>AI174*Valores!$C$76</f>
        <v>220.29364499999994</v>
      </c>
      <c r="BB174" s="73">
        <f t="shared" si="32"/>
        <v>1982.6428049999997</v>
      </c>
      <c r="BC174" s="47"/>
      <c r="BD174" s="81">
        <v>36</v>
      </c>
      <c r="BE174" s="24" t="s">
        <v>4</v>
      </c>
    </row>
    <row r="175" spans="1:57" s="24" customFormat="1" ht="11.25" customHeight="1">
      <c r="A175" s="47">
        <v>174</v>
      </c>
      <c r="B175" s="47"/>
      <c r="C175" s="24" t="s">
        <v>485</v>
      </c>
      <c r="E175" s="24">
        <f t="shared" si="24"/>
        <v>27</v>
      </c>
      <c r="F175" s="67" t="s">
        <v>486</v>
      </c>
      <c r="G175" s="68">
        <v>217</v>
      </c>
      <c r="H175" s="69">
        <f>INT((G175*Valores!$C$2*100)+0.5)/100</f>
        <v>1659.85</v>
      </c>
      <c r="I175" s="108">
        <f>2245</f>
        <v>2245</v>
      </c>
      <c r="J175" s="71">
        <f>INT((I175*Valores!$C$2*100)+0.5)/100</f>
        <v>17172.23</v>
      </c>
      <c r="K175" s="98">
        <v>0</v>
      </c>
      <c r="L175" s="71">
        <f>INT((K175*Valores!$C$2*100)+0.5)/100</f>
        <v>0</v>
      </c>
      <c r="M175" s="96">
        <v>1300</v>
      </c>
      <c r="N175" s="71">
        <f>INT((M175*Valores!$C$2*100)+0.5)/100</f>
        <v>9943.83</v>
      </c>
      <c r="O175" s="71">
        <f t="shared" si="25"/>
        <v>5108.504999999999</v>
      </c>
      <c r="P175" s="71">
        <f t="shared" si="26"/>
        <v>0</v>
      </c>
      <c r="Q175" s="97">
        <f>Valores!$C$16</f>
        <v>4949.59</v>
      </c>
      <c r="R175" s="97">
        <f>Valores!$D$4</f>
        <v>3421.44</v>
      </c>
      <c r="S175" s="97">
        <f>Valores!$C$26</f>
        <v>3568.39</v>
      </c>
      <c r="T175" s="102">
        <f>Valores!$C$43</f>
        <v>2121.57</v>
      </c>
      <c r="U175" s="71">
        <f>Valores!$C$23</f>
        <v>3159.22</v>
      </c>
      <c r="V175" s="71">
        <f t="shared" si="33"/>
        <v>3159.22</v>
      </c>
      <c r="W175" s="71">
        <v>0</v>
      </c>
      <c r="X175" s="71">
        <v>0</v>
      </c>
      <c r="Y175" s="75">
        <v>0</v>
      </c>
      <c r="Z175" s="71">
        <f>Y175*Valores!$C$2</f>
        <v>0</v>
      </c>
      <c r="AA175" s="71">
        <v>0</v>
      </c>
      <c r="AB175" s="76">
        <f>Valores!$C$29</f>
        <v>184.78</v>
      </c>
      <c r="AC175" s="71">
        <f t="shared" si="29"/>
        <v>0</v>
      </c>
      <c r="AD175" s="71">
        <f>Valores!$C$30</f>
        <v>184.78</v>
      </c>
      <c r="AE175" s="75">
        <v>0</v>
      </c>
      <c r="AF175" s="71">
        <f>INT(((AE175*Valores!$C$2)*100)+0.5)/100</f>
        <v>0</v>
      </c>
      <c r="AG175" s="71">
        <f>Valores!$C$58</f>
        <v>375.86</v>
      </c>
      <c r="AH175" s="71">
        <f>Valores!$C$60</f>
        <v>107.38</v>
      </c>
      <c r="AI175" s="110">
        <f t="shared" si="30"/>
        <v>51957.42499999999</v>
      </c>
      <c r="AJ175" s="97">
        <f>Valores!$C$35</f>
        <v>876.57</v>
      </c>
      <c r="AK175" s="74">
        <f>Valores!$C$9</f>
        <v>0</v>
      </c>
      <c r="AL175" s="74">
        <f>Valores!$C$83</f>
        <v>3000</v>
      </c>
      <c r="AM175" s="74">
        <v>2800</v>
      </c>
      <c r="AN175" s="76">
        <f>Valores!$C$50</f>
        <v>314.98</v>
      </c>
      <c r="AO175" s="78">
        <f t="shared" si="31"/>
        <v>3876.57</v>
      </c>
      <c r="AP175" s="57">
        <f>AI175*-Valores!$C$65</f>
        <v>-6754.465249999998</v>
      </c>
      <c r="AQ175" s="57">
        <f>AI175*-Valores!$C$66</f>
        <v>-259.78712499999995</v>
      </c>
      <c r="AR175" s="73">
        <f>AI175*-Valores!$C$67</f>
        <v>-2338.0841249999994</v>
      </c>
      <c r="AS175" s="73">
        <f>AI175*-Valores!$C$68</f>
        <v>-1402.8504749999997</v>
      </c>
      <c r="AT175" s="73">
        <f>AI175*-Valores!$C$69</f>
        <v>-155.87227499999997</v>
      </c>
      <c r="AU175" s="77">
        <f t="shared" si="27"/>
        <v>46481.65849999998</v>
      </c>
      <c r="AV175" s="77">
        <f t="shared" si="28"/>
        <v>47261.01987499998</v>
      </c>
      <c r="AW175" s="73">
        <f>AI175*Valores!$C$71</f>
        <v>8313.187999999998</v>
      </c>
      <c r="AX175" s="73">
        <f>AI175*Valores!$C$72</f>
        <v>2338.0841249999994</v>
      </c>
      <c r="AY175" s="73">
        <f>AI175*Valores!$C$73</f>
        <v>519.5742499999999</v>
      </c>
      <c r="AZ175" s="73">
        <f>AI175*Valores!$C$75</f>
        <v>1818.5098749999997</v>
      </c>
      <c r="BA175" s="73">
        <f>AI175*Valores!$C$76</f>
        <v>311.74454999999995</v>
      </c>
      <c r="BB175" s="73">
        <f t="shared" si="32"/>
        <v>2805.70095</v>
      </c>
      <c r="BC175" s="47"/>
      <c r="BD175" s="47">
        <v>45</v>
      </c>
      <c r="BE175" s="24" t="s">
        <v>4</v>
      </c>
    </row>
    <row r="176" spans="1:57" s="24" customFormat="1" ht="11.25" customHeight="1">
      <c r="A176" s="81">
        <v>175</v>
      </c>
      <c r="B176" s="81" t="s">
        <v>163</v>
      </c>
      <c r="C176" s="82" t="s">
        <v>487</v>
      </c>
      <c r="D176" s="82"/>
      <c r="E176" s="82">
        <f t="shared" si="24"/>
        <v>27</v>
      </c>
      <c r="F176" s="83" t="s">
        <v>488</v>
      </c>
      <c r="G176" s="84">
        <v>185</v>
      </c>
      <c r="H176" s="85">
        <f>INT((G176*Valores!$C$2*100)+0.5)/100</f>
        <v>1415.08</v>
      </c>
      <c r="I176" s="99">
        <f>1835</f>
        <v>1835</v>
      </c>
      <c r="J176" s="87">
        <f>INT((I176*Valores!$C$2*100)+0.5)/100</f>
        <v>14036.1</v>
      </c>
      <c r="K176" s="100">
        <v>0</v>
      </c>
      <c r="L176" s="87">
        <f>INT((K176*Valores!$C$2*100)+0.5)/100</f>
        <v>0</v>
      </c>
      <c r="M176" s="101">
        <v>1300</v>
      </c>
      <c r="N176" s="87">
        <f>INT((M176*Valores!$C$2*100)+0.5)/100</f>
        <v>9943.83</v>
      </c>
      <c r="O176" s="87">
        <f t="shared" si="25"/>
        <v>4601.37</v>
      </c>
      <c r="P176" s="87">
        <f t="shared" si="26"/>
        <v>0</v>
      </c>
      <c r="Q176" s="103">
        <f>Valores!$C$16</f>
        <v>4949.59</v>
      </c>
      <c r="R176" s="103">
        <f>Valores!$D$4</f>
        <v>3421.44</v>
      </c>
      <c r="S176" s="103">
        <f>Valores!$C$26</f>
        <v>3568.39</v>
      </c>
      <c r="T176" s="104">
        <f>Valores!$C$43</f>
        <v>2121.57</v>
      </c>
      <c r="U176" s="87">
        <f>Valores!$C$23</f>
        <v>3159.22</v>
      </c>
      <c r="V176" s="87">
        <f t="shared" si="33"/>
        <v>3159.22</v>
      </c>
      <c r="W176" s="87">
        <v>0</v>
      </c>
      <c r="X176" s="87">
        <v>0</v>
      </c>
      <c r="Y176" s="91">
        <v>0</v>
      </c>
      <c r="Z176" s="87">
        <f>Y176*Valores!$C$2</f>
        <v>0</v>
      </c>
      <c r="AA176" s="87">
        <v>0</v>
      </c>
      <c r="AB176" s="92">
        <f>Valores!$C$29</f>
        <v>184.78</v>
      </c>
      <c r="AC176" s="87">
        <f t="shared" si="29"/>
        <v>0</v>
      </c>
      <c r="AD176" s="87">
        <f>Valores!$C$30</f>
        <v>184.78</v>
      </c>
      <c r="AE176" s="91">
        <v>0</v>
      </c>
      <c r="AF176" s="87">
        <f>INT(((AE176*Valores!$C$2)*100)+0.5)/100</f>
        <v>0</v>
      </c>
      <c r="AG176" s="87">
        <f>Valores!$C$58</f>
        <v>375.86</v>
      </c>
      <c r="AH176" s="87">
        <f>Valores!$C$60</f>
        <v>107.38</v>
      </c>
      <c r="AI176" s="111">
        <f t="shared" si="30"/>
        <v>48069.39</v>
      </c>
      <c r="AJ176" s="103">
        <f>Valores!$C$35</f>
        <v>876.57</v>
      </c>
      <c r="AK176" s="90">
        <f>Valores!$C$9</f>
        <v>0</v>
      </c>
      <c r="AL176" s="90">
        <f>Valores!$C$83</f>
        <v>3000</v>
      </c>
      <c r="AM176" s="74">
        <v>2800</v>
      </c>
      <c r="AN176" s="92">
        <f>Valores!$C$50</f>
        <v>314.98</v>
      </c>
      <c r="AO176" s="94">
        <f t="shared" si="31"/>
        <v>3876.57</v>
      </c>
      <c r="AP176" s="112">
        <f>AI176*-Valores!$C$65</f>
        <v>-6249.0207</v>
      </c>
      <c r="AQ176" s="112">
        <f>AI176*-Valores!$C$66</f>
        <v>-240.34695</v>
      </c>
      <c r="AR176" s="89">
        <f>AI176*-Valores!$C$67</f>
        <v>-2163.12255</v>
      </c>
      <c r="AS176" s="89">
        <f>AI176*-Valores!$C$68</f>
        <v>-1297.87353</v>
      </c>
      <c r="AT176" s="89">
        <f>AI176*-Valores!$C$69</f>
        <v>-144.20817</v>
      </c>
      <c r="AU176" s="93">
        <f t="shared" si="27"/>
        <v>43293.4698</v>
      </c>
      <c r="AV176" s="93">
        <f t="shared" si="28"/>
        <v>44014.510650000004</v>
      </c>
      <c r="AW176" s="89">
        <f>AI176*Valores!$C$71</f>
        <v>7691.1024</v>
      </c>
      <c r="AX176" s="89">
        <f>AI176*Valores!$C$72</f>
        <v>2163.12255</v>
      </c>
      <c r="AY176" s="89">
        <f>AI176*Valores!$C$73</f>
        <v>480.6939</v>
      </c>
      <c r="AZ176" s="89">
        <f>AI176*Valores!$C$75</f>
        <v>1682.42865</v>
      </c>
      <c r="BA176" s="89">
        <f>AI176*Valores!$C$76</f>
        <v>288.41634</v>
      </c>
      <c r="BB176" s="89">
        <f t="shared" si="32"/>
        <v>2595.74706</v>
      </c>
      <c r="BC176" s="81"/>
      <c r="BD176" s="81">
        <v>45</v>
      </c>
      <c r="BE176" s="82" t="s">
        <v>4</v>
      </c>
    </row>
    <row r="177" spans="1:57" s="24" customFormat="1" ht="11.25" customHeight="1">
      <c r="A177" s="47">
        <v>176</v>
      </c>
      <c r="B177" s="47"/>
      <c r="C177" s="24" t="s">
        <v>489</v>
      </c>
      <c r="E177" s="24">
        <f t="shared" si="24"/>
        <v>27</v>
      </c>
      <c r="F177" s="67" t="s">
        <v>490</v>
      </c>
      <c r="G177" s="68">
        <v>160</v>
      </c>
      <c r="H177" s="69">
        <f>INT((G177*Valores!$C$2*100)+0.5)/100</f>
        <v>1223.86</v>
      </c>
      <c r="I177" s="108">
        <f>1484</f>
        <v>1484</v>
      </c>
      <c r="J177" s="71">
        <f>INT((I177*Valores!$C$2*100)+0.5)/100</f>
        <v>11351.26</v>
      </c>
      <c r="K177" s="98">
        <v>0</v>
      </c>
      <c r="L177" s="71">
        <f>INT((K177*Valores!$C$2*100)+0.5)/100</f>
        <v>0</v>
      </c>
      <c r="M177" s="96">
        <v>1300</v>
      </c>
      <c r="N177" s="71">
        <f>INT((M177*Valores!$C$2*100)+0.5)/100</f>
        <v>9943.83</v>
      </c>
      <c r="O177" s="71">
        <f t="shared" si="25"/>
        <v>4169.961</v>
      </c>
      <c r="P177" s="71">
        <f t="shared" si="26"/>
        <v>0</v>
      </c>
      <c r="Q177" s="97">
        <f>Valores!$C$16</f>
        <v>4949.59</v>
      </c>
      <c r="R177" s="97">
        <f>Valores!$D$4</f>
        <v>3421.44</v>
      </c>
      <c r="S177" s="97">
        <f>Valores!$C$26</f>
        <v>3568.39</v>
      </c>
      <c r="T177" s="102">
        <f>Valores!$C$43</f>
        <v>2121.57</v>
      </c>
      <c r="U177" s="71">
        <f>Valores!$C$23</f>
        <v>3159.22</v>
      </c>
      <c r="V177" s="71">
        <f t="shared" si="33"/>
        <v>3159.22</v>
      </c>
      <c r="W177" s="71">
        <v>0</v>
      </c>
      <c r="X177" s="71">
        <v>0</v>
      </c>
      <c r="Y177" s="75">
        <v>0</v>
      </c>
      <c r="Z177" s="71">
        <f>Y177*Valores!$C$2</f>
        <v>0</v>
      </c>
      <c r="AA177" s="71">
        <v>0</v>
      </c>
      <c r="AB177" s="76">
        <f>Valores!$C$29</f>
        <v>184.78</v>
      </c>
      <c r="AC177" s="71">
        <f t="shared" si="29"/>
        <v>0</v>
      </c>
      <c r="AD177" s="71">
        <f>Valores!$C$30</f>
        <v>184.78</v>
      </c>
      <c r="AE177" s="75">
        <v>0</v>
      </c>
      <c r="AF177" s="71">
        <f>INT(((AE177*Valores!$C$2)*100)+0.5)/100</f>
        <v>0</v>
      </c>
      <c r="AG177" s="71">
        <f>Valores!$C$58</f>
        <v>375.86</v>
      </c>
      <c r="AH177" s="71">
        <f>Valores!$C$60</f>
        <v>107.38</v>
      </c>
      <c r="AI177" s="110">
        <f t="shared" si="30"/>
        <v>44761.920999999995</v>
      </c>
      <c r="AJ177" s="97">
        <f>Valores!$C$35</f>
        <v>876.57</v>
      </c>
      <c r="AK177" s="74">
        <f>Valores!$C$9</f>
        <v>0</v>
      </c>
      <c r="AL177" s="74">
        <f>Valores!$C$83</f>
        <v>3000</v>
      </c>
      <c r="AM177" s="74">
        <v>2800</v>
      </c>
      <c r="AN177" s="76">
        <f>Valores!$C$50</f>
        <v>314.98</v>
      </c>
      <c r="AO177" s="78">
        <f t="shared" si="31"/>
        <v>3876.57</v>
      </c>
      <c r="AP177" s="57">
        <f>AI177*-Valores!$C$65</f>
        <v>-5819.04973</v>
      </c>
      <c r="AQ177" s="57">
        <f>AI177*-Valores!$C$66</f>
        <v>-223.80960499999998</v>
      </c>
      <c r="AR177" s="73">
        <f>AI177*-Valores!$C$67</f>
        <v>-2014.2864449999997</v>
      </c>
      <c r="AS177" s="73">
        <f>AI177*-Valores!$C$68</f>
        <v>-1208.5718669999999</v>
      </c>
      <c r="AT177" s="73">
        <f>AI177*-Valores!$C$69</f>
        <v>-134.28576299999997</v>
      </c>
      <c r="AU177" s="77">
        <f t="shared" si="27"/>
        <v>40581.345219999996</v>
      </c>
      <c r="AV177" s="77">
        <f t="shared" si="28"/>
        <v>41252.774034999995</v>
      </c>
      <c r="AW177" s="73">
        <f>AI177*Valores!$C$71</f>
        <v>7161.907359999999</v>
      </c>
      <c r="AX177" s="73">
        <f>AI177*Valores!$C$72</f>
        <v>2014.2864449999997</v>
      </c>
      <c r="AY177" s="73">
        <f>AI177*Valores!$C$73</f>
        <v>447.61920999999995</v>
      </c>
      <c r="AZ177" s="73">
        <f>AI177*Valores!$C$75</f>
        <v>1566.667235</v>
      </c>
      <c r="BA177" s="73">
        <f>AI177*Valores!$C$76</f>
        <v>268.57152599999995</v>
      </c>
      <c r="BB177" s="73">
        <f t="shared" si="32"/>
        <v>2417.1437339999998</v>
      </c>
      <c r="BC177" s="47"/>
      <c r="BD177" s="47">
        <v>45</v>
      </c>
      <c r="BE177" s="24" t="s">
        <v>4</v>
      </c>
    </row>
    <row r="178" spans="1:57" s="24" customFormat="1" ht="11.25" customHeight="1">
      <c r="A178" s="47">
        <v>177</v>
      </c>
      <c r="B178" s="47"/>
      <c r="C178" s="24" t="s">
        <v>491</v>
      </c>
      <c r="E178" s="24">
        <f t="shared" si="24"/>
        <v>29</v>
      </c>
      <c r="F178" s="67" t="s">
        <v>492</v>
      </c>
      <c r="G178" s="68">
        <v>178</v>
      </c>
      <c r="H178" s="69">
        <f>INT((G178*Valores!$C$2*100)+0.5)/100</f>
        <v>1361.54</v>
      </c>
      <c r="I178" s="108">
        <f>1842</f>
        <v>1842</v>
      </c>
      <c r="J178" s="71">
        <f>INT((I178*Valores!$C$2*100)+0.5)/100</f>
        <v>14089.64</v>
      </c>
      <c r="K178" s="98">
        <v>0</v>
      </c>
      <c r="L178" s="71">
        <f>INT((K178*Valores!$C$2*100)+0.5)/100</f>
        <v>0</v>
      </c>
      <c r="M178" s="96">
        <v>1300</v>
      </c>
      <c r="N178" s="71">
        <f>INT((M178*Valores!$C$2*100)+0.5)/100</f>
        <v>9943.83</v>
      </c>
      <c r="O178" s="71">
        <f t="shared" si="25"/>
        <v>4601.37</v>
      </c>
      <c r="P178" s="71">
        <f t="shared" si="26"/>
        <v>0</v>
      </c>
      <c r="Q178" s="97">
        <f>Valores!$C$16</f>
        <v>4949.59</v>
      </c>
      <c r="R178" s="97">
        <f>Valores!$D$4</f>
        <v>3421.44</v>
      </c>
      <c r="S178" s="71">
        <f>Valores!$C$26</f>
        <v>3568.39</v>
      </c>
      <c r="T178" s="74">
        <f>Valores!$C$43</f>
        <v>2121.57</v>
      </c>
      <c r="U178" s="71">
        <f>Valores!$C$23</f>
        <v>3159.22</v>
      </c>
      <c r="V178" s="71">
        <f t="shared" si="33"/>
        <v>3159.22</v>
      </c>
      <c r="W178" s="71">
        <v>0</v>
      </c>
      <c r="X178" s="71">
        <v>0</v>
      </c>
      <c r="Y178" s="75">
        <v>0</v>
      </c>
      <c r="Z178" s="71">
        <f>Y178*Valores!$C$2</f>
        <v>0</v>
      </c>
      <c r="AA178" s="71">
        <v>0</v>
      </c>
      <c r="AB178" s="76">
        <f>Valores!$C$29</f>
        <v>184.78</v>
      </c>
      <c r="AC178" s="71">
        <f t="shared" si="29"/>
        <v>0</v>
      </c>
      <c r="AD178" s="71">
        <f>Valores!$C$30</f>
        <v>184.78</v>
      </c>
      <c r="AE178" s="75">
        <v>0</v>
      </c>
      <c r="AF178" s="71">
        <f>INT(((AE178*Valores!$C$2)*100)+0.5)/100</f>
        <v>0</v>
      </c>
      <c r="AG178" s="71">
        <f>Valores!$C$58</f>
        <v>375.86</v>
      </c>
      <c r="AH178" s="71">
        <f>Valores!$C$60</f>
        <v>107.38</v>
      </c>
      <c r="AI178" s="110">
        <f t="shared" si="30"/>
        <v>48069.39</v>
      </c>
      <c r="AJ178" s="97">
        <f>Valores!$C$35</f>
        <v>876.57</v>
      </c>
      <c r="AK178" s="74">
        <f>Valores!$C$9</f>
        <v>0</v>
      </c>
      <c r="AL178" s="74">
        <f>Valores!$C$83</f>
        <v>3000</v>
      </c>
      <c r="AM178" s="74">
        <v>2800</v>
      </c>
      <c r="AN178" s="76">
        <f>Valores!$C$50</f>
        <v>314.98</v>
      </c>
      <c r="AO178" s="78">
        <f t="shared" si="31"/>
        <v>3876.57</v>
      </c>
      <c r="AP178" s="57">
        <f>AI178*-Valores!$C$65</f>
        <v>-6249.0207</v>
      </c>
      <c r="AQ178" s="57">
        <f>AI178*-Valores!$C$66</f>
        <v>-240.34695</v>
      </c>
      <c r="AR178" s="73">
        <f>AI178*-Valores!$C$67</f>
        <v>-2163.12255</v>
      </c>
      <c r="AS178" s="73">
        <f>AI178*-Valores!$C$68</f>
        <v>-1297.87353</v>
      </c>
      <c r="AT178" s="73">
        <f>AI178*-Valores!$C$69</f>
        <v>-144.20817</v>
      </c>
      <c r="AU178" s="77">
        <f t="shared" si="27"/>
        <v>43293.4698</v>
      </c>
      <c r="AV178" s="77">
        <f t="shared" si="28"/>
        <v>44014.510650000004</v>
      </c>
      <c r="AW178" s="73">
        <f>AI178*Valores!$C$71</f>
        <v>7691.1024</v>
      </c>
      <c r="AX178" s="73">
        <f>AI178*Valores!$C$72</f>
        <v>2163.12255</v>
      </c>
      <c r="AY178" s="73">
        <f>AI178*Valores!$C$73</f>
        <v>480.6939</v>
      </c>
      <c r="AZ178" s="73">
        <f>AI178*Valores!$C$75</f>
        <v>1682.42865</v>
      </c>
      <c r="BA178" s="73">
        <f>AI178*Valores!$C$76</f>
        <v>288.41634</v>
      </c>
      <c r="BB178" s="73">
        <f t="shared" si="32"/>
        <v>2595.74706</v>
      </c>
      <c r="BC178" s="47"/>
      <c r="BD178" s="47">
        <v>45</v>
      </c>
      <c r="BE178" s="24" t="s">
        <v>4</v>
      </c>
    </row>
    <row r="179" spans="1:57" s="24" customFormat="1" ht="11.25" customHeight="1">
      <c r="A179" s="47">
        <v>178</v>
      </c>
      <c r="B179" s="47"/>
      <c r="C179" s="24" t="s">
        <v>493</v>
      </c>
      <c r="E179" s="24">
        <f t="shared" si="24"/>
        <v>28</v>
      </c>
      <c r="F179" s="67" t="s">
        <v>494</v>
      </c>
      <c r="G179" s="68">
        <v>1278</v>
      </c>
      <c r="H179" s="69">
        <f>INT((G179*Valores!$C$2*100)+0.5)/100</f>
        <v>9775.55</v>
      </c>
      <c r="I179" s="108">
        <v>0</v>
      </c>
      <c r="J179" s="71">
        <f>INT((I179*Valores!$C$2*100)+0.5)/100</f>
        <v>0</v>
      </c>
      <c r="K179" s="98">
        <v>0</v>
      </c>
      <c r="L179" s="71">
        <f>INT((K179*Valores!$C$2*100)+0.5)/100</f>
        <v>0</v>
      </c>
      <c r="M179" s="96">
        <v>1200</v>
      </c>
      <c r="N179" s="71">
        <f>INT((M179*Valores!$C$2*100)+0.5)/100</f>
        <v>9178.92</v>
      </c>
      <c r="O179" s="71">
        <f t="shared" si="25"/>
        <v>3635.289</v>
      </c>
      <c r="P179" s="71">
        <f t="shared" si="26"/>
        <v>0</v>
      </c>
      <c r="Q179" s="97">
        <f>Valores!$C$20</f>
        <v>4706.17</v>
      </c>
      <c r="R179" s="97">
        <f>Valores!$D$4</f>
        <v>3421.44</v>
      </c>
      <c r="S179" s="97">
        <f>Valores!$C$26</f>
        <v>3568.39</v>
      </c>
      <c r="T179" s="102">
        <f>Valores!$C$43</f>
        <v>2121.57</v>
      </c>
      <c r="U179" s="71">
        <f>Valores!$C$23</f>
        <v>3159.22</v>
      </c>
      <c r="V179" s="71">
        <f t="shared" si="33"/>
        <v>3159.22</v>
      </c>
      <c r="W179" s="71">
        <v>0</v>
      </c>
      <c r="X179" s="71">
        <v>0</v>
      </c>
      <c r="Y179" s="75">
        <v>0</v>
      </c>
      <c r="Z179" s="71">
        <f>Y179*Valores!$C$2</f>
        <v>0</v>
      </c>
      <c r="AA179" s="71">
        <v>0</v>
      </c>
      <c r="AB179" s="76">
        <f>Valores!$C$29</f>
        <v>184.78</v>
      </c>
      <c r="AC179" s="71">
        <f t="shared" si="29"/>
        <v>0</v>
      </c>
      <c r="AD179" s="71">
        <f>Valores!$C$30</f>
        <v>184.78</v>
      </c>
      <c r="AE179" s="75">
        <v>0</v>
      </c>
      <c r="AF179" s="71">
        <f>INT(((AE179*Valores!$C$2)*100)+0.5)/100</f>
        <v>0</v>
      </c>
      <c r="AG179" s="71">
        <f>Valores!$C$58</f>
        <v>375.86</v>
      </c>
      <c r="AH179" s="71">
        <f>Valores!$C$60</f>
        <v>107.38</v>
      </c>
      <c r="AI179" s="110">
        <f t="shared" si="30"/>
        <v>40419.349</v>
      </c>
      <c r="AJ179" s="97">
        <f>Valores!$C$35</f>
        <v>876.57</v>
      </c>
      <c r="AK179" s="74">
        <f>Valores!$C$9</f>
        <v>0</v>
      </c>
      <c r="AL179" s="74">
        <f>Valores!$C$83</f>
        <v>3000</v>
      </c>
      <c r="AM179" s="74">
        <v>2800</v>
      </c>
      <c r="AN179" s="76">
        <f>Valores!$C$50</f>
        <v>314.98</v>
      </c>
      <c r="AO179" s="78">
        <f t="shared" si="31"/>
        <v>3876.57</v>
      </c>
      <c r="AP179" s="57">
        <f>AI179*-Valores!$C$65</f>
        <v>-5254.51537</v>
      </c>
      <c r="AQ179" s="57">
        <f>AI179*-Valores!$C$66</f>
        <v>-202.09674500000003</v>
      </c>
      <c r="AR179" s="73">
        <f>AI179*-Valores!$C$67</f>
        <v>-1818.870705</v>
      </c>
      <c r="AS179" s="73">
        <f>AI179*-Valores!$C$68</f>
        <v>-1091.322423</v>
      </c>
      <c r="AT179" s="73">
        <f>AI179*-Valores!$C$69</f>
        <v>-121.258047</v>
      </c>
      <c r="AU179" s="77">
        <f t="shared" si="27"/>
        <v>37020.43618</v>
      </c>
      <c r="AV179" s="77">
        <f t="shared" si="28"/>
        <v>37626.726415</v>
      </c>
      <c r="AW179" s="73">
        <f>AI179*Valores!$C$71</f>
        <v>6467.095840000001</v>
      </c>
      <c r="AX179" s="73">
        <f>AI179*Valores!$C$72</f>
        <v>1818.870705</v>
      </c>
      <c r="AY179" s="73">
        <f>AI179*Valores!$C$73</f>
        <v>404.19349000000005</v>
      </c>
      <c r="AZ179" s="73">
        <f>AI179*Valores!$C$75</f>
        <v>1414.6772150000002</v>
      </c>
      <c r="BA179" s="73">
        <f>AI179*Valores!$C$76</f>
        <v>242.516094</v>
      </c>
      <c r="BB179" s="73">
        <f t="shared" si="32"/>
        <v>2182.644846</v>
      </c>
      <c r="BC179" s="47"/>
      <c r="BD179" s="81"/>
      <c r="BE179" s="24" t="s">
        <v>4</v>
      </c>
    </row>
    <row r="180" spans="1:57" s="24" customFormat="1" ht="11.25" customHeight="1">
      <c r="A180" s="47">
        <v>179</v>
      </c>
      <c r="B180" s="47"/>
      <c r="C180" s="24" t="s">
        <v>495</v>
      </c>
      <c r="E180" s="24">
        <f t="shared" si="24"/>
        <v>29</v>
      </c>
      <c r="F180" s="67" t="s">
        <v>496</v>
      </c>
      <c r="G180" s="68">
        <v>971</v>
      </c>
      <c r="H180" s="69">
        <f>INT((G180*Valores!$C$2*100)+0.5)/100</f>
        <v>7427.28</v>
      </c>
      <c r="I180" s="108">
        <v>0</v>
      </c>
      <c r="J180" s="71">
        <f>INT((I180*Valores!$C$2*100)+0.5)/100</f>
        <v>0</v>
      </c>
      <c r="K180" s="98">
        <v>0</v>
      </c>
      <c r="L180" s="71">
        <f>INT((K180*Valores!$C$2*100)+0.5)/100</f>
        <v>0</v>
      </c>
      <c r="M180" s="96">
        <v>660</v>
      </c>
      <c r="N180" s="71">
        <f>INT((M180*Valores!$C$2*100)+0.5)/100</f>
        <v>5048.41</v>
      </c>
      <c r="O180" s="71">
        <f t="shared" si="25"/>
        <v>2663.4719999999998</v>
      </c>
      <c r="P180" s="71">
        <f t="shared" si="26"/>
        <v>0</v>
      </c>
      <c r="Q180" s="97">
        <f>Valores!$C$20</f>
        <v>4706.17</v>
      </c>
      <c r="R180" s="97">
        <f>Valores!$D$4</f>
        <v>3421.44</v>
      </c>
      <c r="S180" s="97">
        <f>Valores!$C$26</f>
        <v>3568.39</v>
      </c>
      <c r="T180" s="102">
        <f>Valores!$C$43</f>
        <v>2121.57</v>
      </c>
      <c r="U180" s="71">
        <f>Valores!$C$23</f>
        <v>3159.22</v>
      </c>
      <c r="V180" s="71">
        <f t="shared" si="33"/>
        <v>3159.22</v>
      </c>
      <c r="W180" s="71">
        <v>0</v>
      </c>
      <c r="X180" s="71">
        <v>0</v>
      </c>
      <c r="Y180" s="75">
        <v>0</v>
      </c>
      <c r="Z180" s="71">
        <f>Y180*Valores!$C$2</f>
        <v>0</v>
      </c>
      <c r="AA180" s="71">
        <v>0</v>
      </c>
      <c r="AB180" s="76">
        <f>Valores!$C$29</f>
        <v>184.78</v>
      </c>
      <c r="AC180" s="71">
        <f t="shared" si="29"/>
        <v>0</v>
      </c>
      <c r="AD180" s="71">
        <f>Valores!$C$30</f>
        <v>184.78</v>
      </c>
      <c r="AE180" s="75">
        <v>0</v>
      </c>
      <c r="AF180" s="71">
        <f>INT(((AE180*Valores!$C$2)*100)+0.5)/100</f>
        <v>0</v>
      </c>
      <c r="AG180" s="71">
        <f>Valores!$C$58</f>
        <v>375.86</v>
      </c>
      <c r="AH180" s="71">
        <f>Valores!$C$60</f>
        <v>107.38</v>
      </c>
      <c r="AI180" s="110">
        <f t="shared" si="30"/>
        <v>32968.75199999999</v>
      </c>
      <c r="AJ180" s="97">
        <f>Valores!$C$35</f>
        <v>876.57</v>
      </c>
      <c r="AK180" s="74">
        <f>Valores!$C$9</f>
        <v>0</v>
      </c>
      <c r="AL180" s="74">
        <f>Valores!$C$83</f>
        <v>3000</v>
      </c>
      <c r="AM180" s="74">
        <v>2800</v>
      </c>
      <c r="AN180" s="76">
        <f>Valores!$C$50</f>
        <v>314.98</v>
      </c>
      <c r="AO180" s="78">
        <f t="shared" si="31"/>
        <v>3876.57</v>
      </c>
      <c r="AP180" s="57">
        <f>AI180*-Valores!$C$65</f>
        <v>-4285.937759999999</v>
      </c>
      <c r="AQ180" s="57">
        <f>AI180*-Valores!$C$66</f>
        <v>-164.84375999999997</v>
      </c>
      <c r="AR180" s="73">
        <f>AI180*-Valores!$C$67</f>
        <v>-1483.5938399999995</v>
      </c>
      <c r="AS180" s="73">
        <f>AI180*-Valores!$C$68</f>
        <v>-890.1563039999997</v>
      </c>
      <c r="AT180" s="73">
        <f>AI180*-Valores!$C$69</f>
        <v>-98.90625599999998</v>
      </c>
      <c r="AU180" s="77">
        <f t="shared" si="27"/>
        <v>30910.946639999987</v>
      </c>
      <c r="AV180" s="77">
        <f t="shared" si="28"/>
        <v>31405.477919999994</v>
      </c>
      <c r="AW180" s="73">
        <f>AI180*Valores!$C$71</f>
        <v>5275.000319999999</v>
      </c>
      <c r="AX180" s="73">
        <f>AI180*Valores!$C$72</f>
        <v>1483.5938399999995</v>
      </c>
      <c r="AY180" s="73">
        <f>AI180*Valores!$C$73</f>
        <v>329.68751999999995</v>
      </c>
      <c r="AZ180" s="73">
        <f>AI180*Valores!$C$75</f>
        <v>1153.9063199999998</v>
      </c>
      <c r="BA180" s="73">
        <f>AI180*Valores!$C$76</f>
        <v>197.81251199999997</v>
      </c>
      <c r="BB180" s="73">
        <f t="shared" si="32"/>
        <v>1780.312608</v>
      </c>
      <c r="BC180" s="47"/>
      <c r="BD180" s="47">
        <v>18</v>
      </c>
      <c r="BE180" s="24" t="s">
        <v>4</v>
      </c>
    </row>
    <row r="181" spans="1:57" s="24" customFormat="1" ht="11.25" customHeight="1">
      <c r="A181" s="81">
        <v>180</v>
      </c>
      <c r="B181" s="81" t="s">
        <v>163</v>
      </c>
      <c r="C181" s="82" t="s">
        <v>497</v>
      </c>
      <c r="D181" s="82"/>
      <c r="E181" s="82">
        <f t="shared" si="24"/>
        <v>22</v>
      </c>
      <c r="F181" s="83" t="s">
        <v>498</v>
      </c>
      <c r="G181" s="84">
        <v>213</v>
      </c>
      <c r="H181" s="85">
        <f>INT((G181*Valores!$C$2*100)+0.5)/100</f>
        <v>1629.26</v>
      </c>
      <c r="I181" s="99">
        <f>1835</f>
        <v>1835</v>
      </c>
      <c r="J181" s="87">
        <f>INT((I181*Valores!$C$2*100)+0.5)/100</f>
        <v>14036.1</v>
      </c>
      <c r="K181" s="100">
        <v>0</v>
      </c>
      <c r="L181" s="87">
        <f>INT((K181*Valores!$C$2*100)+0.5)/100</f>
        <v>0</v>
      </c>
      <c r="M181" s="101">
        <v>1300</v>
      </c>
      <c r="N181" s="87">
        <f>INT((M181*Valores!$C$2*100)+0.5)/100</f>
        <v>9943.83</v>
      </c>
      <c r="O181" s="87">
        <f t="shared" si="25"/>
        <v>4633.497</v>
      </c>
      <c r="P181" s="87">
        <f t="shared" si="26"/>
        <v>0</v>
      </c>
      <c r="Q181" s="103">
        <f>Valores!$C$16</f>
        <v>4949.59</v>
      </c>
      <c r="R181" s="103">
        <f>Valores!$D$4</f>
        <v>3421.44</v>
      </c>
      <c r="S181" s="103">
        <f>Valores!$C$26</f>
        <v>3568.39</v>
      </c>
      <c r="T181" s="104">
        <f>Valores!$C$43</f>
        <v>2121.57</v>
      </c>
      <c r="U181" s="87">
        <f>Valores!$C$23</f>
        <v>3159.22</v>
      </c>
      <c r="V181" s="87">
        <f t="shared" si="33"/>
        <v>3159.22</v>
      </c>
      <c r="W181" s="87">
        <v>0</v>
      </c>
      <c r="X181" s="87">
        <v>0</v>
      </c>
      <c r="Y181" s="91">
        <v>0</v>
      </c>
      <c r="Z181" s="87">
        <f>Y181*Valores!$C$2</f>
        <v>0</v>
      </c>
      <c r="AA181" s="87">
        <v>0</v>
      </c>
      <c r="AB181" s="92">
        <f>Valores!$C$29</f>
        <v>184.78</v>
      </c>
      <c r="AC181" s="87">
        <f t="shared" si="29"/>
        <v>0</v>
      </c>
      <c r="AD181" s="87">
        <f>Valores!$C$30</f>
        <v>184.78</v>
      </c>
      <c r="AE181" s="91">
        <v>0</v>
      </c>
      <c r="AF181" s="87">
        <f>INT(((AE181*Valores!$C$2)*100)+0.5)/100</f>
        <v>0</v>
      </c>
      <c r="AG181" s="87">
        <f>Valores!$C$58</f>
        <v>375.86</v>
      </c>
      <c r="AH181" s="87">
        <f>Valores!$C$60</f>
        <v>107.38</v>
      </c>
      <c r="AI181" s="111">
        <f t="shared" si="30"/>
        <v>48315.697</v>
      </c>
      <c r="AJ181" s="103">
        <f>Valores!$C$35</f>
        <v>876.57</v>
      </c>
      <c r="AK181" s="90">
        <f>Valores!$C$9</f>
        <v>0</v>
      </c>
      <c r="AL181" s="90">
        <f>Valores!$C$83</f>
        <v>3000</v>
      </c>
      <c r="AM181" s="74">
        <v>2800</v>
      </c>
      <c r="AN181" s="92">
        <f>Valores!$C$50</f>
        <v>314.98</v>
      </c>
      <c r="AO181" s="94">
        <f t="shared" si="31"/>
        <v>3876.57</v>
      </c>
      <c r="AP181" s="112">
        <f>AI181*-Valores!$C$65</f>
        <v>-6281.04061</v>
      </c>
      <c r="AQ181" s="112">
        <f>AI181*-Valores!$C$66</f>
        <v>-241.578485</v>
      </c>
      <c r="AR181" s="89">
        <f>AI181*-Valores!$C$67</f>
        <v>-2174.206365</v>
      </c>
      <c r="AS181" s="89">
        <f>AI181*-Valores!$C$68</f>
        <v>-1304.523819</v>
      </c>
      <c r="AT181" s="89">
        <f>AI181*-Valores!$C$69</f>
        <v>-144.947091</v>
      </c>
      <c r="AU181" s="93">
        <f t="shared" si="27"/>
        <v>43495.44154</v>
      </c>
      <c r="AV181" s="93">
        <f t="shared" si="28"/>
        <v>44220.176994999994</v>
      </c>
      <c r="AW181" s="89">
        <f>AI181*Valores!$C$71</f>
        <v>7730.51152</v>
      </c>
      <c r="AX181" s="89">
        <f>AI181*Valores!$C$72</f>
        <v>2174.206365</v>
      </c>
      <c r="AY181" s="89">
        <f>AI181*Valores!$C$73</f>
        <v>483.15697</v>
      </c>
      <c r="AZ181" s="89">
        <f>AI181*Valores!$C$75</f>
        <v>1691.0493950000002</v>
      </c>
      <c r="BA181" s="89">
        <f>AI181*Valores!$C$76</f>
        <v>289.894182</v>
      </c>
      <c r="BB181" s="89">
        <f t="shared" si="32"/>
        <v>2609.047638</v>
      </c>
      <c r="BC181" s="81"/>
      <c r="BD181" s="81">
        <v>45</v>
      </c>
      <c r="BE181" s="82" t="s">
        <v>4</v>
      </c>
    </row>
    <row r="182" spans="1:57" s="24" customFormat="1" ht="11.25" customHeight="1">
      <c r="A182" s="47">
        <v>181</v>
      </c>
      <c r="B182" s="47"/>
      <c r="C182" s="24" t="s">
        <v>499</v>
      </c>
      <c r="E182" s="24">
        <f t="shared" si="24"/>
        <v>26</v>
      </c>
      <c r="F182" s="67" t="s">
        <v>500</v>
      </c>
      <c r="G182" s="68">
        <v>185</v>
      </c>
      <c r="H182" s="69">
        <f>INT((G182*Valores!$C$2*100)+0.5)/100</f>
        <v>1415.08</v>
      </c>
      <c r="I182" s="108">
        <f>1835</f>
        <v>1835</v>
      </c>
      <c r="J182" s="71">
        <f>INT((I182*Valores!$C$2*100)+0.5)/100</f>
        <v>14036.1</v>
      </c>
      <c r="K182" s="98">
        <v>0</v>
      </c>
      <c r="L182" s="71">
        <f>INT((K182*Valores!$C$2*100)+0.5)/100</f>
        <v>0</v>
      </c>
      <c r="M182" s="96">
        <v>1300</v>
      </c>
      <c r="N182" s="71">
        <f>INT((M182*Valores!$C$2*100)+0.5)/100</f>
        <v>9943.83</v>
      </c>
      <c r="O182" s="71">
        <f t="shared" si="25"/>
        <v>4601.37</v>
      </c>
      <c r="P182" s="71">
        <f t="shared" si="26"/>
        <v>0</v>
      </c>
      <c r="Q182" s="97">
        <f>Valores!$C$16</f>
        <v>4949.59</v>
      </c>
      <c r="R182" s="97">
        <f>Valores!$D$4</f>
        <v>3421.44</v>
      </c>
      <c r="S182" s="97">
        <f>Valores!$C$26</f>
        <v>3568.39</v>
      </c>
      <c r="T182" s="102">
        <f>Valores!$C$43</f>
        <v>2121.57</v>
      </c>
      <c r="U182" s="71">
        <f>Valores!$C$23</f>
        <v>3159.22</v>
      </c>
      <c r="V182" s="71">
        <f t="shared" si="33"/>
        <v>3159.22</v>
      </c>
      <c r="W182" s="71">
        <v>0</v>
      </c>
      <c r="X182" s="71">
        <v>0</v>
      </c>
      <c r="Y182" s="75">
        <v>0</v>
      </c>
      <c r="Z182" s="71">
        <f>Y182*Valores!$C$2</f>
        <v>0</v>
      </c>
      <c r="AA182" s="71">
        <v>0</v>
      </c>
      <c r="AB182" s="76">
        <f>Valores!$C$29</f>
        <v>184.78</v>
      </c>
      <c r="AC182" s="71">
        <f t="shared" si="29"/>
        <v>0</v>
      </c>
      <c r="AD182" s="71">
        <f>Valores!$C$30</f>
        <v>184.78</v>
      </c>
      <c r="AE182" s="75">
        <v>0</v>
      </c>
      <c r="AF182" s="71">
        <f>INT(((AE182*Valores!$C$2)*100)+0.5)/100</f>
        <v>0</v>
      </c>
      <c r="AG182" s="71">
        <f>Valores!$C$58</f>
        <v>375.86</v>
      </c>
      <c r="AH182" s="71">
        <f>Valores!$C$60</f>
        <v>107.38</v>
      </c>
      <c r="AI182" s="110">
        <f t="shared" si="30"/>
        <v>48069.39</v>
      </c>
      <c r="AJ182" s="97">
        <f>Valores!$C$35</f>
        <v>876.57</v>
      </c>
      <c r="AK182" s="74">
        <f>Valores!$C$9</f>
        <v>0</v>
      </c>
      <c r="AL182" s="74">
        <f>Valores!$C$83</f>
        <v>3000</v>
      </c>
      <c r="AM182" s="74">
        <v>2800</v>
      </c>
      <c r="AN182" s="76">
        <f>Valores!$C$50</f>
        <v>314.98</v>
      </c>
      <c r="AO182" s="78">
        <f t="shared" si="31"/>
        <v>3876.57</v>
      </c>
      <c r="AP182" s="57">
        <f>AI182*-Valores!$C$65</f>
        <v>-6249.0207</v>
      </c>
      <c r="AQ182" s="57">
        <f>AI182*-Valores!$C$66</f>
        <v>-240.34695</v>
      </c>
      <c r="AR182" s="73">
        <f>AI182*-Valores!$C$67</f>
        <v>-2163.12255</v>
      </c>
      <c r="AS182" s="73">
        <f>AI182*-Valores!$C$68</f>
        <v>-1297.87353</v>
      </c>
      <c r="AT182" s="73">
        <f>AI182*-Valores!$C$69</f>
        <v>-144.20817</v>
      </c>
      <c r="AU182" s="77">
        <f t="shared" si="27"/>
        <v>43293.4698</v>
      </c>
      <c r="AV182" s="77">
        <f t="shared" si="28"/>
        <v>44014.510650000004</v>
      </c>
      <c r="AW182" s="73">
        <f>AI182*Valores!$C$71</f>
        <v>7691.1024</v>
      </c>
      <c r="AX182" s="73">
        <f>AI182*Valores!$C$72</f>
        <v>2163.12255</v>
      </c>
      <c r="AY182" s="73">
        <f>AI182*Valores!$C$73</f>
        <v>480.6939</v>
      </c>
      <c r="AZ182" s="73">
        <f>AI182*Valores!$C$75</f>
        <v>1682.42865</v>
      </c>
      <c r="BA182" s="73">
        <f>AI182*Valores!$C$76</f>
        <v>288.41634</v>
      </c>
      <c r="BB182" s="73">
        <f t="shared" si="32"/>
        <v>2595.74706</v>
      </c>
      <c r="BC182" s="47"/>
      <c r="BD182" s="47">
        <v>45</v>
      </c>
      <c r="BE182" s="24" t="s">
        <v>4</v>
      </c>
    </row>
    <row r="183" spans="1:57" s="24" customFormat="1" ht="11.25" customHeight="1">
      <c r="A183" s="47">
        <v>182</v>
      </c>
      <c r="B183" s="47"/>
      <c r="C183" s="24" t="s">
        <v>501</v>
      </c>
      <c r="E183" s="24">
        <f t="shared" si="24"/>
        <v>26</v>
      </c>
      <c r="F183" s="67" t="s">
        <v>502</v>
      </c>
      <c r="G183" s="68">
        <v>160</v>
      </c>
      <c r="H183" s="69">
        <f>INT((G183*Valores!$C$2*100)+0.5)/100</f>
        <v>1223.86</v>
      </c>
      <c r="I183" s="108">
        <f>1484</f>
        <v>1484</v>
      </c>
      <c r="J183" s="71">
        <f>INT((I183*Valores!$C$2*100)+0.5)/100</f>
        <v>11351.26</v>
      </c>
      <c r="K183" s="98">
        <v>0</v>
      </c>
      <c r="L183" s="71">
        <f>INT((K183*Valores!$C$2*100)+0.5)/100</f>
        <v>0</v>
      </c>
      <c r="M183" s="96">
        <v>1300</v>
      </c>
      <c r="N183" s="71">
        <f>INT((M183*Valores!$C$2*100)+0.5)/100</f>
        <v>9943.83</v>
      </c>
      <c r="O183" s="71">
        <f t="shared" si="25"/>
        <v>4169.961</v>
      </c>
      <c r="P183" s="71">
        <f t="shared" si="26"/>
        <v>0</v>
      </c>
      <c r="Q183" s="97">
        <f>Valores!$C$16</f>
        <v>4949.59</v>
      </c>
      <c r="R183" s="97">
        <f>Valores!$D$4</f>
        <v>3421.44</v>
      </c>
      <c r="S183" s="71">
        <f>Valores!$C$26</f>
        <v>3568.39</v>
      </c>
      <c r="T183" s="74">
        <f>Valores!$C$43</f>
        <v>2121.57</v>
      </c>
      <c r="U183" s="71">
        <f>Valores!$C$23</f>
        <v>3159.22</v>
      </c>
      <c r="V183" s="71">
        <f t="shared" si="33"/>
        <v>3159.22</v>
      </c>
      <c r="W183" s="71">
        <v>0</v>
      </c>
      <c r="X183" s="71">
        <v>0</v>
      </c>
      <c r="Y183" s="75">
        <v>0</v>
      </c>
      <c r="Z183" s="71">
        <f>Y183*Valores!$C$2</f>
        <v>0</v>
      </c>
      <c r="AA183" s="71">
        <v>0</v>
      </c>
      <c r="AB183" s="76">
        <f>Valores!$C$29</f>
        <v>184.78</v>
      </c>
      <c r="AC183" s="71">
        <f t="shared" si="29"/>
        <v>0</v>
      </c>
      <c r="AD183" s="71">
        <f>Valores!$C$30</f>
        <v>184.78</v>
      </c>
      <c r="AE183" s="75">
        <v>0</v>
      </c>
      <c r="AF183" s="71">
        <f>INT(((AE183*Valores!$C$2)*100)+0.5)/100</f>
        <v>0</v>
      </c>
      <c r="AG183" s="71">
        <f>Valores!$C$58</f>
        <v>375.86</v>
      </c>
      <c r="AH183" s="71">
        <f>Valores!$C$60</f>
        <v>107.38</v>
      </c>
      <c r="AI183" s="110">
        <f t="shared" si="30"/>
        <v>44761.920999999995</v>
      </c>
      <c r="AJ183" s="97">
        <f>Valores!$C$35</f>
        <v>876.57</v>
      </c>
      <c r="AK183" s="74">
        <f>Valores!$C$9</f>
        <v>0</v>
      </c>
      <c r="AL183" s="74">
        <f>Valores!$C$83</f>
        <v>3000</v>
      </c>
      <c r="AM183" s="74">
        <v>2800</v>
      </c>
      <c r="AN183" s="76">
        <f>Valores!$C$50</f>
        <v>314.98</v>
      </c>
      <c r="AO183" s="78">
        <f t="shared" si="31"/>
        <v>3876.57</v>
      </c>
      <c r="AP183" s="57">
        <f>AI183*-Valores!$C$65</f>
        <v>-5819.04973</v>
      </c>
      <c r="AQ183" s="57">
        <f>AI183*-Valores!$C$66</f>
        <v>-223.80960499999998</v>
      </c>
      <c r="AR183" s="73">
        <f>AI183*-Valores!$C$67</f>
        <v>-2014.2864449999997</v>
      </c>
      <c r="AS183" s="73">
        <f>AI183*-Valores!$C$68</f>
        <v>-1208.5718669999999</v>
      </c>
      <c r="AT183" s="73">
        <f>AI183*-Valores!$C$69</f>
        <v>-134.28576299999997</v>
      </c>
      <c r="AU183" s="77">
        <f t="shared" si="27"/>
        <v>40581.345219999996</v>
      </c>
      <c r="AV183" s="77">
        <f t="shared" si="28"/>
        <v>41252.774034999995</v>
      </c>
      <c r="AW183" s="73">
        <f>AI183*Valores!$C$71</f>
        <v>7161.907359999999</v>
      </c>
      <c r="AX183" s="73">
        <f>AI183*Valores!$C$72</f>
        <v>2014.2864449999997</v>
      </c>
      <c r="AY183" s="73">
        <f>AI183*Valores!$C$73</f>
        <v>447.61920999999995</v>
      </c>
      <c r="AZ183" s="73">
        <f>AI183*Valores!$C$75</f>
        <v>1566.667235</v>
      </c>
      <c r="BA183" s="73">
        <f>AI183*Valores!$C$76</f>
        <v>268.57152599999995</v>
      </c>
      <c r="BB183" s="73">
        <f t="shared" si="32"/>
        <v>2417.1437339999998</v>
      </c>
      <c r="BC183" s="47"/>
      <c r="BD183" s="47">
        <v>45</v>
      </c>
      <c r="BE183" s="24" t="s">
        <v>4</v>
      </c>
    </row>
    <row r="184" spans="1:57" s="24" customFormat="1" ht="11.25" customHeight="1">
      <c r="A184" s="47">
        <v>183</v>
      </c>
      <c r="B184" s="47"/>
      <c r="C184" s="24" t="s">
        <v>503</v>
      </c>
      <c r="E184" s="24">
        <f t="shared" si="24"/>
        <v>22</v>
      </c>
      <c r="F184" s="67" t="s">
        <v>504</v>
      </c>
      <c r="G184" s="68">
        <v>1278</v>
      </c>
      <c r="H184" s="69">
        <f>INT((G184*Valores!$C$2*100)+0.5)/100</f>
        <v>9775.55</v>
      </c>
      <c r="I184" s="108">
        <v>0</v>
      </c>
      <c r="J184" s="71">
        <f>INT((I184*Valores!$C$2*100)+0.5)/100</f>
        <v>0</v>
      </c>
      <c r="K184" s="98">
        <v>0</v>
      </c>
      <c r="L184" s="71">
        <f>INT((K184*Valores!$C$2*100)+0.5)/100</f>
        <v>0</v>
      </c>
      <c r="M184" s="96">
        <v>1200</v>
      </c>
      <c r="N184" s="71">
        <f>INT((M184*Valores!$C$2*100)+0.5)/100</f>
        <v>9178.92</v>
      </c>
      <c r="O184" s="71">
        <f t="shared" si="25"/>
        <v>3635.289</v>
      </c>
      <c r="P184" s="71">
        <f t="shared" si="26"/>
        <v>0</v>
      </c>
      <c r="Q184" s="97">
        <f>Valores!$C$20</f>
        <v>4706.17</v>
      </c>
      <c r="R184" s="97">
        <f>Valores!$D$4</f>
        <v>3421.44</v>
      </c>
      <c r="S184" s="97">
        <f>Valores!$C$26</f>
        <v>3568.39</v>
      </c>
      <c r="T184" s="102">
        <f>Valores!$C$43</f>
        <v>2121.57</v>
      </c>
      <c r="U184" s="71">
        <f>Valores!$C$23</f>
        <v>3159.22</v>
      </c>
      <c r="V184" s="71">
        <f t="shared" si="33"/>
        <v>3159.22</v>
      </c>
      <c r="W184" s="71">
        <v>0</v>
      </c>
      <c r="X184" s="71">
        <v>0</v>
      </c>
      <c r="Y184" s="75">
        <v>0</v>
      </c>
      <c r="Z184" s="71">
        <f>Y184*Valores!$C$2</f>
        <v>0</v>
      </c>
      <c r="AA184" s="71">
        <v>0</v>
      </c>
      <c r="AB184" s="76">
        <f>Valores!$C$29</f>
        <v>184.78</v>
      </c>
      <c r="AC184" s="71">
        <f t="shared" si="29"/>
        <v>0</v>
      </c>
      <c r="AD184" s="71">
        <f>Valores!$C$30</f>
        <v>184.78</v>
      </c>
      <c r="AE184" s="75">
        <v>0</v>
      </c>
      <c r="AF184" s="71">
        <f>INT(((AE184*Valores!$C$2)*100)+0.5)/100</f>
        <v>0</v>
      </c>
      <c r="AG184" s="71">
        <f>Valores!$C$58</f>
        <v>375.86</v>
      </c>
      <c r="AH184" s="71">
        <f>Valores!$C$60</f>
        <v>107.38</v>
      </c>
      <c r="AI184" s="110">
        <f t="shared" si="30"/>
        <v>40419.349</v>
      </c>
      <c r="AJ184" s="97">
        <f>Valores!$C$35</f>
        <v>876.57</v>
      </c>
      <c r="AK184" s="74">
        <f>Valores!$C$9</f>
        <v>0</v>
      </c>
      <c r="AL184" s="74">
        <f>Valores!$C$83</f>
        <v>3000</v>
      </c>
      <c r="AM184" s="74">
        <v>2800</v>
      </c>
      <c r="AN184" s="76">
        <f>Valores!$C$50</f>
        <v>314.98</v>
      </c>
      <c r="AO184" s="78">
        <f t="shared" si="31"/>
        <v>3876.57</v>
      </c>
      <c r="AP184" s="57">
        <f>AI184*-Valores!$C$65</f>
        <v>-5254.51537</v>
      </c>
      <c r="AQ184" s="57">
        <f>AI184*-Valores!$C$66</f>
        <v>-202.09674500000003</v>
      </c>
      <c r="AR184" s="73">
        <f>AI184*-Valores!$C$67</f>
        <v>-1818.870705</v>
      </c>
      <c r="AS184" s="73">
        <f>AI184*-Valores!$C$68</f>
        <v>-1091.322423</v>
      </c>
      <c r="AT184" s="73">
        <f>AI184*-Valores!$C$69</f>
        <v>-121.258047</v>
      </c>
      <c r="AU184" s="77">
        <f t="shared" si="27"/>
        <v>37020.43618</v>
      </c>
      <c r="AV184" s="77">
        <f t="shared" si="28"/>
        <v>37626.726415</v>
      </c>
      <c r="AW184" s="73">
        <f>AI184*Valores!$C$71</f>
        <v>6467.095840000001</v>
      </c>
      <c r="AX184" s="73">
        <f>AI184*Valores!$C$72</f>
        <v>1818.870705</v>
      </c>
      <c r="AY184" s="73">
        <f>AI184*Valores!$C$73</f>
        <v>404.19349000000005</v>
      </c>
      <c r="AZ184" s="73">
        <f>AI184*Valores!$C$75</f>
        <v>1414.6772150000002</v>
      </c>
      <c r="BA184" s="73">
        <f>AI184*Valores!$C$76</f>
        <v>242.516094</v>
      </c>
      <c r="BB184" s="73">
        <f t="shared" si="32"/>
        <v>2182.644846</v>
      </c>
      <c r="BC184" s="47"/>
      <c r="BD184" s="81"/>
      <c r="BE184" s="24" t="s">
        <v>4</v>
      </c>
    </row>
    <row r="185" spans="1:57" s="24" customFormat="1" ht="11.25" customHeight="1">
      <c r="A185" s="47">
        <v>184</v>
      </c>
      <c r="B185" s="47"/>
      <c r="C185" s="24" t="s">
        <v>505</v>
      </c>
      <c r="E185" s="24">
        <f t="shared" si="24"/>
        <v>28</v>
      </c>
      <c r="F185" s="67" t="s">
        <v>506</v>
      </c>
      <c r="G185" s="68">
        <v>971</v>
      </c>
      <c r="H185" s="69">
        <f>INT((G185*Valores!$C$2*100)+0.5)/100</f>
        <v>7427.28</v>
      </c>
      <c r="I185" s="108">
        <v>0</v>
      </c>
      <c r="J185" s="71">
        <f>INT((I185*Valores!$C$2*100)+0.5)/100</f>
        <v>0</v>
      </c>
      <c r="K185" s="98">
        <v>0</v>
      </c>
      <c r="L185" s="71">
        <f>INT((K185*Valores!$C$2*100)+0.5)/100</f>
        <v>0</v>
      </c>
      <c r="M185" s="96">
        <v>660</v>
      </c>
      <c r="N185" s="71">
        <f>INT((M185*Valores!$C$2*100)+0.5)/100</f>
        <v>5048.41</v>
      </c>
      <c r="O185" s="71">
        <f t="shared" si="25"/>
        <v>2663.4719999999998</v>
      </c>
      <c r="P185" s="71">
        <f t="shared" si="26"/>
        <v>0</v>
      </c>
      <c r="Q185" s="97">
        <f>Valores!$C$20</f>
        <v>4706.17</v>
      </c>
      <c r="R185" s="97">
        <f>Valores!$D$4</f>
        <v>3421.44</v>
      </c>
      <c r="S185" s="97">
        <f>Valores!$C$27</f>
        <v>3289.21</v>
      </c>
      <c r="T185" s="102">
        <f>Valores!$C$43</f>
        <v>2121.57</v>
      </c>
      <c r="U185" s="71">
        <f>Valores!$C$23</f>
        <v>3159.22</v>
      </c>
      <c r="V185" s="71">
        <f t="shared" si="33"/>
        <v>3159.22</v>
      </c>
      <c r="W185" s="71">
        <v>0</v>
      </c>
      <c r="X185" s="71">
        <v>0</v>
      </c>
      <c r="Y185" s="75">
        <v>0</v>
      </c>
      <c r="Z185" s="71">
        <f>Y185*Valores!$C$2</f>
        <v>0</v>
      </c>
      <c r="AA185" s="71">
        <v>0</v>
      </c>
      <c r="AB185" s="76">
        <f>Valores!$C$29</f>
        <v>184.78</v>
      </c>
      <c r="AC185" s="71">
        <f t="shared" si="29"/>
        <v>0</v>
      </c>
      <c r="AD185" s="71">
        <f>Valores!$C$30</f>
        <v>184.78</v>
      </c>
      <c r="AE185" s="75">
        <v>0</v>
      </c>
      <c r="AF185" s="71">
        <f>INT(((AE185*Valores!$C$2)*100)+0.5)/100</f>
        <v>0</v>
      </c>
      <c r="AG185" s="71">
        <f>Valores!$C$58</f>
        <v>375.86</v>
      </c>
      <c r="AH185" s="71">
        <f>Valores!$C$60</f>
        <v>107.38</v>
      </c>
      <c r="AI185" s="110">
        <f t="shared" si="30"/>
        <v>32689.571999999996</v>
      </c>
      <c r="AJ185" s="97">
        <f>Valores!$C$35</f>
        <v>876.57</v>
      </c>
      <c r="AK185" s="74">
        <f>Valores!$C$9</f>
        <v>0</v>
      </c>
      <c r="AL185" s="74">
        <f>Valores!$C$83</f>
        <v>3000</v>
      </c>
      <c r="AM185" s="74">
        <v>2800</v>
      </c>
      <c r="AN185" s="76">
        <f>Valores!$C$52</f>
        <v>314.98</v>
      </c>
      <c r="AO185" s="78">
        <f t="shared" si="31"/>
        <v>3876.57</v>
      </c>
      <c r="AP185" s="57">
        <f>AI185*-Valores!$C$65</f>
        <v>-4249.644359999999</v>
      </c>
      <c r="AQ185" s="57">
        <f>AI185*-Valores!$C$66</f>
        <v>-163.44786</v>
      </c>
      <c r="AR185" s="73">
        <f>AI185*-Valores!$C$67</f>
        <v>-1471.0307399999997</v>
      </c>
      <c r="AS185" s="73">
        <f>AI185*-Valores!$C$68</f>
        <v>-882.6184439999998</v>
      </c>
      <c r="AT185" s="73">
        <f>AI185*-Valores!$C$69</f>
        <v>-98.068716</v>
      </c>
      <c r="AU185" s="77">
        <f t="shared" si="27"/>
        <v>30682.01904</v>
      </c>
      <c r="AV185" s="77">
        <f t="shared" si="28"/>
        <v>31172.36262</v>
      </c>
      <c r="AW185" s="73">
        <f>AI185*Valores!$C$71</f>
        <v>5230.33152</v>
      </c>
      <c r="AX185" s="73">
        <f>AI185*Valores!$C$72</f>
        <v>1471.0307399999997</v>
      </c>
      <c r="AY185" s="73">
        <f>AI185*Valores!$C$73</f>
        <v>326.89572</v>
      </c>
      <c r="AZ185" s="73">
        <f>AI185*Valores!$C$75</f>
        <v>1144.13502</v>
      </c>
      <c r="BA185" s="73">
        <f>AI185*Valores!$C$76</f>
        <v>196.137432</v>
      </c>
      <c r="BB185" s="73">
        <f t="shared" si="32"/>
        <v>1765.2368880000001</v>
      </c>
      <c r="BC185" s="47"/>
      <c r="BD185" s="47">
        <v>18</v>
      </c>
      <c r="BE185" s="24" t="s">
        <v>4</v>
      </c>
    </row>
    <row r="186" spans="1:57" s="24" customFormat="1" ht="11.25" customHeight="1">
      <c r="A186" s="81">
        <v>185</v>
      </c>
      <c r="B186" s="81" t="s">
        <v>163</v>
      </c>
      <c r="C186" s="82" t="s">
        <v>507</v>
      </c>
      <c r="D186" s="82"/>
      <c r="E186" s="82">
        <f t="shared" si="24"/>
        <v>23</v>
      </c>
      <c r="F186" s="83" t="s">
        <v>508</v>
      </c>
      <c r="G186" s="84">
        <v>179</v>
      </c>
      <c r="H186" s="85">
        <f>INT((G186*Valores!$C$2*100)+0.5)/100</f>
        <v>1369.19</v>
      </c>
      <c r="I186" s="99">
        <f>1323</f>
        <v>1323</v>
      </c>
      <c r="J186" s="87">
        <f>INT((I186*Valores!$C$2*100)+0.5)/100</f>
        <v>10119.76</v>
      </c>
      <c r="K186" s="100">
        <v>0</v>
      </c>
      <c r="L186" s="87">
        <f>INT((K186*Valores!$C$2*100)+0.5)/100</f>
        <v>0</v>
      </c>
      <c r="M186" s="101">
        <v>1300</v>
      </c>
      <c r="N186" s="87">
        <f>INT((M186*Valores!$C$2*100)+0.5)/100</f>
        <v>9943.83</v>
      </c>
      <c r="O186" s="87">
        <f t="shared" si="25"/>
        <v>4007.0355</v>
      </c>
      <c r="P186" s="87">
        <f t="shared" si="26"/>
        <v>0</v>
      </c>
      <c r="Q186" s="103">
        <f>Valores!$C$16</f>
        <v>4949.59</v>
      </c>
      <c r="R186" s="103">
        <f>Valores!$D$4</f>
        <v>3421.44</v>
      </c>
      <c r="S186" s="103">
        <f>Valores!$C$26</f>
        <v>3568.39</v>
      </c>
      <c r="T186" s="104">
        <f>Valores!$C$43</f>
        <v>2121.57</v>
      </c>
      <c r="U186" s="87">
        <f>Valores!$C$23</f>
        <v>3159.22</v>
      </c>
      <c r="V186" s="87">
        <f t="shared" si="33"/>
        <v>3159.22</v>
      </c>
      <c r="W186" s="87">
        <v>0</v>
      </c>
      <c r="X186" s="87">
        <v>0</v>
      </c>
      <c r="Y186" s="91">
        <v>0</v>
      </c>
      <c r="Z186" s="87">
        <f>Y186*Valores!$C$2</f>
        <v>0</v>
      </c>
      <c r="AA186" s="87">
        <v>0</v>
      </c>
      <c r="AB186" s="92">
        <f>Valores!$C$29</f>
        <v>184.78</v>
      </c>
      <c r="AC186" s="87">
        <f t="shared" si="29"/>
        <v>0</v>
      </c>
      <c r="AD186" s="87">
        <f>Valores!$C$30</f>
        <v>184.78</v>
      </c>
      <c r="AE186" s="91">
        <v>0</v>
      </c>
      <c r="AF186" s="87">
        <f>INT(((AE186*Valores!$C$2)*100)+0.5)/100</f>
        <v>0</v>
      </c>
      <c r="AG186" s="87">
        <f>Valores!$C$58</f>
        <v>375.86</v>
      </c>
      <c r="AH186" s="87">
        <f>Valores!$C$60</f>
        <v>107.38</v>
      </c>
      <c r="AI186" s="111">
        <f t="shared" si="30"/>
        <v>43512.82549999999</v>
      </c>
      <c r="AJ186" s="103">
        <f>Valores!$C$35</f>
        <v>876.57</v>
      </c>
      <c r="AK186" s="90">
        <f>Valores!$C$9</f>
        <v>0</v>
      </c>
      <c r="AL186" s="90">
        <f>Valores!$C$83</f>
        <v>3000</v>
      </c>
      <c r="AM186" s="74">
        <v>2800</v>
      </c>
      <c r="AN186" s="92">
        <v>0</v>
      </c>
      <c r="AO186" s="94">
        <f t="shared" si="31"/>
        <v>3876.57</v>
      </c>
      <c r="AP186" s="112">
        <f>AI186*-Valores!$C$65</f>
        <v>-5656.667314999999</v>
      </c>
      <c r="AQ186" s="112">
        <f>AI186*-Valores!$C$66</f>
        <v>-217.56412749999996</v>
      </c>
      <c r="AR186" s="89">
        <f>AI186*-Valores!$C$67</f>
        <v>-1958.0771474999995</v>
      </c>
      <c r="AS186" s="89">
        <f>AI186*-Valores!$C$68</f>
        <v>-1174.8462884999997</v>
      </c>
      <c r="AT186" s="89">
        <f>AI186*-Valores!$C$69</f>
        <v>-130.53847649999997</v>
      </c>
      <c r="AU186" s="93">
        <f t="shared" si="27"/>
        <v>39557.08690999999</v>
      </c>
      <c r="AV186" s="93">
        <f t="shared" si="28"/>
        <v>40209.779292499996</v>
      </c>
      <c r="AW186" s="89">
        <f>AI186*Valores!$C$71</f>
        <v>6962.052079999999</v>
      </c>
      <c r="AX186" s="89">
        <f>AI186*Valores!$C$72</f>
        <v>1958.0771474999995</v>
      </c>
      <c r="AY186" s="89">
        <f>AI186*Valores!$C$73</f>
        <v>435.1282549999999</v>
      </c>
      <c r="AZ186" s="89">
        <f>AI186*Valores!$C$75</f>
        <v>1522.9488924999998</v>
      </c>
      <c r="BA186" s="89">
        <f>AI186*Valores!$C$76</f>
        <v>261.07695299999995</v>
      </c>
      <c r="BB186" s="89">
        <f t="shared" si="32"/>
        <v>2349.692577</v>
      </c>
      <c r="BC186" s="81"/>
      <c r="BD186" s="81">
        <v>45</v>
      </c>
      <c r="BE186" s="82" t="s">
        <v>4</v>
      </c>
    </row>
    <row r="187" spans="1:57" s="24" customFormat="1" ht="11.25" customHeight="1">
      <c r="A187" s="47">
        <v>186</v>
      </c>
      <c r="B187" s="47"/>
      <c r="C187" s="24" t="s">
        <v>509</v>
      </c>
      <c r="E187" s="24">
        <f t="shared" si="24"/>
        <v>26</v>
      </c>
      <c r="F187" s="67" t="s">
        <v>510</v>
      </c>
      <c r="G187" s="68">
        <v>64</v>
      </c>
      <c r="H187" s="69">
        <f>INT((G187*Valores!$C$2*100)+0.5)/100</f>
        <v>489.54</v>
      </c>
      <c r="I187" s="108">
        <v>1354</v>
      </c>
      <c r="J187" s="71">
        <f>INT((I187*Valores!$C$2*100)+0.5)/100</f>
        <v>10356.88</v>
      </c>
      <c r="K187" s="98">
        <v>0</v>
      </c>
      <c r="L187" s="71">
        <f>INT((K187*Valores!$C$2*100)+0.5)/100</f>
        <v>0</v>
      </c>
      <c r="M187" s="96">
        <v>1200</v>
      </c>
      <c r="N187" s="71">
        <f>INT((M187*Valores!$C$2*100)+0.5)/100</f>
        <v>9178.92</v>
      </c>
      <c r="O187" s="71">
        <f t="shared" si="25"/>
        <v>3789.4709999999995</v>
      </c>
      <c r="P187" s="71">
        <f t="shared" si="26"/>
        <v>0</v>
      </c>
      <c r="Q187" s="97">
        <f>Valores!$C$20</f>
        <v>4706.17</v>
      </c>
      <c r="R187" s="97">
        <f>Valores!$D$4</f>
        <v>3421.44</v>
      </c>
      <c r="S187" s="71">
        <v>0</v>
      </c>
      <c r="T187" s="74">
        <f>Valores!$C$43</f>
        <v>2121.57</v>
      </c>
      <c r="U187" s="97">
        <f>Valores!$C$24</f>
        <v>3116.23</v>
      </c>
      <c r="V187" s="71">
        <f t="shared" si="33"/>
        <v>3116.23</v>
      </c>
      <c r="W187" s="71">
        <v>0</v>
      </c>
      <c r="X187" s="71">
        <v>0</v>
      </c>
      <c r="Y187" s="75">
        <v>0</v>
      </c>
      <c r="Z187" s="71">
        <f>Y187*Valores!$C$2</f>
        <v>0</v>
      </c>
      <c r="AA187" s="71">
        <v>0</v>
      </c>
      <c r="AB187" s="76">
        <f>Valores!$C$29</f>
        <v>184.78</v>
      </c>
      <c r="AC187" s="71">
        <f t="shared" si="29"/>
        <v>0</v>
      </c>
      <c r="AD187" s="71">
        <f>Valores!$C$30</f>
        <v>184.78</v>
      </c>
      <c r="AE187" s="75">
        <v>0</v>
      </c>
      <c r="AF187" s="71">
        <f>INT(((AE187*Valores!$C$2)*100)+0.5)/100</f>
        <v>0</v>
      </c>
      <c r="AG187" s="71">
        <f>Valores!$C$58</f>
        <v>375.86</v>
      </c>
      <c r="AH187" s="71">
        <f>Valores!$C$60</f>
        <v>107.38</v>
      </c>
      <c r="AI187" s="110">
        <f t="shared" si="30"/>
        <v>38033.02099999999</v>
      </c>
      <c r="AJ187" s="97">
        <f>Valores!$C$35</f>
        <v>876.57</v>
      </c>
      <c r="AK187" s="74">
        <f>Valores!$C$9</f>
        <v>0</v>
      </c>
      <c r="AL187" s="74">
        <f>Valores!$C$83</f>
        <v>3000</v>
      </c>
      <c r="AM187" s="74">
        <v>2800</v>
      </c>
      <c r="AN187" s="76">
        <v>0</v>
      </c>
      <c r="AO187" s="78">
        <f t="shared" si="31"/>
        <v>3876.57</v>
      </c>
      <c r="AP187" s="57">
        <f>AI187*-Valores!$C$65</f>
        <v>-4944.292729999999</v>
      </c>
      <c r="AQ187" s="57">
        <f>AI187*-Valores!$C$66</f>
        <v>-190.16510499999998</v>
      </c>
      <c r="AR187" s="73">
        <f>AI187*-Valores!$C$67</f>
        <v>-1711.4859449999997</v>
      </c>
      <c r="AS187" s="73">
        <f>AI187*-Valores!$C$68</f>
        <v>-1026.891567</v>
      </c>
      <c r="AT187" s="73">
        <f>AI187*-Valores!$C$69</f>
        <v>-114.09906299999999</v>
      </c>
      <c r="AU187" s="77">
        <f t="shared" si="27"/>
        <v>35063.64721999999</v>
      </c>
      <c r="AV187" s="77">
        <f t="shared" si="28"/>
        <v>35634.14253499999</v>
      </c>
      <c r="AW187" s="73">
        <f>AI187*Valores!$C$71</f>
        <v>6085.283359999999</v>
      </c>
      <c r="AX187" s="73">
        <f>AI187*Valores!$C$72</f>
        <v>1711.4859449999997</v>
      </c>
      <c r="AY187" s="73">
        <f>AI187*Valores!$C$73</f>
        <v>380.33020999999997</v>
      </c>
      <c r="AZ187" s="73">
        <f>AI187*Valores!$C$75</f>
        <v>1331.1557349999998</v>
      </c>
      <c r="BA187" s="73">
        <f>AI187*Valores!$C$76</f>
        <v>228.19812599999997</v>
      </c>
      <c r="BB187" s="73">
        <f t="shared" si="32"/>
        <v>2053.783134</v>
      </c>
      <c r="BC187" s="47"/>
      <c r="BD187" s="47">
        <v>30</v>
      </c>
      <c r="BE187" s="24" t="s">
        <v>8</v>
      </c>
    </row>
    <row r="188" spans="1:57" s="24" customFormat="1" ht="11.25" customHeight="1">
      <c r="A188" s="47">
        <v>187</v>
      </c>
      <c r="B188" s="47"/>
      <c r="C188" s="24" t="s">
        <v>511</v>
      </c>
      <c r="E188" s="24">
        <f t="shared" si="24"/>
        <v>26</v>
      </c>
      <c r="F188" s="67" t="s">
        <v>512</v>
      </c>
      <c r="G188" s="68">
        <v>55</v>
      </c>
      <c r="H188" s="69">
        <f>INT((G188*Valores!$C$2*100)+0.5)/100</f>
        <v>420.7</v>
      </c>
      <c r="I188" s="108">
        <v>1279</v>
      </c>
      <c r="J188" s="71">
        <f>INT((I188*Valores!$C$2*100)+0.5)/100</f>
        <v>9783.2</v>
      </c>
      <c r="K188" s="98">
        <v>0</v>
      </c>
      <c r="L188" s="71">
        <f>INT((K188*Valores!$C$2*100)+0.5)/100</f>
        <v>0</v>
      </c>
      <c r="M188" s="96">
        <v>1200</v>
      </c>
      <c r="N188" s="71">
        <f>INT((M188*Valores!$C$2*100)+0.5)/100</f>
        <v>9178.92</v>
      </c>
      <c r="O188" s="71">
        <f t="shared" si="25"/>
        <v>3699.5415</v>
      </c>
      <c r="P188" s="71">
        <f t="shared" si="26"/>
        <v>0</v>
      </c>
      <c r="Q188" s="97">
        <f>Valores!$C$20</f>
        <v>4706.17</v>
      </c>
      <c r="R188" s="97">
        <f>Valores!$D$4</f>
        <v>3421.44</v>
      </c>
      <c r="S188" s="71">
        <v>0</v>
      </c>
      <c r="T188" s="74">
        <f>Valores!$C$43</f>
        <v>2121.57</v>
      </c>
      <c r="U188" s="71">
        <f>Valores!$C$23</f>
        <v>3159.22</v>
      </c>
      <c r="V188" s="71">
        <f t="shared" si="33"/>
        <v>3159.22</v>
      </c>
      <c r="W188" s="71">
        <v>0</v>
      </c>
      <c r="X188" s="71">
        <v>0</v>
      </c>
      <c r="Y188" s="75">
        <v>0</v>
      </c>
      <c r="Z188" s="71">
        <f>Y188*Valores!$C$2</f>
        <v>0</v>
      </c>
      <c r="AA188" s="71">
        <v>0</v>
      </c>
      <c r="AB188" s="76">
        <f>Valores!$C$29</f>
        <v>184.78</v>
      </c>
      <c r="AC188" s="71">
        <f t="shared" si="29"/>
        <v>0</v>
      </c>
      <c r="AD188" s="71">
        <f>Valores!$C$30</f>
        <v>184.78</v>
      </c>
      <c r="AE188" s="75">
        <v>0</v>
      </c>
      <c r="AF188" s="71">
        <f>INT(((AE188*Valores!$C$2)*100)+0.5)/100</f>
        <v>0</v>
      </c>
      <c r="AG188" s="71">
        <f>Valores!$C$58</f>
        <v>375.86</v>
      </c>
      <c r="AH188" s="71">
        <f>Valores!$C$60</f>
        <v>107.38</v>
      </c>
      <c r="AI188" s="110">
        <f t="shared" si="30"/>
        <v>37343.56149999999</v>
      </c>
      <c r="AJ188" s="97">
        <f>Valores!$C$35</f>
        <v>876.57</v>
      </c>
      <c r="AK188" s="74">
        <f>Valores!$C$9</f>
        <v>0</v>
      </c>
      <c r="AL188" s="74">
        <f>Valores!$C$83</f>
        <v>3000</v>
      </c>
      <c r="AM188" s="74">
        <v>2800</v>
      </c>
      <c r="AN188" s="76">
        <v>0</v>
      </c>
      <c r="AO188" s="78">
        <f t="shared" si="31"/>
        <v>3876.57</v>
      </c>
      <c r="AP188" s="57">
        <f>AI188*-Valores!$C$65</f>
        <v>-4854.662994999999</v>
      </c>
      <c r="AQ188" s="57">
        <f>AI188*-Valores!$C$66</f>
        <v>-186.71780749999994</v>
      </c>
      <c r="AR188" s="73">
        <f>AI188*-Valores!$C$67</f>
        <v>-1680.4602674999994</v>
      </c>
      <c r="AS188" s="73">
        <f>AI188*-Valores!$C$68</f>
        <v>-1008.2761604999997</v>
      </c>
      <c r="AT188" s="73">
        <f>AI188*-Valores!$C$69</f>
        <v>-112.03068449999996</v>
      </c>
      <c r="AU188" s="77">
        <f t="shared" si="27"/>
        <v>34498.290429999994</v>
      </c>
      <c r="AV188" s="77">
        <f t="shared" si="28"/>
        <v>35058.44385249999</v>
      </c>
      <c r="AW188" s="73">
        <f>AI188*Valores!$C$71</f>
        <v>5974.969839999998</v>
      </c>
      <c r="AX188" s="73">
        <f>AI188*Valores!$C$72</f>
        <v>1680.4602674999994</v>
      </c>
      <c r="AY188" s="73">
        <f>AI188*Valores!$C$73</f>
        <v>373.43561499999987</v>
      </c>
      <c r="AZ188" s="73">
        <f>AI188*Valores!$C$75</f>
        <v>1307.0246524999998</v>
      </c>
      <c r="BA188" s="73">
        <f>AI188*Valores!$C$76</f>
        <v>224.06136899999993</v>
      </c>
      <c r="BB188" s="73">
        <f t="shared" si="32"/>
        <v>2016.5523209999997</v>
      </c>
      <c r="BC188" s="47"/>
      <c r="BD188" s="47">
        <v>30</v>
      </c>
      <c r="BE188" s="24" t="s">
        <v>8</v>
      </c>
    </row>
    <row r="189" spans="1:57" s="24" customFormat="1" ht="11.25" customHeight="1">
      <c r="A189" s="47">
        <v>188</v>
      </c>
      <c r="B189" s="47"/>
      <c r="C189" s="24" t="s">
        <v>513</v>
      </c>
      <c r="E189" s="24">
        <f t="shared" si="24"/>
        <v>24</v>
      </c>
      <c r="F189" s="67" t="s">
        <v>514</v>
      </c>
      <c r="G189" s="68">
        <v>1027</v>
      </c>
      <c r="H189" s="69">
        <f>INT((G189*Valores!$C$2*100)+0.5)/100</f>
        <v>7855.63</v>
      </c>
      <c r="I189" s="108">
        <v>0</v>
      </c>
      <c r="J189" s="71">
        <f>INT((I189*Valores!$C$2*100)+0.5)/100</f>
        <v>0</v>
      </c>
      <c r="K189" s="98">
        <v>0</v>
      </c>
      <c r="L189" s="71">
        <f>INT((K189*Valores!$C$2*100)+0.5)/100</f>
        <v>0</v>
      </c>
      <c r="M189" s="96">
        <v>1200</v>
      </c>
      <c r="N189" s="71">
        <f>INT((M189*Valores!$C$2*100)+0.5)/100</f>
        <v>9178.92</v>
      </c>
      <c r="O189" s="71">
        <f t="shared" si="25"/>
        <v>3340.8524999999995</v>
      </c>
      <c r="P189" s="71">
        <f t="shared" si="26"/>
        <v>0</v>
      </c>
      <c r="Q189" s="97">
        <f>Valores!$C$20</f>
        <v>4706.17</v>
      </c>
      <c r="R189" s="97">
        <f>Valores!$D$4</f>
        <v>3421.44</v>
      </c>
      <c r="S189" s="71">
        <v>0</v>
      </c>
      <c r="T189" s="74">
        <f>Valores!$C$43</f>
        <v>2121.57</v>
      </c>
      <c r="U189" s="97">
        <f>Valores!$C$24</f>
        <v>3116.23</v>
      </c>
      <c r="V189" s="71">
        <f t="shared" si="33"/>
        <v>3116.23</v>
      </c>
      <c r="W189" s="71">
        <v>0</v>
      </c>
      <c r="X189" s="71">
        <v>0</v>
      </c>
      <c r="Y189" s="75">
        <v>0</v>
      </c>
      <c r="Z189" s="71">
        <f>Y189*Valores!$C$2</f>
        <v>0</v>
      </c>
      <c r="AA189" s="71">
        <v>0</v>
      </c>
      <c r="AB189" s="76">
        <f>Valores!$C$29</f>
        <v>184.78</v>
      </c>
      <c r="AC189" s="71">
        <f t="shared" si="29"/>
        <v>0</v>
      </c>
      <c r="AD189" s="71">
        <f>Valores!$C$30</f>
        <v>184.78</v>
      </c>
      <c r="AE189" s="75">
        <v>0</v>
      </c>
      <c r="AF189" s="71">
        <f>INT(((AE189*Valores!$C$2)*100)+0.5)/100</f>
        <v>0</v>
      </c>
      <c r="AG189" s="71">
        <f>Valores!$C$58</f>
        <v>375.86</v>
      </c>
      <c r="AH189" s="71">
        <f>Valores!$C$60</f>
        <v>107.38</v>
      </c>
      <c r="AI189" s="110">
        <f t="shared" si="30"/>
        <v>34593.612499999996</v>
      </c>
      <c r="AJ189" s="97">
        <f>Valores!$C$35</f>
        <v>876.57</v>
      </c>
      <c r="AK189" s="74">
        <f>Valores!$C$9</f>
        <v>0</v>
      </c>
      <c r="AL189" s="74">
        <f>Valores!$C$83</f>
        <v>3000</v>
      </c>
      <c r="AM189" s="74">
        <v>2800</v>
      </c>
      <c r="AN189" s="76">
        <v>0</v>
      </c>
      <c r="AO189" s="78">
        <f t="shared" si="31"/>
        <v>3876.57</v>
      </c>
      <c r="AP189" s="57">
        <f>AI189*-Valores!$C$65</f>
        <v>-4497.1696249999995</v>
      </c>
      <c r="AQ189" s="57">
        <f>AI189*-Valores!$C$66</f>
        <v>-172.96806249999997</v>
      </c>
      <c r="AR189" s="73">
        <f>AI189*-Valores!$C$67</f>
        <v>-1556.7125624999996</v>
      </c>
      <c r="AS189" s="73">
        <f>AI189*-Valores!$C$68</f>
        <v>-934.0275374999999</v>
      </c>
      <c r="AT189" s="73">
        <f>AI189*-Valores!$C$69</f>
        <v>-103.78083749999999</v>
      </c>
      <c r="AU189" s="77">
        <f t="shared" si="27"/>
        <v>32243.332250000003</v>
      </c>
      <c r="AV189" s="77">
        <f t="shared" si="28"/>
        <v>32762.2364375</v>
      </c>
      <c r="AW189" s="73">
        <f>AI189*Valores!$C$71</f>
        <v>5534.977999999999</v>
      </c>
      <c r="AX189" s="73">
        <f>AI189*Valores!$C$72</f>
        <v>1556.7125624999996</v>
      </c>
      <c r="AY189" s="73">
        <f>AI189*Valores!$C$73</f>
        <v>345.93612499999995</v>
      </c>
      <c r="AZ189" s="73">
        <f>AI189*Valores!$C$75</f>
        <v>1210.7764375</v>
      </c>
      <c r="BA189" s="73">
        <f>AI189*Valores!$C$76</f>
        <v>207.56167499999998</v>
      </c>
      <c r="BB189" s="73">
        <f t="shared" si="32"/>
        <v>1868.0550749999998</v>
      </c>
      <c r="BC189" s="47"/>
      <c r="BD189" s="81">
        <v>30</v>
      </c>
      <c r="BE189" s="24" t="s">
        <v>8</v>
      </c>
    </row>
    <row r="190" spans="1:57" s="24" customFormat="1" ht="11.25" customHeight="1">
      <c r="A190" s="47">
        <v>189</v>
      </c>
      <c r="B190" s="47"/>
      <c r="C190" s="24" t="s">
        <v>515</v>
      </c>
      <c r="E190" s="24">
        <f t="shared" si="24"/>
        <v>24</v>
      </c>
      <c r="F190" s="67" t="s">
        <v>516</v>
      </c>
      <c r="G190" s="68">
        <v>1278</v>
      </c>
      <c r="H190" s="69">
        <f>INT((G190*Valores!$C$2*100)+0.5)/100</f>
        <v>9775.55</v>
      </c>
      <c r="I190" s="108">
        <v>0</v>
      </c>
      <c r="J190" s="71">
        <f>INT((I190*Valores!$C$2*100)+0.5)/100</f>
        <v>0</v>
      </c>
      <c r="K190" s="98">
        <v>0</v>
      </c>
      <c r="L190" s="71">
        <f>INT((K190*Valores!$C$2*100)+0.5)/100</f>
        <v>0</v>
      </c>
      <c r="M190" s="96">
        <v>1200</v>
      </c>
      <c r="N190" s="71">
        <f>INT((M190*Valores!$C$2*100)+0.5)/100</f>
        <v>9178.92</v>
      </c>
      <c r="O190" s="71">
        <f t="shared" si="25"/>
        <v>3635.289</v>
      </c>
      <c r="P190" s="71">
        <f t="shared" si="26"/>
        <v>0</v>
      </c>
      <c r="Q190" s="97">
        <f>Valores!$C$20</f>
        <v>4706.17</v>
      </c>
      <c r="R190" s="97">
        <f>Valores!$D$4</f>
        <v>3421.44</v>
      </c>
      <c r="S190" s="97">
        <f>Valores!$C$26</f>
        <v>3568.39</v>
      </c>
      <c r="T190" s="102">
        <f>Valores!$C$43</f>
        <v>2121.57</v>
      </c>
      <c r="U190" s="71">
        <f>Valores!$C$23</f>
        <v>3159.22</v>
      </c>
      <c r="V190" s="71">
        <f t="shared" si="33"/>
        <v>3159.22</v>
      </c>
      <c r="W190" s="71">
        <v>0</v>
      </c>
      <c r="X190" s="71">
        <v>0</v>
      </c>
      <c r="Y190" s="75">
        <v>0</v>
      </c>
      <c r="Z190" s="71">
        <f>Y190*Valores!$C$2</f>
        <v>0</v>
      </c>
      <c r="AA190" s="71">
        <v>0</v>
      </c>
      <c r="AB190" s="76">
        <f>Valores!$C$29</f>
        <v>184.78</v>
      </c>
      <c r="AC190" s="71">
        <f t="shared" si="29"/>
        <v>0</v>
      </c>
      <c r="AD190" s="71">
        <f>Valores!$C$30</f>
        <v>184.78</v>
      </c>
      <c r="AE190" s="75">
        <v>0</v>
      </c>
      <c r="AF190" s="71">
        <f>INT(((AE190*Valores!$C$2)*100)+0.5)/100</f>
        <v>0</v>
      </c>
      <c r="AG190" s="71">
        <f>Valores!$C$58</f>
        <v>375.86</v>
      </c>
      <c r="AH190" s="71">
        <f>Valores!$C$60</f>
        <v>107.38</v>
      </c>
      <c r="AI190" s="110">
        <f t="shared" si="30"/>
        <v>40419.349</v>
      </c>
      <c r="AJ190" s="97">
        <f>Valores!$C$35</f>
        <v>876.57</v>
      </c>
      <c r="AK190" s="74">
        <f>Valores!$C$9</f>
        <v>0</v>
      </c>
      <c r="AL190" s="74">
        <f>Valores!$C$83</f>
        <v>3000</v>
      </c>
      <c r="AM190" s="74">
        <v>2800</v>
      </c>
      <c r="AN190" s="76">
        <f>Valores!$C$50</f>
        <v>314.98</v>
      </c>
      <c r="AO190" s="78">
        <f t="shared" si="31"/>
        <v>3876.57</v>
      </c>
      <c r="AP190" s="57">
        <f>AI190*-Valores!$C$65</f>
        <v>-5254.51537</v>
      </c>
      <c r="AQ190" s="57">
        <f>AI190*-Valores!$C$66</f>
        <v>-202.09674500000003</v>
      </c>
      <c r="AR190" s="73">
        <f>AI190*-Valores!$C$67</f>
        <v>-1818.870705</v>
      </c>
      <c r="AS190" s="73">
        <f>AI190*-Valores!$C$68</f>
        <v>-1091.322423</v>
      </c>
      <c r="AT190" s="73">
        <f>AI190*-Valores!$C$69</f>
        <v>-121.258047</v>
      </c>
      <c r="AU190" s="77">
        <f t="shared" si="27"/>
        <v>37020.43618</v>
      </c>
      <c r="AV190" s="77">
        <f t="shared" si="28"/>
        <v>37626.726415</v>
      </c>
      <c r="AW190" s="73">
        <f>AI190*Valores!$C$71</f>
        <v>6467.095840000001</v>
      </c>
      <c r="AX190" s="73">
        <f>AI190*Valores!$C$72</f>
        <v>1818.870705</v>
      </c>
      <c r="AY190" s="73">
        <f>AI190*Valores!$C$73</f>
        <v>404.19349000000005</v>
      </c>
      <c r="AZ190" s="73">
        <f>AI190*Valores!$C$75</f>
        <v>1414.6772150000002</v>
      </c>
      <c r="BA190" s="73">
        <f>AI190*Valores!$C$76</f>
        <v>242.516094</v>
      </c>
      <c r="BB190" s="73">
        <f t="shared" si="32"/>
        <v>2182.644846</v>
      </c>
      <c r="BC190" s="47"/>
      <c r="BD190" s="47">
        <v>36</v>
      </c>
      <c r="BE190" s="24" t="s">
        <v>4</v>
      </c>
    </row>
    <row r="191" spans="1:57" s="24" customFormat="1" ht="11.25" customHeight="1">
      <c r="A191" s="81">
        <v>190</v>
      </c>
      <c r="B191" s="81" t="s">
        <v>163</v>
      </c>
      <c r="C191" s="82" t="s">
        <v>517</v>
      </c>
      <c r="D191" s="82"/>
      <c r="E191" s="82">
        <f t="shared" si="24"/>
        <v>38</v>
      </c>
      <c r="F191" s="83" t="s">
        <v>518</v>
      </c>
      <c r="G191" s="84">
        <v>1065</v>
      </c>
      <c r="H191" s="85">
        <f>INT((G191*Valores!$C$2*100)+0.5)/100</f>
        <v>8146.29</v>
      </c>
      <c r="I191" s="99">
        <v>0</v>
      </c>
      <c r="J191" s="87">
        <f>INT((I191*Valores!$C$2*100)+0.5)/100</f>
        <v>0</v>
      </c>
      <c r="K191" s="100">
        <v>0</v>
      </c>
      <c r="L191" s="87">
        <f>INT((K191*Valores!$C$2*100)+0.5)/100</f>
        <v>0</v>
      </c>
      <c r="M191" s="101">
        <v>600</v>
      </c>
      <c r="N191" s="87">
        <f>INT((M191*Valores!$C$2*100)+0.5)/100</f>
        <v>4589.46</v>
      </c>
      <c r="O191" s="87">
        <f t="shared" si="25"/>
        <v>2702.481</v>
      </c>
      <c r="P191" s="87">
        <f t="shared" si="26"/>
        <v>0</v>
      </c>
      <c r="Q191" s="103">
        <f>Valores!$C$20</f>
        <v>4706.17</v>
      </c>
      <c r="R191" s="103">
        <f>Valores!$D$4</f>
        <v>3421.44</v>
      </c>
      <c r="S191" s="87">
        <v>0</v>
      </c>
      <c r="T191" s="90">
        <f>Valores!$C$43</f>
        <v>2121.57</v>
      </c>
      <c r="U191" s="87">
        <f>Valores!$C$23</f>
        <v>3159.22</v>
      </c>
      <c r="V191" s="87">
        <f t="shared" si="33"/>
        <v>3159.22</v>
      </c>
      <c r="W191" s="87">
        <v>0</v>
      </c>
      <c r="X191" s="87">
        <v>0</v>
      </c>
      <c r="Y191" s="91">
        <v>0</v>
      </c>
      <c r="Z191" s="87">
        <f>Y191*Valores!$C$2</f>
        <v>0</v>
      </c>
      <c r="AA191" s="87">
        <v>0</v>
      </c>
      <c r="AB191" s="92">
        <f>Valores!$C$29</f>
        <v>184.78</v>
      </c>
      <c r="AC191" s="87">
        <f t="shared" si="29"/>
        <v>0</v>
      </c>
      <c r="AD191" s="87">
        <f>Valores!$C$30</f>
        <v>184.78</v>
      </c>
      <c r="AE191" s="91">
        <v>0</v>
      </c>
      <c r="AF191" s="87">
        <f>INT(((AE191*Valores!$C$2)*100)+0.5)/100</f>
        <v>0</v>
      </c>
      <c r="AG191" s="87">
        <f>Valores!$C$58</f>
        <v>375.86</v>
      </c>
      <c r="AH191" s="87">
        <f>Valores!$C$60</f>
        <v>107.38</v>
      </c>
      <c r="AI191" s="111">
        <f t="shared" si="30"/>
        <v>29699.430999999997</v>
      </c>
      <c r="AJ191" s="103">
        <f>Valores!$C$35</f>
        <v>876.57</v>
      </c>
      <c r="AK191" s="90">
        <f>Valores!$C$9</f>
        <v>0</v>
      </c>
      <c r="AL191" s="90">
        <f>Valores!$C$83</f>
        <v>3000</v>
      </c>
      <c r="AM191" s="74">
        <v>2800</v>
      </c>
      <c r="AN191" s="92">
        <f>Valores!$C$50</f>
        <v>314.98</v>
      </c>
      <c r="AO191" s="94">
        <f t="shared" si="31"/>
        <v>3876.57</v>
      </c>
      <c r="AP191" s="112">
        <f>AI191*-Valores!$C$65</f>
        <v>-3860.9260299999996</v>
      </c>
      <c r="AQ191" s="112">
        <f>AI191*-Valores!$C$66</f>
        <v>-148.497155</v>
      </c>
      <c r="AR191" s="89">
        <f>AI191*-Valores!$C$67</f>
        <v>-1336.4743949999997</v>
      </c>
      <c r="AS191" s="89">
        <f>AI191*-Valores!$C$68</f>
        <v>-801.8846369999999</v>
      </c>
      <c r="AT191" s="89">
        <f>AI191*-Valores!$C$69</f>
        <v>-89.098293</v>
      </c>
      <c r="AU191" s="93">
        <f t="shared" si="27"/>
        <v>28230.10342</v>
      </c>
      <c r="AV191" s="93">
        <f t="shared" si="28"/>
        <v>28675.594885000002</v>
      </c>
      <c r="AW191" s="89">
        <f>AI191*Valores!$C$71</f>
        <v>4751.90896</v>
      </c>
      <c r="AX191" s="89">
        <f>AI191*Valores!$C$72</f>
        <v>1336.4743949999997</v>
      </c>
      <c r="AY191" s="89">
        <f>AI191*Valores!$C$73</f>
        <v>296.99431</v>
      </c>
      <c r="AZ191" s="89">
        <f>AI191*Valores!$C$75</f>
        <v>1039.480085</v>
      </c>
      <c r="BA191" s="89">
        <f>AI191*Valores!$C$76</f>
        <v>178.196586</v>
      </c>
      <c r="BB191" s="89">
        <f t="shared" si="32"/>
        <v>1603.7692739999998</v>
      </c>
      <c r="BC191" s="81"/>
      <c r="BD191" s="81"/>
      <c r="BE191" s="82" t="s">
        <v>4</v>
      </c>
    </row>
    <row r="192" spans="1:57" s="24" customFormat="1" ht="11.25" customHeight="1">
      <c r="A192" s="47">
        <v>191</v>
      </c>
      <c r="B192" s="47"/>
      <c r="C192" s="24" t="s">
        <v>519</v>
      </c>
      <c r="E192" s="24">
        <f t="shared" si="24"/>
        <v>26</v>
      </c>
      <c r="F192" s="67" t="s">
        <v>520</v>
      </c>
      <c r="G192" s="68">
        <v>971</v>
      </c>
      <c r="H192" s="69">
        <f>INT((G192*Valores!$C$2*100)+0.5)/100</f>
        <v>7427.28</v>
      </c>
      <c r="I192" s="108">
        <v>0</v>
      </c>
      <c r="J192" s="71">
        <f>INT((I192*Valores!$C$2*100)+0.5)/100</f>
        <v>0</v>
      </c>
      <c r="K192" s="98">
        <v>0</v>
      </c>
      <c r="L192" s="71">
        <f>INT((K192*Valores!$C$2*100)+0.5)/100</f>
        <v>0</v>
      </c>
      <c r="M192" s="96">
        <v>660</v>
      </c>
      <c r="N192" s="71">
        <f>INT((M192*Valores!$C$2*100)+0.5)/100</f>
        <v>5048.41</v>
      </c>
      <c r="O192" s="71">
        <f t="shared" si="25"/>
        <v>2557.3964999999994</v>
      </c>
      <c r="P192" s="71">
        <f t="shared" si="26"/>
        <v>0</v>
      </c>
      <c r="Q192" s="97">
        <f>Valores!$C$20</f>
        <v>4706.17</v>
      </c>
      <c r="R192" s="97">
        <f>Valores!$D$4</f>
        <v>3421.44</v>
      </c>
      <c r="S192" s="97">
        <f>Valores!$C$27</f>
        <v>3289.21</v>
      </c>
      <c r="T192" s="102">
        <f>Valores!$C$42</f>
        <v>1414.4</v>
      </c>
      <c r="U192" s="71">
        <f>Valores!$C$23</f>
        <v>3159.22</v>
      </c>
      <c r="V192" s="71">
        <f t="shared" si="33"/>
        <v>3159.22</v>
      </c>
      <c r="W192" s="71">
        <v>0</v>
      </c>
      <c r="X192" s="71">
        <v>0</v>
      </c>
      <c r="Y192" s="75">
        <v>0</v>
      </c>
      <c r="Z192" s="71">
        <f>Y192*Valores!$C$2</f>
        <v>0</v>
      </c>
      <c r="AA192" s="71">
        <v>0</v>
      </c>
      <c r="AB192" s="76">
        <f>Valores!$C$29</f>
        <v>184.78</v>
      </c>
      <c r="AC192" s="71">
        <f t="shared" si="29"/>
        <v>0</v>
      </c>
      <c r="AD192" s="71">
        <f>Valores!$C$30</f>
        <v>184.78</v>
      </c>
      <c r="AE192" s="75">
        <v>0</v>
      </c>
      <c r="AF192" s="71">
        <f>INT(((AE192*Valores!$C$2)*100)+0.5)/100</f>
        <v>0</v>
      </c>
      <c r="AG192" s="71">
        <f>Valores!$C$58</f>
        <v>375.86</v>
      </c>
      <c r="AH192" s="71">
        <f>Valores!$C$60</f>
        <v>107.38</v>
      </c>
      <c r="AI192" s="110">
        <f t="shared" si="30"/>
        <v>31876.326499999996</v>
      </c>
      <c r="AJ192" s="97">
        <f>Valores!$C$35</f>
        <v>876.57</v>
      </c>
      <c r="AK192" s="74">
        <f>Valores!$C$8</f>
        <v>0</v>
      </c>
      <c r="AL192" s="74">
        <f>Valores!$C$81</f>
        <v>1500</v>
      </c>
      <c r="AM192" s="74">
        <v>1400</v>
      </c>
      <c r="AN192" s="76">
        <v>0</v>
      </c>
      <c r="AO192" s="78">
        <f t="shared" si="31"/>
        <v>2376.57</v>
      </c>
      <c r="AP192" s="57">
        <f>AI192*-Valores!$C$65</f>
        <v>-4143.922444999999</v>
      </c>
      <c r="AQ192" s="57">
        <f>AI192*-Valores!$C$66</f>
        <v>-159.3816325</v>
      </c>
      <c r="AR192" s="73">
        <f>AI192*-Valores!$C$67</f>
        <v>-1434.4346924999998</v>
      </c>
      <c r="AS192" s="73">
        <f>AI192*-Valores!$C$68</f>
        <v>-860.6608154999999</v>
      </c>
      <c r="AT192" s="73">
        <f>AI192*-Valores!$C$69</f>
        <v>-95.62897949999999</v>
      </c>
      <c r="AU192" s="77">
        <f t="shared" si="27"/>
        <v>28515.157729999995</v>
      </c>
      <c r="AV192" s="77">
        <f t="shared" si="28"/>
        <v>28993.302627499994</v>
      </c>
      <c r="AW192" s="73">
        <f>AI192*Valores!$C$71</f>
        <v>5100.21224</v>
      </c>
      <c r="AX192" s="73">
        <f>AI192*Valores!$C$72</f>
        <v>1434.4346924999998</v>
      </c>
      <c r="AY192" s="73">
        <f>AI192*Valores!$C$73</f>
        <v>318.763265</v>
      </c>
      <c r="AZ192" s="73">
        <f>AI192*Valores!$C$75</f>
        <v>1115.6714275</v>
      </c>
      <c r="BA192" s="73">
        <f>AI192*Valores!$C$76</f>
        <v>191.25795899999997</v>
      </c>
      <c r="BB192" s="73">
        <f t="shared" si="32"/>
        <v>1721.3216309999998</v>
      </c>
      <c r="BC192" s="47"/>
      <c r="BD192" s="47">
        <v>18</v>
      </c>
      <c r="BE192" s="24" t="s">
        <v>4</v>
      </c>
    </row>
    <row r="193" spans="1:57" s="24" customFormat="1" ht="11.25" customHeight="1">
      <c r="A193" s="47">
        <v>192</v>
      </c>
      <c r="B193" s="47"/>
      <c r="C193" s="24" t="s">
        <v>521</v>
      </c>
      <c r="D193" s="24">
        <v>1</v>
      </c>
      <c r="E193" s="24">
        <f t="shared" si="24"/>
        <v>36</v>
      </c>
      <c r="F193" s="67" t="str">
        <f aca="true" t="shared" si="34" ref="F193:F228">CONCATENATE("Hora Cátedra Enseñanza Superior ",D193," hs")</f>
        <v>Hora Cátedra Enseñanza Superior 1 hs</v>
      </c>
      <c r="G193" s="68">
        <f aca="true" t="shared" si="35" ref="G193:G228">99*D193</f>
        <v>99</v>
      </c>
      <c r="H193" s="69">
        <f>INT((G193*Valores!$C$2*100)+0.5)/100</f>
        <v>757.26</v>
      </c>
      <c r="I193" s="108">
        <v>0</v>
      </c>
      <c r="J193" s="71">
        <f>INT((I193*Valores!$C$2*100)+0.5)/100</f>
        <v>0</v>
      </c>
      <c r="K193" s="98">
        <v>0</v>
      </c>
      <c r="L193" s="71">
        <f>INT((K193*Valores!$C$2*100)+0.5)/100</f>
        <v>0</v>
      </c>
      <c r="M193" s="96">
        <v>0</v>
      </c>
      <c r="N193" s="71">
        <f>INT((M193*Valores!$C$2*100)+0.5)/100</f>
        <v>0</v>
      </c>
      <c r="O193" s="71">
        <f t="shared" si="25"/>
        <v>132.201</v>
      </c>
      <c r="P193" s="71">
        <f t="shared" si="26"/>
        <v>0</v>
      </c>
      <c r="Q193" s="97">
        <f>Valores!$C$14*D193</f>
        <v>184.76</v>
      </c>
      <c r="R193" s="97">
        <f>IF(D193&lt;15,(Valores!$E$4*D193),Valores!$D$4)</f>
        <v>228.09</v>
      </c>
      <c r="S193" s="71">
        <v>0</v>
      </c>
      <c r="T193" s="74">
        <f>IF(Valores!$C$45*D193&gt;Valores!$C$43,Valores!$C$43,Valores!$C$45*D193)</f>
        <v>58.94</v>
      </c>
      <c r="U193" s="97">
        <f>Valores!$C$22*D193</f>
        <v>65.14</v>
      </c>
      <c r="V193" s="71">
        <f t="shared" si="33"/>
        <v>65.14</v>
      </c>
      <c r="W193" s="71">
        <v>0</v>
      </c>
      <c r="X193" s="71">
        <v>0</v>
      </c>
      <c r="Y193" s="114">
        <v>0</v>
      </c>
      <c r="Z193" s="71">
        <f>Y193*Valores!$C$2</f>
        <v>0</v>
      </c>
      <c r="AA193" s="71">
        <v>0</v>
      </c>
      <c r="AB193" s="76">
        <f>IF((Valores!$C$32)*D193&gt;Valores!$F$32,Valores!$F$32,(Valores!$C$32)*D193)</f>
        <v>7.4</v>
      </c>
      <c r="AC193" s="71">
        <f t="shared" si="29"/>
        <v>0</v>
      </c>
      <c r="AD193" s="71">
        <f>IF(Valores!$C$33*D193&gt;Valores!$F$33,Valores!$F$33,Valores!$C$33*D193)</f>
        <v>6.16</v>
      </c>
      <c r="AE193" s="75">
        <v>0</v>
      </c>
      <c r="AF193" s="71">
        <f>INT(((AE193*Valores!$C$2)*100)+0.5)/100</f>
        <v>0</v>
      </c>
      <c r="AG193" s="71">
        <f>IF(Valores!$D$58*'Escala Docente'!D193&gt;Valores!$F$58,Valores!$F$58,Valores!$D$58*'Escala Docente'!D193)</f>
        <v>25.06</v>
      </c>
      <c r="AH193" s="71">
        <f>IF(Valores!$D$60*D193&gt;Valores!$F$60,Valores!$F$60,Valores!$D$60*D193)</f>
        <v>7.16</v>
      </c>
      <c r="AI193" s="110">
        <f t="shared" si="30"/>
        <v>1472.1710000000003</v>
      </c>
      <c r="AJ193" s="97">
        <f>IF(Valores!$C$36*D193&gt;Valores!$F$36,Valores!$F$36,Valores!$C$36*D193)</f>
        <v>58.44</v>
      </c>
      <c r="AK193" s="74">
        <f>IF(Valores!$C$11*D193&gt;Valores!$F$11,Valores!$F$11,Valores!$C$11*D193)</f>
        <v>0</v>
      </c>
      <c r="AL193" s="74">
        <f>IF(Valores!$C$84*D193&gt;Valores!$C$83,Valores!$C$83,Valores!$C$84*D193)</f>
        <v>75</v>
      </c>
      <c r="AM193" s="74">
        <f>70*D193</f>
        <v>70</v>
      </c>
      <c r="AN193" s="76">
        <f>IF(Valores!$C$56*D193&gt;Valores!$F$56,Valores!$F$56,Valores!$C$56*D193)</f>
        <v>13.12</v>
      </c>
      <c r="AO193" s="78">
        <f t="shared" si="31"/>
        <v>133.44</v>
      </c>
      <c r="AP193" s="57">
        <f>AI193*-Valores!$C$65</f>
        <v>-191.38223000000005</v>
      </c>
      <c r="AQ193" s="57">
        <f>AI193*-Valores!$C$66</f>
        <v>-7.360855000000002</v>
      </c>
      <c r="AR193" s="73">
        <f>AI193*-Valores!$C$67</f>
        <v>-66.24769500000001</v>
      </c>
      <c r="AS193" s="73">
        <f>AI193*-Valores!$C$68</f>
        <v>-39.74861700000001</v>
      </c>
      <c r="AT193" s="73">
        <f>AI193*-Valores!$C$69</f>
        <v>-4.416513000000001</v>
      </c>
      <c r="AU193" s="77">
        <f t="shared" si="27"/>
        <v>1340.6202200000002</v>
      </c>
      <c r="AV193" s="77">
        <f t="shared" si="28"/>
        <v>1362.7027850000006</v>
      </c>
      <c r="AW193" s="73">
        <f>AI193*Valores!$C$71</f>
        <v>235.54736000000005</v>
      </c>
      <c r="AX193" s="73">
        <f>AI193*Valores!$C$72</f>
        <v>66.24769500000001</v>
      </c>
      <c r="AY193" s="73">
        <f>AI193*Valores!$C$73</f>
        <v>14.721710000000003</v>
      </c>
      <c r="AZ193" s="73">
        <f>AI193*Valores!$C$75</f>
        <v>51.52598500000001</v>
      </c>
      <c r="BA193" s="73">
        <f>AI193*Valores!$C$76</f>
        <v>8.833026000000002</v>
      </c>
      <c r="BB193" s="73">
        <f t="shared" si="32"/>
        <v>79.49723400000002</v>
      </c>
      <c r="BC193" s="47"/>
      <c r="BD193" s="47">
        <f aca="true" t="shared" si="36" ref="BD193:BD224">4*D193</f>
        <v>4</v>
      </c>
      <c r="BE193" s="24" t="s">
        <v>4</v>
      </c>
    </row>
    <row r="194" spans="1:57" s="24" customFormat="1" ht="11.25" customHeight="1">
      <c r="A194" s="47">
        <v>193</v>
      </c>
      <c r="B194" s="47"/>
      <c r="C194" s="24" t="s">
        <v>521</v>
      </c>
      <c r="D194" s="24">
        <v>2</v>
      </c>
      <c r="E194" s="24">
        <f t="shared" si="24"/>
        <v>36</v>
      </c>
      <c r="F194" s="67" t="str">
        <f t="shared" si="34"/>
        <v>Hora Cátedra Enseñanza Superior 2 hs</v>
      </c>
      <c r="G194" s="68">
        <f t="shared" si="35"/>
        <v>198</v>
      </c>
      <c r="H194" s="69">
        <f>INT((G194*Valores!$C$2*100)+0.5)/100</f>
        <v>1514.52</v>
      </c>
      <c r="I194" s="108">
        <v>0</v>
      </c>
      <c r="J194" s="71">
        <f>INT((I194*Valores!$C$2*100)+0.5)/100</f>
        <v>0</v>
      </c>
      <c r="K194" s="98">
        <v>0</v>
      </c>
      <c r="L194" s="71">
        <f>INT((K194*Valores!$C$2*100)+0.5)/100</f>
        <v>0</v>
      </c>
      <c r="M194" s="96">
        <v>0</v>
      </c>
      <c r="N194" s="71">
        <f>INT((M194*Valores!$C$2*100)+0.5)/100</f>
        <v>0</v>
      </c>
      <c r="O194" s="71">
        <f t="shared" si="25"/>
        <v>264.402</v>
      </c>
      <c r="P194" s="71">
        <f t="shared" si="26"/>
        <v>0</v>
      </c>
      <c r="Q194" s="97">
        <f>Valores!$C$14*D194</f>
        <v>369.52</v>
      </c>
      <c r="R194" s="97">
        <f>IF(D194&lt;15,(Valores!$E$4*D194),Valores!$D$4)</f>
        <v>456.18</v>
      </c>
      <c r="S194" s="71">
        <v>0</v>
      </c>
      <c r="T194" s="74">
        <f>IF(Valores!$C$45*D194&gt;Valores!$C$43,Valores!$C$43,Valores!$C$45*D194)</f>
        <v>117.88</v>
      </c>
      <c r="U194" s="97">
        <f>Valores!$C$22*D194</f>
        <v>130.28</v>
      </c>
      <c r="V194" s="71">
        <f t="shared" si="33"/>
        <v>130.28</v>
      </c>
      <c r="W194" s="71">
        <v>0</v>
      </c>
      <c r="X194" s="71">
        <v>0</v>
      </c>
      <c r="Y194" s="114">
        <v>0</v>
      </c>
      <c r="Z194" s="71">
        <f>Y194*Valores!$C$2</f>
        <v>0</v>
      </c>
      <c r="AA194" s="71">
        <v>0</v>
      </c>
      <c r="AB194" s="76">
        <f>IF((Valores!$C$32)*D194&gt;Valores!$F$32,Valores!$F$32,(Valores!$C$32)*D194)</f>
        <v>14.8</v>
      </c>
      <c r="AC194" s="71">
        <f t="shared" si="29"/>
        <v>0</v>
      </c>
      <c r="AD194" s="71">
        <f>IF(Valores!$C$33*D194&gt;Valores!$F$33,Valores!$F$33,Valores!$C$33*D194)</f>
        <v>12.32</v>
      </c>
      <c r="AE194" s="75">
        <v>0</v>
      </c>
      <c r="AF194" s="71">
        <f>INT(((AE194*Valores!$C$2)*100)+0.5)/100</f>
        <v>0</v>
      </c>
      <c r="AG194" s="71">
        <f>IF(Valores!$D$58*'Escala Docente'!D194&gt;Valores!$F$58,Valores!$F$58,Valores!$D$58*'Escala Docente'!D194)</f>
        <v>50.12</v>
      </c>
      <c r="AH194" s="71">
        <f>IF(Valores!$D$60*D194&gt;Valores!$F$60,Valores!$F$60,Valores!$D$60*D194)</f>
        <v>14.32</v>
      </c>
      <c r="AI194" s="110">
        <f t="shared" si="30"/>
        <v>2944.3420000000006</v>
      </c>
      <c r="AJ194" s="97">
        <f>IF(Valores!$C$36*D194&gt;Valores!$F$36,Valores!$F$36,Valores!$C$36*D194)</f>
        <v>116.88</v>
      </c>
      <c r="AK194" s="74">
        <f>IF(Valores!$C$11*D194&gt;Valores!$F$11,Valores!$F$11,Valores!$C$11*D194)</f>
        <v>0</v>
      </c>
      <c r="AL194" s="74">
        <f>IF(Valores!$C$84*D194&gt;Valores!$C$83,Valores!$C$83,Valores!$C$84*D194)</f>
        <v>150</v>
      </c>
      <c r="AM194" s="74">
        <f aca="true" t="shared" si="37" ref="AM194:AM257">70*D194</f>
        <v>140</v>
      </c>
      <c r="AN194" s="76">
        <f>IF(Valores!$C$56*D194&gt;Valores!$F$56,Valores!$F$56,Valores!$C$56*D194)</f>
        <v>26.24</v>
      </c>
      <c r="AO194" s="78">
        <f t="shared" si="31"/>
        <v>266.88</v>
      </c>
      <c r="AP194" s="57">
        <f>AI194*-Valores!$C$65</f>
        <v>-382.7644600000001</v>
      </c>
      <c r="AQ194" s="57">
        <f>AI194*-Valores!$C$66</f>
        <v>-14.721710000000003</v>
      </c>
      <c r="AR194" s="73">
        <f>AI194*-Valores!$C$67</f>
        <v>-132.49539000000001</v>
      </c>
      <c r="AS194" s="73">
        <f>AI194*-Valores!$C$68</f>
        <v>-79.49723400000002</v>
      </c>
      <c r="AT194" s="73">
        <f>AI194*-Valores!$C$69</f>
        <v>-8.833026000000002</v>
      </c>
      <c r="AU194" s="77">
        <f t="shared" si="27"/>
        <v>2681.2404400000005</v>
      </c>
      <c r="AV194" s="77">
        <f t="shared" si="28"/>
        <v>2725.4055700000013</v>
      </c>
      <c r="AW194" s="73">
        <f>AI194*Valores!$C$71</f>
        <v>471.0947200000001</v>
      </c>
      <c r="AX194" s="73">
        <f>AI194*Valores!$C$72</f>
        <v>132.49539000000001</v>
      </c>
      <c r="AY194" s="73">
        <f>AI194*Valores!$C$73</f>
        <v>29.443420000000007</v>
      </c>
      <c r="AZ194" s="73">
        <f>AI194*Valores!$C$75</f>
        <v>103.05197000000003</v>
      </c>
      <c r="BA194" s="73">
        <f>AI194*Valores!$C$76</f>
        <v>17.666052000000004</v>
      </c>
      <c r="BB194" s="73">
        <f t="shared" si="32"/>
        <v>158.99446800000004</v>
      </c>
      <c r="BC194" s="47"/>
      <c r="BD194" s="81">
        <f t="shared" si="36"/>
        <v>8</v>
      </c>
      <c r="BE194" s="24" t="s">
        <v>4</v>
      </c>
    </row>
    <row r="195" spans="1:57" s="24" customFormat="1" ht="11.25" customHeight="1">
      <c r="A195" s="47">
        <v>194</v>
      </c>
      <c r="B195" s="47"/>
      <c r="C195" s="24" t="s">
        <v>521</v>
      </c>
      <c r="D195" s="24">
        <v>3</v>
      </c>
      <c r="E195" s="24">
        <f t="shared" si="24"/>
        <v>36</v>
      </c>
      <c r="F195" s="67" t="str">
        <f t="shared" si="34"/>
        <v>Hora Cátedra Enseñanza Superior 3 hs</v>
      </c>
      <c r="G195" s="68">
        <f t="shared" si="35"/>
        <v>297</v>
      </c>
      <c r="H195" s="69">
        <f>INT((G195*Valores!$C$2*100)+0.5)/100</f>
        <v>2271.78</v>
      </c>
      <c r="I195" s="108">
        <v>0</v>
      </c>
      <c r="J195" s="71">
        <f>INT((I195*Valores!$C$2*100)+0.5)/100</f>
        <v>0</v>
      </c>
      <c r="K195" s="98">
        <v>0</v>
      </c>
      <c r="L195" s="71">
        <f>INT((K195*Valores!$C$2*100)+0.5)/100</f>
        <v>0</v>
      </c>
      <c r="M195" s="96">
        <v>0</v>
      </c>
      <c r="N195" s="71">
        <f>INT((M195*Valores!$C$2*100)+0.5)/100</f>
        <v>0</v>
      </c>
      <c r="O195" s="71">
        <f t="shared" si="25"/>
        <v>396.60300000000007</v>
      </c>
      <c r="P195" s="71">
        <f t="shared" si="26"/>
        <v>0</v>
      </c>
      <c r="Q195" s="97">
        <f>Valores!$C$14*D195</f>
        <v>554.28</v>
      </c>
      <c r="R195" s="97">
        <f>IF(D195&lt;15,(Valores!$E$4*D195),Valores!$D$4)</f>
        <v>684.27</v>
      </c>
      <c r="S195" s="71">
        <v>0</v>
      </c>
      <c r="T195" s="74">
        <f>IF(Valores!$C$45*D195&gt;Valores!$C$43,Valores!$C$43,Valores!$C$45*D195)</f>
        <v>176.82</v>
      </c>
      <c r="U195" s="97">
        <f>Valores!$C$22*D195</f>
        <v>195.42000000000002</v>
      </c>
      <c r="V195" s="71">
        <f t="shared" si="33"/>
        <v>195.42000000000002</v>
      </c>
      <c r="W195" s="71">
        <v>0</v>
      </c>
      <c r="X195" s="71">
        <v>0</v>
      </c>
      <c r="Y195" s="114">
        <v>0</v>
      </c>
      <c r="Z195" s="71">
        <f>Y195*Valores!$C$2</f>
        <v>0</v>
      </c>
      <c r="AA195" s="71">
        <v>0</v>
      </c>
      <c r="AB195" s="76">
        <f>IF((Valores!$C$32)*D195&gt;Valores!$F$32,Valores!$F$32,(Valores!$C$32)*D195)</f>
        <v>22.200000000000003</v>
      </c>
      <c r="AC195" s="71">
        <f t="shared" si="29"/>
        <v>0</v>
      </c>
      <c r="AD195" s="71">
        <f>IF(Valores!$C$33*D195&gt;Valores!$F$33,Valores!$F$33,Valores!$C$33*D195)</f>
        <v>18.48</v>
      </c>
      <c r="AE195" s="75">
        <v>0</v>
      </c>
      <c r="AF195" s="71">
        <f>INT(((AE195*Valores!$C$2)*100)+0.5)/100</f>
        <v>0</v>
      </c>
      <c r="AG195" s="71">
        <f>IF(Valores!$D$58*'Escala Docente'!D195&gt;Valores!$F$58,Valores!$F$58,Valores!$D$58*'Escala Docente'!D195)</f>
        <v>75.17999999999999</v>
      </c>
      <c r="AH195" s="71">
        <f>IF(Valores!$D$60*D195&gt;Valores!$F$60,Valores!$F$60,Valores!$D$60*D195)</f>
        <v>21.48</v>
      </c>
      <c r="AI195" s="110">
        <f t="shared" si="30"/>
        <v>4416.512999999999</v>
      </c>
      <c r="AJ195" s="97">
        <f>IF(Valores!$C$36*D195&gt;Valores!$F$36,Valores!$F$36,Valores!$C$36*D195)</f>
        <v>175.32</v>
      </c>
      <c r="AK195" s="74">
        <f>IF(Valores!$C$11*D195&gt;Valores!$F$11,Valores!$F$11,Valores!$C$11*D195)</f>
        <v>0</v>
      </c>
      <c r="AL195" s="74">
        <f>IF(Valores!$C$84*D195&gt;Valores!$C$83,Valores!$C$83,Valores!$C$84*D195)</f>
        <v>225</v>
      </c>
      <c r="AM195" s="74">
        <f t="shared" si="37"/>
        <v>210</v>
      </c>
      <c r="AN195" s="76">
        <f>IF(Valores!$C$56*D195&gt;Valores!$F$56,Valores!$F$56,Valores!$C$56*D195)</f>
        <v>39.36</v>
      </c>
      <c r="AO195" s="78">
        <f t="shared" si="31"/>
        <v>400.32</v>
      </c>
      <c r="AP195" s="57">
        <f>AI195*-Valores!$C$65</f>
        <v>-574.1466899999999</v>
      </c>
      <c r="AQ195" s="57">
        <f>AI195*-Valores!$C$66</f>
        <v>-22.082564999999995</v>
      </c>
      <c r="AR195" s="73">
        <f>AI195*-Valores!$C$67</f>
        <v>-198.74308499999995</v>
      </c>
      <c r="AS195" s="73">
        <f>AI195*-Valores!$C$68</f>
        <v>-119.24585099999997</v>
      </c>
      <c r="AT195" s="73">
        <f>AI195*-Valores!$C$69</f>
        <v>-13.249538999999997</v>
      </c>
      <c r="AU195" s="77">
        <f t="shared" si="27"/>
        <v>4021.860659999999</v>
      </c>
      <c r="AV195" s="77">
        <f t="shared" si="28"/>
        <v>4088.108355</v>
      </c>
      <c r="AW195" s="73">
        <f>AI195*Valores!$C$71</f>
        <v>706.6420799999999</v>
      </c>
      <c r="AX195" s="73">
        <f>AI195*Valores!$C$72</f>
        <v>198.74308499999995</v>
      </c>
      <c r="AY195" s="73">
        <f>AI195*Valores!$C$73</f>
        <v>44.16512999999999</v>
      </c>
      <c r="AZ195" s="73">
        <f>AI195*Valores!$C$75</f>
        <v>154.57795499999997</v>
      </c>
      <c r="BA195" s="73">
        <f>AI195*Valores!$C$76</f>
        <v>26.499077999999994</v>
      </c>
      <c r="BB195" s="73">
        <f t="shared" si="32"/>
        <v>238.49170199999998</v>
      </c>
      <c r="BC195" s="47"/>
      <c r="BD195" s="47">
        <f t="shared" si="36"/>
        <v>12</v>
      </c>
      <c r="BE195" s="24" t="s">
        <v>4</v>
      </c>
    </row>
    <row r="196" spans="1:57" s="24" customFormat="1" ht="11.25" customHeight="1">
      <c r="A196" s="81">
        <v>195</v>
      </c>
      <c r="B196" s="81" t="s">
        <v>163</v>
      </c>
      <c r="C196" s="82" t="s">
        <v>521</v>
      </c>
      <c r="D196" s="82">
        <v>4</v>
      </c>
      <c r="E196" s="82">
        <f t="shared" si="24"/>
        <v>36</v>
      </c>
      <c r="F196" s="83" t="str">
        <f t="shared" si="34"/>
        <v>Hora Cátedra Enseñanza Superior 4 hs</v>
      </c>
      <c r="G196" s="84">
        <f t="shared" si="35"/>
        <v>396</v>
      </c>
      <c r="H196" s="85">
        <f>INT((G196*Valores!$C$2*100)+0.5)/100</f>
        <v>3029.04</v>
      </c>
      <c r="I196" s="99">
        <v>0</v>
      </c>
      <c r="J196" s="87">
        <f>INT((I196*Valores!$C$2*100)+0.5)/100</f>
        <v>0</v>
      </c>
      <c r="K196" s="100">
        <v>0</v>
      </c>
      <c r="L196" s="87">
        <f>INT((K196*Valores!$C$2*100)+0.5)/100</f>
        <v>0</v>
      </c>
      <c r="M196" s="101">
        <v>0</v>
      </c>
      <c r="N196" s="87">
        <f>INT((M196*Valores!$C$2*100)+0.5)/100</f>
        <v>0</v>
      </c>
      <c r="O196" s="87">
        <f t="shared" si="25"/>
        <v>528.804</v>
      </c>
      <c r="P196" s="87">
        <f t="shared" si="26"/>
        <v>0</v>
      </c>
      <c r="Q196" s="103">
        <f>Valores!$C$14*D196</f>
        <v>739.04</v>
      </c>
      <c r="R196" s="103">
        <f>IF(D196&lt;15,(Valores!$E$4*D196),Valores!$D$4)</f>
        <v>912.36</v>
      </c>
      <c r="S196" s="87">
        <v>0</v>
      </c>
      <c r="T196" s="90">
        <f>IF(Valores!$C$45*D196&gt;Valores!$C$43,Valores!$C$43,Valores!$C$45*D196)</f>
        <v>235.76</v>
      </c>
      <c r="U196" s="103">
        <f>Valores!$C$22*D196</f>
        <v>260.56</v>
      </c>
      <c r="V196" s="87">
        <f t="shared" si="33"/>
        <v>260.56</v>
      </c>
      <c r="W196" s="87">
        <v>0</v>
      </c>
      <c r="X196" s="87">
        <v>0</v>
      </c>
      <c r="Y196" s="115">
        <v>0</v>
      </c>
      <c r="Z196" s="87">
        <f>Y196*Valores!$C$2</f>
        <v>0</v>
      </c>
      <c r="AA196" s="87">
        <v>0</v>
      </c>
      <c r="AB196" s="92">
        <f>IF((Valores!$C$32)*D196&gt;Valores!$F$32,Valores!$F$32,(Valores!$C$32)*D196)</f>
        <v>29.6</v>
      </c>
      <c r="AC196" s="87">
        <f t="shared" si="29"/>
        <v>0</v>
      </c>
      <c r="AD196" s="87">
        <f>IF(Valores!$C$33*D196&gt;Valores!$F$33,Valores!$F$33,Valores!$C$33*D196)</f>
        <v>24.64</v>
      </c>
      <c r="AE196" s="91">
        <v>0</v>
      </c>
      <c r="AF196" s="87">
        <f>INT(((AE196*Valores!$C$2)*100)+0.5)/100</f>
        <v>0</v>
      </c>
      <c r="AG196" s="87">
        <f>IF(Valores!$D$58*'Escala Docente'!D196&gt;Valores!$F$58,Valores!$F$58,Valores!$D$58*'Escala Docente'!D196)</f>
        <v>100.24</v>
      </c>
      <c r="AH196" s="87">
        <f>IF(Valores!$D$60*D196&gt;Valores!$F$60,Valores!$F$60,Valores!$D$60*D196)</f>
        <v>28.64</v>
      </c>
      <c r="AI196" s="111">
        <f t="shared" si="30"/>
        <v>5888.684000000001</v>
      </c>
      <c r="AJ196" s="103">
        <f>IF(Valores!$C$36*D196&gt;Valores!$F$36,Valores!$F$36,Valores!$C$36*D196)</f>
        <v>233.76</v>
      </c>
      <c r="AK196" s="90">
        <f>IF(Valores!$C$11*D196&gt;Valores!$F$11,Valores!$F$11,Valores!$C$11*D196)</f>
        <v>0</v>
      </c>
      <c r="AL196" s="74">
        <f>IF(Valores!$C$84*D196&gt;Valores!$C$83,Valores!$C$83,Valores!$C$84*D196)</f>
        <v>300</v>
      </c>
      <c r="AM196" s="74">
        <f t="shared" si="37"/>
        <v>280</v>
      </c>
      <c r="AN196" s="92">
        <f>IF(Valores!$C$56*D196&gt;Valores!$F$56,Valores!$F$56,Valores!$C$56*D196)</f>
        <v>52.48</v>
      </c>
      <c r="AO196" s="94">
        <f t="shared" si="31"/>
        <v>533.76</v>
      </c>
      <c r="AP196" s="112">
        <f>AI196*-Valores!$C$65</f>
        <v>-765.5289200000002</v>
      </c>
      <c r="AQ196" s="112">
        <f>AI196*-Valores!$C$66</f>
        <v>-29.443420000000007</v>
      </c>
      <c r="AR196" s="89">
        <f>AI196*-Valores!$C$67</f>
        <v>-264.99078000000003</v>
      </c>
      <c r="AS196" s="89">
        <f>AI196*-Valores!$C$68</f>
        <v>-158.99446800000004</v>
      </c>
      <c r="AT196" s="89">
        <f>AI196*-Valores!$C$69</f>
        <v>-17.666052000000004</v>
      </c>
      <c r="AU196" s="93">
        <f t="shared" si="27"/>
        <v>5362.480880000001</v>
      </c>
      <c r="AV196" s="93">
        <f t="shared" si="28"/>
        <v>5450.8111400000025</v>
      </c>
      <c r="AW196" s="89">
        <f>AI196*Valores!$C$71</f>
        <v>942.1894400000002</v>
      </c>
      <c r="AX196" s="89">
        <f>AI196*Valores!$C$72</f>
        <v>264.99078000000003</v>
      </c>
      <c r="AY196" s="89">
        <f>AI196*Valores!$C$73</f>
        <v>58.886840000000014</v>
      </c>
      <c r="AZ196" s="89">
        <f>AI196*Valores!$C$75</f>
        <v>206.10394000000005</v>
      </c>
      <c r="BA196" s="89">
        <f>AI196*Valores!$C$76</f>
        <v>35.33210400000001</v>
      </c>
      <c r="BB196" s="89">
        <f t="shared" si="32"/>
        <v>317.9889360000001</v>
      </c>
      <c r="BC196" s="81"/>
      <c r="BD196" s="81">
        <f t="shared" si="36"/>
        <v>16</v>
      </c>
      <c r="BE196" s="82" t="s">
        <v>4</v>
      </c>
    </row>
    <row r="197" spans="1:57" s="24" customFormat="1" ht="11.25" customHeight="1">
      <c r="A197" s="47">
        <v>196</v>
      </c>
      <c r="B197" s="47"/>
      <c r="C197" s="24" t="s">
        <v>521</v>
      </c>
      <c r="D197" s="24">
        <v>5</v>
      </c>
      <c r="E197" s="24">
        <f t="shared" si="24"/>
        <v>36</v>
      </c>
      <c r="F197" s="67" t="str">
        <f t="shared" si="34"/>
        <v>Hora Cátedra Enseñanza Superior 5 hs</v>
      </c>
      <c r="G197" s="68">
        <f t="shared" si="35"/>
        <v>495</v>
      </c>
      <c r="H197" s="69">
        <f>INT((G197*Valores!$C$2*100)+0.5)/100</f>
        <v>3786.3</v>
      </c>
      <c r="I197" s="108">
        <v>0</v>
      </c>
      <c r="J197" s="71">
        <f>INT((I197*Valores!$C$2*100)+0.5)/100</f>
        <v>0</v>
      </c>
      <c r="K197" s="98">
        <v>0</v>
      </c>
      <c r="L197" s="71">
        <f>INT((K197*Valores!$C$2*100)+0.5)/100</f>
        <v>0</v>
      </c>
      <c r="M197" s="96">
        <v>0</v>
      </c>
      <c r="N197" s="71">
        <f>INT((M197*Valores!$C$2*100)+0.5)/100</f>
        <v>0</v>
      </c>
      <c r="O197" s="71">
        <f t="shared" si="25"/>
        <v>661.005</v>
      </c>
      <c r="P197" s="71">
        <f t="shared" si="26"/>
        <v>0</v>
      </c>
      <c r="Q197" s="97">
        <f>Valores!$C$14*D197</f>
        <v>923.8</v>
      </c>
      <c r="R197" s="97">
        <f>IF(D197&lt;15,(Valores!$E$4*D197),Valores!$D$4)</f>
        <v>1140.45</v>
      </c>
      <c r="S197" s="71">
        <v>0</v>
      </c>
      <c r="T197" s="74">
        <f>IF(Valores!$C$45*D197&gt;Valores!$C$43,Valores!$C$43,Valores!$C$45*D197)</f>
        <v>294.7</v>
      </c>
      <c r="U197" s="97">
        <f>Valores!$C$22*D197</f>
        <v>325.7</v>
      </c>
      <c r="V197" s="71">
        <f t="shared" si="33"/>
        <v>325.7</v>
      </c>
      <c r="W197" s="71">
        <v>0</v>
      </c>
      <c r="X197" s="71">
        <v>0</v>
      </c>
      <c r="Y197" s="114">
        <v>0</v>
      </c>
      <c r="Z197" s="71">
        <f>Y197*Valores!$C$2</f>
        <v>0</v>
      </c>
      <c r="AA197" s="71">
        <v>0</v>
      </c>
      <c r="AB197" s="76">
        <f>IF((Valores!$C$32)*D197&gt;Valores!$F$32,Valores!$F$32,(Valores!$C$32)*D197)</f>
        <v>37</v>
      </c>
      <c r="AC197" s="71">
        <f t="shared" si="29"/>
        <v>0</v>
      </c>
      <c r="AD197" s="71">
        <f>IF(Valores!$C$33*D197&gt;Valores!$F$33,Valores!$F$33,Valores!$C$33*D197)</f>
        <v>30.8</v>
      </c>
      <c r="AE197" s="75">
        <v>0</v>
      </c>
      <c r="AF197" s="71">
        <f>INT(((AE197*Valores!$C$2)*100)+0.5)/100</f>
        <v>0</v>
      </c>
      <c r="AG197" s="71">
        <f>IF(Valores!$D$58*'Escala Docente'!D197&gt;Valores!$F$58,Valores!$F$58,Valores!$D$58*'Escala Docente'!D197)</f>
        <v>125.3</v>
      </c>
      <c r="AH197" s="71">
        <f>IF(Valores!$D$60*D197&gt;Valores!$F$60,Valores!$F$60,Valores!$D$60*D197)</f>
        <v>35.8</v>
      </c>
      <c r="AI197" s="110">
        <f t="shared" si="30"/>
        <v>7360.8550000000005</v>
      </c>
      <c r="AJ197" s="97">
        <f>IF(Valores!$C$36*D197&gt;Valores!$F$36,Valores!$F$36,Valores!$C$36*D197)</f>
        <v>292.2</v>
      </c>
      <c r="AK197" s="74">
        <f>IF(Valores!$C$11*D197&gt;Valores!$F$11,Valores!$F$11,Valores!$C$11*D197)</f>
        <v>0</v>
      </c>
      <c r="AL197" s="74">
        <f>IF(Valores!$C$84*D197&gt;Valores!$C$83,Valores!$C$83,Valores!$C$84*D197)</f>
        <v>375</v>
      </c>
      <c r="AM197" s="74">
        <f t="shared" si="37"/>
        <v>350</v>
      </c>
      <c r="AN197" s="76">
        <f>IF(Valores!$C$56*D197&gt;Valores!$F$56,Valores!$F$56,Valores!$C$56*D197)</f>
        <v>65.6</v>
      </c>
      <c r="AO197" s="78">
        <f t="shared" si="31"/>
        <v>667.2</v>
      </c>
      <c r="AP197" s="57">
        <f>AI197*-Valores!$C$65</f>
        <v>-956.9111500000001</v>
      </c>
      <c r="AQ197" s="57">
        <f>AI197*-Valores!$C$66</f>
        <v>-36.804275000000004</v>
      </c>
      <c r="AR197" s="73">
        <f>AI197*-Valores!$C$67</f>
        <v>-331.238475</v>
      </c>
      <c r="AS197" s="73">
        <f>AI197*-Valores!$C$68</f>
        <v>-198.743085</v>
      </c>
      <c r="AT197" s="73">
        <f>AI197*-Valores!$C$69</f>
        <v>-22.082565000000002</v>
      </c>
      <c r="AU197" s="77">
        <f t="shared" si="27"/>
        <v>6703.1011</v>
      </c>
      <c r="AV197" s="77">
        <f t="shared" si="28"/>
        <v>6813.513925</v>
      </c>
      <c r="AW197" s="73">
        <f>AI197*Valores!$C$71</f>
        <v>1177.7368000000001</v>
      </c>
      <c r="AX197" s="73">
        <f>AI197*Valores!$C$72</f>
        <v>331.238475</v>
      </c>
      <c r="AY197" s="73">
        <f>AI197*Valores!$C$73</f>
        <v>73.60855000000001</v>
      </c>
      <c r="AZ197" s="73">
        <f>AI197*Valores!$C$75</f>
        <v>257.629925</v>
      </c>
      <c r="BA197" s="73">
        <f>AI197*Valores!$C$76</f>
        <v>44.165130000000005</v>
      </c>
      <c r="BB197" s="73">
        <f t="shared" si="32"/>
        <v>397.4861700000001</v>
      </c>
      <c r="BC197" s="47"/>
      <c r="BD197" s="47">
        <f t="shared" si="36"/>
        <v>20</v>
      </c>
      <c r="BE197" s="24" t="s">
        <v>4</v>
      </c>
    </row>
    <row r="198" spans="1:57" s="24" customFormat="1" ht="11.25" customHeight="1">
      <c r="A198" s="47">
        <v>197</v>
      </c>
      <c r="B198" s="47"/>
      <c r="C198" s="24" t="s">
        <v>521</v>
      </c>
      <c r="D198" s="24">
        <v>6</v>
      </c>
      <c r="E198" s="24">
        <f t="shared" si="24"/>
        <v>36</v>
      </c>
      <c r="F198" s="67" t="str">
        <f t="shared" si="34"/>
        <v>Hora Cátedra Enseñanza Superior 6 hs</v>
      </c>
      <c r="G198" s="68">
        <f t="shared" si="35"/>
        <v>594</v>
      </c>
      <c r="H198" s="69">
        <f>INT((G198*Valores!$C$2*100)+0.5)/100</f>
        <v>4543.57</v>
      </c>
      <c r="I198" s="108">
        <v>0</v>
      </c>
      <c r="J198" s="71">
        <f>INT((I198*Valores!$C$2*100)+0.5)/100</f>
        <v>0</v>
      </c>
      <c r="K198" s="98">
        <v>0</v>
      </c>
      <c r="L198" s="71">
        <f>INT((K198*Valores!$C$2*100)+0.5)/100</f>
        <v>0</v>
      </c>
      <c r="M198" s="96">
        <v>0</v>
      </c>
      <c r="N198" s="71">
        <f>INT((M198*Valores!$C$2*100)+0.5)/100</f>
        <v>0</v>
      </c>
      <c r="O198" s="71">
        <f t="shared" si="25"/>
        <v>793.2075</v>
      </c>
      <c r="P198" s="71">
        <f t="shared" si="26"/>
        <v>0</v>
      </c>
      <c r="Q198" s="97">
        <f>Valores!$C$14*D198</f>
        <v>1108.56</v>
      </c>
      <c r="R198" s="97">
        <f>IF(D198&lt;15,(Valores!$E$4*D198),Valores!$D$4)</f>
        <v>1368.54</v>
      </c>
      <c r="S198" s="71">
        <v>0</v>
      </c>
      <c r="T198" s="74">
        <f>IF(Valores!$C$45*D198&gt;Valores!$C$43,Valores!$C$43,Valores!$C$45*D198)</f>
        <v>353.64</v>
      </c>
      <c r="U198" s="97">
        <f>Valores!$C$22*D198</f>
        <v>390.84000000000003</v>
      </c>
      <c r="V198" s="71">
        <f t="shared" si="33"/>
        <v>390.84000000000003</v>
      </c>
      <c r="W198" s="71">
        <v>0</v>
      </c>
      <c r="X198" s="71">
        <v>0</v>
      </c>
      <c r="Y198" s="114">
        <v>0</v>
      </c>
      <c r="Z198" s="71">
        <f>Y198*Valores!$C$2</f>
        <v>0</v>
      </c>
      <c r="AA198" s="71">
        <v>0</v>
      </c>
      <c r="AB198" s="76">
        <f>IF((Valores!$C$32)*D198&gt;Valores!$F$32,Valores!$F$32,(Valores!$C$32)*D198)</f>
        <v>44.400000000000006</v>
      </c>
      <c r="AC198" s="71">
        <f t="shared" si="29"/>
        <v>0</v>
      </c>
      <c r="AD198" s="71">
        <f>IF(Valores!$C$33*D198&gt;Valores!$F$33,Valores!$F$33,Valores!$C$33*D198)</f>
        <v>36.96</v>
      </c>
      <c r="AE198" s="75">
        <v>0</v>
      </c>
      <c r="AF198" s="71">
        <f>INT(((AE198*Valores!$C$2)*100)+0.5)/100</f>
        <v>0</v>
      </c>
      <c r="AG198" s="71">
        <f>IF(Valores!$D$58*'Escala Docente'!D198&gt;Valores!$F$58,Valores!$F$58,Valores!$D$58*'Escala Docente'!D198)</f>
        <v>150.35999999999999</v>
      </c>
      <c r="AH198" s="71">
        <f>IF(Valores!$D$60*D198&gt;Valores!$F$60,Valores!$F$60,Valores!$D$60*D198)</f>
        <v>42.96</v>
      </c>
      <c r="AI198" s="110">
        <f t="shared" si="30"/>
        <v>8833.037499999997</v>
      </c>
      <c r="AJ198" s="97">
        <f>IF(Valores!$C$36*D198&gt;Valores!$F$36,Valores!$F$36,Valores!$C$36*D198)</f>
        <v>350.64</v>
      </c>
      <c r="AK198" s="74">
        <f>IF(Valores!$C$11*D198&gt;Valores!$F$11,Valores!$F$11,Valores!$C$11*D198)</f>
        <v>0</v>
      </c>
      <c r="AL198" s="74">
        <f>IF(Valores!$C$84*D198&gt;Valores!$C$83,Valores!$C$83,Valores!$C$84*D198)</f>
        <v>450</v>
      </c>
      <c r="AM198" s="74">
        <f t="shared" si="37"/>
        <v>420</v>
      </c>
      <c r="AN198" s="76">
        <f>IF(Valores!$C$56*D198&gt;Valores!$F$56,Valores!$F$56,Valores!$C$56*D198)</f>
        <v>78.72</v>
      </c>
      <c r="AO198" s="78">
        <f t="shared" si="31"/>
        <v>800.64</v>
      </c>
      <c r="AP198" s="57">
        <f>AI198*-Valores!$C$65</f>
        <v>-1148.2948749999996</v>
      </c>
      <c r="AQ198" s="57">
        <f>AI198*-Valores!$C$66</f>
        <v>-44.16518749999999</v>
      </c>
      <c r="AR198" s="73">
        <f>AI198*-Valores!$C$67</f>
        <v>-397.48668749999985</v>
      </c>
      <c r="AS198" s="73">
        <f>AI198*-Valores!$C$68</f>
        <v>-238.4920124999999</v>
      </c>
      <c r="AT198" s="73">
        <f>AI198*-Valores!$C$69</f>
        <v>-26.499112499999992</v>
      </c>
      <c r="AU198" s="77">
        <f t="shared" si="27"/>
        <v>8043.730749999995</v>
      </c>
      <c r="AV198" s="77">
        <f t="shared" si="28"/>
        <v>8176.226312499995</v>
      </c>
      <c r="AW198" s="73">
        <f>AI198*Valores!$C$71</f>
        <v>1413.2859999999996</v>
      </c>
      <c r="AX198" s="73">
        <f>AI198*Valores!$C$72</f>
        <v>397.48668749999985</v>
      </c>
      <c r="AY198" s="73">
        <f>AI198*Valores!$C$73</f>
        <v>88.33037499999998</v>
      </c>
      <c r="AZ198" s="73">
        <f>AI198*Valores!$C$75</f>
        <v>309.1563124999999</v>
      </c>
      <c r="BA198" s="73">
        <f>AI198*Valores!$C$76</f>
        <v>52.998224999999984</v>
      </c>
      <c r="BB198" s="73">
        <f t="shared" si="32"/>
        <v>476.9840249999998</v>
      </c>
      <c r="BC198" s="47"/>
      <c r="BD198" s="47">
        <f t="shared" si="36"/>
        <v>24</v>
      </c>
      <c r="BE198" s="24" t="s">
        <v>4</v>
      </c>
    </row>
    <row r="199" spans="1:57" s="24" customFormat="1" ht="11.25" customHeight="1">
      <c r="A199" s="47">
        <v>198</v>
      </c>
      <c r="B199" s="47"/>
      <c r="C199" s="24" t="s">
        <v>521</v>
      </c>
      <c r="D199" s="24">
        <v>7</v>
      </c>
      <c r="E199" s="24">
        <f aca="true" t="shared" si="38" ref="E199:E262">LEN(F199)</f>
        <v>36</v>
      </c>
      <c r="F199" s="67" t="str">
        <f t="shared" si="34"/>
        <v>Hora Cátedra Enseñanza Superior 7 hs</v>
      </c>
      <c r="G199" s="68">
        <f t="shared" si="35"/>
        <v>693</v>
      </c>
      <c r="H199" s="69">
        <f>INT((G199*Valores!$C$2*100)+0.5)/100</f>
        <v>5300.83</v>
      </c>
      <c r="I199" s="108">
        <v>0</v>
      </c>
      <c r="J199" s="71">
        <f>INT((I199*Valores!$C$2*100)+0.5)/100</f>
        <v>0</v>
      </c>
      <c r="K199" s="98">
        <v>0</v>
      </c>
      <c r="L199" s="71">
        <f>INT((K199*Valores!$C$2*100)+0.5)/100</f>
        <v>0</v>
      </c>
      <c r="M199" s="96">
        <v>0</v>
      </c>
      <c r="N199" s="71">
        <f>INT((M199*Valores!$C$2*100)+0.5)/100</f>
        <v>0</v>
      </c>
      <c r="O199" s="71">
        <f aca="true" t="shared" si="39" ref="O199:O262">IF($J$2=0,IF(C199&lt;&gt;"13-930",(SUM(H199,J199,L199,N199,Z199,U199,T199)*$O$2),0),0)</f>
        <v>925.4084999999999</v>
      </c>
      <c r="P199" s="71">
        <f aca="true" t="shared" si="40" ref="P199:P262">SUM(H199,J199,L199,N199,Z199,T199)*$J$2</f>
        <v>0</v>
      </c>
      <c r="Q199" s="97">
        <f>Valores!$C$14*D199</f>
        <v>1293.32</v>
      </c>
      <c r="R199" s="97">
        <f>IF(D199&lt;15,(Valores!$E$4*D199),Valores!$D$4)</f>
        <v>1596.63</v>
      </c>
      <c r="S199" s="71">
        <v>0</v>
      </c>
      <c r="T199" s="74">
        <f>IF(Valores!$C$45*D199&gt;Valores!$C$43,Valores!$C$43,Valores!$C$45*D199)</f>
        <v>412.58</v>
      </c>
      <c r="U199" s="97">
        <f>Valores!$C$22*D199</f>
        <v>455.98</v>
      </c>
      <c r="V199" s="71">
        <f t="shared" si="33"/>
        <v>455.98</v>
      </c>
      <c r="W199" s="71">
        <v>0</v>
      </c>
      <c r="X199" s="71">
        <v>0</v>
      </c>
      <c r="Y199" s="114">
        <v>0</v>
      </c>
      <c r="Z199" s="71">
        <f>Y199*Valores!$C$2</f>
        <v>0</v>
      </c>
      <c r="AA199" s="71">
        <v>0</v>
      </c>
      <c r="AB199" s="76">
        <f>IF((Valores!$C$32)*D199&gt;Valores!$F$32,Valores!$F$32,(Valores!$C$32)*D199)</f>
        <v>51.800000000000004</v>
      </c>
      <c r="AC199" s="71">
        <f t="shared" si="29"/>
        <v>0</v>
      </c>
      <c r="AD199" s="71">
        <f>IF(Valores!$C$33*D199&gt;Valores!$F$33,Valores!$F$33,Valores!$C$33*D199)</f>
        <v>43.120000000000005</v>
      </c>
      <c r="AE199" s="75">
        <v>0</v>
      </c>
      <c r="AF199" s="71">
        <f>INT(((AE199*Valores!$C$2)*100)+0.5)/100</f>
        <v>0</v>
      </c>
      <c r="AG199" s="71">
        <f>IF(Valores!$D$58*'Escala Docente'!D199&gt;Valores!$F$58,Valores!$F$58,Valores!$D$58*'Escala Docente'!D199)</f>
        <v>175.42</v>
      </c>
      <c r="AH199" s="71">
        <f>IF(Valores!$D$60*D199&gt;Valores!$F$60,Valores!$F$60,Valores!$D$60*D199)</f>
        <v>50.120000000000005</v>
      </c>
      <c r="AI199" s="110">
        <f t="shared" si="30"/>
        <v>10305.2085</v>
      </c>
      <c r="AJ199" s="97">
        <f>IF(Valores!$C$36*D199&gt;Valores!$F$36,Valores!$F$36,Valores!$C$36*D199)</f>
        <v>409.08</v>
      </c>
      <c r="AK199" s="74">
        <f>IF(Valores!$C$11*D199&gt;Valores!$F$11,Valores!$F$11,Valores!$C$11*D199)</f>
        <v>0</v>
      </c>
      <c r="AL199" s="74">
        <f>IF(Valores!$C$84*D199&gt;Valores!$C$83,Valores!$C$83,Valores!$C$84*D199)</f>
        <v>525</v>
      </c>
      <c r="AM199" s="74">
        <f t="shared" si="37"/>
        <v>490</v>
      </c>
      <c r="AN199" s="76">
        <f>IF(Valores!$C$56*D199&gt;Valores!$F$56,Valores!$F$56,Valores!$C$56*D199)</f>
        <v>91.83999999999999</v>
      </c>
      <c r="AO199" s="78">
        <f t="shared" si="31"/>
        <v>934.0799999999999</v>
      </c>
      <c r="AP199" s="57">
        <f>AI199*-Valores!$C$65</f>
        <v>-1339.6771050000002</v>
      </c>
      <c r="AQ199" s="57">
        <f>AI199*-Valores!$C$66</f>
        <v>-51.5260425</v>
      </c>
      <c r="AR199" s="73">
        <f>AI199*-Valores!$C$67</f>
        <v>-463.73438250000004</v>
      </c>
      <c r="AS199" s="73">
        <f>AI199*-Valores!$C$68</f>
        <v>-278.2406295</v>
      </c>
      <c r="AT199" s="73">
        <f>AI199*-Valores!$C$69</f>
        <v>-30.9156255</v>
      </c>
      <c r="AU199" s="77">
        <f aca="true" t="shared" si="41" ref="AU199:AU262">AI199+AO199+AQ199+AR199+AP199</f>
        <v>9384.35097</v>
      </c>
      <c r="AV199" s="77">
        <f aca="true" t="shared" si="42" ref="AV199:AV262">AI199+AO199+AQ199+AS199+AP199+AT199</f>
        <v>9538.9290975</v>
      </c>
      <c r="AW199" s="73">
        <f>AI199*Valores!$C$71</f>
        <v>1648.83336</v>
      </c>
      <c r="AX199" s="73">
        <f>AI199*Valores!$C$72</f>
        <v>463.73438250000004</v>
      </c>
      <c r="AY199" s="73">
        <f>AI199*Valores!$C$73</f>
        <v>103.052085</v>
      </c>
      <c r="AZ199" s="73">
        <f>AI199*Valores!$C$75</f>
        <v>360.68229750000006</v>
      </c>
      <c r="BA199" s="73">
        <f>AI199*Valores!$C$76</f>
        <v>61.831251</v>
      </c>
      <c r="BB199" s="73">
        <f t="shared" si="32"/>
        <v>556.481259</v>
      </c>
      <c r="BC199" s="47"/>
      <c r="BD199" s="81">
        <f t="shared" si="36"/>
        <v>28</v>
      </c>
      <c r="BE199" s="24" t="s">
        <v>4</v>
      </c>
    </row>
    <row r="200" spans="1:57" s="24" customFormat="1" ht="11.25" customHeight="1">
      <c r="A200" s="47">
        <v>199</v>
      </c>
      <c r="B200" s="47"/>
      <c r="C200" s="24" t="s">
        <v>521</v>
      </c>
      <c r="D200" s="24">
        <v>8</v>
      </c>
      <c r="E200" s="24">
        <f t="shared" si="38"/>
        <v>36</v>
      </c>
      <c r="F200" s="67" t="str">
        <f t="shared" si="34"/>
        <v>Hora Cátedra Enseñanza Superior 8 hs</v>
      </c>
      <c r="G200" s="68">
        <f t="shared" si="35"/>
        <v>792</v>
      </c>
      <c r="H200" s="69">
        <f>INT((G200*Valores!$C$2*100)+0.5)/100</f>
        <v>6058.09</v>
      </c>
      <c r="I200" s="108">
        <v>0</v>
      </c>
      <c r="J200" s="71">
        <f>INT((I200*Valores!$C$2*100)+0.5)/100</f>
        <v>0</v>
      </c>
      <c r="K200" s="98">
        <v>0</v>
      </c>
      <c r="L200" s="71">
        <f>INT((K200*Valores!$C$2*100)+0.5)/100</f>
        <v>0</v>
      </c>
      <c r="M200" s="96">
        <v>0</v>
      </c>
      <c r="N200" s="71">
        <f>INT((M200*Valores!$C$2*100)+0.5)/100</f>
        <v>0</v>
      </c>
      <c r="O200" s="71">
        <f t="shared" si="39"/>
        <v>1057.6094999999998</v>
      </c>
      <c r="P200" s="71">
        <f t="shared" si="40"/>
        <v>0</v>
      </c>
      <c r="Q200" s="97">
        <f>Valores!$C$14*D200</f>
        <v>1478.08</v>
      </c>
      <c r="R200" s="97">
        <f>IF(D200&lt;15,(Valores!$E$4*D200),Valores!$D$4)</f>
        <v>1824.72</v>
      </c>
      <c r="S200" s="71">
        <v>0</v>
      </c>
      <c r="T200" s="74">
        <f>IF(Valores!$C$45*D200&gt;Valores!$C$43,Valores!$C$43,Valores!$C$45*D200)</f>
        <v>471.52</v>
      </c>
      <c r="U200" s="97">
        <f>Valores!$C$22*D200</f>
        <v>521.12</v>
      </c>
      <c r="V200" s="71">
        <f t="shared" si="33"/>
        <v>521.12</v>
      </c>
      <c r="W200" s="71">
        <v>0</v>
      </c>
      <c r="X200" s="71">
        <v>0</v>
      </c>
      <c r="Y200" s="114">
        <v>0</v>
      </c>
      <c r="Z200" s="71">
        <f>Y200*Valores!$C$2</f>
        <v>0</v>
      </c>
      <c r="AA200" s="71">
        <v>0</v>
      </c>
      <c r="AB200" s="76">
        <f>IF((Valores!$C$32)*D200&gt;Valores!$F$32,Valores!$F$32,(Valores!$C$32)*D200)</f>
        <v>59.2</v>
      </c>
      <c r="AC200" s="71">
        <f aca="true" t="shared" si="43" ref="AC200:AC263">SUM(H200,J200,L200,Z200,T200)*$H$3/100</f>
        <v>0</v>
      </c>
      <c r="AD200" s="71">
        <f>IF(Valores!$C$33*D200&gt;Valores!$F$33,Valores!$F$33,Valores!$C$33*D200)</f>
        <v>49.28</v>
      </c>
      <c r="AE200" s="75">
        <v>0</v>
      </c>
      <c r="AF200" s="71">
        <f>INT(((AE200*Valores!$C$2)*100)+0.5)/100</f>
        <v>0</v>
      </c>
      <c r="AG200" s="71">
        <f>IF(Valores!$D$58*'Escala Docente'!D200&gt;Valores!$F$58,Valores!$F$58,Valores!$D$58*'Escala Docente'!D200)</f>
        <v>200.48</v>
      </c>
      <c r="AH200" s="71">
        <f>IF(Valores!$D$60*D200&gt;Valores!$F$60,Valores!$F$60,Valores!$D$60*D200)</f>
        <v>57.28</v>
      </c>
      <c r="AI200" s="110">
        <f aca="true" t="shared" si="44" ref="AI200:AI263">SUM(H200,J200,L200,N200,O200,P200,Q200,R200,S200,V200,W200,X200,Z200,AA200,AB200,AC200,AD200,AF200,T200,AG200,AH200)</f>
        <v>11777.379500000003</v>
      </c>
      <c r="AJ200" s="97">
        <f>IF(Valores!$C$36*D200&gt;Valores!$F$36,Valores!$F$36,Valores!$C$36*D200)</f>
        <v>467.52</v>
      </c>
      <c r="AK200" s="74">
        <f>IF(Valores!$C$11*D200&gt;Valores!$F$11,Valores!$F$11,Valores!$C$11*D200)</f>
        <v>0</v>
      </c>
      <c r="AL200" s="74">
        <f>IF(Valores!$C$84*D200&gt;Valores!$C$83,Valores!$C$83,Valores!$C$84*D200)</f>
        <v>600</v>
      </c>
      <c r="AM200" s="74">
        <f t="shared" si="37"/>
        <v>560</v>
      </c>
      <c r="AN200" s="76">
        <f>IF(Valores!$C$56*D200&gt;Valores!$F$56,Valores!$F$56,Valores!$C$56*D200)</f>
        <v>104.96</v>
      </c>
      <c r="AO200" s="78">
        <f aca="true" t="shared" si="45" ref="AO200:AO263">IF($H$4="SI",SUM(AJ200:AL200,AN200),SUM(AJ200:AL200))</f>
        <v>1067.52</v>
      </c>
      <c r="AP200" s="57">
        <f>AI200*-Valores!$C$65</f>
        <v>-1531.0593350000004</v>
      </c>
      <c r="AQ200" s="57">
        <f>AI200*-Valores!$C$66</f>
        <v>-58.88689750000002</v>
      </c>
      <c r="AR200" s="73">
        <f>AI200*-Valores!$C$67</f>
        <v>-529.9820775000001</v>
      </c>
      <c r="AS200" s="73">
        <f>AI200*-Valores!$C$68</f>
        <v>-317.9892465000001</v>
      </c>
      <c r="AT200" s="73">
        <f>AI200*-Valores!$C$69</f>
        <v>-35.332138500000006</v>
      </c>
      <c r="AU200" s="77">
        <f t="shared" si="41"/>
        <v>10724.971190000002</v>
      </c>
      <c r="AV200" s="77">
        <f t="shared" si="42"/>
        <v>10901.631882500003</v>
      </c>
      <c r="AW200" s="73">
        <f>AI200*Valores!$C$71</f>
        <v>1884.3807200000006</v>
      </c>
      <c r="AX200" s="73">
        <f>AI200*Valores!$C$72</f>
        <v>529.9820775000001</v>
      </c>
      <c r="AY200" s="73">
        <f>AI200*Valores!$C$73</f>
        <v>117.77379500000004</v>
      </c>
      <c r="AZ200" s="73">
        <f>AI200*Valores!$C$75</f>
        <v>412.2082825000001</v>
      </c>
      <c r="BA200" s="73">
        <f>AI200*Valores!$C$76</f>
        <v>70.66427700000001</v>
      </c>
      <c r="BB200" s="73">
        <f t="shared" si="32"/>
        <v>635.9784930000002</v>
      </c>
      <c r="BC200" s="47"/>
      <c r="BD200" s="47">
        <f t="shared" si="36"/>
        <v>32</v>
      </c>
      <c r="BE200" s="24" t="s">
        <v>4</v>
      </c>
    </row>
    <row r="201" spans="1:57" s="24" customFormat="1" ht="11.25" customHeight="1">
      <c r="A201" s="81">
        <v>200</v>
      </c>
      <c r="B201" s="81" t="s">
        <v>163</v>
      </c>
      <c r="C201" s="82" t="s">
        <v>521</v>
      </c>
      <c r="D201" s="82">
        <v>9</v>
      </c>
      <c r="E201" s="82">
        <f t="shared" si="38"/>
        <v>36</v>
      </c>
      <c r="F201" s="83" t="str">
        <f t="shared" si="34"/>
        <v>Hora Cátedra Enseñanza Superior 9 hs</v>
      </c>
      <c r="G201" s="84">
        <f t="shared" si="35"/>
        <v>891</v>
      </c>
      <c r="H201" s="85">
        <f>INT((G201*Valores!$C$2*100)+0.5)/100</f>
        <v>6815.35</v>
      </c>
      <c r="I201" s="99">
        <v>0</v>
      </c>
      <c r="J201" s="87">
        <f>INT((I201*Valores!$C$2*100)+0.5)/100</f>
        <v>0</v>
      </c>
      <c r="K201" s="100">
        <v>0</v>
      </c>
      <c r="L201" s="87">
        <f>INT((K201*Valores!$C$2*100)+0.5)/100</f>
        <v>0</v>
      </c>
      <c r="M201" s="101">
        <v>0</v>
      </c>
      <c r="N201" s="87">
        <f>INT((M201*Valores!$C$2*100)+0.5)/100</f>
        <v>0</v>
      </c>
      <c r="O201" s="87">
        <f t="shared" si="39"/>
        <v>1189.8105</v>
      </c>
      <c r="P201" s="87">
        <f t="shared" si="40"/>
        <v>0</v>
      </c>
      <c r="Q201" s="103">
        <f>Valores!$C$14*D201</f>
        <v>1662.84</v>
      </c>
      <c r="R201" s="103">
        <f>IF(D201&lt;15,(Valores!$E$4*D201),Valores!$D$4)</f>
        <v>2052.81</v>
      </c>
      <c r="S201" s="87">
        <v>0</v>
      </c>
      <c r="T201" s="90">
        <f>IF(Valores!$C$45*D201&gt;Valores!$C$43,Valores!$C$43,Valores!$C$45*D201)</f>
        <v>530.46</v>
      </c>
      <c r="U201" s="103">
        <f>Valores!$C$22*D201</f>
        <v>586.26</v>
      </c>
      <c r="V201" s="87">
        <f t="shared" si="33"/>
        <v>586.26</v>
      </c>
      <c r="W201" s="87">
        <v>0</v>
      </c>
      <c r="X201" s="87">
        <v>0</v>
      </c>
      <c r="Y201" s="115">
        <v>0</v>
      </c>
      <c r="Z201" s="87">
        <f>Y201*Valores!$C$2</f>
        <v>0</v>
      </c>
      <c r="AA201" s="87">
        <v>0</v>
      </c>
      <c r="AB201" s="92">
        <f>IF((Valores!$C$32)*D201&gt;Valores!$F$32,Valores!$F$32,(Valores!$C$32)*D201)</f>
        <v>66.60000000000001</v>
      </c>
      <c r="AC201" s="87">
        <f t="shared" si="43"/>
        <v>0</v>
      </c>
      <c r="AD201" s="87">
        <f>IF(Valores!$C$33*D201&gt;Valores!$F$33,Valores!$F$33,Valores!$C$33*D201)</f>
        <v>55.44</v>
      </c>
      <c r="AE201" s="91">
        <v>0</v>
      </c>
      <c r="AF201" s="87">
        <f>INT(((AE201*Valores!$C$2)*100)+0.5)/100</f>
        <v>0</v>
      </c>
      <c r="AG201" s="87">
        <f>IF(Valores!$D$58*'Escala Docente'!D201&gt;Valores!$F$58,Valores!$F$58,Valores!$D$58*'Escala Docente'!D201)</f>
        <v>225.54</v>
      </c>
      <c r="AH201" s="87">
        <f>IF(Valores!$D$60*D201&gt;Valores!$F$60,Valores!$F$60,Valores!$D$60*D201)</f>
        <v>64.44</v>
      </c>
      <c r="AI201" s="111">
        <f t="shared" si="44"/>
        <v>13249.550500000003</v>
      </c>
      <c r="AJ201" s="103">
        <f>IF(Valores!$C$36*D201&gt;Valores!$F$36,Valores!$F$36,Valores!$C$36*D201)</f>
        <v>525.96</v>
      </c>
      <c r="AK201" s="90">
        <f>IF(Valores!$C$11*D201&gt;Valores!$F$11,Valores!$F$11,Valores!$C$11*D201)</f>
        <v>0</v>
      </c>
      <c r="AL201" s="90">
        <f>IF(Valores!$C$84*D201&gt;Valores!$C$83,Valores!$C$83,Valores!$C$84*D201)</f>
        <v>675</v>
      </c>
      <c r="AM201" s="74">
        <f t="shared" si="37"/>
        <v>630</v>
      </c>
      <c r="AN201" s="92">
        <f>IF(Valores!$C$56*D201&gt;Valores!$F$56,Valores!$F$56,Valores!$C$56*D201)</f>
        <v>118.08</v>
      </c>
      <c r="AO201" s="94">
        <f t="shared" si="45"/>
        <v>1200.96</v>
      </c>
      <c r="AP201" s="112">
        <f>AI201*-Valores!$C$65</f>
        <v>-1722.4415650000005</v>
      </c>
      <c r="AQ201" s="112">
        <f>AI201*-Valores!$C$66</f>
        <v>-66.24775250000002</v>
      </c>
      <c r="AR201" s="89">
        <f>AI201*-Valores!$C$67</f>
        <v>-596.2297725000001</v>
      </c>
      <c r="AS201" s="89">
        <f>AI201*-Valores!$C$68</f>
        <v>-357.73786350000006</v>
      </c>
      <c r="AT201" s="89">
        <f>AI201*-Valores!$C$69</f>
        <v>-39.74865150000001</v>
      </c>
      <c r="AU201" s="93">
        <f t="shared" si="41"/>
        <v>12065.591410000003</v>
      </c>
      <c r="AV201" s="93">
        <f t="shared" si="42"/>
        <v>12264.334667500003</v>
      </c>
      <c r="AW201" s="89">
        <f>AI201*Valores!$C$71</f>
        <v>2119.9280800000006</v>
      </c>
      <c r="AX201" s="89">
        <f>AI201*Valores!$C$72</f>
        <v>596.2297725000001</v>
      </c>
      <c r="AY201" s="89">
        <f>AI201*Valores!$C$73</f>
        <v>132.49550500000004</v>
      </c>
      <c r="AZ201" s="89">
        <f>AI201*Valores!$C$75</f>
        <v>463.73426750000016</v>
      </c>
      <c r="BA201" s="89">
        <f>AI201*Valores!$C$76</f>
        <v>79.49730300000002</v>
      </c>
      <c r="BB201" s="89">
        <f aca="true" t="shared" si="46" ref="BB201:BB264">AI201*5.4/100</f>
        <v>715.4757270000002</v>
      </c>
      <c r="BC201" s="81"/>
      <c r="BD201" s="81">
        <f t="shared" si="36"/>
        <v>36</v>
      </c>
      <c r="BE201" s="82" t="s">
        <v>4</v>
      </c>
    </row>
    <row r="202" spans="1:57" s="24" customFormat="1" ht="11.25" customHeight="1">
      <c r="A202" s="47">
        <v>201</v>
      </c>
      <c r="B202" s="47"/>
      <c r="C202" s="24" t="s">
        <v>521</v>
      </c>
      <c r="D202" s="24">
        <v>10</v>
      </c>
      <c r="E202" s="24">
        <f t="shared" si="38"/>
        <v>37</v>
      </c>
      <c r="F202" s="67" t="str">
        <f t="shared" si="34"/>
        <v>Hora Cátedra Enseñanza Superior 10 hs</v>
      </c>
      <c r="G202" s="68">
        <f t="shared" si="35"/>
        <v>990</v>
      </c>
      <c r="H202" s="69">
        <f>INT((G202*Valores!$C$2*100)+0.5)/100</f>
        <v>7572.61</v>
      </c>
      <c r="I202" s="108">
        <v>0</v>
      </c>
      <c r="J202" s="71">
        <f>INT((I202*Valores!$C$2*100)+0.5)/100</f>
        <v>0</v>
      </c>
      <c r="K202" s="98">
        <v>0</v>
      </c>
      <c r="L202" s="71">
        <f>INT((K202*Valores!$C$2*100)+0.5)/100</f>
        <v>0</v>
      </c>
      <c r="M202" s="96">
        <v>0</v>
      </c>
      <c r="N202" s="71">
        <f>INT((M202*Valores!$C$2*100)+0.5)/100</f>
        <v>0</v>
      </c>
      <c r="O202" s="71">
        <f t="shared" si="39"/>
        <v>1322.0114999999998</v>
      </c>
      <c r="P202" s="71">
        <f t="shared" si="40"/>
        <v>0</v>
      </c>
      <c r="Q202" s="97">
        <f>Valores!$C$14*D202</f>
        <v>1847.6</v>
      </c>
      <c r="R202" s="97">
        <f>IF(D202&lt;15,(Valores!$E$4*D202),Valores!$D$4)</f>
        <v>2280.9</v>
      </c>
      <c r="S202" s="71">
        <v>0</v>
      </c>
      <c r="T202" s="74">
        <f>IF(Valores!$C$45*D202&gt;Valores!$C$43,Valores!$C$43,Valores!$C$45*D202)</f>
        <v>589.4</v>
      </c>
      <c r="U202" s="97">
        <f>Valores!$C$22*D202</f>
        <v>651.4</v>
      </c>
      <c r="V202" s="71">
        <f t="shared" si="33"/>
        <v>651.4</v>
      </c>
      <c r="W202" s="71">
        <v>0</v>
      </c>
      <c r="X202" s="71">
        <v>0</v>
      </c>
      <c r="Y202" s="114">
        <v>0</v>
      </c>
      <c r="Z202" s="71">
        <f>Y202*Valores!$C$2</f>
        <v>0</v>
      </c>
      <c r="AA202" s="71">
        <v>0</v>
      </c>
      <c r="AB202" s="76">
        <f>IF((Valores!$C$32)*D202&gt;Valores!$F$32,Valores!$F$32,(Valores!$C$32)*D202)</f>
        <v>74</v>
      </c>
      <c r="AC202" s="71">
        <f t="shared" si="43"/>
        <v>0</v>
      </c>
      <c r="AD202" s="71">
        <f>IF(Valores!$C$33*D202&gt;Valores!$F$33,Valores!$F$33,Valores!$C$33*D202)</f>
        <v>61.6</v>
      </c>
      <c r="AE202" s="75">
        <v>0</v>
      </c>
      <c r="AF202" s="71">
        <f>INT(((AE202*Valores!$C$2)*100)+0.5)/100</f>
        <v>0</v>
      </c>
      <c r="AG202" s="71">
        <f>IF(Valores!$D$58*'Escala Docente'!D202&gt;Valores!$F$58,Valores!$F$58,Valores!$D$58*'Escala Docente'!D202)</f>
        <v>250.6</v>
      </c>
      <c r="AH202" s="71">
        <f>IF(Valores!$D$60*D202&gt;Valores!$F$60,Valores!$F$60,Valores!$D$60*D202)</f>
        <v>71.6</v>
      </c>
      <c r="AI202" s="110">
        <f t="shared" si="44"/>
        <v>14721.7215</v>
      </c>
      <c r="AJ202" s="97">
        <f>IF(Valores!$C$36*D202&gt;Valores!$F$36,Valores!$F$36,Valores!$C$36*D202)</f>
        <v>584.4</v>
      </c>
      <c r="AK202" s="74">
        <f>IF(Valores!$C$11*D202&gt;Valores!$F$11,Valores!$F$11,Valores!$C$11*D202)</f>
        <v>0</v>
      </c>
      <c r="AL202" s="74">
        <f>IF(Valores!$C$84*D202&gt;Valores!$C$83,Valores!$C$83,Valores!$C$84*D202)</f>
        <v>750</v>
      </c>
      <c r="AM202" s="74">
        <f t="shared" si="37"/>
        <v>700</v>
      </c>
      <c r="AN202" s="76">
        <f>IF(Valores!$C$56*D202&gt;Valores!$F$56,Valores!$F$56,Valores!$C$56*D202)</f>
        <v>131.2</v>
      </c>
      <c r="AO202" s="78">
        <f t="shared" si="45"/>
        <v>1334.4</v>
      </c>
      <c r="AP202" s="57">
        <f>AI202*-Valores!$C$65</f>
        <v>-1913.823795</v>
      </c>
      <c r="AQ202" s="57">
        <f>AI202*-Valores!$C$66</f>
        <v>-73.6086075</v>
      </c>
      <c r="AR202" s="73">
        <f>AI202*-Valores!$C$67</f>
        <v>-662.4774675</v>
      </c>
      <c r="AS202" s="73">
        <f>AI202*-Valores!$C$68</f>
        <v>-397.48648049999997</v>
      </c>
      <c r="AT202" s="73">
        <f>AI202*-Valores!$C$69</f>
        <v>-44.1651645</v>
      </c>
      <c r="AU202" s="77">
        <f t="shared" si="41"/>
        <v>13406.211629999998</v>
      </c>
      <c r="AV202" s="77">
        <f t="shared" si="42"/>
        <v>13627.037452499999</v>
      </c>
      <c r="AW202" s="73">
        <f>AI202*Valores!$C$71</f>
        <v>2355.47544</v>
      </c>
      <c r="AX202" s="73">
        <f>AI202*Valores!$C$72</f>
        <v>662.4774675</v>
      </c>
      <c r="AY202" s="73">
        <f>AI202*Valores!$C$73</f>
        <v>147.217215</v>
      </c>
      <c r="AZ202" s="73">
        <f>AI202*Valores!$C$75</f>
        <v>515.2602525000001</v>
      </c>
      <c r="BA202" s="73">
        <f>AI202*Valores!$C$76</f>
        <v>88.330329</v>
      </c>
      <c r="BB202" s="73">
        <f t="shared" si="46"/>
        <v>794.972961</v>
      </c>
      <c r="BC202" s="47"/>
      <c r="BD202" s="47">
        <f t="shared" si="36"/>
        <v>40</v>
      </c>
      <c r="BE202" s="24" t="s">
        <v>4</v>
      </c>
    </row>
    <row r="203" spans="1:57" s="24" customFormat="1" ht="11.25" customHeight="1">
      <c r="A203" s="47">
        <v>202</v>
      </c>
      <c r="B203" s="47"/>
      <c r="C203" s="24" t="s">
        <v>521</v>
      </c>
      <c r="D203" s="24">
        <v>11</v>
      </c>
      <c r="E203" s="24">
        <f t="shared" si="38"/>
        <v>37</v>
      </c>
      <c r="F203" s="67" t="str">
        <f t="shared" si="34"/>
        <v>Hora Cátedra Enseñanza Superior 11 hs</v>
      </c>
      <c r="G203" s="68">
        <f t="shared" si="35"/>
        <v>1089</v>
      </c>
      <c r="H203" s="69">
        <f>INT((G203*Valores!$C$2*100)+0.5)/100</f>
        <v>8329.87</v>
      </c>
      <c r="I203" s="108">
        <v>0</v>
      </c>
      <c r="J203" s="71">
        <f>INT((I203*Valores!$C$2*100)+0.5)/100</f>
        <v>0</v>
      </c>
      <c r="K203" s="98">
        <v>0</v>
      </c>
      <c r="L203" s="71">
        <f>INT((K203*Valores!$C$2*100)+0.5)/100</f>
        <v>0</v>
      </c>
      <c r="M203" s="96">
        <v>0</v>
      </c>
      <c r="N203" s="71">
        <f>INT((M203*Valores!$C$2*100)+0.5)/100</f>
        <v>0</v>
      </c>
      <c r="O203" s="71">
        <f t="shared" si="39"/>
        <v>1454.2124999999999</v>
      </c>
      <c r="P203" s="71">
        <f t="shared" si="40"/>
        <v>0</v>
      </c>
      <c r="Q203" s="97">
        <f>Valores!$C$14*D203</f>
        <v>2032.36</v>
      </c>
      <c r="R203" s="97">
        <f>IF(D203&lt;15,(Valores!$E$4*D203),Valores!$D$4)</f>
        <v>2508.9900000000002</v>
      </c>
      <c r="S203" s="71">
        <v>0</v>
      </c>
      <c r="T203" s="74">
        <f>IF(Valores!$C$45*D203&gt;Valores!$C$43,Valores!$C$43,Valores!$C$45*D203)</f>
        <v>648.3399999999999</v>
      </c>
      <c r="U203" s="97">
        <f>Valores!$C$22*D203</f>
        <v>716.54</v>
      </c>
      <c r="V203" s="71">
        <f t="shared" si="33"/>
        <v>716.54</v>
      </c>
      <c r="W203" s="71">
        <v>0</v>
      </c>
      <c r="X203" s="71">
        <v>0</v>
      </c>
      <c r="Y203" s="114">
        <v>0</v>
      </c>
      <c r="Z203" s="71">
        <f>Y203*Valores!$C$2</f>
        <v>0</v>
      </c>
      <c r="AA203" s="71">
        <v>0</v>
      </c>
      <c r="AB203" s="76">
        <f>IF((Valores!$C$32)*D203&gt;Valores!$F$32,Valores!$F$32,(Valores!$C$32)*D203)</f>
        <v>81.4</v>
      </c>
      <c r="AC203" s="71">
        <f t="shared" si="43"/>
        <v>0</v>
      </c>
      <c r="AD203" s="71">
        <f>IF(Valores!$C$33*D203&gt;Valores!$F$33,Valores!$F$33,Valores!$C$33*D203)</f>
        <v>67.76</v>
      </c>
      <c r="AE203" s="75">
        <v>0</v>
      </c>
      <c r="AF203" s="71">
        <f>INT(((AE203*Valores!$C$2)*100)+0.5)/100</f>
        <v>0</v>
      </c>
      <c r="AG203" s="71">
        <f>IF(Valores!$D$58*'Escala Docente'!D203&gt;Valores!$F$58,Valores!$F$58,Valores!$D$58*'Escala Docente'!D203)</f>
        <v>275.65999999999997</v>
      </c>
      <c r="AH203" s="71">
        <f>IF(Valores!$D$60*D203&gt;Valores!$F$60,Valores!$F$60,Valores!$D$60*D203)</f>
        <v>78.76</v>
      </c>
      <c r="AI203" s="110">
        <f t="shared" si="44"/>
        <v>16193.8925</v>
      </c>
      <c r="AJ203" s="97">
        <f>IF(Valores!$C$36*D203&gt;Valores!$F$36,Valores!$F$36,Valores!$C$36*D203)</f>
        <v>642.8399999999999</v>
      </c>
      <c r="AK203" s="74">
        <f>IF(Valores!$C$11*D203&gt;Valores!$F$11,Valores!$F$11,Valores!$C$11*D203)</f>
        <v>0</v>
      </c>
      <c r="AL203" s="74">
        <f>IF(Valores!$C$84*D203&gt;Valores!$C$83,Valores!$C$83,Valores!$C$84*D203)</f>
        <v>825</v>
      </c>
      <c r="AM203" s="74">
        <f t="shared" si="37"/>
        <v>770</v>
      </c>
      <c r="AN203" s="76">
        <f>IF(Valores!$C$56*D203&gt;Valores!$F$56,Valores!$F$56,Valores!$C$56*D203)</f>
        <v>144.32</v>
      </c>
      <c r="AO203" s="78">
        <f t="shared" si="45"/>
        <v>1467.84</v>
      </c>
      <c r="AP203" s="57">
        <f>AI203*-Valores!$C$65</f>
        <v>-2105.206025</v>
      </c>
      <c r="AQ203" s="57">
        <f>AI203*-Valores!$C$66</f>
        <v>-80.9694625</v>
      </c>
      <c r="AR203" s="73">
        <f>AI203*-Valores!$C$67</f>
        <v>-728.7251625</v>
      </c>
      <c r="AS203" s="73">
        <f>AI203*-Valores!$C$68</f>
        <v>-437.2350975</v>
      </c>
      <c r="AT203" s="73">
        <f>AI203*-Valores!$C$69</f>
        <v>-48.5816775</v>
      </c>
      <c r="AU203" s="77">
        <f t="shared" si="41"/>
        <v>14746.831849999999</v>
      </c>
      <c r="AV203" s="77">
        <f t="shared" si="42"/>
        <v>14989.740237499997</v>
      </c>
      <c r="AW203" s="73">
        <f>AI203*Valores!$C$71</f>
        <v>2591.0228</v>
      </c>
      <c r="AX203" s="73">
        <f>AI203*Valores!$C$72</f>
        <v>728.7251625</v>
      </c>
      <c r="AY203" s="73">
        <f>AI203*Valores!$C$73</f>
        <v>161.938925</v>
      </c>
      <c r="AZ203" s="73">
        <f>AI203*Valores!$C$75</f>
        <v>566.7862375000001</v>
      </c>
      <c r="BA203" s="73">
        <f>AI203*Valores!$C$76</f>
        <v>97.163355</v>
      </c>
      <c r="BB203" s="73">
        <f t="shared" si="46"/>
        <v>874.4701950000001</v>
      </c>
      <c r="BC203" s="47"/>
      <c r="BD203" s="47">
        <f t="shared" si="36"/>
        <v>44</v>
      </c>
      <c r="BE203" s="24" t="s">
        <v>4</v>
      </c>
    </row>
    <row r="204" spans="1:57" s="24" customFormat="1" ht="11.25" customHeight="1">
      <c r="A204" s="47">
        <v>203</v>
      </c>
      <c r="B204" s="47"/>
      <c r="C204" s="24" t="s">
        <v>521</v>
      </c>
      <c r="D204" s="24">
        <v>12</v>
      </c>
      <c r="E204" s="24">
        <f t="shared" si="38"/>
        <v>37</v>
      </c>
      <c r="F204" s="67" t="str">
        <f t="shared" si="34"/>
        <v>Hora Cátedra Enseñanza Superior 12 hs</v>
      </c>
      <c r="G204" s="68">
        <f t="shared" si="35"/>
        <v>1188</v>
      </c>
      <c r="H204" s="69">
        <f>INT((G204*Valores!$C$2*100)+0.5)/100</f>
        <v>9087.13</v>
      </c>
      <c r="I204" s="108">
        <v>0</v>
      </c>
      <c r="J204" s="71">
        <f>INT((I204*Valores!$C$2*100)+0.5)/100</f>
        <v>0</v>
      </c>
      <c r="K204" s="98">
        <v>0</v>
      </c>
      <c r="L204" s="71">
        <f>INT((K204*Valores!$C$2*100)+0.5)/100</f>
        <v>0</v>
      </c>
      <c r="M204" s="96">
        <v>0</v>
      </c>
      <c r="N204" s="71">
        <f>INT((M204*Valores!$C$2*100)+0.5)/100</f>
        <v>0</v>
      </c>
      <c r="O204" s="71">
        <f t="shared" si="39"/>
        <v>1586.4134999999999</v>
      </c>
      <c r="P204" s="71">
        <f t="shared" si="40"/>
        <v>0</v>
      </c>
      <c r="Q204" s="97">
        <f>Valores!$C$14*D204</f>
        <v>2217.12</v>
      </c>
      <c r="R204" s="97">
        <f>IF(D204&lt;15,(Valores!$E$4*D204),Valores!$D$4)</f>
        <v>2737.08</v>
      </c>
      <c r="S204" s="71">
        <v>0</v>
      </c>
      <c r="T204" s="74">
        <f>IF(Valores!$C$45*D204&gt;Valores!$C$43,Valores!$C$43,Valores!$C$45*D204)</f>
        <v>707.28</v>
      </c>
      <c r="U204" s="97">
        <f>Valores!$C$22*D204</f>
        <v>781.6800000000001</v>
      </c>
      <c r="V204" s="71">
        <f t="shared" si="33"/>
        <v>781.6800000000001</v>
      </c>
      <c r="W204" s="71">
        <v>0</v>
      </c>
      <c r="X204" s="71">
        <v>0</v>
      </c>
      <c r="Y204" s="114">
        <v>0</v>
      </c>
      <c r="Z204" s="71">
        <f>Y204*Valores!$C$2</f>
        <v>0</v>
      </c>
      <c r="AA204" s="71">
        <v>0</v>
      </c>
      <c r="AB204" s="76">
        <f>IF((Valores!$C$32)*D204&gt;Valores!$F$32,Valores!$F$32,(Valores!$C$32)*D204)</f>
        <v>88.80000000000001</v>
      </c>
      <c r="AC204" s="71">
        <f t="shared" si="43"/>
        <v>0</v>
      </c>
      <c r="AD204" s="71">
        <f>IF(Valores!$C$33*D204&gt;Valores!$F$33,Valores!$F$33,Valores!$C$33*D204)</f>
        <v>73.92</v>
      </c>
      <c r="AE204" s="75">
        <v>0</v>
      </c>
      <c r="AF204" s="71">
        <f>INT(((AE204*Valores!$C$2)*100)+0.5)/100</f>
        <v>0</v>
      </c>
      <c r="AG204" s="71">
        <f>IF(Valores!$D$58*'Escala Docente'!D204&gt;Valores!$F$58,Valores!$F$58,Valores!$D$58*'Escala Docente'!D204)</f>
        <v>300.71999999999997</v>
      </c>
      <c r="AH204" s="71">
        <f>IF(Valores!$D$60*D204&gt;Valores!$F$60,Valores!$F$60,Valores!$D$60*D204)</f>
        <v>85.92</v>
      </c>
      <c r="AI204" s="110">
        <f t="shared" si="44"/>
        <v>17666.063499999993</v>
      </c>
      <c r="AJ204" s="97">
        <f>IF(Valores!$C$36*D204&gt;Valores!$F$36,Valores!$F$36,Valores!$C$36*D204)</f>
        <v>701.28</v>
      </c>
      <c r="AK204" s="74">
        <f>IF(Valores!$C$11*D204&gt;Valores!$F$11,Valores!$F$11,Valores!$C$11*D204)</f>
        <v>0</v>
      </c>
      <c r="AL204" s="74">
        <f>IF(Valores!$C$84*D204&gt;Valores!$C$83,Valores!$C$83,Valores!$C$84*D204)</f>
        <v>900</v>
      </c>
      <c r="AM204" s="74">
        <f t="shared" si="37"/>
        <v>840</v>
      </c>
      <c r="AN204" s="76">
        <f>IF(Valores!$C$56*D204&gt;Valores!$F$56,Valores!$F$56,Valores!$C$56*D204)</f>
        <v>157.44</v>
      </c>
      <c r="AO204" s="78">
        <f t="shared" si="45"/>
        <v>1601.28</v>
      </c>
      <c r="AP204" s="57">
        <f>AI204*-Valores!$C$65</f>
        <v>-2296.588254999999</v>
      </c>
      <c r="AQ204" s="57">
        <f>AI204*-Valores!$C$66</f>
        <v>-88.33031749999996</v>
      </c>
      <c r="AR204" s="73">
        <f>AI204*-Valores!$C$67</f>
        <v>-794.9728574999997</v>
      </c>
      <c r="AS204" s="73">
        <f>AI204*-Valores!$C$68</f>
        <v>-476.9837144999998</v>
      </c>
      <c r="AT204" s="73">
        <f>AI204*-Valores!$C$69</f>
        <v>-52.99819049999998</v>
      </c>
      <c r="AU204" s="77">
        <f t="shared" si="41"/>
        <v>16087.452069999992</v>
      </c>
      <c r="AV204" s="77">
        <f t="shared" si="42"/>
        <v>16352.443022499994</v>
      </c>
      <c r="AW204" s="73">
        <f>AI204*Valores!$C$71</f>
        <v>2826.570159999999</v>
      </c>
      <c r="AX204" s="73">
        <f>AI204*Valores!$C$72</f>
        <v>794.9728574999997</v>
      </c>
      <c r="AY204" s="73">
        <f>AI204*Valores!$C$73</f>
        <v>176.66063499999993</v>
      </c>
      <c r="AZ204" s="73">
        <f>AI204*Valores!$C$75</f>
        <v>618.3122224999998</v>
      </c>
      <c r="BA204" s="73">
        <f>AI204*Valores!$C$76</f>
        <v>105.99638099999996</v>
      </c>
      <c r="BB204" s="73">
        <f t="shared" si="46"/>
        <v>953.9674289999997</v>
      </c>
      <c r="BC204" s="47"/>
      <c r="BD204" s="81">
        <f t="shared" si="36"/>
        <v>48</v>
      </c>
      <c r="BE204" s="24" t="s">
        <v>4</v>
      </c>
    </row>
    <row r="205" spans="1:57" s="24" customFormat="1" ht="11.25" customHeight="1">
      <c r="A205" s="47">
        <v>204</v>
      </c>
      <c r="B205" s="47"/>
      <c r="C205" s="24" t="s">
        <v>521</v>
      </c>
      <c r="D205" s="24">
        <v>13</v>
      </c>
      <c r="E205" s="24">
        <f t="shared" si="38"/>
        <v>37</v>
      </c>
      <c r="F205" s="67" t="str">
        <f t="shared" si="34"/>
        <v>Hora Cátedra Enseñanza Superior 13 hs</v>
      </c>
      <c r="G205" s="68">
        <f t="shared" si="35"/>
        <v>1287</v>
      </c>
      <c r="H205" s="69">
        <f>INT((G205*Valores!$C$2*100)+0.5)/100</f>
        <v>9844.39</v>
      </c>
      <c r="I205" s="108">
        <v>0</v>
      </c>
      <c r="J205" s="71">
        <f>INT((I205*Valores!$C$2*100)+0.5)/100</f>
        <v>0</v>
      </c>
      <c r="K205" s="98">
        <v>0</v>
      </c>
      <c r="L205" s="71">
        <f>INT((K205*Valores!$C$2*100)+0.5)/100</f>
        <v>0</v>
      </c>
      <c r="M205" s="96">
        <v>0</v>
      </c>
      <c r="N205" s="71">
        <f>INT((M205*Valores!$C$2*100)+0.5)/100</f>
        <v>0</v>
      </c>
      <c r="O205" s="71">
        <f t="shared" si="39"/>
        <v>1718.6144999999997</v>
      </c>
      <c r="P205" s="71">
        <f t="shared" si="40"/>
        <v>0</v>
      </c>
      <c r="Q205" s="97">
        <f>Valores!$C$14*D205</f>
        <v>2401.88</v>
      </c>
      <c r="R205" s="97">
        <f>IF(D205&lt;15,(Valores!$E$4*D205),Valores!$D$4)</f>
        <v>2965.17</v>
      </c>
      <c r="S205" s="71">
        <v>0</v>
      </c>
      <c r="T205" s="74">
        <f>IF(Valores!$C$45*D205&gt;Valores!$C$43,Valores!$C$43,Valores!$C$45*D205)</f>
        <v>766.22</v>
      </c>
      <c r="U205" s="97">
        <f>Valores!$C$22*D205</f>
        <v>846.82</v>
      </c>
      <c r="V205" s="71">
        <f t="shared" si="33"/>
        <v>846.82</v>
      </c>
      <c r="W205" s="71">
        <v>0</v>
      </c>
      <c r="X205" s="71">
        <v>0</v>
      </c>
      <c r="Y205" s="114">
        <v>0</v>
      </c>
      <c r="Z205" s="71">
        <f>Y205*Valores!$C$2</f>
        <v>0</v>
      </c>
      <c r="AA205" s="71">
        <v>0</v>
      </c>
      <c r="AB205" s="76">
        <f>IF((Valores!$C$32)*D205&gt;Valores!$F$32,Valores!$F$32,(Valores!$C$32)*D205)</f>
        <v>96.2</v>
      </c>
      <c r="AC205" s="71">
        <f t="shared" si="43"/>
        <v>0</v>
      </c>
      <c r="AD205" s="71">
        <f>IF(Valores!$C$33*D205&gt;Valores!$F$33,Valores!$F$33,Valores!$C$33*D205)</f>
        <v>80.08</v>
      </c>
      <c r="AE205" s="75">
        <v>0</v>
      </c>
      <c r="AF205" s="71">
        <f>INT(((AE205*Valores!$C$2)*100)+0.5)/100</f>
        <v>0</v>
      </c>
      <c r="AG205" s="71">
        <f>IF(Valores!$D$58*'Escala Docente'!D205&gt;Valores!$F$58,Valores!$F$58,Valores!$D$58*'Escala Docente'!D205)</f>
        <v>325.78</v>
      </c>
      <c r="AH205" s="71">
        <f>IF(Valores!$D$60*D205&gt;Valores!$F$60,Valores!$F$60,Valores!$D$60*D205)</f>
        <v>93.08</v>
      </c>
      <c r="AI205" s="110">
        <f t="shared" si="44"/>
        <v>19138.234500000002</v>
      </c>
      <c r="AJ205" s="97">
        <f>IF(Valores!$C$36*D205&gt;Valores!$F$36,Valores!$F$36,Valores!$C$36*D205)</f>
        <v>759.72</v>
      </c>
      <c r="AK205" s="74">
        <f>IF(Valores!$C$11*D205&gt;Valores!$F$11,Valores!$F$11,Valores!$C$11*D205)</f>
        <v>0</v>
      </c>
      <c r="AL205" s="74">
        <f>IF(Valores!$C$84*D205&gt;Valores!$C$83,Valores!$C$83,Valores!$C$84*D205)</f>
        <v>975</v>
      </c>
      <c r="AM205" s="74">
        <f t="shared" si="37"/>
        <v>910</v>
      </c>
      <c r="AN205" s="76">
        <f>IF(Valores!$C$56*D205&gt;Valores!$F$56,Valores!$F$56,Valores!$C$56*D205)</f>
        <v>170.56</v>
      </c>
      <c r="AO205" s="78">
        <f t="shared" si="45"/>
        <v>1734.72</v>
      </c>
      <c r="AP205" s="57">
        <f>AI205*-Valores!$C$65</f>
        <v>-2487.9704850000003</v>
      </c>
      <c r="AQ205" s="57">
        <f>AI205*-Valores!$C$66</f>
        <v>-95.69117250000001</v>
      </c>
      <c r="AR205" s="73">
        <f>AI205*-Valores!$C$67</f>
        <v>-861.2205525</v>
      </c>
      <c r="AS205" s="73">
        <f>AI205*-Valores!$C$68</f>
        <v>-516.7323315000001</v>
      </c>
      <c r="AT205" s="73">
        <f>AI205*-Valores!$C$69</f>
        <v>-57.41470350000001</v>
      </c>
      <c r="AU205" s="77">
        <f t="shared" si="41"/>
        <v>17428.072290000004</v>
      </c>
      <c r="AV205" s="77">
        <f t="shared" si="42"/>
        <v>17715.145807500005</v>
      </c>
      <c r="AW205" s="73">
        <f>AI205*Valores!$C$71</f>
        <v>3062.1175200000002</v>
      </c>
      <c r="AX205" s="73">
        <f>AI205*Valores!$C$72</f>
        <v>861.2205525</v>
      </c>
      <c r="AY205" s="73">
        <f>AI205*Valores!$C$73</f>
        <v>191.38234500000002</v>
      </c>
      <c r="AZ205" s="73">
        <f>AI205*Valores!$C$75</f>
        <v>669.8382075000002</v>
      </c>
      <c r="BA205" s="73">
        <f>AI205*Valores!$C$76</f>
        <v>114.82940700000002</v>
      </c>
      <c r="BB205" s="73">
        <f t="shared" si="46"/>
        <v>1033.4646630000002</v>
      </c>
      <c r="BC205" s="47"/>
      <c r="BD205" s="47">
        <f t="shared" si="36"/>
        <v>52</v>
      </c>
      <c r="BE205" s="24" t="s">
        <v>4</v>
      </c>
    </row>
    <row r="206" spans="1:57" s="24" customFormat="1" ht="11.25" customHeight="1">
      <c r="A206" s="81">
        <v>205</v>
      </c>
      <c r="B206" s="81" t="s">
        <v>163</v>
      </c>
      <c r="C206" s="82" t="s">
        <v>521</v>
      </c>
      <c r="D206" s="82">
        <v>14</v>
      </c>
      <c r="E206" s="82">
        <f t="shared" si="38"/>
        <v>37</v>
      </c>
      <c r="F206" s="83" t="str">
        <f t="shared" si="34"/>
        <v>Hora Cátedra Enseñanza Superior 14 hs</v>
      </c>
      <c r="G206" s="84">
        <f t="shared" si="35"/>
        <v>1386</v>
      </c>
      <c r="H206" s="85">
        <f>INT((G206*Valores!$C$2*100)+0.5)/100</f>
        <v>10601.65</v>
      </c>
      <c r="I206" s="99">
        <v>0</v>
      </c>
      <c r="J206" s="87">
        <f>INT((I206*Valores!$C$2*100)+0.5)/100</f>
        <v>0</v>
      </c>
      <c r="K206" s="100">
        <v>0</v>
      </c>
      <c r="L206" s="87">
        <f>INT((K206*Valores!$C$2*100)+0.5)/100</f>
        <v>0</v>
      </c>
      <c r="M206" s="101">
        <v>0</v>
      </c>
      <c r="N206" s="87">
        <f>INT((M206*Valores!$C$2*100)+0.5)/100</f>
        <v>0</v>
      </c>
      <c r="O206" s="87">
        <f t="shared" si="39"/>
        <v>1850.8155</v>
      </c>
      <c r="P206" s="87">
        <f t="shared" si="40"/>
        <v>0</v>
      </c>
      <c r="Q206" s="103">
        <f>Valores!$C$14*D206</f>
        <v>2586.64</v>
      </c>
      <c r="R206" s="103">
        <f>IF(D206&lt;15,(Valores!$E$4*D206),Valores!$D$4)</f>
        <v>3193.26</v>
      </c>
      <c r="S206" s="87">
        <v>0</v>
      </c>
      <c r="T206" s="90">
        <f>IF(Valores!$C$45*D206&gt;Valores!$C$43,Valores!$C$43,Valores!$C$45*D206)</f>
        <v>825.16</v>
      </c>
      <c r="U206" s="103">
        <f>Valores!$C$22*D206</f>
        <v>911.96</v>
      </c>
      <c r="V206" s="87">
        <f t="shared" si="33"/>
        <v>911.96</v>
      </c>
      <c r="W206" s="87">
        <v>0</v>
      </c>
      <c r="X206" s="87">
        <v>0</v>
      </c>
      <c r="Y206" s="115">
        <v>0</v>
      </c>
      <c r="Z206" s="87">
        <f>Y206*Valores!$C$2</f>
        <v>0</v>
      </c>
      <c r="AA206" s="87">
        <v>0</v>
      </c>
      <c r="AB206" s="92">
        <f>IF((Valores!$C$32)*D206&gt;Valores!$F$32,Valores!$F$32,(Valores!$C$32)*D206)</f>
        <v>103.60000000000001</v>
      </c>
      <c r="AC206" s="87">
        <f t="shared" si="43"/>
        <v>0</v>
      </c>
      <c r="AD206" s="87">
        <f>IF(Valores!$C$33*D206&gt;Valores!$F$33,Valores!$F$33,Valores!$C$33*D206)</f>
        <v>86.24000000000001</v>
      </c>
      <c r="AE206" s="91">
        <v>0</v>
      </c>
      <c r="AF206" s="87">
        <f>INT(((AE206*Valores!$C$2)*100)+0.5)/100</f>
        <v>0</v>
      </c>
      <c r="AG206" s="87">
        <f>IF(Valores!$D$58*'Escala Docente'!D206&gt;Valores!$F$58,Valores!$F$58,Valores!$D$58*'Escala Docente'!D206)</f>
        <v>350.84</v>
      </c>
      <c r="AH206" s="87">
        <f>IF(Valores!$D$60*D206&gt;Valores!$F$60,Valores!$F$60,Valores!$D$60*D206)</f>
        <v>100.24000000000001</v>
      </c>
      <c r="AI206" s="111">
        <f t="shared" si="44"/>
        <v>20610.4055</v>
      </c>
      <c r="AJ206" s="103">
        <f>IF(Valores!$C$36*D206&gt;Valores!$F$36,Valores!$F$36,Valores!$C$36*D206)</f>
        <v>818.16</v>
      </c>
      <c r="AK206" s="90">
        <f>IF(Valores!$C$11*D206&gt;Valores!$F$11,Valores!$F$11,Valores!$C$11*D206)</f>
        <v>0</v>
      </c>
      <c r="AL206" s="90">
        <f>IF(Valores!$C$84*D206&gt;Valores!$C$83,Valores!$C$83,Valores!$C$84*D206)</f>
        <v>1050</v>
      </c>
      <c r="AM206" s="74">
        <f t="shared" si="37"/>
        <v>980</v>
      </c>
      <c r="AN206" s="92">
        <f>IF(Valores!$C$56*D206&gt;Valores!$F$56,Valores!$F$56,Valores!$C$56*D206)</f>
        <v>183.67999999999998</v>
      </c>
      <c r="AO206" s="94">
        <f t="shared" si="45"/>
        <v>1868.1599999999999</v>
      </c>
      <c r="AP206" s="112">
        <f>AI206*-Valores!$C$65</f>
        <v>-2679.352715</v>
      </c>
      <c r="AQ206" s="112">
        <f>AI206*-Valores!$C$66</f>
        <v>-103.05202750000001</v>
      </c>
      <c r="AR206" s="89">
        <f>AI206*-Valores!$C$67</f>
        <v>-927.4682475</v>
      </c>
      <c r="AS206" s="89">
        <f>AI206*-Valores!$C$68</f>
        <v>-556.4809485000001</v>
      </c>
      <c r="AT206" s="89">
        <f>AI206*-Valores!$C$69</f>
        <v>-61.831216500000004</v>
      </c>
      <c r="AU206" s="93">
        <f t="shared" si="41"/>
        <v>18768.692509999997</v>
      </c>
      <c r="AV206" s="93">
        <f t="shared" si="42"/>
        <v>19077.8485925</v>
      </c>
      <c r="AW206" s="89">
        <f>AI206*Valores!$C$71</f>
        <v>3297.6648800000003</v>
      </c>
      <c r="AX206" s="89">
        <f>AI206*Valores!$C$72</f>
        <v>927.4682475</v>
      </c>
      <c r="AY206" s="89">
        <f>AI206*Valores!$C$73</f>
        <v>206.10405500000002</v>
      </c>
      <c r="AZ206" s="89">
        <f>AI206*Valores!$C$75</f>
        <v>721.3641925000001</v>
      </c>
      <c r="BA206" s="89">
        <f>AI206*Valores!$C$76</f>
        <v>123.66243300000001</v>
      </c>
      <c r="BB206" s="89">
        <f t="shared" si="46"/>
        <v>1112.9618970000001</v>
      </c>
      <c r="BC206" s="81"/>
      <c r="BD206" s="81">
        <f t="shared" si="36"/>
        <v>56</v>
      </c>
      <c r="BE206" s="82" t="s">
        <v>4</v>
      </c>
    </row>
    <row r="207" spans="1:57" s="24" customFormat="1" ht="11.25" customHeight="1">
      <c r="A207" s="47">
        <v>206</v>
      </c>
      <c r="B207" s="47"/>
      <c r="C207" s="24" t="s">
        <v>521</v>
      </c>
      <c r="D207" s="24">
        <v>15</v>
      </c>
      <c r="E207" s="24">
        <f t="shared" si="38"/>
        <v>37</v>
      </c>
      <c r="F207" s="67" t="str">
        <f t="shared" si="34"/>
        <v>Hora Cátedra Enseñanza Superior 15 hs</v>
      </c>
      <c r="G207" s="68">
        <f t="shared" si="35"/>
        <v>1485</v>
      </c>
      <c r="H207" s="69">
        <f>INT((G207*Valores!$C$2*100)+0.5)/100</f>
        <v>11358.91</v>
      </c>
      <c r="I207" s="108">
        <v>0</v>
      </c>
      <c r="J207" s="71">
        <f>INT((I207*Valores!$C$2*100)+0.5)/100</f>
        <v>0</v>
      </c>
      <c r="K207" s="98">
        <v>0</v>
      </c>
      <c r="L207" s="71">
        <f>INT((K207*Valores!$C$2*100)+0.5)/100</f>
        <v>0</v>
      </c>
      <c r="M207" s="96">
        <v>0</v>
      </c>
      <c r="N207" s="71">
        <f>INT((M207*Valores!$C$2*100)+0.5)/100</f>
        <v>0</v>
      </c>
      <c r="O207" s="71">
        <f t="shared" si="39"/>
        <v>1983.0165</v>
      </c>
      <c r="P207" s="71">
        <f t="shared" si="40"/>
        <v>0</v>
      </c>
      <c r="Q207" s="97">
        <f>Valores!$C$14*D207</f>
        <v>2771.3999999999996</v>
      </c>
      <c r="R207" s="97">
        <f>IF(D207&lt;15,(Valores!$E$4*D207),Valores!$D$4)</f>
        <v>3421.44</v>
      </c>
      <c r="S207" s="71">
        <v>0</v>
      </c>
      <c r="T207" s="74">
        <f>IF(Valores!$C$45*D207&gt;Valores!$C$43,Valores!$C$43,Valores!$C$45*D207)</f>
        <v>884.0999999999999</v>
      </c>
      <c r="U207" s="97">
        <f>Valores!$C$22*D207</f>
        <v>977.1</v>
      </c>
      <c r="V207" s="71">
        <f t="shared" si="33"/>
        <v>977.1</v>
      </c>
      <c r="W207" s="71">
        <v>0</v>
      </c>
      <c r="X207" s="71">
        <v>0</v>
      </c>
      <c r="Y207" s="114">
        <v>0</v>
      </c>
      <c r="Z207" s="71">
        <f>Y207*Valores!$C$2</f>
        <v>0</v>
      </c>
      <c r="AA207" s="71">
        <v>0</v>
      </c>
      <c r="AB207" s="76">
        <f>IF((Valores!$C$32)*D207&gt;Valores!$F$32,Valores!$F$32,(Valores!$C$32)*D207)</f>
        <v>111</v>
      </c>
      <c r="AC207" s="71">
        <f t="shared" si="43"/>
        <v>0</v>
      </c>
      <c r="AD207" s="71">
        <f>IF(Valores!$C$33*D207&gt;Valores!$F$33,Valores!$F$33,Valores!$C$33*D207)</f>
        <v>92.4</v>
      </c>
      <c r="AE207" s="75">
        <v>0</v>
      </c>
      <c r="AF207" s="71">
        <f>INT(((AE207*Valores!$C$2)*100)+0.5)/100</f>
        <v>0</v>
      </c>
      <c r="AG207" s="71">
        <f>IF(Valores!$D$58*'Escala Docente'!D207&gt;Valores!$F$58,Valores!$F$58,Valores!$D$58*'Escala Docente'!D207)</f>
        <v>375.9</v>
      </c>
      <c r="AH207" s="71">
        <f>IF(Valores!$D$60*D207&gt;Valores!$F$60,Valores!$F$60,Valores!$D$60*D207)</f>
        <v>107.4</v>
      </c>
      <c r="AI207" s="110">
        <f t="shared" si="44"/>
        <v>22082.6665</v>
      </c>
      <c r="AJ207" s="97">
        <f>IF(Valores!$C$36*D207&gt;Valores!$F$36,Valores!$F$36,Valores!$C$36*D207)</f>
        <v>876.5999999999999</v>
      </c>
      <c r="AK207" s="74">
        <f>IF(Valores!$C$11*D207&gt;Valores!$F$11,Valores!$F$11,Valores!$C$11*D207)</f>
        <v>0</v>
      </c>
      <c r="AL207" s="74">
        <f>IF(Valores!$C$84*D207&gt;Valores!$C$83,Valores!$C$83,Valores!$C$84*D207)</f>
        <v>1125</v>
      </c>
      <c r="AM207" s="74">
        <f t="shared" si="37"/>
        <v>1050</v>
      </c>
      <c r="AN207" s="76">
        <f>IF(Valores!$C$56*D207&gt;Valores!$F$56,Valores!$F$56,Valores!$C$56*D207)</f>
        <v>196.79999999999998</v>
      </c>
      <c r="AO207" s="78">
        <f t="shared" si="45"/>
        <v>2001.6</v>
      </c>
      <c r="AP207" s="57">
        <f>AI207*-Valores!$C$65</f>
        <v>-2870.746645</v>
      </c>
      <c r="AQ207" s="57">
        <f>AI207*-Valores!$C$66</f>
        <v>-110.4133325</v>
      </c>
      <c r="AR207" s="73">
        <f>AI207*-Valores!$C$67</f>
        <v>-993.7199925</v>
      </c>
      <c r="AS207" s="73">
        <f>AI207*-Valores!$C$68</f>
        <v>-596.2319954999999</v>
      </c>
      <c r="AT207" s="73">
        <f>AI207*-Valores!$C$69</f>
        <v>-66.2479995</v>
      </c>
      <c r="AU207" s="77">
        <f t="shared" si="41"/>
        <v>20109.38653</v>
      </c>
      <c r="AV207" s="77">
        <f t="shared" si="42"/>
        <v>20440.6265275</v>
      </c>
      <c r="AW207" s="73">
        <f>AI207*Valores!$C$71</f>
        <v>3533.22664</v>
      </c>
      <c r="AX207" s="73">
        <f>AI207*Valores!$C$72</f>
        <v>993.7199925</v>
      </c>
      <c r="AY207" s="73">
        <f>AI207*Valores!$C$73</f>
        <v>220.826665</v>
      </c>
      <c r="AZ207" s="73">
        <f>AI207*Valores!$C$75</f>
        <v>772.8933275</v>
      </c>
      <c r="BA207" s="73">
        <f>AI207*Valores!$C$76</f>
        <v>132.495999</v>
      </c>
      <c r="BB207" s="73">
        <f t="shared" si="46"/>
        <v>1192.463991</v>
      </c>
      <c r="BC207" s="47"/>
      <c r="BD207" s="47">
        <f t="shared" si="36"/>
        <v>60</v>
      </c>
      <c r="BE207" s="24" t="s">
        <v>4</v>
      </c>
    </row>
    <row r="208" spans="1:57" s="24" customFormat="1" ht="11.25" customHeight="1">
      <c r="A208" s="47">
        <v>207</v>
      </c>
      <c r="B208" s="47"/>
      <c r="C208" s="24" t="s">
        <v>521</v>
      </c>
      <c r="D208" s="24">
        <v>16</v>
      </c>
      <c r="E208" s="24">
        <f t="shared" si="38"/>
        <v>37</v>
      </c>
      <c r="F208" s="67" t="str">
        <f t="shared" si="34"/>
        <v>Hora Cátedra Enseñanza Superior 16 hs</v>
      </c>
      <c r="G208" s="68">
        <f t="shared" si="35"/>
        <v>1584</v>
      </c>
      <c r="H208" s="69">
        <f>INT((G208*Valores!$C$2*100)+0.5)/100</f>
        <v>12116.17</v>
      </c>
      <c r="I208" s="108">
        <v>0</v>
      </c>
      <c r="J208" s="71">
        <f>INT((I208*Valores!$C$2*100)+0.5)/100</f>
        <v>0</v>
      </c>
      <c r="K208" s="98">
        <v>0</v>
      </c>
      <c r="L208" s="71">
        <f>INT((K208*Valores!$C$2*100)+0.5)/100</f>
        <v>0</v>
      </c>
      <c r="M208" s="96">
        <v>0</v>
      </c>
      <c r="N208" s="71">
        <f>INT((M208*Valores!$C$2*100)+0.5)/100</f>
        <v>0</v>
      </c>
      <c r="O208" s="71">
        <f t="shared" si="39"/>
        <v>2115.2175</v>
      </c>
      <c r="P208" s="71">
        <f t="shared" si="40"/>
        <v>0</v>
      </c>
      <c r="Q208" s="97">
        <f>Valores!$C$14*D208</f>
        <v>2956.16</v>
      </c>
      <c r="R208" s="97">
        <f>IF(D208&lt;15,(Valores!$E$4*D208),Valores!$D$4)</f>
        <v>3421.44</v>
      </c>
      <c r="S208" s="71">
        <v>0</v>
      </c>
      <c r="T208" s="74">
        <f>IF(Valores!$C$45*D208&gt;Valores!$C$43,Valores!$C$43,Valores!$C$45*D208)</f>
        <v>943.04</v>
      </c>
      <c r="U208" s="97">
        <f>Valores!$C$22*D208</f>
        <v>1042.24</v>
      </c>
      <c r="V208" s="71">
        <f t="shared" si="33"/>
        <v>1042.24</v>
      </c>
      <c r="W208" s="71">
        <v>0</v>
      </c>
      <c r="X208" s="71">
        <v>0</v>
      </c>
      <c r="Y208" s="114">
        <v>0</v>
      </c>
      <c r="Z208" s="71">
        <f>Y208*Valores!$C$2</f>
        <v>0</v>
      </c>
      <c r="AA208" s="71">
        <v>0</v>
      </c>
      <c r="AB208" s="76">
        <f>IF((Valores!$C$32)*D208&gt;Valores!$F$32,Valores!$F$32,(Valores!$C$32)*D208)</f>
        <v>118.4</v>
      </c>
      <c r="AC208" s="71">
        <f t="shared" si="43"/>
        <v>0</v>
      </c>
      <c r="AD208" s="71">
        <f>IF(Valores!$C$33*D208&gt;Valores!$F$33,Valores!$F$33,Valores!$C$33*D208)</f>
        <v>98.56</v>
      </c>
      <c r="AE208" s="75">
        <v>0</v>
      </c>
      <c r="AF208" s="71">
        <f>INT(((AE208*Valores!$C$2)*100)+0.5)/100</f>
        <v>0</v>
      </c>
      <c r="AG208" s="71">
        <f>IF(Valores!$D$58*'Escala Docente'!D208&gt;Valores!$F$58,Valores!$F$58,Valores!$D$58*'Escala Docente'!D208)</f>
        <v>400.96</v>
      </c>
      <c r="AH208" s="71">
        <f>IF(Valores!$D$60*D208&gt;Valores!$F$60,Valores!$F$60,Valores!$D$60*D208)</f>
        <v>114.56</v>
      </c>
      <c r="AI208" s="110">
        <f t="shared" si="44"/>
        <v>23326.747500000005</v>
      </c>
      <c r="AJ208" s="97">
        <f>IF(Valores!$C$36*D208&gt;Valores!$F$36,Valores!$F$36,Valores!$C$36*D208)</f>
        <v>935.04</v>
      </c>
      <c r="AK208" s="74">
        <f>IF(Valores!$C$11*D208&gt;Valores!$F$11,Valores!$F$11,Valores!$C$11*D208)</f>
        <v>0</v>
      </c>
      <c r="AL208" s="74">
        <f>IF(Valores!$C$84*D208&gt;Valores!$C$83,Valores!$C$83,Valores!$C$84*D208)</f>
        <v>1200</v>
      </c>
      <c r="AM208" s="74">
        <f t="shared" si="37"/>
        <v>1120</v>
      </c>
      <c r="AN208" s="76">
        <f>IF(Valores!$C$56*D208&gt;Valores!$F$56,Valores!$F$56,Valores!$C$56*D208)</f>
        <v>209.92</v>
      </c>
      <c r="AO208" s="78">
        <f t="shared" si="45"/>
        <v>2135.04</v>
      </c>
      <c r="AP208" s="57">
        <f>AI208*-Valores!$C$65</f>
        <v>-3032.477175000001</v>
      </c>
      <c r="AQ208" s="57">
        <f>AI208*-Valores!$C$66</f>
        <v>-116.63373750000002</v>
      </c>
      <c r="AR208" s="73">
        <f>AI208*-Valores!$C$67</f>
        <v>-1049.7036375000002</v>
      </c>
      <c r="AS208" s="73">
        <f>AI208*-Valores!$C$68</f>
        <v>-629.8221825000002</v>
      </c>
      <c r="AT208" s="73">
        <f>AI208*-Valores!$C$69</f>
        <v>-69.98024250000002</v>
      </c>
      <c r="AU208" s="77">
        <f t="shared" si="41"/>
        <v>21262.972950000007</v>
      </c>
      <c r="AV208" s="77">
        <f t="shared" si="42"/>
        <v>21612.874162500004</v>
      </c>
      <c r="AW208" s="73">
        <f>AI208*Valores!$C$71</f>
        <v>3732.2796000000008</v>
      </c>
      <c r="AX208" s="73">
        <f>AI208*Valores!$C$72</f>
        <v>1049.7036375000002</v>
      </c>
      <c r="AY208" s="73">
        <f>AI208*Valores!$C$73</f>
        <v>233.26747500000005</v>
      </c>
      <c r="AZ208" s="73">
        <f>AI208*Valores!$C$75</f>
        <v>816.4361625000003</v>
      </c>
      <c r="BA208" s="73">
        <f>AI208*Valores!$C$76</f>
        <v>139.96048500000003</v>
      </c>
      <c r="BB208" s="73">
        <f t="shared" si="46"/>
        <v>1259.6443650000003</v>
      </c>
      <c r="BC208" s="47"/>
      <c r="BD208" s="47">
        <f t="shared" si="36"/>
        <v>64</v>
      </c>
      <c r="BE208" s="24" t="s">
        <v>4</v>
      </c>
    </row>
    <row r="209" spans="1:57" s="24" customFormat="1" ht="11.25" customHeight="1">
      <c r="A209" s="47">
        <v>208</v>
      </c>
      <c r="B209" s="47"/>
      <c r="C209" s="24" t="s">
        <v>521</v>
      </c>
      <c r="D209" s="24">
        <v>17</v>
      </c>
      <c r="E209" s="24">
        <f t="shared" si="38"/>
        <v>37</v>
      </c>
      <c r="F209" s="67" t="str">
        <f t="shared" si="34"/>
        <v>Hora Cátedra Enseñanza Superior 17 hs</v>
      </c>
      <c r="G209" s="68">
        <f t="shared" si="35"/>
        <v>1683</v>
      </c>
      <c r="H209" s="69">
        <f>INT((G209*Valores!$C$2*100)+0.5)/100</f>
        <v>12873.44</v>
      </c>
      <c r="I209" s="108">
        <v>0</v>
      </c>
      <c r="J209" s="71">
        <f>INT((I209*Valores!$C$2*100)+0.5)/100</f>
        <v>0</v>
      </c>
      <c r="K209" s="98">
        <v>0</v>
      </c>
      <c r="L209" s="71">
        <f>INT((K209*Valores!$C$2*100)+0.5)/100</f>
        <v>0</v>
      </c>
      <c r="M209" s="96">
        <v>0</v>
      </c>
      <c r="N209" s="71">
        <f>INT((M209*Valores!$C$2*100)+0.5)/100</f>
        <v>0</v>
      </c>
      <c r="O209" s="71">
        <f t="shared" si="39"/>
        <v>2247.4199999999996</v>
      </c>
      <c r="P209" s="71">
        <f t="shared" si="40"/>
        <v>0</v>
      </c>
      <c r="Q209" s="97">
        <f>Valores!$C$14*D209</f>
        <v>3140.92</v>
      </c>
      <c r="R209" s="97">
        <f>IF(D209&lt;15,(Valores!$E$4*D209),Valores!$D$4)</f>
        <v>3421.44</v>
      </c>
      <c r="S209" s="71">
        <v>0</v>
      </c>
      <c r="T209" s="74">
        <f>IF(Valores!$C$45*D209&gt;Valores!$C$43,Valores!$C$43,Valores!$C$45*D209)</f>
        <v>1001.98</v>
      </c>
      <c r="U209" s="97">
        <f>Valores!$C$22*D209</f>
        <v>1107.38</v>
      </c>
      <c r="V209" s="71">
        <f t="shared" si="33"/>
        <v>1107.38</v>
      </c>
      <c r="W209" s="71">
        <v>0</v>
      </c>
      <c r="X209" s="71">
        <v>0</v>
      </c>
      <c r="Y209" s="114">
        <v>0</v>
      </c>
      <c r="Z209" s="71">
        <f>Y209*Valores!$C$2</f>
        <v>0</v>
      </c>
      <c r="AA209" s="71">
        <v>0</v>
      </c>
      <c r="AB209" s="76">
        <f>IF((Valores!$C$32)*D209&gt;Valores!$F$32,Valores!$F$32,(Valores!$C$32)*D209)</f>
        <v>125.80000000000001</v>
      </c>
      <c r="AC209" s="71">
        <f t="shared" si="43"/>
        <v>0</v>
      </c>
      <c r="AD209" s="71">
        <f>IF(Valores!$C$33*D209&gt;Valores!$F$33,Valores!$F$33,Valores!$C$33*D209)</f>
        <v>104.72</v>
      </c>
      <c r="AE209" s="75">
        <v>0</v>
      </c>
      <c r="AF209" s="71">
        <f>INT(((AE209*Valores!$C$2)*100)+0.5)/100</f>
        <v>0</v>
      </c>
      <c r="AG209" s="71">
        <f>IF(Valores!$D$58*'Escala Docente'!D209&gt;Valores!$F$58,Valores!$F$58,Valores!$D$58*'Escala Docente'!D209)</f>
        <v>426.02</v>
      </c>
      <c r="AH209" s="71">
        <f>IF(Valores!$D$60*D209&gt;Valores!$F$60,Valores!$F$60,Valores!$D$60*D209)</f>
        <v>121.72</v>
      </c>
      <c r="AI209" s="110">
        <f t="shared" si="44"/>
        <v>24570.84</v>
      </c>
      <c r="AJ209" s="97">
        <f>IF(Valores!$C$36*D209&gt;Valores!$F$36,Valores!$F$36,Valores!$C$36*D209)</f>
        <v>993.48</v>
      </c>
      <c r="AK209" s="74">
        <f>IF(Valores!$C$11*D209&gt;Valores!$F$11,Valores!$F$11,Valores!$C$11*D209)</f>
        <v>0</v>
      </c>
      <c r="AL209" s="74">
        <f>IF(Valores!$C$84*D209&gt;Valores!$C$83,Valores!$C$83,Valores!$C$84*D209)</f>
        <v>1275</v>
      </c>
      <c r="AM209" s="74">
        <f t="shared" si="37"/>
        <v>1190</v>
      </c>
      <c r="AN209" s="76">
        <f>IF(Valores!$C$56*D209&gt;Valores!$F$56,Valores!$F$56,Valores!$C$56*D209)</f>
        <v>223.04</v>
      </c>
      <c r="AO209" s="78">
        <f t="shared" si="45"/>
        <v>2268.48</v>
      </c>
      <c r="AP209" s="57">
        <f>AI209*-Valores!$C$65</f>
        <v>-3194.2092000000002</v>
      </c>
      <c r="AQ209" s="57">
        <f>AI209*-Valores!$C$66</f>
        <v>-122.8542</v>
      </c>
      <c r="AR209" s="73">
        <f>AI209*-Valores!$C$67</f>
        <v>-1105.6878</v>
      </c>
      <c r="AS209" s="73">
        <f>AI209*-Valores!$C$68</f>
        <v>-663.41268</v>
      </c>
      <c r="AT209" s="73">
        <f>AI209*-Valores!$C$69</f>
        <v>-73.71252</v>
      </c>
      <c r="AU209" s="77">
        <f t="shared" si="41"/>
        <v>22416.568799999997</v>
      </c>
      <c r="AV209" s="77">
        <f t="shared" si="42"/>
        <v>22785.131399999995</v>
      </c>
      <c r="AW209" s="73">
        <f>AI209*Valores!$C$71</f>
        <v>3931.3344</v>
      </c>
      <c r="AX209" s="73">
        <f>AI209*Valores!$C$72</f>
        <v>1105.6878</v>
      </c>
      <c r="AY209" s="73">
        <f>AI209*Valores!$C$73</f>
        <v>245.7084</v>
      </c>
      <c r="AZ209" s="73">
        <f>AI209*Valores!$C$75</f>
        <v>859.9794</v>
      </c>
      <c r="BA209" s="73">
        <f>AI209*Valores!$C$76</f>
        <v>147.42504</v>
      </c>
      <c r="BB209" s="73">
        <f t="shared" si="46"/>
        <v>1326.8253600000003</v>
      </c>
      <c r="BC209" s="47"/>
      <c r="BD209" s="81">
        <f t="shared" si="36"/>
        <v>68</v>
      </c>
      <c r="BE209" s="24" t="s">
        <v>4</v>
      </c>
    </row>
    <row r="210" spans="1:57" s="24" customFormat="1" ht="11.25" customHeight="1">
      <c r="A210" s="47">
        <v>209</v>
      </c>
      <c r="B210" s="47"/>
      <c r="C210" s="24" t="s">
        <v>521</v>
      </c>
      <c r="D210" s="24">
        <v>18</v>
      </c>
      <c r="E210" s="24">
        <f t="shared" si="38"/>
        <v>37</v>
      </c>
      <c r="F210" s="67" t="str">
        <f t="shared" si="34"/>
        <v>Hora Cátedra Enseñanza Superior 18 hs</v>
      </c>
      <c r="G210" s="68">
        <f t="shared" si="35"/>
        <v>1782</v>
      </c>
      <c r="H210" s="69">
        <f>INT((G210*Valores!$C$2*100)+0.5)/100</f>
        <v>13630.7</v>
      </c>
      <c r="I210" s="108">
        <v>0</v>
      </c>
      <c r="J210" s="71">
        <f>INT((I210*Valores!$C$2*100)+0.5)/100</f>
        <v>0</v>
      </c>
      <c r="K210" s="98">
        <v>0</v>
      </c>
      <c r="L210" s="71">
        <f>INT((K210*Valores!$C$2*100)+0.5)/100</f>
        <v>0</v>
      </c>
      <c r="M210" s="96">
        <v>0</v>
      </c>
      <c r="N210" s="71">
        <f>INT((M210*Valores!$C$2*100)+0.5)/100</f>
        <v>0</v>
      </c>
      <c r="O210" s="71">
        <f t="shared" si="39"/>
        <v>2379.621</v>
      </c>
      <c r="P210" s="71">
        <f t="shared" si="40"/>
        <v>0</v>
      </c>
      <c r="Q210" s="97">
        <f>Valores!$C$14*D210</f>
        <v>3325.68</v>
      </c>
      <c r="R210" s="97">
        <f>IF(D210&lt;15,(Valores!$E$4*D210),Valores!$D$4)</f>
        <v>3421.44</v>
      </c>
      <c r="S210" s="71">
        <v>0</v>
      </c>
      <c r="T210" s="74">
        <f>IF(Valores!$C$45*D210&gt;Valores!$C$43,Valores!$C$43,Valores!$C$45*D210)</f>
        <v>1060.92</v>
      </c>
      <c r="U210" s="97">
        <f>Valores!$C$22*D210</f>
        <v>1172.52</v>
      </c>
      <c r="V210" s="71">
        <f t="shared" si="33"/>
        <v>1172.52</v>
      </c>
      <c r="W210" s="71">
        <v>0</v>
      </c>
      <c r="X210" s="71">
        <v>0</v>
      </c>
      <c r="Y210" s="114">
        <v>0</v>
      </c>
      <c r="Z210" s="71">
        <f>Y210*Valores!$C$2</f>
        <v>0</v>
      </c>
      <c r="AA210" s="71">
        <v>0</v>
      </c>
      <c r="AB210" s="76">
        <f>IF((Valores!$C$32)*D210&gt;Valores!$F$32,Valores!$F$32,(Valores!$C$32)*D210)</f>
        <v>133.20000000000002</v>
      </c>
      <c r="AC210" s="71">
        <f t="shared" si="43"/>
        <v>0</v>
      </c>
      <c r="AD210" s="71">
        <f>IF(Valores!$C$33*D210&gt;Valores!$F$33,Valores!$F$33,Valores!$C$33*D210)</f>
        <v>110.88</v>
      </c>
      <c r="AE210" s="75">
        <v>0</v>
      </c>
      <c r="AF210" s="71">
        <f>INT(((AE210*Valores!$C$2)*100)+0.5)/100</f>
        <v>0</v>
      </c>
      <c r="AG210" s="71">
        <f>IF(Valores!$D$58*'Escala Docente'!D210&gt;Valores!$F$58,Valores!$F$58,Valores!$D$58*'Escala Docente'!D210)</f>
        <v>451.08</v>
      </c>
      <c r="AH210" s="71">
        <f>IF(Valores!$D$60*D210&gt;Valores!$F$60,Valores!$F$60,Valores!$D$60*D210)</f>
        <v>128.88</v>
      </c>
      <c r="AI210" s="110">
        <f t="shared" si="44"/>
        <v>25814.921000000006</v>
      </c>
      <c r="AJ210" s="97">
        <f>IF(Valores!$C$36*D210&gt;Valores!$F$36,Valores!$F$36,Valores!$C$36*D210)</f>
        <v>1051.92</v>
      </c>
      <c r="AK210" s="74">
        <f>IF(Valores!$C$11*D210&gt;Valores!$F$11,Valores!$F$11,Valores!$C$11*D210)</f>
        <v>0</v>
      </c>
      <c r="AL210" s="74">
        <f>IF(Valores!$C$84*D210&gt;Valores!$C$83,Valores!$C$83,Valores!$C$84*D210)</f>
        <v>1350</v>
      </c>
      <c r="AM210" s="74">
        <f t="shared" si="37"/>
        <v>1260</v>
      </c>
      <c r="AN210" s="76">
        <f>IF(Valores!$C$56*D210&gt;Valores!$F$56,Valores!$F$56,Valores!$C$56*D210)</f>
        <v>236.16</v>
      </c>
      <c r="AO210" s="78">
        <f t="shared" si="45"/>
        <v>2401.92</v>
      </c>
      <c r="AP210" s="57">
        <f>AI210*-Valores!$C$65</f>
        <v>-3355.939730000001</v>
      </c>
      <c r="AQ210" s="57">
        <f>AI210*-Valores!$C$66</f>
        <v>-129.07460500000002</v>
      </c>
      <c r="AR210" s="73">
        <f>AI210*-Valores!$C$67</f>
        <v>-1161.6714450000002</v>
      </c>
      <c r="AS210" s="73">
        <f>AI210*-Valores!$C$68</f>
        <v>-697.0028670000002</v>
      </c>
      <c r="AT210" s="73">
        <f>AI210*-Valores!$C$69</f>
        <v>-77.44476300000002</v>
      </c>
      <c r="AU210" s="77">
        <f t="shared" si="41"/>
        <v>23570.155220000004</v>
      </c>
      <c r="AV210" s="77">
        <f t="shared" si="42"/>
        <v>23957.379035000005</v>
      </c>
      <c r="AW210" s="73">
        <f>AI210*Valores!$C$71</f>
        <v>4130.387360000001</v>
      </c>
      <c r="AX210" s="73">
        <f>AI210*Valores!$C$72</f>
        <v>1161.6714450000002</v>
      </c>
      <c r="AY210" s="73">
        <f>AI210*Valores!$C$73</f>
        <v>258.14921000000004</v>
      </c>
      <c r="AZ210" s="73">
        <f>AI210*Valores!$C$75</f>
        <v>903.5222350000003</v>
      </c>
      <c r="BA210" s="73">
        <f>AI210*Valores!$C$76</f>
        <v>154.88952600000005</v>
      </c>
      <c r="BB210" s="73">
        <f t="shared" si="46"/>
        <v>1394.0057340000005</v>
      </c>
      <c r="BC210" s="47"/>
      <c r="BD210" s="47">
        <f t="shared" si="36"/>
        <v>72</v>
      </c>
      <c r="BE210" s="24" t="s">
        <v>4</v>
      </c>
    </row>
    <row r="211" spans="1:57" s="24" customFormat="1" ht="11.25" customHeight="1">
      <c r="A211" s="81">
        <v>210</v>
      </c>
      <c r="B211" s="81" t="s">
        <v>163</v>
      </c>
      <c r="C211" s="82" t="s">
        <v>521</v>
      </c>
      <c r="D211" s="82">
        <v>19</v>
      </c>
      <c r="E211" s="82">
        <f t="shared" si="38"/>
        <v>37</v>
      </c>
      <c r="F211" s="83" t="str">
        <f t="shared" si="34"/>
        <v>Hora Cátedra Enseñanza Superior 19 hs</v>
      </c>
      <c r="G211" s="84">
        <f t="shared" si="35"/>
        <v>1881</v>
      </c>
      <c r="H211" s="85">
        <f>INT((G211*Valores!$C$2*100)+0.5)/100</f>
        <v>14387.96</v>
      </c>
      <c r="I211" s="99">
        <v>0</v>
      </c>
      <c r="J211" s="87">
        <f>INT((I211*Valores!$C$2*100)+0.5)/100</f>
        <v>0</v>
      </c>
      <c r="K211" s="100">
        <v>0</v>
      </c>
      <c r="L211" s="87">
        <f>INT((K211*Valores!$C$2*100)+0.5)/100</f>
        <v>0</v>
      </c>
      <c r="M211" s="101">
        <v>0</v>
      </c>
      <c r="N211" s="87">
        <f>INT((M211*Valores!$C$2*100)+0.5)/100</f>
        <v>0</v>
      </c>
      <c r="O211" s="87">
        <f t="shared" si="39"/>
        <v>2511.8219999999997</v>
      </c>
      <c r="P211" s="87">
        <f t="shared" si="40"/>
        <v>0</v>
      </c>
      <c r="Q211" s="103">
        <f>Valores!$C$14*D211</f>
        <v>3510.4399999999996</v>
      </c>
      <c r="R211" s="103">
        <f>IF(D211&lt;15,(Valores!$E$4*D211),Valores!$D$4)</f>
        <v>3421.44</v>
      </c>
      <c r="S211" s="87">
        <v>0</v>
      </c>
      <c r="T211" s="90">
        <f>IF(Valores!$C$45*D211&gt;Valores!$C$43,Valores!$C$43,Valores!$C$45*D211)</f>
        <v>1119.86</v>
      </c>
      <c r="U211" s="103">
        <f>Valores!$C$22*D211</f>
        <v>1237.66</v>
      </c>
      <c r="V211" s="87">
        <f t="shared" si="33"/>
        <v>1237.66</v>
      </c>
      <c r="W211" s="87">
        <v>0</v>
      </c>
      <c r="X211" s="87">
        <v>0</v>
      </c>
      <c r="Y211" s="115">
        <v>0</v>
      </c>
      <c r="Z211" s="87">
        <f>Y211*Valores!$C$2</f>
        <v>0</v>
      </c>
      <c r="AA211" s="87">
        <v>0</v>
      </c>
      <c r="AB211" s="92">
        <f>IF((Valores!$C$32)*D211&gt;Valores!$F$32,Valores!$F$32,(Valores!$C$32)*D211)</f>
        <v>140.6</v>
      </c>
      <c r="AC211" s="87">
        <f t="shared" si="43"/>
        <v>0</v>
      </c>
      <c r="AD211" s="87">
        <f>IF(Valores!$C$33*D211&gt;Valores!$F$33,Valores!$F$33,Valores!$C$33*D211)</f>
        <v>117.04</v>
      </c>
      <c r="AE211" s="91">
        <v>0</v>
      </c>
      <c r="AF211" s="87">
        <f>INT(((AE211*Valores!$C$2)*100)+0.5)/100</f>
        <v>0</v>
      </c>
      <c r="AG211" s="87">
        <f>IF(Valores!$D$58*'Escala Docente'!D211&gt;Valores!$F$58,Valores!$F$58,Valores!$D$58*'Escala Docente'!D211)</f>
        <v>476.14</v>
      </c>
      <c r="AH211" s="87">
        <f>IF(Valores!$D$60*D211&gt;Valores!$F$60,Valores!$F$60,Valores!$D$60*D211)</f>
        <v>136.04</v>
      </c>
      <c r="AI211" s="111">
        <f t="shared" si="44"/>
        <v>27059.001999999997</v>
      </c>
      <c r="AJ211" s="103">
        <f>IF(Valores!$C$36*D211&gt;Valores!$F$36,Valores!$F$36,Valores!$C$36*D211)</f>
        <v>1110.36</v>
      </c>
      <c r="AK211" s="90">
        <f>IF(Valores!$C$11*D211&gt;Valores!$F$11,Valores!$F$11,Valores!$C$11*D211)</f>
        <v>0</v>
      </c>
      <c r="AL211" s="90">
        <f>IF(Valores!$C$84*D211&gt;Valores!$C$83,Valores!$C$83,Valores!$C$84*D211)</f>
        <v>1425</v>
      </c>
      <c r="AM211" s="74">
        <f t="shared" si="37"/>
        <v>1330</v>
      </c>
      <c r="AN211" s="92">
        <f>IF(Valores!$C$56*D211&gt;Valores!$F$56,Valores!$F$56,Valores!$C$56*D211)</f>
        <v>249.27999999999997</v>
      </c>
      <c r="AO211" s="94">
        <f t="shared" si="45"/>
        <v>2535.3599999999997</v>
      </c>
      <c r="AP211" s="112">
        <f>AI211*-Valores!$C$65</f>
        <v>-3517.67026</v>
      </c>
      <c r="AQ211" s="112">
        <f>AI211*-Valores!$C$66</f>
        <v>-135.29501</v>
      </c>
      <c r="AR211" s="89">
        <f>AI211*-Valores!$C$67</f>
        <v>-1217.6550899999997</v>
      </c>
      <c r="AS211" s="89">
        <f>AI211*-Valores!$C$68</f>
        <v>-730.5930539999999</v>
      </c>
      <c r="AT211" s="89">
        <f>AI211*-Valores!$C$69</f>
        <v>-81.17700599999999</v>
      </c>
      <c r="AU211" s="93">
        <f t="shared" si="41"/>
        <v>24723.741639999997</v>
      </c>
      <c r="AV211" s="93">
        <f t="shared" si="42"/>
        <v>25129.626669999994</v>
      </c>
      <c r="AW211" s="89">
        <f>AI211*Valores!$C$71</f>
        <v>4329.44032</v>
      </c>
      <c r="AX211" s="89">
        <f>AI211*Valores!$C$72</f>
        <v>1217.6550899999997</v>
      </c>
      <c r="AY211" s="89">
        <f>AI211*Valores!$C$73</f>
        <v>270.59002</v>
      </c>
      <c r="AZ211" s="89">
        <f>AI211*Valores!$C$75</f>
        <v>947.06507</v>
      </c>
      <c r="BA211" s="89">
        <f>AI211*Valores!$C$76</f>
        <v>162.35401199999998</v>
      </c>
      <c r="BB211" s="89">
        <f t="shared" si="46"/>
        <v>1461.1861079999999</v>
      </c>
      <c r="BC211" s="81"/>
      <c r="BD211" s="81">
        <f t="shared" si="36"/>
        <v>76</v>
      </c>
      <c r="BE211" s="82" t="s">
        <v>4</v>
      </c>
    </row>
    <row r="212" spans="1:57" s="24" customFormat="1" ht="11.25" customHeight="1">
      <c r="A212" s="47">
        <v>211</v>
      </c>
      <c r="B212" s="47"/>
      <c r="C212" s="24" t="s">
        <v>521</v>
      </c>
      <c r="D212" s="24">
        <v>20</v>
      </c>
      <c r="E212" s="24">
        <f t="shared" si="38"/>
        <v>37</v>
      </c>
      <c r="F212" s="67" t="str">
        <f t="shared" si="34"/>
        <v>Hora Cátedra Enseñanza Superior 20 hs</v>
      </c>
      <c r="G212" s="68">
        <f t="shared" si="35"/>
        <v>1980</v>
      </c>
      <c r="H212" s="69">
        <f>INT((G212*Valores!$C$2*100)+0.5)/100</f>
        <v>15145.22</v>
      </c>
      <c r="I212" s="108">
        <v>0</v>
      </c>
      <c r="J212" s="71">
        <f>INT((I212*Valores!$C$2*100)+0.5)/100</f>
        <v>0</v>
      </c>
      <c r="K212" s="98">
        <v>0</v>
      </c>
      <c r="L212" s="71">
        <f>INT((K212*Valores!$C$2*100)+0.5)/100</f>
        <v>0</v>
      </c>
      <c r="M212" s="96">
        <v>0</v>
      </c>
      <c r="N212" s="71">
        <f>INT((M212*Valores!$C$2*100)+0.5)/100</f>
        <v>0</v>
      </c>
      <c r="O212" s="71">
        <f t="shared" si="39"/>
        <v>2644.0229999999997</v>
      </c>
      <c r="P212" s="71">
        <f t="shared" si="40"/>
        <v>0</v>
      </c>
      <c r="Q212" s="97">
        <f>Valores!$C$14*D212</f>
        <v>3695.2</v>
      </c>
      <c r="R212" s="97">
        <f>IF(D212&lt;15,(Valores!$E$4*D212),Valores!$D$4)</f>
        <v>3421.44</v>
      </c>
      <c r="S212" s="71">
        <v>0</v>
      </c>
      <c r="T212" s="74">
        <f>IF(Valores!$C$45*D212&gt;Valores!$C$43,Valores!$C$43,Valores!$C$45*D212)</f>
        <v>1178.8</v>
      </c>
      <c r="U212" s="97">
        <f>Valores!$C$22*D212</f>
        <v>1302.8</v>
      </c>
      <c r="V212" s="71">
        <f t="shared" si="33"/>
        <v>1302.8</v>
      </c>
      <c r="W212" s="71">
        <v>0</v>
      </c>
      <c r="X212" s="71">
        <v>0</v>
      </c>
      <c r="Y212" s="114">
        <v>0</v>
      </c>
      <c r="Z212" s="71">
        <f>Y212*Valores!$C$2</f>
        <v>0</v>
      </c>
      <c r="AA212" s="71">
        <v>0</v>
      </c>
      <c r="AB212" s="76">
        <f>IF((Valores!$C$32)*D212&gt;Valores!$F$32,Valores!$F$32,(Valores!$C$32)*D212)</f>
        <v>148</v>
      </c>
      <c r="AC212" s="71">
        <f t="shared" si="43"/>
        <v>0</v>
      </c>
      <c r="AD212" s="71">
        <f>IF(Valores!$C$33*D212&gt;Valores!$F$33,Valores!$F$33,Valores!$C$33*D212)</f>
        <v>123.2</v>
      </c>
      <c r="AE212" s="75">
        <v>0</v>
      </c>
      <c r="AF212" s="71">
        <f>INT(((AE212*Valores!$C$2)*100)+0.5)/100</f>
        <v>0</v>
      </c>
      <c r="AG212" s="71">
        <f>IF(Valores!$D$58*'Escala Docente'!D212&gt;Valores!$F$58,Valores!$F$58,Valores!$D$58*'Escala Docente'!D212)</f>
        <v>501.2</v>
      </c>
      <c r="AH212" s="71">
        <f>IF(Valores!$D$60*D212&gt;Valores!$F$60,Valores!$F$60,Valores!$D$60*D212)</f>
        <v>143.2</v>
      </c>
      <c r="AI212" s="110">
        <f t="shared" si="44"/>
        <v>28303.083</v>
      </c>
      <c r="AJ212" s="97">
        <f>IF(Valores!$C$36*D212&gt;Valores!$F$36,Valores!$F$36,Valores!$C$36*D212)</f>
        <v>1168.8</v>
      </c>
      <c r="AK212" s="74">
        <f>IF(Valores!$C$11*D212&gt;Valores!$F$11,Valores!$F$11,Valores!$C$11*D212)</f>
        <v>0</v>
      </c>
      <c r="AL212" s="74">
        <f>IF(Valores!$C$84*D212&gt;Valores!$C$83,Valores!$C$83,Valores!$C$84*D212)</f>
        <v>1500</v>
      </c>
      <c r="AM212" s="74">
        <f t="shared" si="37"/>
        <v>1400</v>
      </c>
      <c r="AN212" s="76">
        <f>IF(Valores!$C$56*D212&gt;Valores!$F$56,Valores!$F$56,Valores!$C$56*D212)</f>
        <v>262.4</v>
      </c>
      <c r="AO212" s="78">
        <f t="shared" si="45"/>
        <v>2668.8</v>
      </c>
      <c r="AP212" s="57">
        <f>AI212*-Valores!$C$65</f>
        <v>-3679.40079</v>
      </c>
      <c r="AQ212" s="57">
        <f>AI212*-Valores!$C$66</f>
        <v>-141.515415</v>
      </c>
      <c r="AR212" s="73">
        <f>AI212*-Valores!$C$67</f>
        <v>-1273.638735</v>
      </c>
      <c r="AS212" s="73">
        <f>AI212*-Valores!$C$68</f>
        <v>-764.183241</v>
      </c>
      <c r="AT212" s="73">
        <f>AI212*-Valores!$C$69</f>
        <v>-84.909249</v>
      </c>
      <c r="AU212" s="77">
        <f t="shared" si="41"/>
        <v>25877.328059999996</v>
      </c>
      <c r="AV212" s="77">
        <f t="shared" si="42"/>
        <v>26301.874304999998</v>
      </c>
      <c r="AW212" s="73">
        <f>AI212*Valores!$C$71</f>
        <v>4528.49328</v>
      </c>
      <c r="AX212" s="73">
        <f>AI212*Valores!$C$72</f>
        <v>1273.638735</v>
      </c>
      <c r="AY212" s="73">
        <f>AI212*Valores!$C$73</f>
        <v>283.03083</v>
      </c>
      <c r="AZ212" s="73">
        <f>AI212*Valores!$C$75</f>
        <v>990.6079050000001</v>
      </c>
      <c r="BA212" s="73">
        <f>AI212*Valores!$C$76</f>
        <v>169.818498</v>
      </c>
      <c r="BB212" s="73">
        <f t="shared" si="46"/>
        <v>1528.366482</v>
      </c>
      <c r="BC212" s="47"/>
      <c r="BD212" s="47">
        <f t="shared" si="36"/>
        <v>80</v>
      </c>
      <c r="BE212" s="24" t="s">
        <v>4</v>
      </c>
    </row>
    <row r="213" spans="1:57" s="24" customFormat="1" ht="11.25" customHeight="1">
      <c r="A213" s="47">
        <v>212</v>
      </c>
      <c r="B213" s="47"/>
      <c r="C213" s="24" t="s">
        <v>521</v>
      </c>
      <c r="D213" s="24">
        <v>21</v>
      </c>
      <c r="E213" s="24">
        <f t="shared" si="38"/>
        <v>37</v>
      </c>
      <c r="F213" s="67" t="str">
        <f t="shared" si="34"/>
        <v>Hora Cátedra Enseñanza Superior 21 hs</v>
      </c>
      <c r="G213" s="68">
        <f t="shared" si="35"/>
        <v>2079</v>
      </c>
      <c r="H213" s="69">
        <f>INT((G213*Valores!$C$2*100)+0.5)/100</f>
        <v>15902.48</v>
      </c>
      <c r="I213" s="108">
        <v>0</v>
      </c>
      <c r="J213" s="71">
        <f>INT((I213*Valores!$C$2*100)+0.5)/100</f>
        <v>0</v>
      </c>
      <c r="K213" s="98">
        <v>0</v>
      </c>
      <c r="L213" s="71">
        <f>INT((K213*Valores!$C$2*100)+0.5)/100</f>
        <v>0</v>
      </c>
      <c r="M213" s="96">
        <v>0</v>
      </c>
      <c r="N213" s="71">
        <f>INT((M213*Valores!$C$2*100)+0.5)/100</f>
        <v>0</v>
      </c>
      <c r="O213" s="71">
        <f t="shared" si="39"/>
        <v>2776.2239999999997</v>
      </c>
      <c r="P213" s="71">
        <f t="shared" si="40"/>
        <v>0</v>
      </c>
      <c r="Q213" s="97">
        <f>Valores!$C$14*D213</f>
        <v>3879.96</v>
      </c>
      <c r="R213" s="97">
        <f>IF(D213&lt;15,(Valores!$E$4*D213),Valores!$D$4)</f>
        <v>3421.44</v>
      </c>
      <c r="S213" s="71">
        <v>0</v>
      </c>
      <c r="T213" s="74">
        <f>IF(Valores!$C$45*D213&gt;Valores!$C$43,Valores!$C$43,Valores!$C$45*D213)</f>
        <v>1237.74</v>
      </c>
      <c r="U213" s="97">
        <f>Valores!$C$22*D213</f>
        <v>1367.94</v>
      </c>
      <c r="V213" s="71">
        <f t="shared" si="33"/>
        <v>1367.94</v>
      </c>
      <c r="W213" s="71">
        <v>0</v>
      </c>
      <c r="X213" s="71">
        <v>0</v>
      </c>
      <c r="Y213" s="114">
        <v>0</v>
      </c>
      <c r="Z213" s="71">
        <f>Y213*Valores!$C$2</f>
        <v>0</v>
      </c>
      <c r="AA213" s="71">
        <v>0</v>
      </c>
      <c r="AB213" s="76">
        <f>IF((Valores!$C$32)*D213&gt;Valores!$F$32,Valores!$F$32,(Valores!$C$32)*D213)</f>
        <v>155.4</v>
      </c>
      <c r="AC213" s="71">
        <f t="shared" si="43"/>
        <v>0</v>
      </c>
      <c r="AD213" s="71">
        <f>IF(Valores!$C$33*D213&gt;Valores!$F$33,Valores!$F$33,Valores!$C$33*D213)</f>
        <v>129.36</v>
      </c>
      <c r="AE213" s="75">
        <v>0</v>
      </c>
      <c r="AF213" s="71">
        <f>INT(((AE213*Valores!$C$2)*100)+0.5)/100</f>
        <v>0</v>
      </c>
      <c r="AG213" s="71">
        <f>IF(Valores!$D$58*'Escala Docente'!D213&gt;Valores!$F$58,Valores!$F$58,Valores!$D$58*'Escala Docente'!D213)</f>
        <v>526.26</v>
      </c>
      <c r="AH213" s="71">
        <f>IF(Valores!$D$60*D213&gt;Valores!$F$60,Valores!$F$60,Valores!$D$60*D213)</f>
        <v>150.36</v>
      </c>
      <c r="AI213" s="110">
        <f t="shared" si="44"/>
        <v>29547.163999999997</v>
      </c>
      <c r="AJ213" s="97">
        <f>IF(Valores!$C$36*D213&gt;Valores!$F$36,Valores!$F$36,Valores!$C$36*D213)</f>
        <v>1227.24</v>
      </c>
      <c r="AK213" s="74">
        <f>IF(Valores!$C$11*D213&gt;Valores!$F$11,Valores!$F$11,Valores!$C$11*D213)</f>
        <v>0</v>
      </c>
      <c r="AL213" s="74">
        <f>IF(Valores!$C$84*D213&gt;Valores!$C$83,Valores!$C$83,Valores!$C$84*D213)</f>
        <v>1575</v>
      </c>
      <c r="AM213" s="74">
        <f t="shared" si="37"/>
        <v>1470</v>
      </c>
      <c r="AN213" s="76">
        <f>IF(Valores!$C$56*D213&gt;Valores!$F$56,Valores!$F$56,Valores!$C$56*D213)</f>
        <v>275.52</v>
      </c>
      <c r="AO213" s="78">
        <f t="shared" si="45"/>
        <v>2802.24</v>
      </c>
      <c r="AP213" s="57">
        <f>AI213*-Valores!$C$65</f>
        <v>-3841.13132</v>
      </c>
      <c r="AQ213" s="57">
        <f>AI213*-Valores!$C$66</f>
        <v>-147.73582</v>
      </c>
      <c r="AR213" s="73">
        <f>AI213*-Valores!$C$67</f>
        <v>-1329.6223799999998</v>
      </c>
      <c r="AS213" s="73">
        <f>AI213*-Valores!$C$68</f>
        <v>-797.773428</v>
      </c>
      <c r="AT213" s="73">
        <f>AI213*-Valores!$C$69</f>
        <v>-88.641492</v>
      </c>
      <c r="AU213" s="77">
        <f t="shared" si="41"/>
        <v>27030.914479999992</v>
      </c>
      <c r="AV213" s="77">
        <f t="shared" si="42"/>
        <v>27474.121939999994</v>
      </c>
      <c r="AW213" s="73">
        <f>AI213*Valores!$C$71</f>
        <v>4727.54624</v>
      </c>
      <c r="AX213" s="73">
        <f>AI213*Valores!$C$72</f>
        <v>1329.6223799999998</v>
      </c>
      <c r="AY213" s="73">
        <f>AI213*Valores!$C$73</f>
        <v>295.47164</v>
      </c>
      <c r="AZ213" s="73">
        <f>AI213*Valores!$C$75</f>
        <v>1034.15074</v>
      </c>
      <c r="BA213" s="73">
        <f>AI213*Valores!$C$76</f>
        <v>177.282984</v>
      </c>
      <c r="BB213" s="73">
        <f t="shared" si="46"/>
        <v>1595.546856</v>
      </c>
      <c r="BC213" s="47"/>
      <c r="BD213" s="47">
        <f t="shared" si="36"/>
        <v>84</v>
      </c>
      <c r="BE213" s="24" t="s">
        <v>8</v>
      </c>
    </row>
    <row r="214" spans="1:57" s="24" customFormat="1" ht="11.25" customHeight="1">
      <c r="A214" s="47">
        <v>213</v>
      </c>
      <c r="B214" s="47"/>
      <c r="C214" s="24" t="s">
        <v>521</v>
      </c>
      <c r="D214" s="24">
        <v>22</v>
      </c>
      <c r="E214" s="24">
        <f t="shared" si="38"/>
        <v>37</v>
      </c>
      <c r="F214" s="67" t="str">
        <f t="shared" si="34"/>
        <v>Hora Cátedra Enseñanza Superior 22 hs</v>
      </c>
      <c r="G214" s="68">
        <f t="shared" si="35"/>
        <v>2178</v>
      </c>
      <c r="H214" s="69">
        <f>INT((G214*Valores!$C$2*100)+0.5)/100</f>
        <v>16659.74</v>
      </c>
      <c r="I214" s="108">
        <v>0</v>
      </c>
      <c r="J214" s="71">
        <f>INT((I214*Valores!$C$2*100)+0.5)/100</f>
        <v>0</v>
      </c>
      <c r="K214" s="98">
        <v>0</v>
      </c>
      <c r="L214" s="71">
        <f>INT((K214*Valores!$C$2*100)+0.5)/100</f>
        <v>0</v>
      </c>
      <c r="M214" s="96">
        <v>0</v>
      </c>
      <c r="N214" s="71">
        <f>INT((M214*Valores!$C$2*100)+0.5)/100</f>
        <v>0</v>
      </c>
      <c r="O214" s="71">
        <f t="shared" si="39"/>
        <v>2908.4249999999997</v>
      </c>
      <c r="P214" s="71">
        <f t="shared" si="40"/>
        <v>0</v>
      </c>
      <c r="Q214" s="97">
        <f>Valores!$C$14*D214</f>
        <v>4064.72</v>
      </c>
      <c r="R214" s="97">
        <f>IF(D214&lt;15,(Valores!$E$4*D214),Valores!$D$4)</f>
        <v>3421.44</v>
      </c>
      <c r="S214" s="71">
        <v>0</v>
      </c>
      <c r="T214" s="74">
        <f>IF(Valores!$C$45*D214&gt;Valores!$C$43,Valores!$C$43,Valores!$C$45*D214)</f>
        <v>1296.6799999999998</v>
      </c>
      <c r="U214" s="97">
        <f>Valores!$C$22*D214</f>
        <v>1433.08</v>
      </c>
      <c r="V214" s="71">
        <f t="shared" si="33"/>
        <v>1433.08</v>
      </c>
      <c r="W214" s="71">
        <v>0</v>
      </c>
      <c r="X214" s="71">
        <v>0</v>
      </c>
      <c r="Y214" s="114">
        <v>0</v>
      </c>
      <c r="Z214" s="71">
        <f>Y214*Valores!$C$2</f>
        <v>0</v>
      </c>
      <c r="AA214" s="71">
        <v>0</v>
      </c>
      <c r="AB214" s="76">
        <f>IF((Valores!$C$32)*D214&gt;Valores!$F$32,Valores!$F$32,(Valores!$C$32)*D214)</f>
        <v>162.8</v>
      </c>
      <c r="AC214" s="71">
        <f t="shared" si="43"/>
        <v>0</v>
      </c>
      <c r="AD214" s="71">
        <f>IF(Valores!$C$33*D214&gt;Valores!$F$33,Valores!$F$33,Valores!$C$33*D214)</f>
        <v>135.52</v>
      </c>
      <c r="AE214" s="75">
        <v>0</v>
      </c>
      <c r="AF214" s="71">
        <f>INT(((AE214*Valores!$C$2)*100)+0.5)/100</f>
        <v>0</v>
      </c>
      <c r="AG214" s="71">
        <f>IF(Valores!$D$58*'Escala Docente'!D214&gt;Valores!$F$58,Valores!$F$58,Valores!$D$58*'Escala Docente'!D214)</f>
        <v>551.3199999999999</v>
      </c>
      <c r="AH214" s="71">
        <f>IF(Valores!$D$60*D214&gt;Valores!$F$60,Valores!$F$60,Valores!$D$60*D214)</f>
        <v>157.52</v>
      </c>
      <c r="AI214" s="110">
        <f t="shared" si="44"/>
        <v>30791.245</v>
      </c>
      <c r="AJ214" s="97">
        <f>IF(Valores!$C$36*D214&gt;Valores!$F$36,Valores!$F$36,Valores!$C$36*D214)</f>
        <v>1285.6799999999998</v>
      </c>
      <c r="AK214" s="74">
        <f>IF(Valores!$C$11*D214&gt;Valores!$F$11,Valores!$F$11,Valores!$C$11*D214)</f>
        <v>0</v>
      </c>
      <c r="AL214" s="74">
        <f>IF(Valores!$C$84*D214&gt;Valores!$C$83,Valores!$C$83,Valores!$C$84*D214)</f>
        <v>1650</v>
      </c>
      <c r="AM214" s="74">
        <f t="shared" si="37"/>
        <v>1540</v>
      </c>
      <c r="AN214" s="76">
        <f>IF(Valores!$C$56*D214&gt;Valores!$F$56,Valores!$F$56,Valores!$C$56*D214)</f>
        <v>288.64</v>
      </c>
      <c r="AO214" s="78">
        <f t="shared" si="45"/>
        <v>2935.68</v>
      </c>
      <c r="AP214" s="57">
        <f>AI214*-Valores!$C$65</f>
        <v>-4002.8618500000002</v>
      </c>
      <c r="AQ214" s="57">
        <f>AI214*-Valores!$C$66</f>
        <v>-153.956225</v>
      </c>
      <c r="AR214" s="73">
        <f>AI214*-Valores!$C$67</f>
        <v>-1385.6060249999998</v>
      </c>
      <c r="AS214" s="73">
        <f>AI214*-Valores!$C$68</f>
        <v>-831.363615</v>
      </c>
      <c r="AT214" s="73">
        <f>AI214*-Valores!$C$69</f>
        <v>-92.373735</v>
      </c>
      <c r="AU214" s="77">
        <f t="shared" si="41"/>
        <v>28184.50089999999</v>
      </c>
      <c r="AV214" s="77">
        <f t="shared" si="42"/>
        <v>28646.369574999993</v>
      </c>
      <c r="AW214" s="73">
        <f>AI214*Valores!$C$71</f>
        <v>4926.5992</v>
      </c>
      <c r="AX214" s="73">
        <f>AI214*Valores!$C$72</f>
        <v>1385.6060249999998</v>
      </c>
      <c r="AY214" s="73">
        <f>AI214*Valores!$C$73</f>
        <v>307.91245</v>
      </c>
      <c r="AZ214" s="73">
        <f>AI214*Valores!$C$75</f>
        <v>1077.693575</v>
      </c>
      <c r="BA214" s="73">
        <f>AI214*Valores!$C$76</f>
        <v>184.74747</v>
      </c>
      <c r="BB214" s="73">
        <f t="shared" si="46"/>
        <v>1662.72723</v>
      </c>
      <c r="BC214" s="47"/>
      <c r="BD214" s="81">
        <f t="shared" si="36"/>
        <v>88</v>
      </c>
      <c r="BE214" s="24" t="s">
        <v>4</v>
      </c>
    </row>
    <row r="215" spans="1:57" s="24" customFormat="1" ht="11.25" customHeight="1">
      <c r="A215" s="47">
        <v>214</v>
      </c>
      <c r="B215" s="47"/>
      <c r="C215" s="24" t="s">
        <v>521</v>
      </c>
      <c r="D215" s="24">
        <v>23</v>
      </c>
      <c r="E215" s="24">
        <f t="shared" si="38"/>
        <v>37</v>
      </c>
      <c r="F215" s="67" t="str">
        <f t="shared" si="34"/>
        <v>Hora Cátedra Enseñanza Superior 23 hs</v>
      </c>
      <c r="G215" s="68">
        <f t="shared" si="35"/>
        <v>2277</v>
      </c>
      <c r="H215" s="69">
        <f>INT((G215*Valores!$C$2*100)+0.5)/100</f>
        <v>17417</v>
      </c>
      <c r="I215" s="108">
        <v>0</v>
      </c>
      <c r="J215" s="71">
        <f>INT((I215*Valores!$C$2*100)+0.5)/100</f>
        <v>0</v>
      </c>
      <c r="K215" s="98">
        <v>0</v>
      </c>
      <c r="L215" s="71">
        <f>INT((K215*Valores!$C$2*100)+0.5)/100</f>
        <v>0</v>
      </c>
      <c r="M215" s="96">
        <v>0</v>
      </c>
      <c r="N215" s="71">
        <f>INT((M215*Valores!$C$2*100)+0.5)/100</f>
        <v>0</v>
      </c>
      <c r="O215" s="71">
        <f t="shared" si="39"/>
        <v>3040.6259999999997</v>
      </c>
      <c r="P215" s="71">
        <f t="shared" si="40"/>
        <v>0</v>
      </c>
      <c r="Q215" s="97">
        <f>Valores!$C$14*D215</f>
        <v>4249.48</v>
      </c>
      <c r="R215" s="97">
        <f>IF(D215&lt;15,(Valores!$E$4*D215),Valores!$D$4)</f>
        <v>3421.44</v>
      </c>
      <c r="S215" s="71">
        <v>0</v>
      </c>
      <c r="T215" s="74">
        <f>IF(Valores!$C$45*D215&gt;Valores!$C$43,Valores!$C$43,Valores!$C$45*D215)</f>
        <v>1355.62</v>
      </c>
      <c r="U215" s="97">
        <f>Valores!$C$22*D215</f>
        <v>1498.22</v>
      </c>
      <c r="V215" s="71">
        <f t="shared" si="33"/>
        <v>1498.22</v>
      </c>
      <c r="W215" s="71">
        <v>0</v>
      </c>
      <c r="X215" s="71">
        <v>0</v>
      </c>
      <c r="Y215" s="114">
        <v>0</v>
      </c>
      <c r="Z215" s="71">
        <f>Y215*Valores!$C$2</f>
        <v>0</v>
      </c>
      <c r="AA215" s="71">
        <v>0</v>
      </c>
      <c r="AB215" s="76">
        <f>IF((Valores!$C$32)*D215&gt;Valores!$F$32,Valores!$F$32,(Valores!$C$32)*D215)</f>
        <v>170.20000000000002</v>
      </c>
      <c r="AC215" s="71">
        <f t="shared" si="43"/>
        <v>0</v>
      </c>
      <c r="AD215" s="71">
        <f>IF(Valores!$C$33*D215&gt;Valores!$F$33,Valores!$F$33,Valores!$C$33*D215)</f>
        <v>141.68</v>
      </c>
      <c r="AE215" s="75">
        <v>0</v>
      </c>
      <c r="AF215" s="71">
        <f>INT(((AE215*Valores!$C$2)*100)+0.5)/100</f>
        <v>0</v>
      </c>
      <c r="AG215" s="71">
        <f>IF(Valores!$D$58*'Escala Docente'!D215&gt;Valores!$F$58,Valores!$F$58,Valores!$D$58*'Escala Docente'!D215)</f>
        <v>576.38</v>
      </c>
      <c r="AH215" s="71">
        <f>IF(Valores!$D$60*D215&gt;Valores!$F$60,Valores!$F$60,Valores!$D$60*D215)</f>
        <v>164.68</v>
      </c>
      <c r="AI215" s="110">
        <f t="shared" si="44"/>
        <v>32035.326</v>
      </c>
      <c r="AJ215" s="97">
        <f>IF(Valores!$C$36*D215&gt;Valores!$F$36,Valores!$F$36,Valores!$C$36*D215)</f>
        <v>1344.12</v>
      </c>
      <c r="AK215" s="74">
        <f>IF(Valores!$C$11*D215&gt;Valores!$F$11,Valores!$F$11,Valores!$C$11*D215)</f>
        <v>0</v>
      </c>
      <c r="AL215" s="74">
        <f>IF(Valores!$C$84*D215&gt;Valores!$C$83,Valores!$C$83,Valores!$C$84*D215)</f>
        <v>1725</v>
      </c>
      <c r="AM215" s="74">
        <f t="shared" si="37"/>
        <v>1610</v>
      </c>
      <c r="AN215" s="76">
        <f>IF(Valores!$C$56*D215&gt;Valores!$F$56,Valores!$F$56,Valores!$C$56*D215)</f>
        <v>301.76</v>
      </c>
      <c r="AO215" s="78">
        <f t="shared" si="45"/>
        <v>3069.12</v>
      </c>
      <c r="AP215" s="57">
        <f>AI215*-Valores!$C$65</f>
        <v>-4164.59238</v>
      </c>
      <c r="AQ215" s="57">
        <f>AI215*-Valores!$C$66</f>
        <v>-160.17663000000002</v>
      </c>
      <c r="AR215" s="73">
        <f>AI215*-Valores!$C$67</f>
        <v>-1441.58967</v>
      </c>
      <c r="AS215" s="73">
        <f>AI215*-Valores!$C$68</f>
        <v>-864.953802</v>
      </c>
      <c r="AT215" s="73">
        <f>AI215*-Valores!$C$69</f>
        <v>-96.10597800000001</v>
      </c>
      <c r="AU215" s="77">
        <f t="shared" si="41"/>
        <v>29338.08732</v>
      </c>
      <c r="AV215" s="77">
        <f t="shared" si="42"/>
        <v>29818.617210000004</v>
      </c>
      <c r="AW215" s="73">
        <f>AI215*Valores!$C$71</f>
        <v>5125.652160000001</v>
      </c>
      <c r="AX215" s="73">
        <f>AI215*Valores!$C$72</f>
        <v>1441.58967</v>
      </c>
      <c r="AY215" s="73">
        <f>AI215*Valores!$C$73</f>
        <v>320.35326000000003</v>
      </c>
      <c r="AZ215" s="73">
        <f>AI215*Valores!$C$75</f>
        <v>1121.2364100000002</v>
      </c>
      <c r="BA215" s="73">
        <f>AI215*Valores!$C$76</f>
        <v>192.21195600000001</v>
      </c>
      <c r="BB215" s="73">
        <f t="shared" si="46"/>
        <v>1729.9076040000002</v>
      </c>
      <c r="BC215" s="47"/>
      <c r="BD215" s="47">
        <f t="shared" si="36"/>
        <v>92</v>
      </c>
      <c r="BE215" s="24" t="s">
        <v>8</v>
      </c>
    </row>
    <row r="216" spans="1:57" s="24" customFormat="1" ht="11.25" customHeight="1">
      <c r="A216" s="81">
        <v>215</v>
      </c>
      <c r="B216" s="81" t="s">
        <v>163</v>
      </c>
      <c r="C216" s="82" t="s">
        <v>521</v>
      </c>
      <c r="D216" s="82">
        <v>24</v>
      </c>
      <c r="E216" s="82">
        <f t="shared" si="38"/>
        <v>37</v>
      </c>
      <c r="F216" s="83" t="str">
        <f t="shared" si="34"/>
        <v>Hora Cátedra Enseñanza Superior 24 hs</v>
      </c>
      <c r="G216" s="84">
        <f t="shared" si="35"/>
        <v>2376</v>
      </c>
      <c r="H216" s="85">
        <f>INT((G216*Valores!$C$2*100)+0.5)/100</f>
        <v>18174.26</v>
      </c>
      <c r="I216" s="99">
        <v>0</v>
      </c>
      <c r="J216" s="87">
        <f>INT((I216*Valores!$C$2*100)+0.5)/100</f>
        <v>0</v>
      </c>
      <c r="K216" s="100">
        <v>0</v>
      </c>
      <c r="L216" s="87">
        <f>INT((K216*Valores!$C$2*100)+0.5)/100</f>
        <v>0</v>
      </c>
      <c r="M216" s="101">
        <v>0</v>
      </c>
      <c r="N216" s="87">
        <f>INT((M216*Valores!$C$2*100)+0.5)/100</f>
        <v>0</v>
      </c>
      <c r="O216" s="87">
        <f t="shared" si="39"/>
        <v>3172.8269999999998</v>
      </c>
      <c r="P216" s="87">
        <f t="shared" si="40"/>
        <v>0</v>
      </c>
      <c r="Q216" s="103">
        <f>Valores!$C$14*D216</f>
        <v>4434.24</v>
      </c>
      <c r="R216" s="103">
        <f>IF(D216&lt;15,(Valores!$E$4*D216),Valores!$D$4)</f>
        <v>3421.44</v>
      </c>
      <c r="S216" s="87">
        <v>0</v>
      </c>
      <c r="T216" s="90">
        <f>IF(Valores!$C$45*D216&gt;Valores!$C$43,Valores!$C$43,Valores!$C$45*D216)</f>
        <v>1414.56</v>
      </c>
      <c r="U216" s="103">
        <f>Valores!$C$22*D216</f>
        <v>1563.3600000000001</v>
      </c>
      <c r="V216" s="87">
        <f t="shared" si="33"/>
        <v>1563.3600000000001</v>
      </c>
      <c r="W216" s="87">
        <v>0</v>
      </c>
      <c r="X216" s="87">
        <v>0</v>
      </c>
      <c r="Y216" s="115">
        <v>0</v>
      </c>
      <c r="Z216" s="87">
        <f>Y216*Valores!$C$2</f>
        <v>0</v>
      </c>
      <c r="AA216" s="87">
        <v>0</v>
      </c>
      <c r="AB216" s="92">
        <f>IF((Valores!$C$32)*D216&gt;Valores!$F$32,Valores!$F$32,(Valores!$C$32)*D216)</f>
        <v>177.60000000000002</v>
      </c>
      <c r="AC216" s="87">
        <f t="shared" si="43"/>
        <v>0</v>
      </c>
      <c r="AD216" s="87">
        <f>IF(Valores!$C$33*D216&gt;Valores!$F$33,Valores!$F$33,Valores!$C$33*D216)</f>
        <v>147.84</v>
      </c>
      <c r="AE216" s="91">
        <v>0</v>
      </c>
      <c r="AF216" s="87">
        <f>INT(((AE216*Valores!$C$2)*100)+0.5)/100</f>
        <v>0</v>
      </c>
      <c r="AG216" s="87">
        <f>IF(Valores!$D$58*'Escala Docente'!D216&gt;Valores!$F$58,Valores!$F$58,Valores!$D$58*'Escala Docente'!D216)</f>
        <v>601.4399999999999</v>
      </c>
      <c r="AH216" s="87">
        <f>IF(Valores!$D$60*D216&gt;Valores!$F$60,Valores!$F$60,Valores!$D$60*D216)</f>
        <v>171.84</v>
      </c>
      <c r="AI216" s="111">
        <f t="shared" si="44"/>
        <v>33279.40699999999</v>
      </c>
      <c r="AJ216" s="103">
        <f>IF(Valores!$C$36*D216&gt;Valores!$F$36,Valores!$F$36,Valores!$C$36*D216)</f>
        <v>1402.56</v>
      </c>
      <c r="AK216" s="90">
        <f>IF(Valores!$C$11*D216&gt;Valores!$F$11,Valores!$F$11,Valores!$C$11*D216)</f>
        <v>0</v>
      </c>
      <c r="AL216" s="90">
        <f>IF(Valores!$C$84*D216&gt;Valores!$C$83,Valores!$C$83,Valores!$C$84*D216)</f>
        <v>1800</v>
      </c>
      <c r="AM216" s="74">
        <f t="shared" si="37"/>
        <v>1680</v>
      </c>
      <c r="AN216" s="92">
        <f>IF(Valores!$C$56*D216&gt;Valores!$F$56,Valores!$F$56,Valores!$C$56*D216)</f>
        <v>314.88</v>
      </c>
      <c r="AO216" s="94">
        <f t="shared" si="45"/>
        <v>3202.56</v>
      </c>
      <c r="AP216" s="112">
        <f>AI216*-Valores!$C$65</f>
        <v>-4326.322909999999</v>
      </c>
      <c r="AQ216" s="112">
        <f>AI216*-Valores!$C$66</f>
        <v>-166.39703499999996</v>
      </c>
      <c r="AR216" s="89">
        <f>AI216*-Valores!$C$67</f>
        <v>-1497.5733149999996</v>
      </c>
      <c r="AS216" s="89">
        <f>AI216*-Valores!$C$68</f>
        <v>-898.5439889999998</v>
      </c>
      <c r="AT216" s="89">
        <f>AI216*-Valores!$C$69</f>
        <v>-99.83822099999998</v>
      </c>
      <c r="AU216" s="93">
        <f t="shared" si="41"/>
        <v>30491.673739999987</v>
      </c>
      <c r="AV216" s="93">
        <f t="shared" si="42"/>
        <v>30990.86484499999</v>
      </c>
      <c r="AW216" s="89">
        <f>AI216*Valores!$C$71</f>
        <v>5324.705119999999</v>
      </c>
      <c r="AX216" s="89">
        <f>AI216*Valores!$C$72</f>
        <v>1497.5733149999996</v>
      </c>
      <c r="AY216" s="89">
        <f>AI216*Valores!$C$73</f>
        <v>332.7940699999999</v>
      </c>
      <c r="AZ216" s="89">
        <f>AI216*Valores!$C$75</f>
        <v>1164.7792449999997</v>
      </c>
      <c r="BA216" s="89">
        <f>AI216*Valores!$C$76</f>
        <v>199.67644199999995</v>
      </c>
      <c r="BB216" s="89">
        <f t="shared" si="46"/>
        <v>1797.0879779999998</v>
      </c>
      <c r="BC216" s="81"/>
      <c r="BD216" s="81">
        <f t="shared" si="36"/>
        <v>96</v>
      </c>
      <c r="BE216" s="82" t="s">
        <v>8</v>
      </c>
    </row>
    <row r="217" spans="1:57" s="24" customFormat="1" ht="11.25" customHeight="1">
      <c r="A217" s="47">
        <v>216</v>
      </c>
      <c r="B217" s="47"/>
      <c r="C217" s="24" t="s">
        <v>521</v>
      </c>
      <c r="D217" s="24">
        <v>25</v>
      </c>
      <c r="E217" s="24">
        <f t="shared" si="38"/>
        <v>37</v>
      </c>
      <c r="F217" s="67" t="str">
        <f t="shared" si="34"/>
        <v>Hora Cátedra Enseñanza Superior 25 hs</v>
      </c>
      <c r="G217" s="68">
        <f t="shared" si="35"/>
        <v>2475</v>
      </c>
      <c r="H217" s="69">
        <f>INT((G217*Valores!$C$2*100)+0.5)/100</f>
        <v>18931.52</v>
      </c>
      <c r="I217" s="108">
        <v>0</v>
      </c>
      <c r="J217" s="71">
        <f>INT((I217*Valores!$C$2*100)+0.5)/100</f>
        <v>0</v>
      </c>
      <c r="K217" s="98">
        <v>0</v>
      </c>
      <c r="L217" s="71">
        <f>INT((K217*Valores!$C$2*100)+0.5)/100</f>
        <v>0</v>
      </c>
      <c r="M217" s="96">
        <v>0</v>
      </c>
      <c r="N217" s="71">
        <f>INT((M217*Valores!$C$2*100)+0.5)/100</f>
        <v>0</v>
      </c>
      <c r="O217" s="71">
        <f t="shared" si="39"/>
        <v>3305.028</v>
      </c>
      <c r="P217" s="71">
        <f t="shared" si="40"/>
        <v>0</v>
      </c>
      <c r="Q217" s="97">
        <f>Valores!$C$14*D217</f>
        <v>4619</v>
      </c>
      <c r="R217" s="97">
        <f>IF(D217&lt;15,(Valores!$E$4*D217),Valores!$D$4)</f>
        <v>3421.44</v>
      </c>
      <c r="S217" s="71">
        <v>0</v>
      </c>
      <c r="T217" s="74">
        <f>IF(Valores!$C$45*D217&gt;Valores!$C$43,Valores!$C$43,Valores!$C$45*D217)</f>
        <v>1473.5</v>
      </c>
      <c r="U217" s="97">
        <f>Valores!$C$22*D217</f>
        <v>1628.5</v>
      </c>
      <c r="V217" s="71">
        <f t="shared" si="33"/>
        <v>1628.5</v>
      </c>
      <c r="W217" s="71">
        <v>0</v>
      </c>
      <c r="X217" s="71">
        <v>0</v>
      </c>
      <c r="Y217" s="114">
        <v>0</v>
      </c>
      <c r="Z217" s="71">
        <f>Y217*Valores!$C$2</f>
        <v>0</v>
      </c>
      <c r="AA217" s="71">
        <v>0</v>
      </c>
      <c r="AB217" s="76">
        <f>IF((Valores!$C$32)*D217&gt;Valores!$F$32,Valores!$F$32,(Valores!$C$32)*D217)</f>
        <v>185</v>
      </c>
      <c r="AC217" s="71">
        <f t="shared" si="43"/>
        <v>0</v>
      </c>
      <c r="AD217" s="71">
        <f>IF(Valores!$C$33*D217&gt;Valores!$F$33,Valores!$F$33,Valores!$C$33*D217)</f>
        <v>154</v>
      </c>
      <c r="AE217" s="75">
        <v>0</v>
      </c>
      <c r="AF217" s="71">
        <f>INT(((AE217*Valores!$C$2)*100)+0.5)/100</f>
        <v>0</v>
      </c>
      <c r="AG217" s="71">
        <f>IF(Valores!$D$58*'Escala Docente'!D217&gt;Valores!$F$58,Valores!$F$58,Valores!$D$58*'Escala Docente'!D217)</f>
        <v>626.5</v>
      </c>
      <c r="AH217" s="71">
        <f>IF(Valores!$D$60*D217&gt;Valores!$F$60,Valores!$F$60,Valores!$D$60*D217)</f>
        <v>179</v>
      </c>
      <c r="AI217" s="110">
        <f t="shared" si="44"/>
        <v>34523.488</v>
      </c>
      <c r="AJ217" s="97">
        <f>IF(Valores!$C$36*D217&gt;Valores!$F$36,Valores!$F$36,Valores!$C$36*D217)</f>
        <v>1461</v>
      </c>
      <c r="AK217" s="74">
        <f>IF(Valores!$C$11*D217&gt;Valores!$F$11,Valores!$F$11,Valores!$C$11*D217)</f>
        <v>0</v>
      </c>
      <c r="AL217" s="74">
        <f>IF(Valores!$C$84*D217&gt;Valores!$C$83,Valores!$C$83,Valores!$C$84*D217)</f>
        <v>1875</v>
      </c>
      <c r="AM217" s="74">
        <f t="shared" si="37"/>
        <v>1750</v>
      </c>
      <c r="AN217" s="76">
        <f>IF(Valores!$C$56*D217&gt;Valores!$F$56,Valores!$F$56,Valores!$C$56*D217)</f>
        <v>314.98</v>
      </c>
      <c r="AO217" s="78">
        <f t="shared" si="45"/>
        <v>3336</v>
      </c>
      <c r="AP217" s="57">
        <f>AI217*-Valores!$C$65</f>
        <v>-4488.05344</v>
      </c>
      <c r="AQ217" s="57">
        <f>AI217*-Valores!$C$66</f>
        <v>-172.61744</v>
      </c>
      <c r="AR217" s="73">
        <f>AI217*-Valores!$C$67</f>
        <v>-1553.55696</v>
      </c>
      <c r="AS217" s="73">
        <f>AI217*-Valores!$C$68</f>
        <v>-932.1341759999999</v>
      </c>
      <c r="AT217" s="73">
        <f>AI217*-Valores!$C$69</f>
        <v>-103.570464</v>
      </c>
      <c r="AU217" s="77">
        <f t="shared" si="41"/>
        <v>31645.260159999994</v>
      </c>
      <c r="AV217" s="77">
        <f t="shared" si="42"/>
        <v>32163.112479999996</v>
      </c>
      <c r="AW217" s="73">
        <f>AI217*Valores!$C$71</f>
        <v>5523.75808</v>
      </c>
      <c r="AX217" s="73">
        <f>AI217*Valores!$C$72</f>
        <v>1553.55696</v>
      </c>
      <c r="AY217" s="73">
        <f>AI217*Valores!$C$73</f>
        <v>345.23488</v>
      </c>
      <c r="AZ217" s="73">
        <f>AI217*Valores!$C$75</f>
        <v>1208.3220800000001</v>
      </c>
      <c r="BA217" s="73">
        <f>AI217*Valores!$C$76</f>
        <v>207.140928</v>
      </c>
      <c r="BB217" s="73">
        <f t="shared" si="46"/>
        <v>1864.268352</v>
      </c>
      <c r="BC217" s="47"/>
      <c r="BD217" s="47">
        <f t="shared" si="36"/>
        <v>100</v>
      </c>
      <c r="BE217" s="24" t="s">
        <v>4</v>
      </c>
    </row>
    <row r="218" spans="1:57" s="24" customFormat="1" ht="11.25" customHeight="1">
      <c r="A218" s="47">
        <v>217</v>
      </c>
      <c r="B218" s="47"/>
      <c r="C218" s="24" t="s">
        <v>521</v>
      </c>
      <c r="D218" s="24">
        <v>26</v>
      </c>
      <c r="E218" s="24">
        <f t="shared" si="38"/>
        <v>37</v>
      </c>
      <c r="F218" s="67" t="str">
        <f t="shared" si="34"/>
        <v>Hora Cátedra Enseñanza Superior 26 hs</v>
      </c>
      <c r="G218" s="68">
        <f t="shared" si="35"/>
        <v>2574</v>
      </c>
      <c r="H218" s="69">
        <f>INT((G218*Valores!$C$2*100)+0.5)/100</f>
        <v>19688.78</v>
      </c>
      <c r="I218" s="108">
        <v>0</v>
      </c>
      <c r="J218" s="71">
        <f>INT((I218*Valores!$C$2*100)+0.5)/100</f>
        <v>0</v>
      </c>
      <c r="K218" s="98">
        <v>0</v>
      </c>
      <c r="L218" s="71">
        <f>INT((K218*Valores!$C$2*100)+0.5)/100</f>
        <v>0</v>
      </c>
      <c r="M218" s="96">
        <v>0</v>
      </c>
      <c r="N218" s="71">
        <f>INT((M218*Valores!$C$2*100)+0.5)/100</f>
        <v>0</v>
      </c>
      <c r="O218" s="71">
        <f t="shared" si="39"/>
        <v>3437.2289999999994</v>
      </c>
      <c r="P218" s="71">
        <f t="shared" si="40"/>
        <v>0</v>
      </c>
      <c r="Q218" s="97">
        <f>Valores!$C$14*D218</f>
        <v>4803.76</v>
      </c>
      <c r="R218" s="97">
        <f>IF(D218&lt;15,(Valores!$E$4*D218),Valores!$D$4)</f>
        <v>3421.44</v>
      </c>
      <c r="S218" s="71">
        <v>0</v>
      </c>
      <c r="T218" s="74">
        <f>IF(Valores!$C$45*D218&gt;Valores!$C$43,Valores!$C$43,Valores!$C$45*D218)</f>
        <v>1532.44</v>
      </c>
      <c r="U218" s="97">
        <f>Valores!$C$22*D218</f>
        <v>1693.64</v>
      </c>
      <c r="V218" s="71">
        <f t="shared" si="33"/>
        <v>1693.64</v>
      </c>
      <c r="W218" s="71">
        <v>0</v>
      </c>
      <c r="X218" s="71">
        <v>0</v>
      </c>
      <c r="Y218" s="114">
        <v>0</v>
      </c>
      <c r="Z218" s="71">
        <f>Y218*Valores!$C$2</f>
        <v>0</v>
      </c>
      <c r="AA218" s="71">
        <v>0</v>
      </c>
      <c r="AB218" s="76">
        <f>IF((Valores!$C$32)*D218&gt;Valores!$F$32,Valores!$F$32,(Valores!$C$32)*D218)</f>
        <v>192.4</v>
      </c>
      <c r="AC218" s="71">
        <f t="shared" si="43"/>
        <v>0</v>
      </c>
      <c r="AD218" s="71">
        <f>IF(Valores!$C$33*D218&gt;Valores!$F$33,Valores!$F$33,Valores!$C$33*D218)</f>
        <v>160.16</v>
      </c>
      <c r="AE218" s="75">
        <v>0</v>
      </c>
      <c r="AF218" s="71">
        <f>INT(((AE218*Valores!$C$2)*100)+0.5)/100</f>
        <v>0</v>
      </c>
      <c r="AG218" s="71">
        <f>IF(Valores!$D$58*'Escala Docente'!D218&gt;Valores!$F$58,Valores!$F$58,Valores!$D$58*'Escala Docente'!D218)</f>
        <v>651.56</v>
      </c>
      <c r="AH218" s="71">
        <f>IF(Valores!$D$60*D218&gt;Valores!$F$60,Valores!$F$60,Valores!$D$60*D218)</f>
        <v>186.16</v>
      </c>
      <c r="AI218" s="110">
        <f t="shared" si="44"/>
        <v>35767.56900000001</v>
      </c>
      <c r="AJ218" s="97">
        <f>IF(Valores!$C$36*D218&gt;Valores!$F$36,Valores!$F$36,Valores!$C$36*D218)</f>
        <v>1519.44</v>
      </c>
      <c r="AK218" s="74">
        <f>IF(Valores!$C$11*D218&gt;Valores!$F$11,Valores!$F$11,Valores!$C$11*D218)</f>
        <v>0</v>
      </c>
      <c r="AL218" s="74">
        <f>IF(Valores!$C$84*D218&gt;Valores!$C$83,Valores!$C$83,Valores!$C$84*D218)</f>
        <v>1950</v>
      </c>
      <c r="AM218" s="74">
        <f t="shared" si="37"/>
        <v>1820</v>
      </c>
      <c r="AN218" s="76">
        <f>IF(Valores!$C$56*D218&gt;Valores!$F$56,Valores!$F$56,Valores!$C$56*D218)</f>
        <v>314.98</v>
      </c>
      <c r="AO218" s="78">
        <f t="shared" si="45"/>
        <v>3469.44</v>
      </c>
      <c r="AP218" s="57">
        <f>AI218*-Valores!$C$65</f>
        <v>-4649.783970000001</v>
      </c>
      <c r="AQ218" s="57">
        <f>AI218*-Valores!$C$66</f>
        <v>-178.83784500000004</v>
      </c>
      <c r="AR218" s="73">
        <f>AI218*-Valores!$C$67</f>
        <v>-1609.5406050000004</v>
      </c>
      <c r="AS218" s="73">
        <f>AI218*-Valores!$C$68</f>
        <v>-965.7243630000003</v>
      </c>
      <c r="AT218" s="73">
        <f>AI218*-Valores!$C$69</f>
        <v>-107.30270700000003</v>
      </c>
      <c r="AU218" s="77">
        <f t="shared" si="41"/>
        <v>32798.846580000005</v>
      </c>
      <c r="AV218" s="77">
        <f t="shared" si="42"/>
        <v>33335.360115</v>
      </c>
      <c r="AW218" s="73">
        <f>AI218*Valores!$C$71</f>
        <v>5722.811040000001</v>
      </c>
      <c r="AX218" s="73">
        <f>AI218*Valores!$C$72</f>
        <v>1609.5406050000004</v>
      </c>
      <c r="AY218" s="73">
        <f>AI218*Valores!$C$73</f>
        <v>357.6756900000001</v>
      </c>
      <c r="AZ218" s="73">
        <f>AI218*Valores!$C$75</f>
        <v>1251.8649150000006</v>
      </c>
      <c r="BA218" s="73">
        <f>AI218*Valores!$C$76</f>
        <v>214.60541400000005</v>
      </c>
      <c r="BB218" s="73">
        <f t="shared" si="46"/>
        <v>1931.4487260000005</v>
      </c>
      <c r="BC218" s="47"/>
      <c r="BD218" s="47">
        <f t="shared" si="36"/>
        <v>104</v>
      </c>
      <c r="BE218" s="24" t="s">
        <v>8</v>
      </c>
    </row>
    <row r="219" spans="1:57" s="24" customFormat="1" ht="11.25" customHeight="1">
      <c r="A219" s="47">
        <v>218</v>
      </c>
      <c r="B219" s="47"/>
      <c r="C219" s="24" t="s">
        <v>521</v>
      </c>
      <c r="D219" s="24">
        <v>27</v>
      </c>
      <c r="E219" s="24">
        <f t="shared" si="38"/>
        <v>37</v>
      </c>
      <c r="F219" s="67" t="str">
        <f t="shared" si="34"/>
        <v>Hora Cátedra Enseñanza Superior 27 hs</v>
      </c>
      <c r="G219" s="68">
        <f t="shared" si="35"/>
        <v>2673</v>
      </c>
      <c r="H219" s="69">
        <f>INT((G219*Valores!$C$2*100)+0.5)/100</f>
        <v>20446.04</v>
      </c>
      <c r="I219" s="108">
        <v>0</v>
      </c>
      <c r="J219" s="71">
        <f>INT((I219*Valores!$C$2*100)+0.5)/100</f>
        <v>0</v>
      </c>
      <c r="K219" s="98">
        <v>0</v>
      </c>
      <c r="L219" s="71">
        <f>INT((K219*Valores!$C$2*100)+0.5)/100</f>
        <v>0</v>
      </c>
      <c r="M219" s="96">
        <v>0</v>
      </c>
      <c r="N219" s="71">
        <f>INT((M219*Valores!$C$2*100)+0.5)/100</f>
        <v>0</v>
      </c>
      <c r="O219" s="71">
        <f t="shared" si="39"/>
        <v>3569.43</v>
      </c>
      <c r="P219" s="71">
        <f t="shared" si="40"/>
        <v>0</v>
      </c>
      <c r="Q219" s="97">
        <f>Valores!$C$14*D219</f>
        <v>4988.5199999999995</v>
      </c>
      <c r="R219" s="97">
        <f>IF(D219&lt;15,(Valores!$E$4*D219),Valores!$D$4)</f>
        <v>3421.44</v>
      </c>
      <c r="S219" s="71">
        <v>0</v>
      </c>
      <c r="T219" s="74">
        <f>IF(Valores!$C$45*D219&gt;Valores!$C$43,Valores!$C$43,Valores!$C$45*D219)</f>
        <v>1591.3799999999999</v>
      </c>
      <c r="U219" s="74">
        <f>Valores!$C$22*D219</f>
        <v>1758.78</v>
      </c>
      <c r="V219" s="71">
        <f t="shared" si="33"/>
        <v>1758.78</v>
      </c>
      <c r="W219" s="71">
        <v>0</v>
      </c>
      <c r="X219" s="71">
        <v>0</v>
      </c>
      <c r="Y219" s="114">
        <v>0</v>
      </c>
      <c r="Z219" s="71">
        <f>Y219*Valores!$C$2</f>
        <v>0</v>
      </c>
      <c r="AA219" s="71">
        <v>0</v>
      </c>
      <c r="AB219" s="76">
        <f>IF((Valores!$C$32)*D219&gt;Valores!$F$32,Valores!$F$32,(Valores!$C$32)*D219)</f>
        <v>199.8</v>
      </c>
      <c r="AC219" s="71">
        <f t="shared" si="43"/>
        <v>0</v>
      </c>
      <c r="AD219" s="71">
        <f>IF(Valores!$C$33*D219&gt;Valores!$F$33,Valores!$F$33,Valores!$C$33*D219)</f>
        <v>166.32</v>
      </c>
      <c r="AE219" s="75">
        <v>0</v>
      </c>
      <c r="AF219" s="71">
        <f>INT(((AE219*Valores!$C$2)*100)+0.5)/100</f>
        <v>0</v>
      </c>
      <c r="AG219" s="71">
        <f>IF(Valores!$D$58*'Escala Docente'!D219&gt;Valores!$F$58,Valores!$F$58,Valores!$D$58*'Escala Docente'!D219)</f>
        <v>676.62</v>
      </c>
      <c r="AH219" s="71">
        <f>IF(Valores!$D$60*D219&gt;Valores!$F$60,Valores!$F$60,Valores!$D$60*D219)</f>
        <v>193.32</v>
      </c>
      <c r="AI219" s="110">
        <f t="shared" si="44"/>
        <v>37011.65</v>
      </c>
      <c r="AJ219" s="97">
        <f>IF(Valores!$C$36*D219&gt;Valores!$F$36,Valores!$F$36,Valores!$C$36*D219)</f>
        <v>1577.8799999999999</v>
      </c>
      <c r="AK219" s="74">
        <f>IF(Valores!$C$11*D219&gt;Valores!$F$11,Valores!$F$11,Valores!$C$11*D219)</f>
        <v>0</v>
      </c>
      <c r="AL219" s="74">
        <f>IF(Valores!$C$84*D219&gt;Valores!$C$83,Valores!$C$83,Valores!$C$84*D219)</f>
        <v>2025</v>
      </c>
      <c r="AM219" s="74">
        <f t="shared" si="37"/>
        <v>1890</v>
      </c>
      <c r="AN219" s="76">
        <f>IF(Valores!$C$56*D219&gt;Valores!$F$56,Valores!$F$56,Valores!$C$56*D219)</f>
        <v>314.98</v>
      </c>
      <c r="AO219" s="78">
        <f t="shared" si="45"/>
        <v>3602.88</v>
      </c>
      <c r="AP219" s="57">
        <f>AI219*-Valores!$C$65</f>
        <v>-4811.5145</v>
      </c>
      <c r="AQ219" s="57">
        <f>AI219*-Valores!$C$66</f>
        <v>-185.05825000000002</v>
      </c>
      <c r="AR219" s="73">
        <f>AI219*-Valores!$C$67</f>
        <v>-1665.52425</v>
      </c>
      <c r="AS219" s="73">
        <f>AI219*-Valores!$C$68</f>
        <v>-999.31455</v>
      </c>
      <c r="AT219" s="73">
        <f>AI219*-Valores!$C$69</f>
        <v>-111.03495000000001</v>
      </c>
      <c r="AU219" s="77">
        <f t="shared" si="41"/>
        <v>33952.433</v>
      </c>
      <c r="AV219" s="77">
        <f t="shared" si="42"/>
        <v>34507.607749999996</v>
      </c>
      <c r="AW219" s="73">
        <f>AI219*Valores!$C$71</f>
        <v>5921.8640000000005</v>
      </c>
      <c r="AX219" s="73">
        <f>AI219*Valores!$C$72</f>
        <v>1665.52425</v>
      </c>
      <c r="AY219" s="73">
        <f>AI219*Valores!$C$73</f>
        <v>370.11650000000003</v>
      </c>
      <c r="AZ219" s="73">
        <f>AI219*Valores!$C$75</f>
        <v>1295.40775</v>
      </c>
      <c r="BA219" s="73">
        <f>AI219*Valores!$C$76</f>
        <v>222.06990000000002</v>
      </c>
      <c r="BB219" s="73">
        <f t="shared" si="46"/>
        <v>1998.6291000000003</v>
      </c>
      <c r="BC219" s="47"/>
      <c r="BD219" s="47">
        <f t="shared" si="36"/>
        <v>108</v>
      </c>
      <c r="BE219" s="24" t="s">
        <v>8</v>
      </c>
    </row>
    <row r="220" spans="1:57" s="24" customFormat="1" ht="11.25" customHeight="1">
      <c r="A220" s="47">
        <v>219</v>
      </c>
      <c r="B220" s="47"/>
      <c r="C220" s="24" t="s">
        <v>521</v>
      </c>
      <c r="D220" s="24">
        <v>28</v>
      </c>
      <c r="E220" s="24">
        <f t="shared" si="38"/>
        <v>37</v>
      </c>
      <c r="F220" s="67" t="str">
        <f t="shared" si="34"/>
        <v>Hora Cátedra Enseñanza Superior 28 hs</v>
      </c>
      <c r="G220" s="68">
        <f t="shared" si="35"/>
        <v>2772</v>
      </c>
      <c r="H220" s="69">
        <f>INT((G220*Valores!$C$2*100)+0.5)/100</f>
        <v>21203.31</v>
      </c>
      <c r="I220" s="108">
        <v>0</v>
      </c>
      <c r="J220" s="71">
        <f>INT((I220*Valores!$C$2*100)+0.5)/100</f>
        <v>0</v>
      </c>
      <c r="K220" s="98">
        <v>0</v>
      </c>
      <c r="L220" s="71">
        <f>INT((K220*Valores!$C$2*100)+0.5)/100</f>
        <v>0</v>
      </c>
      <c r="M220" s="96">
        <v>0</v>
      </c>
      <c r="N220" s="71">
        <f>INT((M220*Valores!$C$2*100)+0.5)/100</f>
        <v>0</v>
      </c>
      <c r="O220" s="71">
        <f t="shared" si="39"/>
        <v>3701.6325</v>
      </c>
      <c r="P220" s="71">
        <f t="shared" si="40"/>
        <v>0</v>
      </c>
      <c r="Q220" s="97">
        <f>Valores!$C$14*D220</f>
        <v>5173.28</v>
      </c>
      <c r="R220" s="97">
        <f>IF(D220&lt;15,(Valores!$E$4*D220),Valores!$D$4)</f>
        <v>3421.44</v>
      </c>
      <c r="S220" s="71">
        <v>0</v>
      </c>
      <c r="T220" s="74">
        <f>IF(Valores!$C$45*D220&gt;Valores!$C$43,Valores!$C$43,Valores!$C$45*D220)</f>
        <v>1650.32</v>
      </c>
      <c r="U220" s="97">
        <f>Valores!$C$22*D220</f>
        <v>1823.92</v>
      </c>
      <c r="V220" s="71">
        <f t="shared" si="33"/>
        <v>1823.92</v>
      </c>
      <c r="W220" s="71">
        <v>0</v>
      </c>
      <c r="X220" s="71">
        <v>0</v>
      </c>
      <c r="Y220" s="114">
        <v>0</v>
      </c>
      <c r="Z220" s="71">
        <f>Y220*Valores!$C$2</f>
        <v>0</v>
      </c>
      <c r="AA220" s="71">
        <v>0</v>
      </c>
      <c r="AB220" s="76">
        <f>IF((Valores!$C$32)*D220&gt;Valores!$F$32,Valores!$F$32,(Valores!$C$32)*D220)</f>
        <v>207.20000000000002</v>
      </c>
      <c r="AC220" s="71">
        <f t="shared" si="43"/>
        <v>0</v>
      </c>
      <c r="AD220" s="71">
        <f>IF(Valores!$C$33*D220&gt;Valores!$F$33,Valores!$F$33,Valores!$C$33*D220)</f>
        <v>172.48000000000002</v>
      </c>
      <c r="AE220" s="75">
        <v>0</v>
      </c>
      <c r="AF220" s="71">
        <f>INT(((AE220*Valores!$C$2)*100)+0.5)/100</f>
        <v>0</v>
      </c>
      <c r="AG220" s="71">
        <f>IF(Valores!$D$58*'Escala Docente'!D220&gt;Valores!$F$58,Valores!$F$58,Valores!$D$58*'Escala Docente'!D220)</f>
        <v>701.68</v>
      </c>
      <c r="AH220" s="71">
        <f>IF(Valores!$D$60*D220&gt;Valores!$F$60,Valores!$F$60,Valores!$D$60*D220)</f>
        <v>200.48000000000002</v>
      </c>
      <c r="AI220" s="110">
        <f t="shared" si="44"/>
        <v>38255.7425</v>
      </c>
      <c r="AJ220" s="97">
        <f>IF(Valores!$C$36*D220&gt;Valores!$F$36,Valores!$F$36,Valores!$C$36*D220)</f>
        <v>1636.32</v>
      </c>
      <c r="AK220" s="74">
        <f>IF(Valores!$C$11*D220&gt;Valores!$F$11,Valores!$F$11,Valores!$C$11*D220)</f>
        <v>0</v>
      </c>
      <c r="AL220" s="74">
        <f>IF(Valores!$C$84*D220&gt;Valores!$C$83,Valores!$C$83,Valores!$C$84*D220)</f>
        <v>2100</v>
      </c>
      <c r="AM220" s="74">
        <f t="shared" si="37"/>
        <v>1960</v>
      </c>
      <c r="AN220" s="76">
        <f>IF(Valores!$C$56*D220&gt;Valores!$F$56,Valores!$F$56,Valores!$C$56*D220)</f>
        <v>314.98</v>
      </c>
      <c r="AO220" s="78">
        <f t="shared" si="45"/>
        <v>3736.3199999999997</v>
      </c>
      <c r="AP220" s="57">
        <f>AI220*-Valores!$C$65</f>
        <v>-4973.2465250000005</v>
      </c>
      <c r="AQ220" s="57">
        <f>AI220*-Valores!$C$66</f>
        <v>-191.2787125</v>
      </c>
      <c r="AR220" s="73">
        <f>AI220*-Valores!$C$67</f>
        <v>-1721.5084124999998</v>
      </c>
      <c r="AS220" s="73">
        <f>AI220*-Valores!$C$68</f>
        <v>-1032.9050475</v>
      </c>
      <c r="AT220" s="73">
        <f>AI220*-Valores!$C$69</f>
        <v>-114.7672275</v>
      </c>
      <c r="AU220" s="77">
        <f t="shared" si="41"/>
        <v>35106.028849999995</v>
      </c>
      <c r="AV220" s="77">
        <f t="shared" si="42"/>
        <v>35679.8649875</v>
      </c>
      <c r="AW220" s="73">
        <f>AI220*Valores!$C$71</f>
        <v>6120.9188</v>
      </c>
      <c r="AX220" s="73">
        <f>AI220*Valores!$C$72</f>
        <v>1721.5084124999998</v>
      </c>
      <c r="AY220" s="73">
        <f>AI220*Valores!$C$73</f>
        <v>382.557425</v>
      </c>
      <c r="AZ220" s="73">
        <f>AI220*Valores!$C$75</f>
        <v>1338.9509875</v>
      </c>
      <c r="BA220" s="73">
        <f>AI220*Valores!$C$76</f>
        <v>229.534455</v>
      </c>
      <c r="BB220" s="73">
        <f t="shared" si="46"/>
        <v>2065.8100950000003</v>
      </c>
      <c r="BC220" s="47"/>
      <c r="BD220" s="47">
        <f t="shared" si="36"/>
        <v>112</v>
      </c>
      <c r="BE220" s="24" t="s">
        <v>8</v>
      </c>
    </row>
    <row r="221" spans="1:57" s="24" customFormat="1" ht="11.25" customHeight="1">
      <c r="A221" s="81">
        <v>220</v>
      </c>
      <c r="B221" s="81" t="s">
        <v>163</v>
      </c>
      <c r="C221" s="82" t="s">
        <v>521</v>
      </c>
      <c r="D221" s="82">
        <v>29</v>
      </c>
      <c r="E221" s="82">
        <f t="shared" si="38"/>
        <v>37</v>
      </c>
      <c r="F221" s="83" t="str">
        <f t="shared" si="34"/>
        <v>Hora Cátedra Enseñanza Superior 29 hs</v>
      </c>
      <c r="G221" s="84">
        <f t="shared" si="35"/>
        <v>2871</v>
      </c>
      <c r="H221" s="85">
        <f>INT((G221*Valores!$C$2*100)+0.5)/100</f>
        <v>21960.57</v>
      </c>
      <c r="I221" s="99">
        <v>0</v>
      </c>
      <c r="J221" s="87">
        <f>INT((I221*Valores!$C$2*100)+0.5)/100</f>
        <v>0</v>
      </c>
      <c r="K221" s="100">
        <v>0</v>
      </c>
      <c r="L221" s="87">
        <f>INT((K221*Valores!$C$2*100)+0.5)/100</f>
        <v>0</v>
      </c>
      <c r="M221" s="101">
        <v>0</v>
      </c>
      <c r="N221" s="87">
        <f>INT((M221*Valores!$C$2*100)+0.5)/100</f>
        <v>0</v>
      </c>
      <c r="O221" s="87">
        <f t="shared" si="39"/>
        <v>3833.8334999999997</v>
      </c>
      <c r="P221" s="87">
        <f t="shared" si="40"/>
        <v>0</v>
      </c>
      <c r="Q221" s="103">
        <f>Valores!$C$14*D221</f>
        <v>5358.04</v>
      </c>
      <c r="R221" s="103">
        <f>IF(D221&lt;15,(Valores!$E$4*D221),Valores!$D$4)</f>
        <v>3421.44</v>
      </c>
      <c r="S221" s="87">
        <v>0</v>
      </c>
      <c r="T221" s="90">
        <f>IF(Valores!$C$45*D221&gt;Valores!$C$43,Valores!$C$43,Valores!$C$45*D221)</f>
        <v>1709.26</v>
      </c>
      <c r="U221" s="90">
        <f>Valores!$C$22*D221</f>
        <v>1889.06</v>
      </c>
      <c r="V221" s="87">
        <f t="shared" si="33"/>
        <v>1889.06</v>
      </c>
      <c r="W221" s="87">
        <v>0</v>
      </c>
      <c r="X221" s="87">
        <v>0</v>
      </c>
      <c r="Y221" s="115">
        <v>0</v>
      </c>
      <c r="Z221" s="87">
        <f>Y221*Valores!$C$2</f>
        <v>0</v>
      </c>
      <c r="AA221" s="87">
        <v>0</v>
      </c>
      <c r="AB221" s="92">
        <f>IF((Valores!$C$32)*D221&gt;Valores!$F$32,Valores!$F$32,(Valores!$C$32)*D221)</f>
        <v>214.60000000000002</v>
      </c>
      <c r="AC221" s="87">
        <f t="shared" si="43"/>
        <v>0</v>
      </c>
      <c r="AD221" s="87">
        <f>IF(Valores!$C$33*D221&gt;Valores!$F$33,Valores!$F$33,Valores!$C$33*D221)</f>
        <v>178.64000000000001</v>
      </c>
      <c r="AE221" s="91">
        <v>0</v>
      </c>
      <c r="AF221" s="87">
        <f>INT(((AE221*Valores!$C$2)*100)+0.5)/100</f>
        <v>0</v>
      </c>
      <c r="AG221" s="87">
        <f>IF(Valores!$D$58*'Escala Docente'!D221&gt;Valores!$F$58,Valores!$F$58,Valores!$D$58*'Escala Docente'!D221)</f>
        <v>726.74</v>
      </c>
      <c r="AH221" s="87">
        <f>IF(Valores!$D$60*D221&gt;Valores!$F$60,Valores!$F$60,Valores!$D$60*D221)</f>
        <v>207.64000000000001</v>
      </c>
      <c r="AI221" s="111">
        <f t="shared" si="44"/>
        <v>39499.8235</v>
      </c>
      <c r="AJ221" s="103">
        <f>IF(Valores!$C$36*D221&gt;Valores!$F$36,Valores!$F$36,Valores!$C$36*D221)</f>
        <v>1694.76</v>
      </c>
      <c r="AK221" s="90">
        <f>IF(Valores!$C$11*D221&gt;Valores!$F$11,Valores!$F$11,Valores!$C$11*D221)</f>
        <v>0</v>
      </c>
      <c r="AL221" s="90">
        <f>IF(Valores!$C$84*D221&gt;Valores!$C$83,Valores!$C$83,Valores!$C$84*D221)</f>
        <v>2175</v>
      </c>
      <c r="AM221" s="74">
        <f t="shared" si="37"/>
        <v>2030</v>
      </c>
      <c r="AN221" s="92">
        <f>IF(Valores!$C$56*D221&gt;Valores!$F$56,Valores!$F$56,Valores!$C$56*D221)</f>
        <v>314.98</v>
      </c>
      <c r="AO221" s="94">
        <f t="shared" si="45"/>
        <v>3869.76</v>
      </c>
      <c r="AP221" s="112">
        <f>AI221*-Valores!$C$65</f>
        <v>-5134.977055</v>
      </c>
      <c r="AQ221" s="112">
        <f>AI221*-Valores!$C$66</f>
        <v>-197.4991175</v>
      </c>
      <c r="AR221" s="89">
        <f>AI221*-Valores!$C$67</f>
        <v>-1777.4920574999999</v>
      </c>
      <c r="AS221" s="89">
        <f>AI221*-Valores!$C$68</f>
        <v>-1066.4952345</v>
      </c>
      <c r="AT221" s="89">
        <f>AI221*-Valores!$C$69</f>
        <v>-118.4994705</v>
      </c>
      <c r="AU221" s="93">
        <f t="shared" si="41"/>
        <v>36259.615269999995</v>
      </c>
      <c r="AV221" s="93">
        <f t="shared" si="42"/>
        <v>36852.1126225</v>
      </c>
      <c r="AW221" s="89">
        <f>AI221*Valores!$C$71</f>
        <v>6319.97176</v>
      </c>
      <c r="AX221" s="89">
        <f>AI221*Valores!$C$72</f>
        <v>1777.4920574999999</v>
      </c>
      <c r="AY221" s="89">
        <f>AI221*Valores!$C$73</f>
        <v>394.998235</v>
      </c>
      <c r="AZ221" s="89">
        <f>AI221*Valores!$C$75</f>
        <v>1382.4938225</v>
      </c>
      <c r="BA221" s="89">
        <f>AI221*Valores!$C$76</f>
        <v>236.998941</v>
      </c>
      <c r="BB221" s="89">
        <f t="shared" si="46"/>
        <v>2132.9904690000003</v>
      </c>
      <c r="BC221" s="81"/>
      <c r="BD221" s="81">
        <f t="shared" si="36"/>
        <v>116</v>
      </c>
      <c r="BE221" s="82" t="s">
        <v>8</v>
      </c>
    </row>
    <row r="222" spans="1:57" s="24" customFormat="1" ht="11.25" customHeight="1">
      <c r="A222" s="47">
        <v>221</v>
      </c>
      <c r="B222" s="47"/>
      <c r="C222" s="24" t="s">
        <v>521</v>
      </c>
      <c r="D222" s="24">
        <v>30</v>
      </c>
      <c r="E222" s="24">
        <f t="shared" si="38"/>
        <v>37</v>
      </c>
      <c r="F222" s="67" t="str">
        <f t="shared" si="34"/>
        <v>Hora Cátedra Enseñanza Superior 30 hs</v>
      </c>
      <c r="G222" s="68">
        <f t="shared" si="35"/>
        <v>2970</v>
      </c>
      <c r="H222" s="69">
        <f>INT((G222*Valores!$C$2*100)+0.5)/100</f>
        <v>22717.83</v>
      </c>
      <c r="I222" s="108">
        <v>0</v>
      </c>
      <c r="J222" s="71">
        <f>INT((I222*Valores!$C$2*100)+0.5)/100</f>
        <v>0</v>
      </c>
      <c r="K222" s="98">
        <v>0</v>
      </c>
      <c r="L222" s="71">
        <f>INT((K222*Valores!$C$2*100)+0.5)/100</f>
        <v>0</v>
      </c>
      <c r="M222" s="96">
        <v>0</v>
      </c>
      <c r="N222" s="71">
        <f>INT((M222*Valores!$C$2*100)+0.5)/100</f>
        <v>0</v>
      </c>
      <c r="O222" s="71">
        <f t="shared" si="39"/>
        <v>3966.0345</v>
      </c>
      <c r="P222" s="71">
        <f t="shared" si="40"/>
        <v>0</v>
      </c>
      <c r="Q222" s="97">
        <f>Valores!$C$14*D222</f>
        <v>5542.799999999999</v>
      </c>
      <c r="R222" s="97">
        <f>IF(D222&lt;15,(Valores!$E$4*D222),Valores!$D$4)</f>
        <v>3421.44</v>
      </c>
      <c r="S222" s="71">
        <v>0</v>
      </c>
      <c r="T222" s="74">
        <f>IF(Valores!$C$45*D222&gt;Valores!$C$43,Valores!$C$43,Valores!$C$45*D222)</f>
        <v>1768.1999999999998</v>
      </c>
      <c r="U222" s="97">
        <f>Valores!$C$22*D222</f>
        <v>1954.2</v>
      </c>
      <c r="V222" s="71">
        <f t="shared" si="33"/>
        <v>1954.2</v>
      </c>
      <c r="W222" s="71">
        <v>0</v>
      </c>
      <c r="X222" s="71">
        <v>0</v>
      </c>
      <c r="Y222" s="114">
        <v>0</v>
      </c>
      <c r="Z222" s="71">
        <f>Y222*Valores!$C$2</f>
        <v>0</v>
      </c>
      <c r="AA222" s="71">
        <v>0</v>
      </c>
      <c r="AB222" s="76">
        <f>IF((Valores!$C$32)*D222&gt;Valores!$F$32,Valores!$F$32,(Valores!$C$32)*D222)</f>
        <v>222</v>
      </c>
      <c r="AC222" s="71">
        <f t="shared" si="43"/>
        <v>0</v>
      </c>
      <c r="AD222" s="71">
        <f>IF(Valores!$C$33*D222&gt;Valores!$F$33,Valores!$F$33,Valores!$C$33*D222)</f>
        <v>184.78</v>
      </c>
      <c r="AE222" s="75">
        <v>0</v>
      </c>
      <c r="AF222" s="71">
        <f>INT(((AE222*Valores!$C$2)*100)+0.5)/100</f>
        <v>0</v>
      </c>
      <c r="AG222" s="71">
        <f>IF(Valores!$D$58*'Escala Docente'!D222&gt;Valores!$F$58,Valores!$F$58,Valores!$D$58*'Escala Docente'!D222)</f>
        <v>751.72</v>
      </c>
      <c r="AH222" s="71">
        <f>IF(Valores!$D$60*D222&gt;Valores!$F$60,Valores!$F$60,Valores!$D$60*D222)</f>
        <v>214.76</v>
      </c>
      <c r="AI222" s="110">
        <f t="shared" si="44"/>
        <v>40743.7645</v>
      </c>
      <c r="AJ222" s="97">
        <f>IF(Valores!$C$36*D222&gt;Valores!$F$36,Valores!$F$36,Valores!$C$36*D222)</f>
        <v>1753.14</v>
      </c>
      <c r="AK222" s="74">
        <f>IF(Valores!$C$11*D222&gt;Valores!$F$11,Valores!$F$11,Valores!$C$11*D222)</f>
        <v>0</v>
      </c>
      <c r="AL222" s="74">
        <f>IF(Valores!$C$84*D222&gt;Valores!$C$83,Valores!$C$83,Valores!$C$84*D222)</f>
        <v>2250</v>
      </c>
      <c r="AM222" s="74">
        <f t="shared" si="37"/>
        <v>2100</v>
      </c>
      <c r="AN222" s="76">
        <f>IF(Valores!$C$56*D222&gt;Valores!$F$56,Valores!$F$56,Valores!$C$56*D222)</f>
        <v>314.98</v>
      </c>
      <c r="AO222" s="78">
        <f t="shared" si="45"/>
        <v>4003.1400000000003</v>
      </c>
      <c r="AP222" s="57">
        <f>AI222*-Valores!$C$65</f>
        <v>-5296.689385</v>
      </c>
      <c r="AQ222" s="57">
        <f>AI222*-Valores!$C$66</f>
        <v>-203.7188225</v>
      </c>
      <c r="AR222" s="73">
        <f>AI222*-Valores!$C$67</f>
        <v>-1833.4694025</v>
      </c>
      <c r="AS222" s="73">
        <f>AI222*-Valores!$C$68</f>
        <v>-1100.0816415</v>
      </c>
      <c r="AT222" s="73">
        <f>AI222*-Valores!$C$69</f>
        <v>-122.23129349999999</v>
      </c>
      <c r="AU222" s="77">
        <f t="shared" si="41"/>
        <v>37413.02689</v>
      </c>
      <c r="AV222" s="77">
        <f t="shared" si="42"/>
        <v>38024.1833575</v>
      </c>
      <c r="AW222" s="73">
        <f>AI222*Valores!$C$71</f>
        <v>6519.00232</v>
      </c>
      <c r="AX222" s="73">
        <f>AI222*Valores!$C$72</f>
        <v>1833.4694025</v>
      </c>
      <c r="AY222" s="73">
        <f>AI222*Valores!$C$73</f>
        <v>407.437645</v>
      </c>
      <c r="AZ222" s="73">
        <f>AI222*Valores!$C$75</f>
        <v>1426.0317575000001</v>
      </c>
      <c r="BA222" s="73">
        <f>AI222*Valores!$C$76</f>
        <v>244.46258699999998</v>
      </c>
      <c r="BB222" s="73">
        <f t="shared" si="46"/>
        <v>2200.163283</v>
      </c>
      <c r="BC222" s="47"/>
      <c r="BD222" s="116">
        <f t="shared" si="36"/>
        <v>120</v>
      </c>
      <c r="BE222" s="24" t="s">
        <v>4</v>
      </c>
    </row>
    <row r="223" spans="1:57" s="24" customFormat="1" ht="11.25" customHeight="1">
      <c r="A223" s="47">
        <v>222</v>
      </c>
      <c r="B223" s="47"/>
      <c r="C223" s="24" t="s">
        <v>521</v>
      </c>
      <c r="D223" s="24">
        <v>31</v>
      </c>
      <c r="E223" s="24">
        <f t="shared" si="38"/>
        <v>37</v>
      </c>
      <c r="F223" s="67" t="str">
        <f t="shared" si="34"/>
        <v>Hora Cátedra Enseñanza Superior 31 hs</v>
      </c>
      <c r="G223" s="68">
        <f t="shared" si="35"/>
        <v>3069</v>
      </c>
      <c r="H223" s="69">
        <f>INT((G223*Valores!$C$2*100)+0.5)/100</f>
        <v>23475.09</v>
      </c>
      <c r="I223" s="108">
        <v>0</v>
      </c>
      <c r="J223" s="71">
        <f>INT((I223*Valores!$C$2*100)+0.5)/100</f>
        <v>0</v>
      </c>
      <c r="K223" s="98">
        <v>0</v>
      </c>
      <c r="L223" s="71">
        <f>INT((K223*Valores!$C$2*100)+0.5)/100</f>
        <v>0</v>
      </c>
      <c r="M223" s="96">
        <v>0</v>
      </c>
      <c r="N223" s="71">
        <f>INT((M223*Valores!$C$2*100)+0.5)/100</f>
        <v>0</v>
      </c>
      <c r="O223" s="71">
        <f t="shared" si="39"/>
        <v>4098.2355</v>
      </c>
      <c r="P223" s="71">
        <f t="shared" si="40"/>
        <v>0</v>
      </c>
      <c r="Q223" s="97">
        <f>Valores!$C$14*D223</f>
        <v>5727.5599999999995</v>
      </c>
      <c r="R223" s="97">
        <f>IF(D223&lt;15,(Valores!$E$4*D223),Valores!$D$4)</f>
        <v>3421.44</v>
      </c>
      <c r="S223" s="71">
        <v>0</v>
      </c>
      <c r="T223" s="74">
        <f>IF(Valores!$C$45*D223&gt;Valores!$C$43,Valores!$C$43,Valores!$C$45*D223)</f>
        <v>1827.1399999999999</v>
      </c>
      <c r="U223" s="74">
        <f>Valores!$C$22*D223</f>
        <v>2019.34</v>
      </c>
      <c r="V223" s="71">
        <f t="shared" si="33"/>
        <v>2019.34</v>
      </c>
      <c r="W223" s="71">
        <v>0</v>
      </c>
      <c r="X223" s="71">
        <v>0</v>
      </c>
      <c r="Y223" s="114">
        <v>0</v>
      </c>
      <c r="Z223" s="71">
        <f>Y223*Valores!$C$2</f>
        <v>0</v>
      </c>
      <c r="AA223" s="71">
        <v>0</v>
      </c>
      <c r="AB223" s="76">
        <f>IF((Valores!$C$32)*D223&gt;Valores!$F$32,Valores!$F$32,(Valores!$C$32)*D223)</f>
        <v>229.4</v>
      </c>
      <c r="AC223" s="71">
        <f t="shared" si="43"/>
        <v>0</v>
      </c>
      <c r="AD223" s="71">
        <f>IF(Valores!$C$33*D223&gt;Valores!$F$33,Valores!$F$33,Valores!$C$33*D223)</f>
        <v>184.78</v>
      </c>
      <c r="AE223" s="75">
        <v>0</v>
      </c>
      <c r="AF223" s="71">
        <f>INT(((AE223*Valores!$C$2)*100)+0.5)/100</f>
        <v>0</v>
      </c>
      <c r="AG223" s="71">
        <f>IF(Valores!$D$58*'Escala Docente'!D223&gt;Valores!$F$58,Valores!$F$58,Valores!$D$58*'Escala Docente'!D223)</f>
        <v>751.72</v>
      </c>
      <c r="AH223" s="71">
        <f>IF(Valores!$D$60*D223&gt;Valores!$F$60,Valores!$F$60,Valores!$D$60*D223)</f>
        <v>214.76</v>
      </c>
      <c r="AI223" s="110">
        <f t="shared" si="44"/>
        <v>41949.4655</v>
      </c>
      <c r="AJ223" s="97">
        <f>IF(Valores!$C$36*D223&gt;Valores!$F$36,Valores!$F$36,Valores!$C$36*D223)</f>
        <v>1753.14</v>
      </c>
      <c r="AK223" s="74">
        <f>IF(Valores!$C$11*D223&gt;Valores!$F$11,Valores!$F$11,Valores!$C$11*D223)</f>
        <v>0</v>
      </c>
      <c r="AL223" s="74">
        <f>IF(Valores!$C$84*D223&gt;Valores!$C$83,Valores!$C$83,Valores!$C$84*D223)</f>
        <v>2325</v>
      </c>
      <c r="AM223" s="74">
        <f t="shared" si="37"/>
        <v>2170</v>
      </c>
      <c r="AN223" s="76">
        <f>IF(Valores!$C$56*D223&gt;Valores!$F$56,Valores!$F$56,Valores!$C$56*D223)</f>
        <v>314.98</v>
      </c>
      <c r="AO223" s="78">
        <f t="shared" si="45"/>
        <v>4078.1400000000003</v>
      </c>
      <c r="AP223" s="57">
        <f>AI223*-Valores!$C$65</f>
        <v>-5453.430515</v>
      </c>
      <c r="AQ223" s="57">
        <f>AI223*-Valores!$C$66</f>
        <v>-209.74732749999998</v>
      </c>
      <c r="AR223" s="73">
        <f>AI223*-Valores!$C$67</f>
        <v>-1887.7259474999998</v>
      </c>
      <c r="AS223" s="73">
        <f>AI223*-Valores!$C$68</f>
        <v>-1132.6355684999999</v>
      </c>
      <c r="AT223" s="73">
        <f>AI223*-Valores!$C$69</f>
        <v>-125.84839649999999</v>
      </c>
      <c r="AU223" s="77">
        <f t="shared" si="41"/>
        <v>38476.701709999994</v>
      </c>
      <c r="AV223" s="77">
        <f t="shared" si="42"/>
        <v>39105.9436925</v>
      </c>
      <c r="AW223" s="73">
        <f>AI223*Valores!$C$71</f>
        <v>6711.9144799999995</v>
      </c>
      <c r="AX223" s="73">
        <f>AI223*Valores!$C$72</f>
        <v>1887.7259474999998</v>
      </c>
      <c r="AY223" s="73">
        <f>AI223*Valores!$C$73</f>
        <v>419.49465499999997</v>
      </c>
      <c r="AZ223" s="73">
        <f>AI223*Valores!$C$75</f>
        <v>1468.2312925</v>
      </c>
      <c r="BA223" s="73">
        <f>AI223*Valores!$C$76</f>
        <v>251.69679299999999</v>
      </c>
      <c r="BB223" s="73">
        <f t="shared" si="46"/>
        <v>2265.271137</v>
      </c>
      <c r="BC223" s="47"/>
      <c r="BD223" s="116">
        <f t="shared" si="36"/>
        <v>124</v>
      </c>
      <c r="BE223" s="24" t="s">
        <v>8</v>
      </c>
    </row>
    <row r="224" spans="1:57" s="24" customFormat="1" ht="11.25" customHeight="1">
      <c r="A224" s="47">
        <v>223</v>
      </c>
      <c r="B224" s="47"/>
      <c r="C224" s="24" t="s">
        <v>521</v>
      </c>
      <c r="D224" s="24">
        <v>32</v>
      </c>
      <c r="E224" s="24">
        <f t="shared" si="38"/>
        <v>37</v>
      </c>
      <c r="F224" s="67" t="str">
        <f t="shared" si="34"/>
        <v>Hora Cátedra Enseñanza Superior 32 hs</v>
      </c>
      <c r="G224" s="68">
        <f t="shared" si="35"/>
        <v>3168</v>
      </c>
      <c r="H224" s="69">
        <f>INT((G224*Valores!$C$2*100)+0.5)/100</f>
        <v>24232.35</v>
      </c>
      <c r="I224" s="108">
        <v>0</v>
      </c>
      <c r="J224" s="71">
        <f>INT((I224*Valores!$C$2*100)+0.5)/100</f>
        <v>0</v>
      </c>
      <c r="K224" s="98">
        <v>0</v>
      </c>
      <c r="L224" s="71">
        <f>INT((K224*Valores!$C$2*100)+0.5)/100</f>
        <v>0</v>
      </c>
      <c r="M224" s="96">
        <v>0</v>
      </c>
      <c r="N224" s="71">
        <f>INT((M224*Valores!$C$2*100)+0.5)/100</f>
        <v>0</v>
      </c>
      <c r="O224" s="71">
        <f t="shared" si="39"/>
        <v>4230.436499999999</v>
      </c>
      <c r="P224" s="71">
        <f t="shared" si="40"/>
        <v>0</v>
      </c>
      <c r="Q224" s="97">
        <f>Valores!$C$14*D224</f>
        <v>5912.32</v>
      </c>
      <c r="R224" s="97">
        <f>IF(D224&lt;15,(Valores!$E$4*D224),Valores!$D$4)</f>
        <v>3421.44</v>
      </c>
      <c r="S224" s="71">
        <v>0</v>
      </c>
      <c r="T224" s="74">
        <f>IF(Valores!$C$45*D224&gt;Valores!$C$43,Valores!$C$43,Valores!$C$45*D224)</f>
        <v>1886.08</v>
      </c>
      <c r="U224" s="97">
        <f>Valores!$C$22*D224</f>
        <v>2084.48</v>
      </c>
      <c r="V224" s="71">
        <f t="shared" si="33"/>
        <v>2084.48</v>
      </c>
      <c r="W224" s="71">
        <v>0</v>
      </c>
      <c r="X224" s="71">
        <v>0</v>
      </c>
      <c r="Y224" s="114">
        <v>0</v>
      </c>
      <c r="Z224" s="71">
        <f>Y224*Valores!$C$2</f>
        <v>0</v>
      </c>
      <c r="AA224" s="71">
        <v>0</v>
      </c>
      <c r="AB224" s="76">
        <f>IF((Valores!$C$32)*D224&gt;Valores!$F$32,Valores!$F$32,(Valores!$C$32)*D224)</f>
        <v>236.8</v>
      </c>
      <c r="AC224" s="71">
        <f t="shared" si="43"/>
        <v>0</v>
      </c>
      <c r="AD224" s="71">
        <f>IF(Valores!$C$33*D224&gt;Valores!$F$33,Valores!$F$33,Valores!$C$33*D224)</f>
        <v>184.78</v>
      </c>
      <c r="AE224" s="75">
        <v>0</v>
      </c>
      <c r="AF224" s="71">
        <f>INT(((AE224*Valores!$C$2)*100)+0.5)/100</f>
        <v>0</v>
      </c>
      <c r="AG224" s="71">
        <f>IF(Valores!$D$58*'Escala Docente'!D224&gt;Valores!$F$58,Valores!$F$58,Valores!$D$58*'Escala Docente'!D224)</f>
        <v>751.72</v>
      </c>
      <c r="AH224" s="71">
        <f>IF(Valores!$D$60*D224&gt;Valores!$F$60,Valores!$F$60,Valores!$D$60*D224)</f>
        <v>214.76</v>
      </c>
      <c r="AI224" s="110">
        <f t="shared" si="44"/>
        <v>43155.16650000001</v>
      </c>
      <c r="AJ224" s="97">
        <f>IF(Valores!$C$36*D224&gt;Valores!$F$36,Valores!$F$36,Valores!$C$36*D224)</f>
        <v>1753.14</v>
      </c>
      <c r="AK224" s="74">
        <f>IF(Valores!$C$11*D224&gt;Valores!$F$11,Valores!$F$11,Valores!$C$11*D224)</f>
        <v>0</v>
      </c>
      <c r="AL224" s="74">
        <f>IF(Valores!$C$84*D224&gt;Valores!$C$83,Valores!$C$83,Valores!$C$84*D224)</f>
        <v>2400</v>
      </c>
      <c r="AM224" s="74">
        <f t="shared" si="37"/>
        <v>2240</v>
      </c>
      <c r="AN224" s="76">
        <f>IF(Valores!$C$56*D224&gt;Valores!$F$56,Valores!$F$56,Valores!$C$56*D224)</f>
        <v>314.98</v>
      </c>
      <c r="AO224" s="78">
        <f t="shared" si="45"/>
        <v>4153.14</v>
      </c>
      <c r="AP224" s="57">
        <f>AI224*-Valores!$C$65</f>
        <v>-5610.171645000001</v>
      </c>
      <c r="AQ224" s="57">
        <f>AI224*-Valores!$C$66</f>
        <v>-215.77583250000004</v>
      </c>
      <c r="AR224" s="73">
        <f>AI224*-Valores!$C$67</f>
        <v>-1941.9824925000003</v>
      </c>
      <c r="AS224" s="73">
        <f>AI224*-Valores!$C$68</f>
        <v>-1165.1894955000002</v>
      </c>
      <c r="AT224" s="73">
        <f>AI224*-Valores!$C$69</f>
        <v>-129.46549950000002</v>
      </c>
      <c r="AU224" s="77">
        <f t="shared" si="41"/>
        <v>39540.37653</v>
      </c>
      <c r="AV224" s="77">
        <f t="shared" si="42"/>
        <v>40187.704027499996</v>
      </c>
      <c r="AW224" s="73">
        <f>AI224*Valores!$C$71</f>
        <v>6904.826640000001</v>
      </c>
      <c r="AX224" s="73">
        <f>AI224*Valores!$C$72</f>
        <v>1941.9824925000003</v>
      </c>
      <c r="AY224" s="73">
        <f>AI224*Valores!$C$73</f>
        <v>431.55166500000007</v>
      </c>
      <c r="AZ224" s="73">
        <f>AI224*Valores!$C$75</f>
        <v>1510.4308275000003</v>
      </c>
      <c r="BA224" s="73">
        <f>AI224*Valores!$C$76</f>
        <v>258.93099900000004</v>
      </c>
      <c r="BB224" s="73">
        <f t="shared" si="46"/>
        <v>2330.3789910000005</v>
      </c>
      <c r="BC224" s="47"/>
      <c r="BD224" s="81">
        <f t="shared" si="36"/>
        <v>128</v>
      </c>
      <c r="BE224" s="24" t="s">
        <v>8</v>
      </c>
    </row>
    <row r="225" spans="1:57" s="24" customFormat="1" ht="11.25" customHeight="1">
      <c r="A225" s="47">
        <v>224</v>
      </c>
      <c r="B225" s="47"/>
      <c r="C225" s="24" t="s">
        <v>521</v>
      </c>
      <c r="D225" s="24">
        <v>33</v>
      </c>
      <c r="E225" s="24">
        <f t="shared" si="38"/>
        <v>37</v>
      </c>
      <c r="F225" s="67" t="str">
        <f t="shared" si="34"/>
        <v>Hora Cátedra Enseñanza Superior 33 hs</v>
      </c>
      <c r="G225" s="68">
        <f t="shared" si="35"/>
        <v>3267</v>
      </c>
      <c r="H225" s="69">
        <f>INT((G225*Valores!$C$2*100)+0.5)/100</f>
        <v>24989.61</v>
      </c>
      <c r="I225" s="108">
        <v>0</v>
      </c>
      <c r="J225" s="71">
        <f>INT((I225*Valores!$C$2*100)+0.5)/100</f>
        <v>0</v>
      </c>
      <c r="K225" s="98">
        <v>0</v>
      </c>
      <c r="L225" s="71">
        <f>INT((K225*Valores!$C$2*100)+0.5)/100</f>
        <v>0</v>
      </c>
      <c r="M225" s="96">
        <v>0</v>
      </c>
      <c r="N225" s="71">
        <f>INT((M225*Valores!$C$2*100)+0.5)/100</f>
        <v>0</v>
      </c>
      <c r="O225" s="71">
        <f t="shared" si="39"/>
        <v>4362.6375</v>
      </c>
      <c r="P225" s="71">
        <f t="shared" si="40"/>
        <v>0</v>
      </c>
      <c r="Q225" s="97">
        <f>Valores!$C$14*D225</f>
        <v>6097.08</v>
      </c>
      <c r="R225" s="97">
        <f>IF(D225&lt;15,(Valores!$E$4*D225),Valores!$D$4)</f>
        <v>3421.44</v>
      </c>
      <c r="S225" s="71">
        <v>0</v>
      </c>
      <c r="T225" s="74">
        <f>IF(Valores!$C$45*D225&gt;Valores!$C$43,Valores!$C$43,Valores!$C$45*D225)</f>
        <v>1945.02</v>
      </c>
      <c r="U225" s="97">
        <f>Valores!$C$22*D225</f>
        <v>2149.62</v>
      </c>
      <c r="V225" s="71">
        <f t="shared" si="33"/>
        <v>2149.62</v>
      </c>
      <c r="W225" s="71">
        <v>0</v>
      </c>
      <c r="X225" s="71">
        <v>0</v>
      </c>
      <c r="Y225" s="114">
        <v>0</v>
      </c>
      <c r="Z225" s="71">
        <f>Y225*Valores!$C$2</f>
        <v>0</v>
      </c>
      <c r="AA225" s="71">
        <v>0</v>
      </c>
      <c r="AB225" s="76">
        <f>IF((Valores!$C$32)*D225&gt;Valores!$F$32,Valores!$F$32,(Valores!$C$32)*D225)</f>
        <v>244.20000000000002</v>
      </c>
      <c r="AC225" s="71">
        <f t="shared" si="43"/>
        <v>0</v>
      </c>
      <c r="AD225" s="71">
        <f>IF(Valores!$C$33*D225&gt;Valores!$F$33,Valores!$F$33,Valores!$C$33*D225)</f>
        <v>184.78</v>
      </c>
      <c r="AE225" s="75">
        <v>0</v>
      </c>
      <c r="AF225" s="71">
        <f>INT(((AE225*Valores!$C$2)*100)+0.5)/100</f>
        <v>0</v>
      </c>
      <c r="AG225" s="71">
        <f>IF(Valores!$D$58*'Escala Docente'!D225&gt;Valores!$F$58,Valores!$F$58,Valores!$D$58*'Escala Docente'!D225)</f>
        <v>751.72</v>
      </c>
      <c r="AH225" s="71">
        <f>IF(Valores!$D$60*D225&gt;Valores!$F$60,Valores!$F$60,Valores!$D$60*D225)</f>
        <v>214.76</v>
      </c>
      <c r="AI225" s="110">
        <f t="shared" si="44"/>
        <v>44360.8675</v>
      </c>
      <c r="AJ225" s="97">
        <f>IF(Valores!$C$36*D225&gt;Valores!$F$36,Valores!$F$36,Valores!$C$36*D225)</f>
        <v>1753.14</v>
      </c>
      <c r="AK225" s="74">
        <f>IF(Valores!$C$11*D225&gt;Valores!$F$11,Valores!$F$11,Valores!$C$11*D225)</f>
        <v>0</v>
      </c>
      <c r="AL225" s="74">
        <f>IF(Valores!$C$84*D225&gt;Valores!$C$83,Valores!$C$83,Valores!$C$84*D225)</f>
        <v>2475</v>
      </c>
      <c r="AM225" s="74">
        <f t="shared" si="37"/>
        <v>2310</v>
      </c>
      <c r="AN225" s="76">
        <f>IF(Valores!$C$56*D225&gt;Valores!$F$56,Valores!$F$56,Valores!$C$56*D225)</f>
        <v>314.98</v>
      </c>
      <c r="AO225" s="78">
        <f t="shared" si="45"/>
        <v>4228.14</v>
      </c>
      <c r="AP225" s="57">
        <f>AI225*-Valores!$C$65</f>
        <v>-5766.912775</v>
      </c>
      <c r="AQ225" s="57">
        <f>AI225*-Valores!$C$66</f>
        <v>-221.8043375</v>
      </c>
      <c r="AR225" s="73">
        <f>AI225*-Valores!$C$67</f>
        <v>-1996.2390375</v>
      </c>
      <c r="AS225" s="73">
        <f>AI225*-Valores!$C$68</f>
        <v>-1197.7434225</v>
      </c>
      <c r="AT225" s="73">
        <f>AI225*-Valores!$C$69</f>
        <v>-133.0826025</v>
      </c>
      <c r="AU225" s="77">
        <f t="shared" si="41"/>
        <v>40604.05135</v>
      </c>
      <c r="AV225" s="77">
        <f t="shared" si="42"/>
        <v>41269.4643625</v>
      </c>
      <c r="AW225" s="73">
        <f>AI225*Valores!$C$71</f>
        <v>7097.7388</v>
      </c>
      <c r="AX225" s="73">
        <f>AI225*Valores!$C$72</f>
        <v>1996.2390375</v>
      </c>
      <c r="AY225" s="73">
        <f>AI225*Valores!$C$73</f>
        <v>443.608675</v>
      </c>
      <c r="AZ225" s="73">
        <f>AI225*Valores!$C$75</f>
        <v>1552.6303625</v>
      </c>
      <c r="BA225" s="73">
        <f>AI225*Valores!$C$76</f>
        <v>266.165205</v>
      </c>
      <c r="BB225" s="73">
        <f t="shared" si="46"/>
        <v>2395.486845</v>
      </c>
      <c r="BC225" s="47"/>
      <c r="BD225" s="47">
        <f aca="true" t="shared" si="47" ref="BD225:BD256">4*D225</f>
        <v>132</v>
      </c>
      <c r="BE225" s="24" t="s">
        <v>8</v>
      </c>
    </row>
    <row r="226" spans="1:57" s="24" customFormat="1" ht="11.25" customHeight="1">
      <c r="A226" s="81">
        <v>225</v>
      </c>
      <c r="B226" s="81" t="s">
        <v>163</v>
      </c>
      <c r="C226" s="82" t="s">
        <v>521</v>
      </c>
      <c r="D226" s="82">
        <v>34</v>
      </c>
      <c r="E226" s="82">
        <f t="shared" si="38"/>
        <v>37</v>
      </c>
      <c r="F226" s="83" t="str">
        <f t="shared" si="34"/>
        <v>Hora Cátedra Enseñanza Superior 34 hs</v>
      </c>
      <c r="G226" s="84">
        <f t="shared" si="35"/>
        <v>3366</v>
      </c>
      <c r="H226" s="85">
        <f>INT((G226*Valores!$C$2*100)+0.5)/100</f>
        <v>25746.87</v>
      </c>
      <c r="I226" s="99">
        <v>0</v>
      </c>
      <c r="J226" s="87">
        <f>INT((I226*Valores!$C$2*100)+0.5)/100</f>
        <v>0</v>
      </c>
      <c r="K226" s="100">
        <v>0</v>
      </c>
      <c r="L226" s="87">
        <f>INT((K226*Valores!$C$2*100)+0.5)/100</f>
        <v>0</v>
      </c>
      <c r="M226" s="101">
        <v>0</v>
      </c>
      <c r="N226" s="87">
        <f>INT((M226*Valores!$C$2*100)+0.5)/100</f>
        <v>0</v>
      </c>
      <c r="O226" s="87">
        <f t="shared" si="39"/>
        <v>4494.838499999999</v>
      </c>
      <c r="P226" s="87">
        <f t="shared" si="40"/>
        <v>0</v>
      </c>
      <c r="Q226" s="103">
        <f>Valores!$C$14*D226</f>
        <v>6281.84</v>
      </c>
      <c r="R226" s="103">
        <f>IF(D226&lt;15,(Valores!$E$4*D226),Valores!$D$4)</f>
        <v>3421.44</v>
      </c>
      <c r="S226" s="87">
        <v>0</v>
      </c>
      <c r="T226" s="90">
        <f>IF(Valores!$C$45*D226&gt;Valores!$C$43,Valores!$C$43,Valores!$C$45*D226)</f>
        <v>2003.96</v>
      </c>
      <c r="U226" s="103">
        <f>Valores!$C$22*D226</f>
        <v>2214.76</v>
      </c>
      <c r="V226" s="87">
        <f t="shared" si="33"/>
        <v>2214.76</v>
      </c>
      <c r="W226" s="87">
        <v>0</v>
      </c>
      <c r="X226" s="87">
        <v>0</v>
      </c>
      <c r="Y226" s="115">
        <v>0</v>
      </c>
      <c r="Z226" s="87">
        <f>Y226*Valores!$C$2</f>
        <v>0</v>
      </c>
      <c r="AA226" s="87">
        <v>0</v>
      </c>
      <c r="AB226" s="92">
        <f>IF((Valores!$C$32)*D226&gt;Valores!$F$32,Valores!$F$32,(Valores!$C$32)*D226)</f>
        <v>251.60000000000002</v>
      </c>
      <c r="AC226" s="87">
        <f t="shared" si="43"/>
        <v>0</v>
      </c>
      <c r="AD226" s="87">
        <f>IF(Valores!$C$33*D226&gt;Valores!$F$33,Valores!$F$33,Valores!$C$33*D226)</f>
        <v>184.78</v>
      </c>
      <c r="AE226" s="91">
        <v>0</v>
      </c>
      <c r="AF226" s="87">
        <f>INT(((AE226*Valores!$C$2)*100)+0.5)/100</f>
        <v>0</v>
      </c>
      <c r="AG226" s="87">
        <f>IF(Valores!$D$58*'Escala Docente'!D226&gt;Valores!$F$58,Valores!$F$58,Valores!$D$58*'Escala Docente'!D226)</f>
        <v>751.72</v>
      </c>
      <c r="AH226" s="87">
        <f>IF(Valores!$D$60*D226&gt;Valores!$F$60,Valores!$F$60,Valores!$D$60*D226)</f>
        <v>214.76</v>
      </c>
      <c r="AI226" s="111">
        <f t="shared" si="44"/>
        <v>45566.5685</v>
      </c>
      <c r="AJ226" s="103">
        <f>IF(Valores!$C$36*D226&gt;Valores!$F$36,Valores!$F$36,Valores!$C$36*D226)</f>
        <v>1753.14</v>
      </c>
      <c r="AK226" s="90">
        <f>IF(Valores!$C$11*D226&gt;Valores!$F$11,Valores!$F$11,Valores!$C$11*D226)</f>
        <v>0</v>
      </c>
      <c r="AL226" s="90">
        <f>IF(Valores!$C$84*D226&gt;Valores!$C$83,Valores!$C$83,Valores!$C$84*D226)</f>
        <v>2550</v>
      </c>
      <c r="AM226" s="74">
        <f t="shared" si="37"/>
        <v>2380</v>
      </c>
      <c r="AN226" s="92">
        <f>IF(Valores!$C$56*D226&gt;Valores!$F$56,Valores!$F$56,Valores!$C$56*D226)</f>
        <v>314.98</v>
      </c>
      <c r="AO226" s="94">
        <f t="shared" si="45"/>
        <v>4303.14</v>
      </c>
      <c r="AP226" s="112">
        <f>AI226*-Valores!$C$65</f>
        <v>-5923.653905</v>
      </c>
      <c r="AQ226" s="112">
        <f>AI226*-Valores!$C$66</f>
        <v>-227.8328425</v>
      </c>
      <c r="AR226" s="89">
        <f>AI226*-Valores!$C$67</f>
        <v>-2050.4955825</v>
      </c>
      <c r="AS226" s="89">
        <f>AI226*-Valores!$C$68</f>
        <v>-1230.2973495</v>
      </c>
      <c r="AT226" s="89">
        <f>AI226*-Valores!$C$69</f>
        <v>-136.6997055</v>
      </c>
      <c r="AU226" s="93">
        <f t="shared" si="41"/>
        <v>41667.72617</v>
      </c>
      <c r="AV226" s="93">
        <f t="shared" si="42"/>
        <v>42351.2246975</v>
      </c>
      <c r="AW226" s="89">
        <f>AI226*Valores!$C$71</f>
        <v>7290.65096</v>
      </c>
      <c r="AX226" s="89">
        <f>AI226*Valores!$C$72</f>
        <v>2050.4955825</v>
      </c>
      <c r="AY226" s="89">
        <f>AI226*Valores!$C$73</f>
        <v>455.665685</v>
      </c>
      <c r="AZ226" s="89">
        <f>AI226*Valores!$C$75</f>
        <v>1594.8298975000002</v>
      </c>
      <c r="BA226" s="89">
        <f>AI226*Valores!$C$76</f>
        <v>273.399411</v>
      </c>
      <c r="BB226" s="89">
        <f t="shared" si="46"/>
        <v>2460.594699</v>
      </c>
      <c r="BC226" s="81"/>
      <c r="BD226" s="81">
        <f t="shared" si="47"/>
        <v>136</v>
      </c>
      <c r="BE226" s="82" t="s">
        <v>8</v>
      </c>
    </row>
    <row r="227" spans="1:57" s="24" customFormat="1" ht="11.25" customHeight="1">
      <c r="A227" s="47">
        <v>226</v>
      </c>
      <c r="B227" s="47"/>
      <c r="C227" s="24" t="s">
        <v>521</v>
      </c>
      <c r="D227" s="24">
        <v>35</v>
      </c>
      <c r="E227" s="24">
        <f t="shared" si="38"/>
        <v>37</v>
      </c>
      <c r="F227" s="67" t="str">
        <f t="shared" si="34"/>
        <v>Hora Cátedra Enseñanza Superior 35 hs</v>
      </c>
      <c r="G227" s="68">
        <f t="shared" si="35"/>
        <v>3465</v>
      </c>
      <c r="H227" s="69">
        <f>INT((G227*Valores!$C$2*100)+0.5)/100</f>
        <v>26504.13</v>
      </c>
      <c r="I227" s="108">
        <v>0</v>
      </c>
      <c r="J227" s="71">
        <f>INT((I227*Valores!$C$2*100)+0.5)/100</f>
        <v>0</v>
      </c>
      <c r="K227" s="98">
        <v>0</v>
      </c>
      <c r="L227" s="71">
        <f>INT((K227*Valores!$C$2*100)+0.5)/100</f>
        <v>0</v>
      </c>
      <c r="M227" s="96">
        <v>0</v>
      </c>
      <c r="N227" s="71">
        <f>INT((M227*Valores!$C$2*100)+0.5)/100</f>
        <v>0</v>
      </c>
      <c r="O227" s="71">
        <f t="shared" si="39"/>
        <v>4627.039500000001</v>
      </c>
      <c r="P227" s="71">
        <f t="shared" si="40"/>
        <v>0</v>
      </c>
      <c r="Q227" s="97">
        <f>Valores!$C$14*D227</f>
        <v>6466.599999999999</v>
      </c>
      <c r="R227" s="97">
        <f>IF(D227&lt;15,(Valores!$E$4*D227),Valores!$D$4)</f>
        <v>3421.44</v>
      </c>
      <c r="S227" s="71">
        <v>0</v>
      </c>
      <c r="T227" s="74">
        <f>IF(Valores!$C$45*D227&gt;Valores!$C$43,Valores!$C$43,Valores!$C$45*D227)</f>
        <v>2062.9</v>
      </c>
      <c r="U227" s="97">
        <f>Valores!$C$22*D227</f>
        <v>2279.9</v>
      </c>
      <c r="V227" s="71">
        <f t="shared" si="33"/>
        <v>2279.9</v>
      </c>
      <c r="W227" s="71">
        <v>0</v>
      </c>
      <c r="X227" s="71">
        <v>0</v>
      </c>
      <c r="Y227" s="114">
        <v>0</v>
      </c>
      <c r="Z227" s="71">
        <f>Y227*Valores!$C$2</f>
        <v>0</v>
      </c>
      <c r="AA227" s="71">
        <v>0</v>
      </c>
      <c r="AB227" s="76">
        <f>IF((Valores!$C$32)*D227&gt;Valores!$F$32,Valores!$F$32,(Valores!$C$32)*D227)</f>
        <v>259</v>
      </c>
      <c r="AC227" s="71">
        <f t="shared" si="43"/>
        <v>0</v>
      </c>
      <c r="AD227" s="71">
        <f>IF(Valores!$C$33*D227&gt;Valores!$F$33,Valores!$F$33,Valores!$C$33*D227)</f>
        <v>184.78</v>
      </c>
      <c r="AE227" s="75">
        <v>0</v>
      </c>
      <c r="AF227" s="71">
        <f>INT(((AE227*Valores!$C$2)*100)+0.5)/100</f>
        <v>0</v>
      </c>
      <c r="AG227" s="71">
        <f>IF(Valores!$D$58*'Escala Docente'!D227&gt;Valores!$F$58,Valores!$F$58,Valores!$D$58*'Escala Docente'!D227)</f>
        <v>751.72</v>
      </c>
      <c r="AH227" s="71">
        <f>IF(Valores!$D$60*D227&gt;Valores!$F$60,Valores!$F$60,Valores!$D$60*D227)</f>
        <v>214.76</v>
      </c>
      <c r="AI227" s="110">
        <f t="shared" si="44"/>
        <v>46772.26950000001</v>
      </c>
      <c r="AJ227" s="97">
        <f>IF(Valores!$C$36*D227&gt;Valores!$F$36,Valores!$F$36,Valores!$C$36*D227)</f>
        <v>1753.14</v>
      </c>
      <c r="AK227" s="74">
        <f>IF(Valores!$C$11*D227&gt;Valores!$F$11,Valores!$F$11,Valores!$C$11*D227)</f>
        <v>0</v>
      </c>
      <c r="AL227" s="74">
        <f>IF(Valores!$C$84*D227&gt;Valores!$C$83,Valores!$C$83,Valores!$C$84*D227)</f>
        <v>2625</v>
      </c>
      <c r="AM227" s="74">
        <f t="shared" si="37"/>
        <v>2450</v>
      </c>
      <c r="AN227" s="76">
        <f>IF(Valores!$C$56*D227&gt;Valores!$F$56,Valores!$F$56,Valores!$C$56*D227)</f>
        <v>314.98</v>
      </c>
      <c r="AO227" s="78">
        <f t="shared" si="45"/>
        <v>4378.14</v>
      </c>
      <c r="AP227" s="57">
        <f>AI227*-Valores!$C$65</f>
        <v>-6080.395035000001</v>
      </c>
      <c r="AQ227" s="57">
        <f>AI227*-Valores!$C$66</f>
        <v>-233.86134750000005</v>
      </c>
      <c r="AR227" s="73">
        <f>AI227*-Valores!$C$67</f>
        <v>-2104.7521275000004</v>
      </c>
      <c r="AS227" s="73">
        <f>AI227*-Valores!$C$68</f>
        <v>-1262.8512765000003</v>
      </c>
      <c r="AT227" s="73">
        <f>AI227*-Valores!$C$69</f>
        <v>-140.31680850000004</v>
      </c>
      <c r="AU227" s="77">
        <f t="shared" si="41"/>
        <v>42731.40099</v>
      </c>
      <c r="AV227" s="77">
        <f t="shared" si="42"/>
        <v>43432.98503250001</v>
      </c>
      <c r="AW227" s="73">
        <f>AI227*Valores!$C$71</f>
        <v>7483.563120000002</v>
      </c>
      <c r="AX227" s="73">
        <f>AI227*Valores!$C$72</f>
        <v>2104.7521275000004</v>
      </c>
      <c r="AY227" s="73">
        <f>AI227*Valores!$C$73</f>
        <v>467.7226950000001</v>
      </c>
      <c r="AZ227" s="73">
        <f>AI227*Valores!$C$75</f>
        <v>1637.0294325000004</v>
      </c>
      <c r="BA227" s="73">
        <f>AI227*Valores!$C$76</f>
        <v>280.6336170000001</v>
      </c>
      <c r="BB227" s="73">
        <f t="shared" si="46"/>
        <v>2525.702553000001</v>
      </c>
      <c r="BC227" s="47"/>
      <c r="BD227" s="47">
        <f t="shared" si="47"/>
        <v>140</v>
      </c>
      <c r="BE227" s="24" t="s">
        <v>8</v>
      </c>
    </row>
    <row r="228" spans="1:57" s="24" customFormat="1" ht="11.25" customHeight="1">
      <c r="A228" s="47">
        <v>227</v>
      </c>
      <c r="B228" s="47"/>
      <c r="C228" s="24" t="s">
        <v>521</v>
      </c>
      <c r="D228" s="24">
        <v>36</v>
      </c>
      <c r="E228" s="24">
        <f t="shared" si="38"/>
        <v>37</v>
      </c>
      <c r="F228" s="67" t="str">
        <f t="shared" si="34"/>
        <v>Hora Cátedra Enseñanza Superior 36 hs</v>
      </c>
      <c r="G228" s="68">
        <f t="shared" si="35"/>
        <v>3564</v>
      </c>
      <c r="H228" s="69">
        <f>INT((G228*Valores!$C$2*100)+0.5)/100</f>
        <v>27261.39</v>
      </c>
      <c r="I228" s="108">
        <v>0</v>
      </c>
      <c r="J228" s="71">
        <f>INT((I228*Valores!$C$2*100)+0.5)/100</f>
        <v>0</v>
      </c>
      <c r="K228" s="98">
        <v>0</v>
      </c>
      <c r="L228" s="71">
        <f>INT((K228*Valores!$C$2*100)+0.5)/100</f>
        <v>0</v>
      </c>
      <c r="M228" s="96">
        <v>0</v>
      </c>
      <c r="N228" s="71">
        <f>INT((M228*Valores!$C$2*100)+0.5)/100</f>
        <v>0</v>
      </c>
      <c r="O228" s="71">
        <f t="shared" si="39"/>
        <v>4759.2</v>
      </c>
      <c r="P228" s="71">
        <f t="shared" si="40"/>
        <v>0</v>
      </c>
      <c r="Q228" s="97">
        <f>Valores!$C$14*D228</f>
        <v>6651.36</v>
      </c>
      <c r="R228" s="97">
        <f>IF(D228&lt;15,(Valores!$E$4*D228),Valores!$D$4)</f>
        <v>3421.44</v>
      </c>
      <c r="S228" s="71">
        <v>0</v>
      </c>
      <c r="T228" s="74">
        <f>IF(Valores!$C$45*D228&gt;Valores!$C$43,Valores!$C$43,Valores!$C$45*D228)</f>
        <v>2121.57</v>
      </c>
      <c r="U228" s="97">
        <f>Valores!$C$22*D228</f>
        <v>2345.04</v>
      </c>
      <c r="V228" s="71">
        <f t="shared" si="33"/>
        <v>2345.04</v>
      </c>
      <c r="W228" s="71">
        <v>0</v>
      </c>
      <c r="X228" s="71">
        <v>0</v>
      </c>
      <c r="Y228" s="114">
        <v>0</v>
      </c>
      <c r="Z228" s="71">
        <f>Y228*Valores!$C$2</f>
        <v>0</v>
      </c>
      <c r="AA228" s="71">
        <v>0</v>
      </c>
      <c r="AB228" s="76">
        <f>IF((Valores!$C$32)*D228&gt;Valores!$F$32,Valores!$F$32,(Valores!$C$32)*D228)</f>
        <v>266.40000000000003</v>
      </c>
      <c r="AC228" s="71">
        <f t="shared" si="43"/>
        <v>0</v>
      </c>
      <c r="AD228" s="71">
        <f>IF(Valores!$C$33*D228&gt;Valores!$F$33,Valores!$F$33,Valores!$C$33*D228)</f>
        <v>184.78</v>
      </c>
      <c r="AE228" s="75">
        <v>0</v>
      </c>
      <c r="AF228" s="71">
        <f>INT(((AE228*Valores!$C$2)*100)+0.5)/100</f>
        <v>0</v>
      </c>
      <c r="AG228" s="71">
        <f>IF(Valores!$D$58*'Escala Docente'!D228&gt;Valores!$F$58,Valores!$F$58,Valores!$D$58*'Escala Docente'!D228)</f>
        <v>751.72</v>
      </c>
      <c r="AH228" s="71">
        <f>IF(Valores!$D$60*D228&gt;Valores!$F$60,Valores!$F$60,Valores!$D$60*D228)</f>
        <v>214.76</v>
      </c>
      <c r="AI228" s="110">
        <f t="shared" si="44"/>
        <v>47977.66</v>
      </c>
      <c r="AJ228" s="97">
        <f>IF(Valores!$C$36*D228&gt;Valores!$F$36,Valores!$F$36,Valores!$C$36*D228)</f>
        <v>1753.14</v>
      </c>
      <c r="AK228" s="74">
        <f>IF(Valores!$C$11*D228&gt;Valores!$F$11,Valores!$F$11,Valores!$C$11*D228)</f>
        <v>0</v>
      </c>
      <c r="AL228" s="74">
        <f>IF(Valores!$C$84*D228&gt;Valores!$C$83,Valores!$C$83,Valores!$C$84*D228)</f>
        <v>2700</v>
      </c>
      <c r="AM228" s="74">
        <f t="shared" si="37"/>
        <v>2520</v>
      </c>
      <c r="AN228" s="76">
        <f>IF(Valores!$C$56*D228&gt;Valores!$F$56,Valores!$F$56,Valores!$C$56*D228)</f>
        <v>314.98</v>
      </c>
      <c r="AO228" s="78">
        <f t="shared" si="45"/>
        <v>4453.14</v>
      </c>
      <c r="AP228" s="57">
        <f>AI228*-Valores!$C$65</f>
        <v>-6237.095800000001</v>
      </c>
      <c r="AQ228" s="57">
        <f>AI228*-Valores!$C$66</f>
        <v>-239.88830000000002</v>
      </c>
      <c r="AR228" s="73">
        <f>AI228*-Valores!$C$67</f>
        <v>-2158.9947</v>
      </c>
      <c r="AS228" s="73">
        <f>AI228*-Valores!$C$68</f>
        <v>-1295.3968200000002</v>
      </c>
      <c r="AT228" s="73">
        <f>AI228*-Valores!$C$69</f>
        <v>-143.93298000000001</v>
      </c>
      <c r="AU228" s="77">
        <f t="shared" si="41"/>
        <v>43794.8212</v>
      </c>
      <c r="AV228" s="77">
        <f t="shared" si="42"/>
        <v>44514.4861</v>
      </c>
      <c r="AW228" s="73">
        <f>AI228*Valores!$C$71</f>
        <v>7676.4256000000005</v>
      </c>
      <c r="AX228" s="73">
        <f>AI228*Valores!$C$72</f>
        <v>2158.9947</v>
      </c>
      <c r="AY228" s="73">
        <f>AI228*Valores!$C$73</f>
        <v>479.77660000000003</v>
      </c>
      <c r="AZ228" s="73">
        <f>AI228*Valores!$C$75</f>
        <v>1679.2181000000003</v>
      </c>
      <c r="BA228" s="73">
        <f>AI228*Valores!$C$76</f>
        <v>287.86596000000003</v>
      </c>
      <c r="BB228" s="73">
        <f t="shared" si="46"/>
        <v>2590.7936400000003</v>
      </c>
      <c r="BC228" s="47"/>
      <c r="BD228" s="47">
        <f t="shared" si="47"/>
        <v>144</v>
      </c>
      <c r="BE228" s="24" t="s">
        <v>8</v>
      </c>
    </row>
    <row r="229" spans="1:57" s="24" customFormat="1" ht="11.25" customHeight="1">
      <c r="A229" s="47">
        <v>228</v>
      </c>
      <c r="B229" s="47"/>
      <c r="C229" s="24" t="s">
        <v>522</v>
      </c>
      <c r="D229" s="24">
        <v>1</v>
      </c>
      <c r="E229" s="24">
        <f t="shared" si="38"/>
        <v>33</v>
      </c>
      <c r="F229" s="67" t="str">
        <f>CONCATENATE("Hora Cátedra Enseñanza Media ",D229," hs")</f>
        <v>Hora Cátedra Enseñanza Media 1 hs</v>
      </c>
      <c r="G229" s="68">
        <f aca="true" t="shared" si="48" ref="G229:G260">79*D229</f>
        <v>79</v>
      </c>
      <c r="H229" s="69">
        <f>INT((G229*Valores!$C$2*100)+0.49)/100</f>
        <v>604.28</v>
      </c>
      <c r="I229" s="108">
        <v>0</v>
      </c>
      <c r="J229" s="71">
        <f>INT((I229*Valores!$C$2*100)+0.5)/100</f>
        <v>0</v>
      </c>
      <c r="K229" s="98">
        <v>0</v>
      </c>
      <c r="L229" s="71">
        <f>INT((K229*Valores!$C$2*100)+0.5)/100</f>
        <v>0</v>
      </c>
      <c r="M229" s="96">
        <v>0</v>
      </c>
      <c r="N229" s="71">
        <f>INT((M229*Valores!$C$2*100)+0.5)/100</f>
        <v>0</v>
      </c>
      <c r="O229" s="71">
        <f t="shared" si="39"/>
        <v>109.25399999999998</v>
      </c>
      <c r="P229" s="71">
        <f t="shared" si="40"/>
        <v>0</v>
      </c>
      <c r="Q229" s="97">
        <f>Valores!$C$14*D229</f>
        <v>184.76</v>
      </c>
      <c r="R229" s="97">
        <f>IF(D229&lt;15,(Valores!$E$4*D229),Valores!$D$4)</f>
        <v>228.09</v>
      </c>
      <c r="S229" s="71">
        <v>0</v>
      </c>
      <c r="T229" s="74">
        <f>IF(Valores!$C$45*D229&gt;Valores!$C$43,Valores!$C$43,Valores!$C$45*D229)</f>
        <v>58.94</v>
      </c>
      <c r="U229" s="97">
        <f>Valores!$C$22*D229</f>
        <v>65.14</v>
      </c>
      <c r="V229" s="71">
        <f t="shared" si="33"/>
        <v>65.14</v>
      </c>
      <c r="W229" s="71">
        <v>0</v>
      </c>
      <c r="X229" s="71">
        <v>0</v>
      </c>
      <c r="Y229" s="114">
        <v>0</v>
      </c>
      <c r="Z229" s="71">
        <f>Y229*Valores!$C$2</f>
        <v>0</v>
      </c>
      <c r="AA229" s="71">
        <v>0</v>
      </c>
      <c r="AB229" s="76">
        <f>IF((Valores!$C$32)*D229&gt;Valores!$F$32,Valores!$F$32,(Valores!$C$32)*D229)</f>
        <v>7.4</v>
      </c>
      <c r="AC229" s="71">
        <f t="shared" si="43"/>
        <v>0</v>
      </c>
      <c r="AD229" s="71">
        <f>IF(Valores!$C$33*D229&gt;Valores!$F$33,Valores!$F$33,Valores!$C$33*D229)</f>
        <v>6.16</v>
      </c>
      <c r="AE229" s="75">
        <v>0</v>
      </c>
      <c r="AF229" s="71">
        <f>INT(((AE229*Valores!$C$2)*100)+0.5)/100</f>
        <v>0</v>
      </c>
      <c r="AG229" s="71">
        <f>IF(Valores!$D$58*'Escala Docente'!D229&gt;Valores!$F$58,Valores!$F$58,Valores!$D$58*'Escala Docente'!D229)</f>
        <v>25.06</v>
      </c>
      <c r="AH229" s="71">
        <f>IF(Valores!$D$60*D229&gt;Valores!$F$60,Valores!$F$60,Valores!$D$60*D229)</f>
        <v>7.16</v>
      </c>
      <c r="AI229" s="110">
        <f t="shared" si="44"/>
        <v>1296.2440000000004</v>
      </c>
      <c r="AJ229" s="97">
        <f>IF(Valores!$C$36*D229&gt;Valores!$F$36,Valores!$F$36,Valores!$C$36*D229)</f>
        <v>58.44</v>
      </c>
      <c r="AK229" s="74">
        <f>IF(Valores!$C$11*D229&gt;Valores!$F$11,Valores!$F$11,Valores!$C$11*D229)</f>
        <v>0</v>
      </c>
      <c r="AL229" s="74">
        <f>IF(Valores!$C$84*D229&gt;Valores!$C$83,Valores!$C$83,Valores!$C$84*D229)</f>
        <v>75</v>
      </c>
      <c r="AM229" s="74">
        <f t="shared" si="37"/>
        <v>70</v>
      </c>
      <c r="AN229" s="76">
        <f>IF(Valores!$C$57*D229&gt;Valores!$F$57,Valores!$F$57,Valores!$C$57*D229)</f>
        <v>10.5</v>
      </c>
      <c r="AO229" s="78">
        <f t="shared" si="45"/>
        <v>133.44</v>
      </c>
      <c r="AP229" s="57">
        <f>AI229*-Valores!$C$65</f>
        <v>-168.51172000000005</v>
      </c>
      <c r="AQ229" s="57">
        <f>AI229*-Valores!$C$66</f>
        <v>-6.481220000000002</v>
      </c>
      <c r="AR229" s="73">
        <f>AI229*-Valores!$C$67</f>
        <v>-58.33098000000001</v>
      </c>
      <c r="AS229" s="73">
        <f>AI229*-Valores!$C$68</f>
        <v>-34.99858800000001</v>
      </c>
      <c r="AT229" s="73">
        <f>AI229*-Valores!$C$69</f>
        <v>-3.8887320000000014</v>
      </c>
      <c r="AU229" s="77">
        <f t="shared" si="41"/>
        <v>1196.3600800000006</v>
      </c>
      <c r="AV229" s="77">
        <f t="shared" si="42"/>
        <v>1215.8037400000007</v>
      </c>
      <c r="AW229" s="73">
        <f>AI229*Valores!$C$71</f>
        <v>207.39904000000007</v>
      </c>
      <c r="AX229" s="73">
        <f>AI229*Valores!$C$72</f>
        <v>58.33098000000001</v>
      </c>
      <c r="AY229" s="73">
        <f>AI229*Valores!$C$73</f>
        <v>12.962440000000004</v>
      </c>
      <c r="AZ229" s="73">
        <f>AI229*Valores!$C$75</f>
        <v>45.36854000000002</v>
      </c>
      <c r="BA229" s="73">
        <f>AI229*Valores!$C$76</f>
        <v>7.777464000000003</v>
      </c>
      <c r="BB229" s="73">
        <f t="shared" si="46"/>
        <v>69.99717600000002</v>
      </c>
      <c r="BC229" s="47"/>
      <c r="BD229" s="81">
        <f t="shared" si="47"/>
        <v>4</v>
      </c>
      <c r="BE229" s="24" t="s">
        <v>4</v>
      </c>
    </row>
    <row r="230" spans="1:57" s="24" customFormat="1" ht="11.25" customHeight="1">
      <c r="A230" s="47">
        <v>229</v>
      </c>
      <c r="B230" s="47"/>
      <c r="C230" s="24" t="s">
        <v>522</v>
      </c>
      <c r="D230" s="24">
        <v>1</v>
      </c>
      <c r="E230" s="24">
        <f t="shared" si="38"/>
        <v>41</v>
      </c>
      <c r="F230" s="67" t="str">
        <f>CONCATENATE("Hora Cátedra Enseñanza Media ",D230," hs Esc Esp")</f>
        <v>Hora Cátedra Enseñanza Media 1 hs Esc Esp</v>
      </c>
      <c r="G230" s="68">
        <f t="shared" si="48"/>
        <v>79</v>
      </c>
      <c r="H230" s="69">
        <f>INT((G230*Valores!$C$2*100)+0.49)/100</f>
        <v>604.28</v>
      </c>
      <c r="I230" s="108">
        <v>0</v>
      </c>
      <c r="J230" s="71">
        <f>INT((I230*Valores!$C$2*100)+0.5)/100</f>
        <v>0</v>
      </c>
      <c r="K230" s="98">
        <v>0</v>
      </c>
      <c r="L230" s="71">
        <f>INT((K230*Valores!$C$2*100)+0.5)/100</f>
        <v>0</v>
      </c>
      <c r="M230" s="96">
        <v>0</v>
      </c>
      <c r="N230" s="71">
        <f>INT((M230*Valores!$C$2*100)+0.5)/100</f>
        <v>0</v>
      </c>
      <c r="O230" s="71">
        <f t="shared" si="39"/>
        <v>109.25399999999998</v>
      </c>
      <c r="P230" s="71">
        <f t="shared" si="40"/>
        <v>0</v>
      </c>
      <c r="Q230" s="97">
        <f>Valores!$C$14*D230</f>
        <v>184.76</v>
      </c>
      <c r="R230" s="97">
        <f>IF(D230&lt;15,(Valores!$E$4*D230),Valores!$D$4)</f>
        <v>228.09</v>
      </c>
      <c r="S230" s="71">
        <v>0</v>
      </c>
      <c r="T230" s="74">
        <f>IF(Valores!$C$45*D230&gt;Valores!$C$43,Valores!$C$43,Valores!$C$45*D230)</f>
        <v>58.94</v>
      </c>
      <c r="U230" s="97">
        <f>Valores!$C$22*D230</f>
        <v>65.14</v>
      </c>
      <c r="V230" s="71">
        <f t="shared" si="33"/>
        <v>65.14</v>
      </c>
      <c r="W230" s="71">
        <v>0</v>
      </c>
      <c r="X230" s="71">
        <v>0</v>
      </c>
      <c r="Y230" s="114">
        <v>0</v>
      </c>
      <c r="Z230" s="71">
        <f>Y230*Valores!$C$2</f>
        <v>0</v>
      </c>
      <c r="AA230" s="71">
        <v>0</v>
      </c>
      <c r="AB230" s="76">
        <f>IF((Valores!$C$32)*D230&gt;Valores!$F$32,Valores!$F$32,(Valores!$C$32)*D230)</f>
        <v>7.4</v>
      </c>
      <c r="AC230" s="71">
        <f t="shared" si="43"/>
        <v>0</v>
      </c>
      <c r="AD230" s="71">
        <f>IF(Valores!$C$33*D230&gt;Valores!$F$33,Valores!$F$33,Valores!$C$33*D230)</f>
        <v>6.16</v>
      </c>
      <c r="AE230" s="75">
        <v>94</v>
      </c>
      <c r="AF230" s="71">
        <f>INT(((AE230*Valores!$C$2)*100)+0.5)/100</f>
        <v>719.02</v>
      </c>
      <c r="AG230" s="71">
        <f>IF(Valores!$D$58*'Escala Docente'!D230&gt;Valores!$F$58,Valores!$F$58,Valores!$D$58*'Escala Docente'!D230)</f>
        <v>25.06</v>
      </c>
      <c r="AH230" s="71">
        <f>IF(Valores!$D$60*D230&gt;Valores!$F$60,Valores!$F$60,Valores!$D$60*D230)</f>
        <v>7.16</v>
      </c>
      <c r="AI230" s="110">
        <f t="shared" si="44"/>
        <v>2015.2640000000004</v>
      </c>
      <c r="AJ230" s="97">
        <f>IF(Valores!$C$36*D230&gt;Valores!$F$36,Valores!$F$36,Valores!$C$36*D230)</f>
        <v>58.44</v>
      </c>
      <c r="AK230" s="74">
        <f>IF(Valores!$C$11*D230&gt;Valores!$F$11,Valores!$F$11,Valores!$C$11*D230)</f>
        <v>0</v>
      </c>
      <c r="AL230" s="74">
        <f>IF(Valores!$C$84*D230&gt;Valores!$C$83,Valores!$C$83,Valores!$C$84*D230)</f>
        <v>75</v>
      </c>
      <c r="AM230" s="74">
        <f t="shared" si="37"/>
        <v>70</v>
      </c>
      <c r="AN230" s="76">
        <f>IF(Valores!$C$57*D230&gt;Valores!$F$57,Valores!$F$57,Valores!$C$57*D230)</f>
        <v>10.5</v>
      </c>
      <c r="AO230" s="78">
        <f t="shared" si="45"/>
        <v>133.44</v>
      </c>
      <c r="AP230" s="57">
        <f>AI230*-Valores!$C$65</f>
        <v>-261.9843200000001</v>
      </c>
      <c r="AQ230" s="57">
        <f>AI230*-Valores!$C$66</f>
        <v>-10.076320000000003</v>
      </c>
      <c r="AR230" s="73">
        <f>AI230*-Valores!$C$67</f>
        <v>-90.68688000000002</v>
      </c>
      <c r="AS230" s="73">
        <f>AI230*-Valores!$C$68</f>
        <v>-54.41212800000001</v>
      </c>
      <c r="AT230" s="73">
        <f>AI230*-Valores!$C$69</f>
        <v>-6.045792000000001</v>
      </c>
      <c r="AU230" s="77">
        <f t="shared" si="41"/>
        <v>1785.95648</v>
      </c>
      <c r="AV230" s="77">
        <f t="shared" si="42"/>
        <v>1816.1854400000002</v>
      </c>
      <c r="AW230" s="73">
        <f>AI230*Valores!$C$71</f>
        <v>322.4422400000001</v>
      </c>
      <c r="AX230" s="73">
        <f>AI230*Valores!$C$72</f>
        <v>90.68688000000002</v>
      </c>
      <c r="AY230" s="73">
        <f>AI230*Valores!$C$73</f>
        <v>20.152640000000005</v>
      </c>
      <c r="AZ230" s="73">
        <f>AI230*Valores!$C$75</f>
        <v>70.53424000000003</v>
      </c>
      <c r="BA230" s="73">
        <f>AI230*Valores!$C$76</f>
        <v>12.091584000000003</v>
      </c>
      <c r="BB230" s="73">
        <f t="shared" si="46"/>
        <v>108.82425600000002</v>
      </c>
      <c r="BC230" s="47"/>
      <c r="BD230" s="47">
        <f t="shared" si="47"/>
        <v>4</v>
      </c>
      <c r="BE230" s="24" t="s">
        <v>4</v>
      </c>
    </row>
    <row r="231" spans="1:57" s="24" customFormat="1" ht="11.25" customHeight="1">
      <c r="A231" s="81">
        <v>230</v>
      </c>
      <c r="B231" s="81" t="s">
        <v>163</v>
      </c>
      <c r="C231" s="82" t="s">
        <v>522</v>
      </c>
      <c r="D231" s="82">
        <v>2</v>
      </c>
      <c r="E231" s="82">
        <f t="shared" si="38"/>
        <v>33</v>
      </c>
      <c r="F231" s="83" t="str">
        <f>CONCATENATE("Hora Cátedra Enseñanza Media ",D231," hs")</f>
        <v>Hora Cátedra Enseñanza Media 2 hs</v>
      </c>
      <c r="G231" s="84">
        <f t="shared" si="48"/>
        <v>158</v>
      </c>
      <c r="H231" s="85">
        <f>INT((G231*Valores!$C$2*100)+0.49)/100</f>
        <v>1208.56</v>
      </c>
      <c r="I231" s="99">
        <v>0</v>
      </c>
      <c r="J231" s="87">
        <f>INT((I231*Valores!$C$2*100)+0.5)/100</f>
        <v>0</v>
      </c>
      <c r="K231" s="100">
        <v>0</v>
      </c>
      <c r="L231" s="87">
        <f>INT((K231*Valores!$C$2*100)+0.5)/100</f>
        <v>0</v>
      </c>
      <c r="M231" s="101">
        <v>0</v>
      </c>
      <c r="N231" s="87">
        <f>INT((M231*Valores!$C$2*100)+0.5)/100</f>
        <v>0</v>
      </c>
      <c r="O231" s="87">
        <f t="shared" si="39"/>
        <v>218.50799999999995</v>
      </c>
      <c r="P231" s="87">
        <f t="shared" si="40"/>
        <v>0</v>
      </c>
      <c r="Q231" s="103">
        <f>Valores!$C$14*D231</f>
        <v>369.52</v>
      </c>
      <c r="R231" s="103">
        <f>IF(D231&lt;15,(Valores!$E$4*D231),Valores!$D$4)</f>
        <v>456.18</v>
      </c>
      <c r="S231" s="87">
        <v>0</v>
      </c>
      <c r="T231" s="74">
        <f>IF(Valores!$C$45*D231&gt;Valores!$C$43,Valores!$C$43,Valores!$C$45*D231)</f>
        <v>117.88</v>
      </c>
      <c r="U231" s="103">
        <f>Valores!$C$22*D231</f>
        <v>130.28</v>
      </c>
      <c r="V231" s="87">
        <f t="shared" si="33"/>
        <v>130.28</v>
      </c>
      <c r="W231" s="87">
        <v>0</v>
      </c>
      <c r="X231" s="87">
        <v>0</v>
      </c>
      <c r="Y231" s="115">
        <v>0</v>
      </c>
      <c r="Z231" s="87">
        <f>Y231*Valores!$C$2</f>
        <v>0</v>
      </c>
      <c r="AA231" s="87">
        <v>0</v>
      </c>
      <c r="AB231" s="92">
        <f>IF((Valores!$C$32)*D231&gt;Valores!$F$32,Valores!$F$32,(Valores!$C$32)*D231)</f>
        <v>14.8</v>
      </c>
      <c r="AC231" s="87">
        <f t="shared" si="43"/>
        <v>0</v>
      </c>
      <c r="AD231" s="87">
        <f>IF(Valores!$C$33*D231&gt;Valores!$F$33,Valores!$F$33,Valores!$C$33*D231)</f>
        <v>12.32</v>
      </c>
      <c r="AE231" s="91">
        <v>0</v>
      </c>
      <c r="AF231" s="87">
        <f>INT(((AE231*Valores!$C$2)*100)+0.5)/100</f>
        <v>0</v>
      </c>
      <c r="AG231" s="87">
        <f>IF(Valores!$D$58*'Escala Docente'!D231&gt;Valores!$F$58,Valores!$F$58,Valores!$D$58*'Escala Docente'!D231)</f>
        <v>50.12</v>
      </c>
      <c r="AH231" s="87">
        <f>IF(Valores!$D$60*D231&gt;Valores!$F$60,Valores!$F$60,Valores!$D$60*D231)</f>
        <v>14.32</v>
      </c>
      <c r="AI231" s="111">
        <f t="shared" si="44"/>
        <v>2592.4880000000007</v>
      </c>
      <c r="AJ231" s="103">
        <f>IF(Valores!$C$36*D231&gt;Valores!$F$36,Valores!$F$36,Valores!$C$36*D231)</f>
        <v>116.88</v>
      </c>
      <c r="AK231" s="90">
        <f>IF(Valores!$C$11*D231&gt;Valores!$F$11,Valores!$F$11,Valores!$C$11*D231)</f>
        <v>0</v>
      </c>
      <c r="AL231" s="90">
        <f>IF(Valores!$C$84*D231&gt;Valores!$C$83,Valores!$C$83,Valores!$C$84*D231)</f>
        <v>150</v>
      </c>
      <c r="AM231" s="74">
        <f t="shared" si="37"/>
        <v>140</v>
      </c>
      <c r="AN231" s="92">
        <f>IF(Valores!$C$57*D231&gt;Valores!$F$57,Valores!$F$57,Valores!$C$57*D231)</f>
        <v>21</v>
      </c>
      <c r="AO231" s="94">
        <f t="shared" si="45"/>
        <v>266.88</v>
      </c>
      <c r="AP231" s="112">
        <f>AI231*-Valores!$C$65</f>
        <v>-337.0234400000001</v>
      </c>
      <c r="AQ231" s="112">
        <f>AI231*-Valores!$C$66</f>
        <v>-12.962440000000004</v>
      </c>
      <c r="AR231" s="89">
        <f>AI231*-Valores!$C$67</f>
        <v>-116.66196000000002</v>
      </c>
      <c r="AS231" s="89">
        <f>AI231*-Valores!$C$68</f>
        <v>-69.99717600000002</v>
      </c>
      <c r="AT231" s="89">
        <f>AI231*-Valores!$C$69</f>
        <v>-7.777464000000003</v>
      </c>
      <c r="AU231" s="93">
        <f t="shared" si="41"/>
        <v>2392.720160000001</v>
      </c>
      <c r="AV231" s="93">
        <f t="shared" si="42"/>
        <v>2431.6074800000015</v>
      </c>
      <c r="AW231" s="89">
        <f>AI231*Valores!$C$71</f>
        <v>414.79808000000014</v>
      </c>
      <c r="AX231" s="89">
        <f>AI231*Valores!$C$72</f>
        <v>116.66196000000002</v>
      </c>
      <c r="AY231" s="89">
        <f>AI231*Valores!$C$73</f>
        <v>25.92488000000001</v>
      </c>
      <c r="AZ231" s="89">
        <f>AI231*Valores!$C$75</f>
        <v>90.73708000000003</v>
      </c>
      <c r="BA231" s="89">
        <f>AI231*Valores!$C$76</f>
        <v>15.554928000000006</v>
      </c>
      <c r="BB231" s="89">
        <f t="shared" si="46"/>
        <v>139.99435200000005</v>
      </c>
      <c r="BC231" s="81"/>
      <c r="BD231" s="81">
        <f t="shared" si="47"/>
        <v>8</v>
      </c>
      <c r="BE231" s="82" t="s">
        <v>4</v>
      </c>
    </row>
    <row r="232" spans="1:57" s="24" customFormat="1" ht="11.25" customHeight="1">
      <c r="A232" s="47">
        <v>231</v>
      </c>
      <c r="B232" s="47"/>
      <c r="C232" s="24" t="s">
        <v>522</v>
      </c>
      <c r="D232" s="24">
        <v>2</v>
      </c>
      <c r="E232" s="24">
        <f t="shared" si="38"/>
        <v>41</v>
      </c>
      <c r="F232" s="67" t="str">
        <f>CONCATENATE("Hora Cátedra Enseñanza Media ",D232," hs Esc Esp")</f>
        <v>Hora Cátedra Enseñanza Media 2 hs Esc Esp</v>
      </c>
      <c r="G232" s="68">
        <f t="shared" si="48"/>
        <v>158</v>
      </c>
      <c r="H232" s="69">
        <f>INT((G232*Valores!$C$2*100)+0.49)/100</f>
        <v>1208.56</v>
      </c>
      <c r="I232" s="108">
        <v>0</v>
      </c>
      <c r="J232" s="71">
        <f>INT((I232*Valores!$C$2*100)+0.5)/100</f>
        <v>0</v>
      </c>
      <c r="K232" s="98">
        <v>0</v>
      </c>
      <c r="L232" s="71">
        <f>INT((K232*Valores!$C$2*100)+0.5)/100</f>
        <v>0</v>
      </c>
      <c r="M232" s="96">
        <v>0</v>
      </c>
      <c r="N232" s="71">
        <f>INT((M232*Valores!$C$2*100)+0.5)/100</f>
        <v>0</v>
      </c>
      <c r="O232" s="71">
        <f t="shared" si="39"/>
        <v>218.50799999999995</v>
      </c>
      <c r="P232" s="71">
        <f t="shared" si="40"/>
        <v>0</v>
      </c>
      <c r="Q232" s="97">
        <f>Valores!$C$14*D232</f>
        <v>369.52</v>
      </c>
      <c r="R232" s="97">
        <f>IF(D232&lt;15,(Valores!$E$4*D232),Valores!$D$4)</f>
        <v>456.18</v>
      </c>
      <c r="S232" s="71">
        <v>0</v>
      </c>
      <c r="T232" s="74">
        <f>IF(Valores!$C$45*D232&gt;Valores!$C$43,Valores!$C$43,Valores!$C$45*D232)</f>
        <v>117.88</v>
      </c>
      <c r="U232" s="97">
        <f>Valores!$C$22*D232</f>
        <v>130.28</v>
      </c>
      <c r="V232" s="71">
        <f t="shared" si="33"/>
        <v>130.28</v>
      </c>
      <c r="W232" s="71">
        <v>0</v>
      </c>
      <c r="X232" s="71">
        <v>0</v>
      </c>
      <c r="Y232" s="114">
        <v>0</v>
      </c>
      <c r="Z232" s="71">
        <f>Y232*Valores!$C$2</f>
        <v>0</v>
      </c>
      <c r="AA232" s="71">
        <v>0</v>
      </c>
      <c r="AB232" s="76">
        <f>IF((Valores!$C$32)*D232&gt;Valores!$F$32,Valores!$F$32,(Valores!$C$32)*D232)</f>
        <v>14.8</v>
      </c>
      <c r="AC232" s="71">
        <f t="shared" si="43"/>
        <v>0</v>
      </c>
      <c r="AD232" s="71">
        <f>IF(Valores!$C$33*D232&gt;Valores!$F$33,Valores!$F$33,Valores!$C$33*D232)</f>
        <v>12.32</v>
      </c>
      <c r="AE232" s="75">
        <v>94</v>
      </c>
      <c r="AF232" s="71">
        <f>INT(((AE232*Valores!$C$2)*100)+0.5)/100</f>
        <v>719.02</v>
      </c>
      <c r="AG232" s="71">
        <f>IF(Valores!$D$58*'Escala Docente'!D232&gt;Valores!$F$58,Valores!$F$58,Valores!$D$58*'Escala Docente'!D232)</f>
        <v>50.12</v>
      </c>
      <c r="AH232" s="71">
        <f>IF(Valores!$D$60*D232&gt;Valores!$F$60,Valores!$F$60,Valores!$D$60*D232)</f>
        <v>14.32</v>
      </c>
      <c r="AI232" s="110">
        <f t="shared" si="44"/>
        <v>3311.5080000000007</v>
      </c>
      <c r="AJ232" s="97">
        <f>IF(Valores!$C$36*D232&gt;Valores!$F$36,Valores!$F$36,Valores!$C$36*D232)</f>
        <v>116.88</v>
      </c>
      <c r="AK232" s="74">
        <f>IF(Valores!$C$11*D232&gt;Valores!$F$11,Valores!$F$11,Valores!$C$11*D232)</f>
        <v>0</v>
      </c>
      <c r="AL232" s="74">
        <f>IF(Valores!$C$84*D232&gt;Valores!$C$83,Valores!$C$83,Valores!$C$84*D232)</f>
        <v>150</v>
      </c>
      <c r="AM232" s="74">
        <f t="shared" si="37"/>
        <v>140</v>
      </c>
      <c r="AN232" s="76">
        <f>IF(Valores!$C$57*D232&gt;Valores!$F$57,Valores!$F$57,Valores!$C$57*D232)</f>
        <v>21</v>
      </c>
      <c r="AO232" s="78">
        <f t="shared" si="45"/>
        <v>266.88</v>
      </c>
      <c r="AP232" s="57">
        <f>AI232*-Valores!$C$65</f>
        <v>-430.4960400000001</v>
      </c>
      <c r="AQ232" s="57">
        <f>AI232*-Valores!$C$66</f>
        <v>-16.557540000000003</v>
      </c>
      <c r="AR232" s="73">
        <f>AI232*-Valores!$C$67</f>
        <v>-149.01786</v>
      </c>
      <c r="AS232" s="73">
        <f>AI232*-Valores!$C$68</f>
        <v>-89.41071600000002</v>
      </c>
      <c r="AT232" s="73">
        <f>AI232*-Valores!$C$69</f>
        <v>-9.934524000000003</v>
      </c>
      <c r="AU232" s="77">
        <f t="shared" si="41"/>
        <v>2982.316560000001</v>
      </c>
      <c r="AV232" s="77">
        <f t="shared" si="42"/>
        <v>3031.9891800000014</v>
      </c>
      <c r="AW232" s="73">
        <f>AI232*Valores!$C$71</f>
        <v>529.8412800000001</v>
      </c>
      <c r="AX232" s="73">
        <f>AI232*Valores!$C$72</f>
        <v>149.01786</v>
      </c>
      <c r="AY232" s="73">
        <f>AI232*Valores!$C$73</f>
        <v>33.115080000000006</v>
      </c>
      <c r="AZ232" s="73">
        <f>AI232*Valores!$C$75</f>
        <v>115.90278000000004</v>
      </c>
      <c r="BA232" s="73">
        <f>AI232*Valores!$C$76</f>
        <v>19.869048000000006</v>
      </c>
      <c r="BB232" s="73">
        <f t="shared" si="46"/>
        <v>178.82143200000007</v>
      </c>
      <c r="BC232" s="47"/>
      <c r="BD232" s="47">
        <f t="shared" si="47"/>
        <v>8</v>
      </c>
      <c r="BE232" s="24" t="s">
        <v>4</v>
      </c>
    </row>
    <row r="233" spans="1:57" s="24" customFormat="1" ht="11.25" customHeight="1">
      <c r="A233" s="47">
        <v>232</v>
      </c>
      <c r="B233" s="47"/>
      <c r="C233" s="24" t="s">
        <v>522</v>
      </c>
      <c r="D233" s="24">
        <v>3</v>
      </c>
      <c r="E233" s="24">
        <f t="shared" si="38"/>
        <v>33</v>
      </c>
      <c r="F233" s="67" t="str">
        <f>CONCATENATE("Hora Cátedra Enseñanza Media ",D233," hs")</f>
        <v>Hora Cátedra Enseñanza Media 3 hs</v>
      </c>
      <c r="G233" s="68">
        <f t="shared" si="48"/>
        <v>237</v>
      </c>
      <c r="H233" s="69">
        <f>INT((G233*Valores!$C$2*100)+0.49)/100</f>
        <v>1812.84</v>
      </c>
      <c r="I233" s="108">
        <v>0</v>
      </c>
      <c r="J233" s="71">
        <f>INT((I233*Valores!$C$2*100)+0.5)/100</f>
        <v>0</v>
      </c>
      <c r="K233" s="98">
        <v>0</v>
      </c>
      <c r="L233" s="71">
        <f>INT((K233*Valores!$C$2*100)+0.5)/100</f>
        <v>0</v>
      </c>
      <c r="M233" s="96">
        <v>0</v>
      </c>
      <c r="N233" s="71">
        <f>INT((M233*Valores!$C$2*100)+0.5)/100</f>
        <v>0</v>
      </c>
      <c r="O233" s="71">
        <f t="shared" si="39"/>
        <v>327.762</v>
      </c>
      <c r="P233" s="71">
        <f t="shared" si="40"/>
        <v>0</v>
      </c>
      <c r="Q233" s="97">
        <f>Valores!$C$14*D233</f>
        <v>554.28</v>
      </c>
      <c r="R233" s="97">
        <f>IF(D233&lt;15,(Valores!$E$4*D233),Valores!$D$4)</f>
        <v>684.27</v>
      </c>
      <c r="S233" s="71">
        <v>0</v>
      </c>
      <c r="T233" s="74">
        <f>IF(Valores!$C$45*D233&gt;Valores!$C$43,Valores!$C$43,Valores!$C$45*D233)</f>
        <v>176.82</v>
      </c>
      <c r="U233" s="97">
        <f>Valores!$C$22*D233</f>
        <v>195.42000000000002</v>
      </c>
      <c r="V233" s="71">
        <f t="shared" si="33"/>
        <v>195.42000000000002</v>
      </c>
      <c r="W233" s="71">
        <v>0</v>
      </c>
      <c r="X233" s="71">
        <v>0</v>
      </c>
      <c r="Y233" s="114">
        <v>0</v>
      </c>
      <c r="Z233" s="71">
        <f>Y233*Valores!$C$2</f>
        <v>0</v>
      </c>
      <c r="AA233" s="71">
        <v>0</v>
      </c>
      <c r="AB233" s="76">
        <f>IF((Valores!$C$32)*D233&gt;Valores!$F$32,Valores!$F$32,(Valores!$C$32)*D233)</f>
        <v>22.200000000000003</v>
      </c>
      <c r="AC233" s="71">
        <f t="shared" si="43"/>
        <v>0</v>
      </c>
      <c r="AD233" s="71">
        <f>IF(Valores!$C$33*D233&gt;Valores!$F$33,Valores!$F$33,Valores!$C$33*D233)</f>
        <v>18.48</v>
      </c>
      <c r="AE233" s="75">
        <v>0</v>
      </c>
      <c r="AF233" s="71">
        <f>INT(((AE233*Valores!$C$2)*100)+0.5)/100</f>
        <v>0</v>
      </c>
      <c r="AG233" s="71">
        <f>IF(Valores!$D$58*'Escala Docente'!D233&gt;Valores!$F$58,Valores!$F$58,Valores!$D$58*'Escala Docente'!D233)</f>
        <v>75.17999999999999</v>
      </c>
      <c r="AH233" s="71">
        <f>IF(Valores!$D$60*D233&gt;Valores!$F$60,Valores!$F$60,Valores!$D$60*D233)</f>
        <v>21.48</v>
      </c>
      <c r="AI233" s="110">
        <f t="shared" si="44"/>
        <v>3888.7319999999995</v>
      </c>
      <c r="AJ233" s="97">
        <f>IF(Valores!$C$36*D233&gt;Valores!$F$36,Valores!$F$36,Valores!$C$36*D233)</f>
        <v>175.32</v>
      </c>
      <c r="AK233" s="74">
        <f>IF(Valores!$C$11*D233&gt;Valores!$F$11,Valores!$F$11,Valores!$C$11*D233)</f>
        <v>0</v>
      </c>
      <c r="AL233" s="74">
        <f>IF(Valores!$C$84*D233&gt;Valores!$C$83,Valores!$C$83,Valores!$C$84*D233)</f>
        <v>225</v>
      </c>
      <c r="AM233" s="74">
        <f t="shared" si="37"/>
        <v>210</v>
      </c>
      <c r="AN233" s="76">
        <f>IF(Valores!$C$57*D233&gt;Valores!$F$57,Valores!$F$57,Valores!$C$57*D233)</f>
        <v>31.5</v>
      </c>
      <c r="AO233" s="78">
        <f t="shared" si="45"/>
        <v>400.32</v>
      </c>
      <c r="AP233" s="57">
        <f>AI233*-Valores!$C$65</f>
        <v>-505.53515999999996</v>
      </c>
      <c r="AQ233" s="57">
        <f>AI233*-Valores!$C$66</f>
        <v>-19.443659999999998</v>
      </c>
      <c r="AR233" s="73">
        <f>AI233*-Valores!$C$67</f>
        <v>-174.99293999999998</v>
      </c>
      <c r="AS233" s="73">
        <f>AI233*-Valores!$C$68</f>
        <v>-104.99576399999998</v>
      </c>
      <c r="AT233" s="73">
        <f>AI233*-Valores!$C$69</f>
        <v>-11.666196</v>
      </c>
      <c r="AU233" s="77">
        <f t="shared" si="41"/>
        <v>3589.08024</v>
      </c>
      <c r="AV233" s="77">
        <f t="shared" si="42"/>
        <v>3647.4112199999995</v>
      </c>
      <c r="AW233" s="73">
        <f>AI233*Valores!$C$71</f>
        <v>622.1971199999999</v>
      </c>
      <c r="AX233" s="73">
        <f>AI233*Valores!$C$72</f>
        <v>174.99293999999998</v>
      </c>
      <c r="AY233" s="73">
        <f>AI233*Valores!$C$73</f>
        <v>38.887319999999995</v>
      </c>
      <c r="AZ233" s="73">
        <f>AI233*Valores!$C$75</f>
        <v>136.10562</v>
      </c>
      <c r="BA233" s="73">
        <f>AI233*Valores!$C$76</f>
        <v>23.332392</v>
      </c>
      <c r="BB233" s="73">
        <f t="shared" si="46"/>
        <v>209.991528</v>
      </c>
      <c r="BC233" s="47"/>
      <c r="BD233" s="47">
        <f t="shared" si="47"/>
        <v>12</v>
      </c>
      <c r="BE233" s="24" t="s">
        <v>4</v>
      </c>
    </row>
    <row r="234" spans="1:57" s="24" customFormat="1" ht="11.25" customHeight="1">
      <c r="A234" s="47">
        <v>233</v>
      </c>
      <c r="B234" s="47"/>
      <c r="C234" s="24" t="s">
        <v>522</v>
      </c>
      <c r="D234" s="24">
        <v>3</v>
      </c>
      <c r="E234" s="24">
        <f t="shared" si="38"/>
        <v>41</v>
      </c>
      <c r="F234" s="67" t="str">
        <f>CONCATENATE("Hora Cátedra Enseñanza Media ",D234," hs Esc Esp")</f>
        <v>Hora Cátedra Enseñanza Media 3 hs Esc Esp</v>
      </c>
      <c r="G234" s="68">
        <f t="shared" si="48"/>
        <v>237</v>
      </c>
      <c r="H234" s="69">
        <f>INT((G234*Valores!$C$2*100)+0.49)/100</f>
        <v>1812.84</v>
      </c>
      <c r="I234" s="108">
        <v>0</v>
      </c>
      <c r="J234" s="71">
        <f>INT((I234*Valores!$C$2*100)+0.5)/100</f>
        <v>0</v>
      </c>
      <c r="K234" s="98">
        <v>0</v>
      </c>
      <c r="L234" s="71">
        <f>INT((K234*Valores!$C$2*100)+0.5)/100</f>
        <v>0</v>
      </c>
      <c r="M234" s="96">
        <v>0</v>
      </c>
      <c r="N234" s="71">
        <f>INT((M234*Valores!$C$2*100)+0.5)/100</f>
        <v>0</v>
      </c>
      <c r="O234" s="71">
        <f t="shared" si="39"/>
        <v>327.762</v>
      </c>
      <c r="P234" s="71">
        <f t="shared" si="40"/>
        <v>0</v>
      </c>
      <c r="Q234" s="97">
        <f>Valores!$C$14*D234</f>
        <v>554.28</v>
      </c>
      <c r="R234" s="97">
        <f>IF(D234&lt;15,(Valores!$E$4*D234),Valores!$D$4)</f>
        <v>684.27</v>
      </c>
      <c r="S234" s="71">
        <v>0</v>
      </c>
      <c r="T234" s="74">
        <f>IF(Valores!$C$45*D234&gt;Valores!$C$43,Valores!$C$43,Valores!$C$45*D234)</f>
        <v>176.82</v>
      </c>
      <c r="U234" s="97">
        <f>Valores!$C$22*D234</f>
        <v>195.42000000000002</v>
      </c>
      <c r="V234" s="71">
        <f t="shared" si="33"/>
        <v>195.42000000000002</v>
      </c>
      <c r="W234" s="71">
        <v>0</v>
      </c>
      <c r="X234" s="71">
        <v>0</v>
      </c>
      <c r="Y234" s="114">
        <v>0</v>
      </c>
      <c r="Z234" s="71">
        <f>Y234*Valores!$C$2</f>
        <v>0</v>
      </c>
      <c r="AA234" s="71">
        <v>0</v>
      </c>
      <c r="AB234" s="76">
        <f>IF((Valores!$C$32)*D234&gt;Valores!$F$32,Valores!$F$32,(Valores!$C$32)*D234)</f>
        <v>22.200000000000003</v>
      </c>
      <c r="AC234" s="71">
        <f t="shared" si="43"/>
        <v>0</v>
      </c>
      <c r="AD234" s="71">
        <f>IF(Valores!$C$33*D234&gt;Valores!$F$33,Valores!$F$33,Valores!$C$33*D234)</f>
        <v>18.48</v>
      </c>
      <c r="AE234" s="75">
        <v>94</v>
      </c>
      <c r="AF234" s="71">
        <f>INT(((AE234*Valores!$C$2)*100)+0.5)/100</f>
        <v>719.02</v>
      </c>
      <c r="AG234" s="71">
        <f>IF(Valores!$D$58*'Escala Docente'!D234&gt;Valores!$F$58,Valores!$F$58,Valores!$D$58*'Escala Docente'!D234)</f>
        <v>75.17999999999999</v>
      </c>
      <c r="AH234" s="71">
        <f>IF(Valores!$D$60*D234&gt;Valores!$F$60,Valores!$F$60,Valores!$D$60*D234)</f>
        <v>21.48</v>
      </c>
      <c r="AI234" s="110">
        <f t="shared" si="44"/>
        <v>4607.751999999999</v>
      </c>
      <c r="AJ234" s="97">
        <f>IF(Valores!$C$36*D234&gt;Valores!$F$36,Valores!$F$36,Valores!$C$36*D234)</f>
        <v>175.32</v>
      </c>
      <c r="AK234" s="74">
        <f>IF(Valores!$C$11*D234&gt;Valores!$F$11,Valores!$F$11,Valores!$C$11*D234)</f>
        <v>0</v>
      </c>
      <c r="AL234" s="74">
        <f>IF(Valores!$C$84*D234&gt;Valores!$C$83,Valores!$C$83,Valores!$C$84*D234)</f>
        <v>225</v>
      </c>
      <c r="AM234" s="74">
        <f t="shared" si="37"/>
        <v>210</v>
      </c>
      <c r="AN234" s="76">
        <f>IF(Valores!$C$57*D234&gt;Valores!$F$57,Valores!$F$57,Valores!$C$57*D234)</f>
        <v>31.5</v>
      </c>
      <c r="AO234" s="78">
        <f t="shared" si="45"/>
        <v>400.32</v>
      </c>
      <c r="AP234" s="57">
        <f>AI234*-Valores!$C$65</f>
        <v>-599.0077599999998</v>
      </c>
      <c r="AQ234" s="57">
        <f>AI234*-Valores!$C$66</f>
        <v>-23.038759999999993</v>
      </c>
      <c r="AR234" s="73">
        <f>AI234*-Valores!$C$67</f>
        <v>-207.34883999999994</v>
      </c>
      <c r="AS234" s="73">
        <f>AI234*-Valores!$C$68</f>
        <v>-124.40930399999996</v>
      </c>
      <c r="AT234" s="73">
        <f>AI234*-Valores!$C$69</f>
        <v>-13.823255999999995</v>
      </c>
      <c r="AU234" s="77">
        <f t="shared" si="41"/>
        <v>4178.676639999999</v>
      </c>
      <c r="AV234" s="77">
        <f t="shared" si="42"/>
        <v>4247.792919999999</v>
      </c>
      <c r="AW234" s="73">
        <f>AI234*Valores!$C$71</f>
        <v>737.2403199999998</v>
      </c>
      <c r="AX234" s="73">
        <f>AI234*Valores!$C$72</f>
        <v>207.34883999999994</v>
      </c>
      <c r="AY234" s="73">
        <f>AI234*Valores!$C$73</f>
        <v>46.077519999999986</v>
      </c>
      <c r="AZ234" s="73">
        <f>AI234*Valores!$C$75</f>
        <v>161.27131999999997</v>
      </c>
      <c r="BA234" s="73">
        <f>AI234*Valores!$C$76</f>
        <v>27.64651199999999</v>
      </c>
      <c r="BB234" s="73">
        <f t="shared" si="46"/>
        <v>248.81860799999995</v>
      </c>
      <c r="BC234" s="47"/>
      <c r="BD234" s="81">
        <f t="shared" si="47"/>
        <v>12</v>
      </c>
      <c r="BE234" s="24" t="s">
        <v>4</v>
      </c>
    </row>
    <row r="235" spans="1:57" s="24" customFormat="1" ht="11.25" customHeight="1">
      <c r="A235" s="47">
        <v>234</v>
      </c>
      <c r="B235" s="47"/>
      <c r="C235" s="24" t="s">
        <v>522</v>
      </c>
      <c r="D235" s="24">
        <v>4</v>
      </c>
      <c r="E235" s="24">
        <f t="shared" si="38"/>
        <v>33</v>
      </c>
      <c r="F235" s="67" t="str">
        <f>CONCATENATE("Hora Cátedra Enseñanza Media ",D235," hs")</f>
        <v>Hora Cátedra Enseñanza Media 4 hs</v>
      </c>
      <c r="G235" s="68">
        <f t="shared" si="48"/>
        <v>316</v>
      </c>
      <c r="H235" s="69">
        <f>INT((G235*Valores!$C$2*100)+0.49)/100</f>
        <v>2417.12</v>
      </c>
      <c r="I235" s="108">
        <v>0</v>
      </c>
      <c r="J235" s="71">
        <f>INT((I235*Valores!$C$2*100)+0.5)/100</f>
        <v>0</v>
      </c>
      <c r="K235" s="98">
        <v>0</v>
      </c>
      <c r="L235" s="71">
        <f>INT((K235*Valores!$C$2*100)+0.5)/100</f>
        <v>0</v>
      </c>
      <c r="M235" s="96">
        <v>0</v>
      </c>
      <c r="N235" s="71">
        <f>INT((M235*Valores!$C$2*100)+0.5)/100</f>
        <v>0</v>
      </c>
      <c r="O235" s="71">
        <f t="shared" si="39"/>
        <v>437.0159999999999</v>
      </c>
      <c r="P235" s="71">
        <f t="shared" si="40"/>
        <v>0</v>
      </c>
      <c r="Q235" s="97">
        <f>Valores!$C$14*D235</f>
        <v>739.04</v>
      </c>
      <c r="R235" s="97">
        <f>IF(D235&lt;15,(Valores!$E$4*D235),Valores!$D$4)</f>
        <v>912.36</v>
      </c>
      <c r="S235" s="71">
        <v>0</v>
      </c>
      <c r="T235" s="74">
        <f>IF(Valores!$C$45*D235&gt;Valores!$C$43,Valores!$C$43,Valores!$C$45*D235)</f>
        <v>235.76</v>
      </c>
      <c r="U235" s="97">
        <f>Valores!$C$22*D235</f>
        <v>260.56</v>
      </c>
      <c r="V235" s="71">
        <f t="shared" si="33"/>
        <v>260.56</v>
      </c>
      <c r="W235" s="71">
        <v>0</v>
      </c>
      <c r="X235" s="71">
        <v>0</v>
      </c>
      <c r="Y235" s="114">
        <v>0</v>
      </c>
      <c r="Z235" s="71">
        <f>Y235*Valores!$C$2</f>
        <v>0</v>
      </c>
      <c r="AA235" s="71">
        <v>0</v>
      </c>
      <c r="AB235" s="76">
        <f>IF((Valores!$C$32)*D235&gt;Valores!$F$32,Valores!$F$32,(Valores!$C$32)*D235)</f>
        <v>29.6</v>
      </c>
      <c r="AC235" s="71">
        <f t="shared" si="43"/>
        <v>0</v>
      </c>
      <c r="AD235" s="71">
        <f>IF(Valores!$C$33*D235&gt;Valores!$F$33,Valores!$F$33,Valores!$C$33*D235)</f>
        <v>24.64</v>
      </c>
      <c r="AE235" s="75">
        <v>0</v>
      </c>
      <c r="AF235" s="71">
        <f>INT(((AE235*Valores!$C$2)*100)+0.5)/100</f>
        <v>0</v>
      </c>
      <c r="AG235" s="71">
        <f>IF(Valores!$D$58*'Escala Docente'!D235&gt;Valores!$F$58,Valores!$F$58,Valores!$D$58*'Escala Docente'!D235)</f>
        <v>100.24</v>
      </c>
      <c r="AH235" s="71">
        <f>IF(Valores!$D$60*D235&gt;Valores!$F$60,Valores!$F$60,Valores!$D$60*D235)</f>
        <v>28.64</v>
      </c>
      <c r="AI235" s="110">
        <f t="shared" si="44"/>
        <v>5184.9760000000015</v>
      </c>
      <c r="AJ235" s="97">
        <f>IF(Valores!$C$36*D235&gt;Valores!$F$36,Valores!$F$36,Valores!$C$36*D235)</f>
        <v>233.76</v>
      </c>
      <c r="AK235" s="74">
        <f>IF(Valores!$C$11*D235&gt;Valores!$F$11,Valores!$F$11,Valores!$C$11*D235)</f>
        <v>0</v>
      </c>
      <c r="AL235" s="74">
        <f>IF(Valores!$C$84*D235&gt;Valores!$C$83,Valores!$C$83,Valores!$C$84*D235)</f>
        <v>300</v>
      </c>
      <c r="AM235" s="74">
        <f t="shared" si="37"/>
        <v>280</v>
      </c>
      <c r="AN235" s="76">
        <f>IF(Valores!$C$57*D235&gt;Valores!$F$57,Valores!$F$57,Valores!$C$57*D235)</f>
        <v>42</v>
      </c>
      <c r="AO235" s="78">
        <f t="shared" si="45"/>
        <v>533.76</v>
      </c>
      <c r="AP235" s="57">
        <f>AI235*-Valores!$C$65</f>
        <v>-674.0468800000002</v>
      </c>
      <c r="AQ235" s="57">
        <f>AI235*-Valores!$C$66</f>
        <v>-25.92488000000001</v>
      </c>
      <c r="AR235" s="73">
        <f>AI235*-Valores!$C$67</f>
        <v>-233.32392000000004</v>
      </c>
      <c r="AS235" s="73">
        <f>AI235*-Valores!$C$68</f>
        <v>-139.99435200000005</v>
      </c>
      <c r="AT235" s="73">
        <f>AI235*-Valores!$C$69</f>
        <v>-15.554928000000006</v>
      </c>
      <c r="AU235" s="77">
        <f t="shared" si="41"/>
        <v>4785.440320000002</v>
      </c>
      <c r="AV235" s="77">
        <f t="shared" si="42"/>
        <v>4863.214960000003</v>
      </c>
      <c r="AW235" s="73">
        <f>AI235*Valores!$C$71</f>
        <v>829.5961600000003</v>
      </c>
      <c r="AX235" s="73">
        <f>AI235*Valores!$C$72</f>
        <v>233.32392000000004</v>
      </c>
      <c r="AY235" s="73">
        <f>AI235*Valores!$C$73</f>
        <v>51.84976000000002</v>
      </c>
      <c r="AZ235" s="73">
        <f>AI235*Valores!$C$75</f>
        <v>181.47416000000007</v>
      </c>
      <c r="BA235" s="73">
        <f>AI235*Valores!$C$76</f>
        <v>31.10985600000001</v>
      </c>
      <c r="BB235" s="73">
        <f t="shared" si="46"/>
        <v>279.9887040000001</v>
      </c>
      <c r="BC235" s="47"/>
      <c r="BD235" s="47">
        <f t="shared" si="47"/>
        <v>16</v>
      </c>
      <c r="BE235" s="24" t="s">
        <v>4</v>
      </c>
    </row>
    <row r="236" spans="1:57" s="24" customFormat="1" ht="11.25" customHeight="1">
      <c r="A236" s="81">
        <v>235</v>
      </c>
      <c r="B236" s="81" t="s">
        <v>163</v>
      </c>
      <c r="C236" s="82" t="s">
        <v>522</v>
      </c>
      <c r="D236" s="82">
        <v>4</v>
      </c>
      <c r="E236" s="82">
        <f t="shared" si="38"/>
        <v>41</v>
      </c>
      <c r="F236" s="83" t="str">
        <f>CONCATENATE("Hora Cátedra Enseñanza Media ",D236," hs Esc Esp")</f>
        <v>Hora Cátedra Enseñanza Media 4 hs Esc Esp</v>
      </c>
      <c r="G236" s="84">
        <f t="shared" si="48"/>
        <v>316</v>
      </c>
      <c r="H236" s="85">
        <f>INT((G236*Valores!$C$2*100)+0.49)/100</f>
        <v>2417.12</v>
      </c>
      <c r="I236" s="99">
        <v>0</v>
      </c>
      <c r="J236" s="87">
        <f>INT((I236*Valores!$C$2*100)+0.5)/100</f>
        <v>0</v>
      </c>
      <c r="K236" s="100">
        <v>0</v>
      </c>
      <c r="L236" s="87">
        <f>INT((K236*Valores!$C$2*100)+0.5)/100</f>
        <v>0</v>
      </c>
      <c r="M236" s="101">
        <v>0</v>
      </c>
      <c r="N236" s="87">
        <f>INT((M236*Valores!$C$2*100)+0.5)/100</f>
        <v>0</v>
      </c>
      <c r="O236" s="87">
        <f t="shared" si="39"/>
        <v>437.0159999999999</v>
      </c>
      <c r="P236" s="87">
        <f t="shared" si="40"/>
        <v>0</v>
      </c>
      <c r="Q236" s="103">
        <f>Valores!$C$14*D236</f>
        <v>739.04</v>
      </c>
      <c r="R236" s="103">
        <f>IF(D236&lt;15,(Valores!$E$4*D236),Valores!$D$4)</f>
        <v>912.36</v>
      </c>
      <c r="S236" s="87">
        <v>0</v>
      </c>
      <c r="T236" s="90">
        <f>IF(Valores!$C$45*D236&gt;Valores!$C$43,Valores!$C$43,Valores!$C$45*D236)</f>
        <v>235.76</v>
      </c>
      <c r="U236" s="103">
        <f>Valores!$C$22*D236</f>
        <v>260.56</v>
      </c>
      <c r="V236" s="87">
        <f t="shared" si="33"/>
        <v>260.56</v>
      </c>
      <c r="W236" s="87">
        <v>0</v>
      </c>
      <c r="X236" s="87">
        <v>0</v>
      </c>
      <c r="Y236" s="115">
        <v>0</v>
      </c>
      <c r="Z236" s="87">
        <f>Y236*Valores!$C$2</f>
        <v>0</v>
      </c>
      <c r="AA236" s="87">
        <v>0</v>
      </c>
      <c r="AB236" s="92">
        <f>IF((Valores!$C$32)*D236&gt;Valores!$F$32,Valores!$F$32,(Valores!$C$32)*D236)</f>
        <v>29.6</v>
      </c>
      <c r="AC236" s="87">
        <f t="shared" si="43"/>
        <v>0</v>
      </c>
      <c r="AD236" s="87">
        <f>IF(Valores!$C$33*D236&gt;Valores!$F$33,Valores!$F$33,Valores!$C$33*D236)</f>
        <v>24.64</v>
      </c>
      <c r="AE236" s="91">
        <v>94</v>
      </c>
      <c r="AF236" s="87">
        <f>INT(((AE236*Valores!$C$2)*100)+0.5)/100</f>
        <v>719.02</v>
      </c>
      <c r="AG236" s="87">
        <f>IF(Valores!$D$58*'Escala Docente'!D236&gt;Valores!$F$58,Valores!$F$58,Valores!$D$58*'Escala Docente'!D236)</f>
        <v>100.24</v>
      </c>
      <c r="AH236" s="87">
        <f>IF(Valores!$D$60*D236&gt;Valores!$F$60,Valores!$F$60,Valores!$D$60*D236)</f>
        <v>28.64</v>
      </c>
      <c r="AI236" s="111">
        <f t="shared" si="44"/>
        <v>5903.996000000002</v>
      </c>
      <c r="AJ236" s="103">
        <f>IF(Valores!$C$36*D236&gt;Valores!$F$36,Valores!$F$36,Valores!$C$36*D236)</f>
        <v>233.76</v>
      </c>
      <c r="AK236" s="90">
        <f>IF(Valores!$C$11*D236&gt;Valores!$F$11,Valores!$F$11,Valores!$C$11*D236)</f>
        <v>0</v>
      </c>
      <c r="AL236" s="90">
        <f>IF(Valores!$C$84*D236&gt;Valores!$C$83,Valores!$C$83,Valores!$C$84*D236)</f>
        <v>300</v>
      </c>
      <c r="AM236" s="74">
        <f t="shared" si="37"/>
        <v>280</v>
      </c>
      <c r="AN236" s="92">
        <f>IF(Valores!$C$57*D236&gt;Valores!$F$57,Valores!$F$57,Valores!$C$57*D236)</f>
        <v>42</v>
      </c>
      <c r="AO236" s="94">
        <f t="shared" si="45"/>
        <v>533.76</v>
      </c>
      <c r="AP236" s="112">
        <f>AI236*-Valores!$C$65</f>
        <v>-767.5194800000003</v>
      </c>
      <c r="AQ236" s="112">
        <f>AI236*-Valores!$C$66</f>
        <v>-29.51998000000001</v>
      </c>
      <c r="AR236" s="89">
        <f>AI236*-Valores!$C$67</f>
        <v>-265.67982000000006</v>
      </c>
      <c r="AS236" s="89">
        <f>AI236*-Valores!$C$68</f>
        <v>-159.40789200000006</v>
      </c>
      <c r="AT236" s="89">
        <f>AI236*-Valores!$C$69</f>
        <v>-17.711988000000005</v>
      </c>
      <c r="AU236" s="93">
        <f t="shared" si="41"/>
        <v>5375.036720000002</v>
      </c>
      <c r="AV236" s="93">
        <f t="shared" si="42"/>
        <v>5463.596660000002</v>
      </c>
      <c r="AW236" s="89">
        <f>AI236*Valores!$C$71</f>
        <v>944.6393600000004</v>
      </c>
      <c r="AX236" s="89">
        <f>AI236*Valores!$C$72</f>
        <v>265.67982000000006</v>
      </c>
      <c r="AY236" s="89">
        <f>AI236*Valores!$C$73</f>
        <v>59.03996000000002</v>
      </c>
      <c r="AZ236" s="89">
        <f>AI236*Valores!$C$75</f>
        <v>206.63986000000008</v>
      </c>
      <c r="BA236" s="89">
        <f>AI236*Valores!$C$76</f>
        <v>35.42397600000001</v>
      </c>
      <c r="BB236" s="89">
        <f t="shared" si="46"/>
        <v>318.8157840000001</v>
      </c>
      <c r="BC236" s="81"/>
      <c r="BD236" s="81">
        <f t="shared" si="47"/>
        <v>16</v>
      </c>
      <c r="BE236" s="82" t="s">
        <v>4</v>
      </c>
    </row>
    <row r="237" spans="1:57" s="24" customFormat="1" ht="11.25" customHeight="1">
      <c r="A237" s="47">
        <v>236</v>
      </c>
      <c r="B237" s="47"/>
      <c r="C237" s="24" t="s">
        <v>522</v>
      </c>
      <c r="D237" s="24">
        <v>5</v>
      </c>
      <c r="E237" s="24">
        <f t="shared" si="38"/>
        <v>33</v>
      </c>
      <c r="F237" s="67" t="str">
        <f>CONCATENATE("Hora Cátedra Enseñanza Media ",D237," hs")</f>
        <v>Hora Cátedra Enseñanza Media 5 hs</v>
      </c>
      <c r="G237" s="68">
        <f t="shared" si="48"/>
        <v>395</v>
      </c>
      <c r="H237" s="69">
        <f>INT((G237*Valores!$C$2*100)+0.49)/100</f>
        <v>3021.39</v>
      </c>
      <c r="I237" s="108">
        <v>0</v>
      </c>
      <c r="J237" s="71">
        <f>INT((I237*Valores!$C$2*100)+0.5)/100</f>
        <v>0</v>
      </c>
      <c r="K237" s="98">
        <v>0</v>
      </c>
      <c r="L237" s="71">
        <f>INT((K237*Valores!$C$2*100)+0.5)/100</f>
        <v>0</v>
      </c>
      <c r="M237" s="96">
        <v>0</v>
      </c>
      <c r="N237" s="71">
        <f>INT((M237*Valores!$C$2*100)+0.5)/100</f>
        <v>0</v>
      </c>
      <c r="O237" s="71">
        <f t="shared" si="39"/>
        <v>546.2684999999999</v>
      </c>
      <c r="P237" s="71">
        <f t="shared" si="40"/>
        <v>0</v>
      </c>
      <c r="Q237" s="97">
        <f>Valores!$C$14*D237</f>
        <v>923.8</v>
      </c>
      <c r="R237" s="97">
        <f>IF(D237&lt;15,(Valores!$E$4*D237),Valores!$D$4)</f>
        <v>1140.45</v>
      </c>
      <c r="S237" s="71">
        <v>0</v>
      </c>
      <c r="T237" s="74">
        <f>IF(Valores!$C$45*D237&gt;Valores!$C$43,Valores!$C$43,Valores!$C$45*D237)</f>
        <v>294.7</v>
      </c>
      <c r="U237" s="97">
        <f>Valores!$C$22*D237</f>
        <v>325.7</v>
      </c>
      <c r="V237" s="71">
        <f t="shared" si="33"/>
        <v>325.7</v>
      </c>
      <c r="W237" s="71">
        <v>0</v>
      </c>
      <c r="X237" s="71">
        <v>0</v>
      </c>
      <c r="Y237" s="114">
        <v>0</v>
      </c>
      <c r="Z237" s="71">
        <f>Y237*Valores!$C$2</f>
        <v>0</v>
      </c>
      <c r="AA237" s="71">
        <v>0</v>
      </c>
      <c r="AB237" s="76">
        <f>IF((Valores!$C$32)*D237&gt;Valores!$F$32,Valores!$F$32,(Valores!$C$32)*D237)</f>
        <v>37</v>
      </c>
      <c r="AC237" s="71">
        <f t="shared" si="43"/>
        <v>0</v>
      </c>
      <c r="AD237" s="71">
        <f>IF(Valores!$C$33*D237&gt;Valores!$F$33,Valores!$F$33,Valores!$C$33*D237)</f>
        <v>30.8</v>
      </c>
      <c r="AE237" s="75">
        <v>0</v>
      </c>
      <c r="AF237" s="71">
        <f>INT(((AE237*Valores!$C$2)*100)+0.5)/100</f>
        <v>0</v>
      </c>
      <c r="AG237" s="71">
        <f>IF(Valores!$D$58*'Escala Docente'!D237&gt;Valores!$F$58,Valores!$F$58,Valores!$D$58*'Escala Docente'!D237)</f>
        <v>125.3</v>
      </c>
      <c r="AH237" s="71">
        <f>IF(Valores!$D$60*D237&gt;Valores!$F$60,Valores!$F$60,Valores!$D$60*D237)</f>
        <v>35.8</v>
      </c>
      <c r="AI237" s="110">
        <f t="shared" si="44"/>
        <v>6481.2085</v>
      </c>
      <c r="AJ237" s="97">
        <f>IF(Valores!$C$36*D237&gt;Valores!$F$36,Valores!$F$36,Valores!$C$36*D237)</f>
        <v>292.2</v>
      </c>
      <c r="AK237" s="74">
        <f>IF(Valores!$C$11*D237&gt;Valores!$F$11,Valores!$F$11,Valores!$C$11*D237)</f>
        <v>0</v>
      </c>
      <c r="AL237" s="74">
        <f>IF(Valores!$C$84*D237&gt;Valores!$C$83,Valores!$C$83,Valores!$C$84*D237)</f>
        <v>375</v>
      </c>
      <c r="AM237" s="74">
        <f t="shared" si="37"/>
        <v>350</v>
      </c>
      <c r="AN237" s="76">
        <f>IF(Valores!$C$57*D237&gt;Valores!$F$57,Valores!$F$57,Valores!$C$57*D237)</f>
        <v>52.5</v>
      </c>
      <c r="AO237" s="78">
        <f t="shared" si="45"/>
        <v>667.2</v>
      </c>
      <c r="AP237" s="57">
        <f>AI237*-Valores!$C$65</f>
        <v>-842.557105</v>
      </c>
      <c r="AQ237" s="57">
        <f>AI237*-Valores!$C$66</f>
        <v>-32.4060425</v>
      </c>
      <c r="AR237" s="73">
        <f>AI237*-Valores!$C$67</f>
        <v>-291.6543825</v>
      </c>
      <c r="AS237" s="73">
        <f>AI237*-Valores!$C$68</f>
        <v>-174.9926295</v>
      </c>
      <c r="AT237" s="73">
        <f>AI237*-Valores!$C$69</f>
        <v>-19.4436255</v>
      </c>
      <c r="AU237" s="77">
        <f t="shared" si="41"/>
        <v>5981.79097</v>
      </c>
      <c r="AV237" s="77">
        <f t="shared" si="42"/>
        <v>6079.0090975</v>
      </c>
      <c r="AW237" s="73">
        <f>AI237*Valores!$C$71</f>
        <v>1036.99336</v>
      </c>
      <c r="AX237" s="73">
        <f>AI237*Valores!$C$72</f>
        <v>291.6543825</v>
      </c>
      <c r="AY237" s="73">
        <f>AI237*Valores!$C$73</f>
        <v>64.812085</v>
      </c>
      <c r="AZ237" s="73">
        <f>AI237*Valores!$C$75</f>
        <v>226.8422975</v>
      </c>
      <c r="BA237" s="73">
        <f>AI237*Valores!$C$76</f>
        <v>38.887251</v>
      </c>
      <c r="BB237" s="73">
        <f t="shared" si="46"/>
        <v>349.985259</v>
      </c>
      <c r="BC237" s="47"/>
      <c r="BD237" s="47">
        <f t="shared" si="47"/>
        <v>20</v>
      </c>
      <c r="BE237" s="24" t="s">
        <v>4</v>
      </c>
    </row>
    <row r="238" spans="1:57" s="24" customFormat="1" ht="11.25" customHeight="1">
      <c r="A238" s="47">
        <v>237</v>
      </c>
      <c r="B238" s="47"/>
      <c r="C238" s="24" t="s">
        <v>522</v>
      </c>
      <c r="D238" s="24">
        <v>5</v>
      </c>
      <c r="E238" s="24">
        <f t="shared" si="38"/>
        <v>41</v>
      </c>
      <c r="F238" s="67" t="str">
        <f>CONCATENATE("Hora Cátedra Enseñanza Media ",D238," hs Esc Esp")</f>
        <v>Hora Cátedra Enseñanza Media 5 hs Esc Esp</v>
      </c>
      <c r="G238" s="68">
        <f t="shared" si="48"/>
        <v>395</v>
      </c>
      <c r="H238" s="69">
        <f>INT((G238*Valores!$C$2*100)+0.49)/100</f>
        <v>3021.39</v>
      </c>
      <c r="I238" s="108">
        <v>0</v>
      </c>
      <c r="J238" s="71">
        <f>INT((I238*Valores!$C$2*100)+0.5)/100</f>
        <v>0</v>
      </c>
      <c r="K238" s="98">
        <v>0</v>
      </c>
      <c r="L238" s="71">
        <f>INT((K238*Valores!$C$2*100)+0.5)/100</f>
        <v>0</v>
      </c>
      <c r="M238" s="96">
        <v>0</v>
      </c>
      <c r="N238" s="71">
        <f>INT((M238*Valores!$C$2*100)+0.5)/100</f>
        <v>0</v>
      </c>
      <c r="O238" s="71">
        <f t="shared" si="39"/>
        <v>546.2684999999999</v>
      </c>
      <c r="P238" s="71">
        <f t="shared" si="40"/>
        <v>0</v>
      </c>
      <c r="Q238" s="97">
        <f>Valores!$C$14*D238</f>
        <v>923.8</v>
      </c>
      <c r="R238" s="97">
        <f>IF(D238&lt;15,(Valores!$E$4*D238),Valores!$D$4)</f>
        <v>1140.45</v>
      </c>
      <c r="S238" s="71">
        <v>0</v>
      </c>
      <c r="T238" s="74">
        <f>IF(Valores!$C$45*D238&gt;Valores!$C$43,Valores!$C$43,Valores!$C$45*D238)</f>
        <v>294.7</v>
      </c>
      <c r="U238" s="97">
        <f>Valores!$C$22*D238</f>
        <v>325.7</v>
      </c>
      <c r="V238" s="71">
        <f aca="true" t="shared" si="49" ref="V238:V301">U238*(1+$J$2)</f>
        <v>325.7</v>
      </c>
      <c r="W238" s="71">
        <v>0</v>
      </c>
      <c r="X238" s="71">
        <v>0</v>
      </c>
      <c r="Y238" s="114">
        <v>0</v>
      </c>
      <c r="Z238" s="71">
        <f>Y238*Valores!$C$2</f>
        <v>0</v>
      </c>
      <c r="AA238" s="71">
        <v>0</v>
      </c>
      <c r="AB238" s="76">
        <f>IF((Valores!$C$32)*D238&gt;Valores!$F$32,Valores!$F$32,(Valores!$C$32)*D238)</f>
        <v>37</v>
      </c>
      <c r="AC238" s="71">
        <f t="shared" si="43"/>
        <v>0</v>
      </c>
      <c r="AD238" s="71">
        <f>IF(Valores!$C$33*D238&gt;Valores!$F$33,Valores!$F$33,Valores!$C$33*D238)</f>
        <v>30.8</v>
      </c>
      <c r="AE238" s="75">
        <v>94</v>
      </c>
      <c r="AF238" s="71">
        <f>INT(((AE238*Valores!$C$2)*100)+0.5)/100</f>
        <v>719.02</v>
      </c>
      <c r="AG238" s="71">
        <f>IF(Valores!$D$58*'Escala Docente'!D238&gt;Valores!$F$58,Valores!$F$58,Valores!$D$58*'Escala Docente'!D238)</f>
        <v>125.3</v>
      </c>
      <c r="AH238" s="71">
        <f>IF(Valores!$D$60*D238&gt;Valores!$F$60,Valores!$F$60,Valores!$D$60*D238)</f>
        <v>35.8</v>
      </c>
      <c r="AI238" s="110">
        <f t="shared" si="44"/>
        <v>7200.2285</v>
      </c>
      <c r="AJ238" s="97">
        <f>IF(Valores!$C$36*D238&gt;Valores!$F$36,Valores!$F$36,Valores!$C$36*D238)</f>
        <v>292.2</v>
      </c>
      <c r="AK238" s="74">
        <f>IF(Valores!$C$11*D238&gt;Valores!$F$11,Valores!$F$11,Valores!$C$11*D238)</f>
        <v>0</v>
      </c>
      <c r="AL238" s="74">
        <f>IF(Valores!$C$84*D238&gt;Valores!$C$83,Valores!$C$83,Valores!$C$84*D238)</f>
        <v>375</v>
      </c>
      <c r="AM238" s="74">
        <f t="shared" si="37"/>
        <v>350</v>
      </c>
      <c r="AN238" s="76">
        <f>IF(Valores!$C$57*D238&gt;Valores!$F$57,Valores!$F$57,Valores!$C$57*D238)</f>
        <v>52.5</v>
      </c>
      <c r="AO238" s="78">
        <f t="shared" si="45"/>
        <v>667.2</v>
      </c>
      <c r="AP238" s="57">
        <f>AI238*-Valores!$C$65</f>
        <v>-936.029705</v>
      </c>
      <c r="AQ238" s="57">
        <f>AI238*-Valores!$C$66</f>
        <v>-36.0011425</v>
      </c>
      <c r="AR238" s="73">
        <f>AI238*-Valores!$C$67</f>
        <v>-324.0102825</v>
      </c>
      <c r="AS238" s="73">
        <f>AI238*-Valores!$C$68</f>
        <v>-194.4061695</v>
      </c>
      <c r="AT238" s="73">
        <f>AI238*-Valores!$C$69</f>
        <v>-21.6006855</v>
      </c>
      <c r="AU238" s="77">
        <f t="shared" si="41"/>
        <v>6571.3873699999995</v>
      </c>
      <c r="AV238" s="77">
        <f t="shared" si="42"/>
        <v>6679.3907975</v>
      </c>
      <c r="AW238" s="73">
        <f>AI238*Valores!$C$71</f>
        <v>1152.03656</v>
      </c>
      <c r="AX238" s="73">
        <f>AI238*Valores!$C$72</f>
        <v>324.0102825</v>
      </c>
      <c r="AY238" s="73">
        <f>AI238*Valores!$C$73</f>
        <v>72.002285</v>
      </c>
      <c r="AZ238" s="73">
        <f>AI238*Valores!$C$75</f>
        <v>252.00799750000002</v>
      </c>
      <c r="BA238" s="73">
        <f>AI238*Valores!$C$76</f>
        <v>43.201371</v>
      </c>
      <c r="BB238" s="73">
        <f t="shared" si="46"/>
        <v>388.81233900000007</v>
      </c>
      <c r="BC238" s="47"/>
      <c r="BD238" s="47">
        <f t="shared" si="47"/>
        <v>20</v>
      </c>
      <c r="BE238" s="24" t="s">
        <v>4</v>
      </c>
    </row>
    <row r="239" spans="1:57" s="24" customFormat="1" ht="11.25" customHeight="1">
      <c r="A239" s="47">
        <v>238</v>
      </c>
      <c r="B239" s="47"/>
      <c r="C239" s="24" t="s">
        <v>522</v>
      </c>
      <c r="D239" s="24">
        <v>6</v>
      </c>
      <c r="E239" s="24">
        <f t="shared" si="38"/>
        <v>33</v>
      </c>
      <c r="F239" s="67" t="str">
        <f>CONCATENATE("Hora Cátedra Enseñanza Media ",D239," hs")</f>
        <v>Hora Cátedra Enseñanza Media 6 hs</v>
      </c>
      <c r="G239" s="68">
        <f t="shared" si="48"/>
        <v>474</v>
      </c>
      <c r="H239" s="69">
        <f>INT((G239*Valores!$C$2*100)+0.49)/100</f>
        <v>3625.67</v>
      </c>
      <c r="I239" s="108">
        <v>0</v>
      </c>
      <c r="J239" s="71">
        <f>INT((I239*Valores!$C$2*100)+0.5)/100</f>
        <v>0</v>
      </c>
      <c r="K239" s="98">
        <v>0</v>
      </c>
      <c r="L239" s="71">
        <f>INT((K239*Valores!$C$2*100)+0.5)/100</f>
        <v>0</v>
      </c>
      <c r="M239" s="96">
        <v>0</v>
      </c>
      <c r="N239" s="71">
        <f>INT((M239*Valores!$C$2*100)+0.5)/100</f>
        <v>0</v>
      </c>
      <c r="O239" s="71">
        <f t="shared" si="39"/>
        <v>655.5225</v>
      </c>
      <c r="P239" s="71">
        <f t="shared" si="40"/>
        <v>0</v>
      </c>
      <c r="Q239" s="97">
        <f>Valores!$C$14*D239</f>
        <v>1108.56</v>
      </c>
      <c r="R239" s="97">
        <f>IF(D239&lt;15,(Valores!$E$4*D239),Valores!$D$4)</f>
        <v>1368.54</v>
      </c>
      <c r="S239" s="71">
        <v>0</v>
      </c>
      <c r="T239" s="74">
        <f>IF(Valores!$C$45*D239&gt;Valores!$C$43,Valores!$C$43,Valores!$C$45*D239)</f>
        <v>353.64</v>
      </c>
      <c r="U239" s="97">
        <f>Valores!$C$22*D239</f>
        <v>390.84000000000003</v>
      </c>
      <c r="V239" s="71">
        <f t="shared" si="49"/>
        <v>390.84000000000003</v>
      </c>
      <c r="W239" s="71">
        <v>0</v>
      </c>
      <c r="X239" s="71">
        <v>0</v>
      </c>
      <c r="Y239" s="114">
        <v>0</v>
      </c>
      <c r="Z239" s="71">
        <f>Y239*Valores!$C$2</f>
        <v>0</v>
      </c>
      <c r="AA239" s="71">
        <v>0</v>
      </c>
      <c r="AB239" s="76">
        <f>IF((Valores!$C$32)*D239&gt;Valores!$F$32,Valores!$F$32,(Valores!$C$32)*D239)</f>
        <v>44.400000000000006</v>
      </c>
      <c r="AC239" s="71">
        <f t="shared" si="43"/>
        <v>0</v>
      </c>
      <c r="AD239" s="71">
        <f>IF(Valores!$C$33*D239&gt;Valores!$F$33,Valores!$F$33,Valores!$C$33*D239)</f>
        <v>36.96</v>
      </c>
      <c r="AE239" s="75">
        <v>0</v>
      </c>
      <c r="AF239" s="71">
        <f>INT(((AE239*Valores!$C$2)*100)+0.5)/100</f>
        <v>0</v>
      </c>
      <c r="AG239" s="71">
        <f>IF(Valores!$D$58*'Escala Docente'!D239&gt;Valores!$F$58,Valores!$F$58,Valores!$D$58*'Escala Docente'!D239)</f>
        <v>150.35999999999999</v>
      </c>
      <c r="AH239" s="71">
        <f>IF(Valores!$D$60*D239&gt;Valores!$F$60,Valores!$F$60,Valores!$D$60*D239)</f>
        <v>42.96</v>
      </c>
      <c r="AI239" s="110">
        <f t="shared" si="44"/>
        <v>7777.4525</v>
      </c>
      <c r="AJ239" s="97">
        <f>IF(Valores!$C$36*D239&gt;Valores!$F$36,Valores!$F$36,Valores!$C$36*D239)</f>
        <v>350.64</v>
      </c>
      <c r="AK239" s="74">
        <f>IF(Valores!$C$11*D239&gt;Valores!$F$11,Valores!$F$11,Valores!$C$11*D239)</f>
        <v>0</v>
      </c>
      <c r="AL239" s="74">
        <f>IF(Valores!$C$84*D239&gt;Valores!$C$83,Valores!$C$83,Valores!$C$84*D239)</f>
        <v>450</v>
      </c>
      <c r="AM239" s="74">
        <f t="shared" si="37"/>
        <v>420</v>
      </c>
      <c r="AN239" s="76">
        <f>IF(Valores!$C$57*D239&gt;Valores!$F$57,Valores!$F$57,Valores!$C$57*D239)</f>
        <v>63</v>
      </c>
      <c r="AO239" s="78">
        <f t="shared" si="45"/>
        <v>800.64</v>
      </c>
      <c r="AP239" s="57">
        <f>AI239*-Valores!$C$65</f>
        <v>-1011.0688250000001</v>
      </c>
      <c r="AQ239" s="57">
        <f>AI239*-Valores!$C$66</f>
        <v>-38.887262500000006</v>
      </c>
      <c r="AR239" s="73">
        <f>AI239*-Valores!$C$67</f>
        <v>-349.9853625</v>
      </c>
      <c r="AS239" s="73">
        <f>AI239*-Valores!$C$68</f>
        <v>-209.9912175</v>
      </c>
      <c r="AT239" s="73">
        <f>AI239*-Valores!$C$69</f>
        <v>-23.3323575</v>
      </c>
      <c r="AU239" s="77">
        <f t="shared" si="41"/>
        <v>7178.15105</v>
      </c>
      <c r="AV239" s="77">
        <f t="shared" si="42"/>
        <v>7294.812837499999</v>
      </c>
      <c r="AW239" s="73">
        <f>AI239*Valores!$C$71</f>
        <v>1244.3924000000002</v>
      </c>
      <c r="AX239" s="73">
        <f>AI239*Valores!$C$72</f>
        <v>349.9853625</v>
      </c>
      <c r="AY239" s="73">
        <f>AI239*Valores!$C$73</f>
        <v>77.77452500000001</v>
      </c>
      <c r="AZ239" s="73">
        <f>AI239*Valores!$C$75</f>
        <v>272.2108375</v>
      </c>
      <c r="BA239" s="73">
        <f>AI239*Valores!$C$76</f>
        <v>46.664715</v>
      </c>
      <c r="BB239" s="73">
        <f t="shared" si="46"/>
        <v>419.98243500000007</v>
      </c>
      <c r="BC239" s="47"/>
      <c r="BD239" s="81">
        <f t="shared" si="47"/>
        <v>24</v>
      </c>
      <c r="BE239" s="24" t="s">
        <v>4</v>
      </c>
    </row>
    <row r="240" spans="1:57" s="24" customFormat="1" ht="11.25" customHeight="1">
      <c r="A240" s="47">
        <v>239</v>
      </c>
      <c r="B240" s="47"/>
      <c r="C240" s="24" t="s">
        <v>522</v>
      </c>
      <c r="D240" s="24">
        <v>6</v>
      </c>
      <c r="E240" s="24">
        <f t="shared" si="38"/>
        <v>41</v>
      </c>
      <c r="F240" s="67" t="str">
        <f>CONCATENATE("Hora Cátedra Enseñanza Media ",D240," hs Esc Esp")</f>
        <v>Hora Cátedra Enseñanza Media 6 hs Esc Esp</v>
      </c>
      <c r="G240" s="68">
        <f t="shared" si="48"/>
        <v>474</v>
      </c>
      <c r="H240" s="69">
        <f>INT((G240*Valores!$C$2*100)+0.49)/100</f>
        <v>3625.67</v>
      </c>
      <c r="I240" s="108">
        <v>0</v>
      </c>
      <c r="J240" s="71">
        <f>INT((I240*Valores!$C$2*100)+0.5)/100</f>
        <v>0</v>
      </c>
      <c r="K240" s="98">
        <v>0</v>
      </c>
      <c r="L240" s="71">
        <f>INT((K240*Valores!$C$2*100)+0.5)/100</f>
        <v>0</v>
      </c>
      <c r="M240" s="96">
        <v>0</v>
      </c>
      <c r="N240" s="71">
        <f>INT((M240*Valores!$C$2*100)+0.5)/100</f>
        <v>0</v>
      </c>
      <c r="O240" s="71">
        <f t="shared" si="39"/>
        <v>655.5225</v>
      </c>
      <c r="P240" s="71">
        <f t="shared" si="40"/>
        <v>0</v>
      </c>
      <c r="Q240" s="97">
        <f>Valores!$C$14*D240</f>
        <v>1108.56</v>
      </c>
      <c r="R240" s="97">
        <f>IF(D240&lt;15,(Valores!$E$4*D240),Valores!$D$4)</f>
        <v>1368.54</v>
      </c>
      <c r="S240" s="71">
        <v>0</v>
      </c>
      <c r="T240" s="74">
        <f>IF(Valores!$C$45*D240&gt;Valores!$C$43,Valores!$C$43,Valores!$C$45*D240)</f>
        <v>353.64</v>
      </c>
      <c r="U240" s="97">
        <f>Valores!$C$22*D240</f>
        <v>390.84000000000003</v>
      </c>
      <c r="V240" s="71">
        <f t="shared" si="49"/>
        <v>390.84000000000003</v>
      </c>
      <c r="W240" s="71">
        <v>0</v>
      </c>
      <c r="X240" s="71">
        <v>0</v>
      </c>
      <c r="Y240" s="114">
        <v>0</v>
      </c>
      <c r="Z240" s="71">
        <f>Y240*Valores!$C$2</f>
        <v>0</v>
      </c>
      <c r="AA240" s="71">
        <v>0</v>
      </c>
      <c r="AB240" s="76">
        <f>IF((Valores!$C$32)*D240&gt;Valores!$F$32,Valores!$F$32,(Valores!$C$32)*D240)</f>
        <v>44.400000000000006</v>
      </c>
      <c r="AC240" s="71">
        <f t="shared" si="43"/>
        <v>0</v>
      </c>
      <c r="AD240" s="71">
        <f>IF(Valores!$C$33*D240&gt;Valores!$F$33,Valores!$F$33,Valores!$C$33*D240)</f>
        <v>36.96</v>
      </c>
      <c r="AE240" s="75">
        <v>94</v>
      </c>
      <c r="AF240" s="71">
        <f>INT(((AE240*Valores!$C$2)*100)+0.5)/100</f>
        <v>719.02</v>
      </c>
      <c r="AG240" s="71">
        <f>IF(Valores!$D$58*'Escala Docente'!D240&gt;Valores!$F$58,Valores!$F$58,Valores!$D$58*'Escala Docente'!D240)</f>
        <v>150.35999999999999</v>
      </c>
      <c r="AH240" s="71">
        <f>IF(Valores!$D$60*D240&gt;Valores!$F$60,Valores!$F$60,Valores!$D$60*D240)</f>
        <v>42.96</v>
      </c>
      <c r="AI240" s="110">
        <f t="shared" si="44"/>
        <v>8496.4725</v>
      </c>
      <c r="AJ240" s="97">
        <f>IF(Valores!$C$36*D240&gt;Valores!$F$36,Valores!$F$36,Valores!$C$36*D240)</f>
        <v>350.64</v>
      </c>
      <c r="AK240" s="74">
        <f>IF(Valores!$C$11*D240&gt;Valores!$F$11,Valores!$F$11,Valores!$C$11*D240)</f>
        <v>0</v>
      </c>
      <c r="AL240" s="74">
        <f>IF(Valores!$C$84*D240&gt;Valores!$C$83,Valores!$C$83,Valores!$C$84*D240)</f>
        <v>450</v>
      </c>
      <c r="AM240" s="74">
        <f t="shared" si="37"/>
        <v>420</v>
      </c>
      <c r="AN240" s="76">
        <f>IF(Valores!$C$57*D240&gt;Valores!$F$57,Valores!$F$57,Valores!$C$57*D240)</f>
        <v>63</v>
      </c>
      <c r="AO240" s="78">
        <f t="shared" si="45"/>
        <v>800.64</v>
      </c>
      <c r="AP240" s="57">
        <f>AI240*-Valores!$C$65</f>
        <v>-1104.5414250000001</v>
      </c>
      <c r="AQ240" s="57">
        <f>AI240*-Valores!$C$66</f>
        <v>-42.4823625</v>
      </c>
      <c r="AR240" s="73">
        <f>AI240*-Valores!$C$67</f>
        <v>-382.34126249999997</v>
      </c>
      <c r="AS240" s="73">
        <f>AI240*-Valores!$C$68</f>
        <v>-229.4047575</v>
      </c>
      <c r="AT240" s="73">
        <f>AI240*-Valores!$C$69</f>
        <v>-25.489417500000002</v>
      </c>
      <c r="AU240" s="77">
        <f t="shared" si="41"/>
        <v>7767.747449999998</v>
      </c>
      <c r="AV240" s="77">
        <f t="shared" si="42"/>
        <v>7895.194537499998</v>
      </c>
      <c r="AW240" s="73">
        <f>AI240*Valores!$C$71</f>
        <v>1359.4356</v>
      </c>
      <c r="AX240" s="73">
        <f>AI240*Valores!$C$72</f>
        <v>382.34126249999997</v>
      </c>
      <c r="AY240" s="73">
        <f>AI240*Valores!$C$73</f>
        <v>84.964725</v>
      </c>
      <c r="AZ240" s="73">
        <f>AI240*Valores!$C$75</f>
        <v>297.37653750000004</v>
      </c>
      <c r="BA240" s="73">
        <f>AI240*Valores!$C$76</f>
        <v>50.978835000000004</v>
      </c>
      <c r="BB240" s="73">
        <f t="shared" si="46"/>
        <v>458.80951500000003</v>
      </c>
      <c r="BC240" s="47"/>
      <c r="BD240" s="47">
        <f t="shared" si="47"/>
        <v>24</v>
      </c>
      <c r="BE240" s="24" t="s">
        <v>4</v>
      </c>
    </row>
    <row r="241" spans="1:57" s="24" customFormat="1" ht="11.25" customHeight="1">
      <c r="A241" s="81">
        <v>240</v>
      </c>
      <c r="B241" s="81" t="s">
        <v>163</v>
      </c>
      <c r="C241" s="82" t="s">
        <v>522</v>
      </c>
      <c r="D241" s="82">
        <v>7</v>
      </c>
      <c r="E241" s="82">
        <f t="shared" si="38"/>
        <v>33</v>
      </c>
      <c r="F241" s="83" t="str">
        <f>CONCATENATE("Hora Cátedra Enseñanza Media ",D241," hs")</f>
        <v>Hora Cátedra Enseñanza Media 7 hs</v>
      </c>
      <c r="G241" s="84">
        <f t="shared" si="48"/>
        <v>553</v>
      </c>
      <c r="H241" s="85">
        <f>INT((G241*Valores!$C$2*100)+0.49)/100</f>
        <v>4229.95</v>
      </c>
      <c r="I241" s="99">
        <v>0</v>
      </c>
      <c r="J241" s="87">
        <f>INT((I241*Valores!$C$2*100)+0.5)/100</f>
        <v>0</v>
      </c>
      <c r="K241" s="100">
        <v>0</v>
      </c>
      <c r="L241" s="87">
        <f>INT((K241*Valores!$C$2*100)+0.5)/100</f>
        <v>0</v>
      </c>
      <c r="M241" s="101">
        <v>0</v>
      </c>
      <c r="N241" s="87">
        <f>INT((M241*Valores!$C$2*100)+0.5)/100</f>
        <v>0</v>
      </c>
      <c r="O241" s="87">
        <f t="shared" si="39"/>
        <v>764.7765</v>
      </c>
      <c r="P241" s="87">
        <f t="shared" si="40"/>
        <v>0</v>
      </c>
      <c r="Q241" s="103">
        <f>Valores!$C$14*D241</f>
        <v>1293.32</v>
      </c>
      <c r="R241" s="103">
        <f>IF(D241&lt;15,(Valores!$E$4*D241),Valores!$D$4)</f>
        <v>1596.63</v>
      </c>
      <c r="S241" s="87">
        <v>0</v>
      </c>
      <c r="T241" s="90">
        <f>IF(Valores!$C$45*D241&gt;Valores!$C$43,Valores!$C$43,Valores!$C$45*D241)</f>
        <v>412.58</v>
      </c>
      <c r="U241" s="103">
        <f>Valores!$C$22*D241</f>
        <v>455.98</v>
      </c>
      <c r="V241" s="87">
        <f t="shared" si="49"/>
        <v>455.98</v>
      </c>
      <c r="W241" s="87">
        <v>0</v>
      </c>
      <c r="X241" s="87">
        <v>0</v>
      </c>
      <c r="Y241" s="115">
        <v>0</v>
      </c>
      <c r="Z241" s="87">
        <f>Y241*Valores!$C$2</f>
        <v>0</v>
      </c>
      <c r="AA241" s="87">
        <v>0</v>
      </c>
      <c r="AB241" s="92">
        <f>IF((Valores!$C$32)*D241&gt;Valores!$F$32,Valores!$F$32,(Valores!$C$32)*D241)</f>
        <v>51.800000000000004</v>
      </c>
      <c r="AC241" s="87">
        <f t="shared" si="43"/>
        <v>0</v>
      </c>
      <c r="AD241" s="87">
        <f>IF(Valores!$C$33*D241&gt;Valores!$F$33,Valores!$F$33,Valores!$C$33*D241)</f>
        <v>43.120000000000005</v>
      </c>
      <c r="AE241" s="91">
        <v>0</v>
      </c>
      <c r="AF241" s="87">
        <f>INT(((AE241*Valores!$C$2)*100)+0.5)/100</f>
        <v>0</v>
      </c>
      <c r="AG241" s="87">
        <f>IF(Valores!$D$58*'Escala Docente'!D241&gt;Valores!$F$58,Valores!$F$58,Valores!$D$58*'Escala Docente'!D241)</f>
        <v>175.42</v>
      </c>
      <c r="AH241" s="87">
        <f>IF(Valores!$D$60*D241&gt;Valores!$F$60,Valores!$F$60,Valores!$D$60*D241)</f>
        <v>50.120000000000005</v>
      </c>
      <c r="AI241" s="111">
        <f t="shared" si="44"/>
        <v>9073.6965</v>
      </c>
      <c r="AJ241" s="103">
        <f>IF(Valores!$C$36*D241&gt;Valores!$F$36,Valores!$F$36,Valores!$C$36*D241)</f>
        <v>409.08</v>
      </c>
      <c r="AK241" s="90">
        <f>IF(Valores!$C$11*D241&gt;Valores!$F$11,Valores!$F$11,Valores!$C$11*D241)</f>
        <v>0</v>
      </c>
      <c r="AL241" s="90">
        <f>IF(Valores!$C$84*D241&gt;Valores!$C$83,Valores!$C$83,Valores!$C$84*D241)</f>
        <v>525</v>
      </c>
      <c r="AM241" s="74">
        <f t="shared" si="37"/>
        <v>490</v>
      </c>
      <c r="AN241" s="92">
        <f>IF(Valores!$C$57*D241&gt;Valores!$F$57,Valores!$F$57,Valores!$C$57*D241)</f>
        <v>73.5</v>
      </c>
      <c r="AO241" s="94">
        <f t="shared" si="45"/>
        <v>934.0799999999999</v>
      </c>
      <c r="AP241" s="112">
        <f>AI241*-Valores!$C$65</f>
        <v>-1179.580545</v>
      </c>
      <c r="AQ241" s="112">
        <f>AI241*-Valores!$C$66</f>
        <v>-45.3684825</v>
      </c>
      <c r="AR241" s="89">
        <f>AI241*-Valores!$C$67</f>
        <v>-408.31634249999996</v>
      </c>
      <c r="AS241" s="89">
        <f>AI241*-Valores!$C$68</f>
        <v>-244.9898055</v>
      </c>
      <c r="AT241" s="89">
        <f>AI241*-Valores!$C$69</f>
        <v>-27.2210895</v>
      </c>
      <c r="AU241" s="93">
        <f t="shared" si="41"/>
        <v>8374.511129999999</v>
      </c>
      <c r="AV241" s="93">
        <f t="shared" si="42"/>
        <v>8510.616577499999</v>
      </c>
      <c r="AW241" s="89">
        <f>AI241*Valores!$C$71</f>
        <v>1451.79144</v>
      </c>
      <c r="AX241" s="89">
        <f>AI241*Valores!$C$72</f>
        <v>408.31634249999996</v>
      </c>
      <c r="AY241" s="89">
        <f>AI241*Valores!$C$73</f>
        <v>90.736965</v>
      </c>
      <c r="AZ241" s="89">
        <f>AI241*Valores!$C$75</f>
        <v>317.5793775</v>
      </c>
      <c r="BA241" s="89">
        <f>AI241*Valores!$C$76</f>
        <v>54.442179</v>
      </c>
      <c r="BB241" s="89">
        <f t="shared" si="46"/>
        <v>489.979611</v>
      </c>
      <c r="BC241" s="81"/>
      <c r="BD241" s="81">
        <f t="shared" si="47"/>
        <v>28</v>
      </c>
      <c r="BE241" s="82" t="s">
        <v>4</v>
      </c>
    </row>
    <row r="242" spans="1:57" s="24" customFormat="1" ht="11.25" customHeight="1">
      <c r="A242" s="47">
        <v>241</v>
      </c>
      <c r="B242" s="47"/>
      <c r="C242" s="24" t="s">
        <v>522</v>
      </c>
      <c r="D242" s="24">
        <v>7</v>
      </c>
      <c r="E242" s="24">
        <f t="shared" si="38"/>
        <v>41</v>
      </c>
      <c r="F242" s="67" t="str">
        <f>CONCATENATE("Hora Cátedra Enseñanza Media ",D242," hs Esc Esp")</f>
        <v>Hora Cátedra Enseñanza Media 7 hs Esc Esp</v>
      </c>
      <c r="G242" s="68">
        <f t="shared" si="48"/>
        <v>553</v>
      </c>
      <c r="H242" s="69">
        <f>INT((G242*Valores!$C$2*100)+0.49)/100</f>
        <v>4229.95</v>
      </c>
      <c r="I242" s="108">
        <v>0</v>
      </c>
      <c r="J242" s="71">
        <f>INT((I242*Valores!$C$2*100)+0.5)/100</f>
        <v>0</v>
      </c>
      <c r="K242" s="98">
        <v>0</v>
      </c>
      <c r="L242" s="71">
        <f>INT((K242*Valores!$C$2*100)+0.5)/100</f>
        <v>0</v>
      </c>
      <c r="M242" s="96">
        <v>0</v>
      </c>
      <c r="N242" s="71">
        <f>INT((M242*Valores!$C$2*100)+0.5)/100</f>
        <v>0</v>
      </c>
      <c r="O242" s="71">
        <f t="shared" si="39"/>
        <v>764.7765</v>
      </c>
      <c r="P242" s="71">
        <f t="shared" si="40"/>
        <v>0</v>
      </c>
      <c r="Q242" s="97">
        <f>Valores!$C$14*D242</f>
        <v>1293.32</v>
      </c>
      <c r="R242" s="97">
        <f>IF(D242&lt;15,(Valores!$E$4*D242),Valores!$D$4)</f>
        <v>1596.63</v>
      </c>
      <c r="S242" s="71">
        <v>0</v>
      </c>
      <c r="T242" s="74">
        <f>IF(Valores!$C$45*D242&gt;Valores!$C$43,Valores!$C$43,Valores!$C$45*D242)</f>
        <v>412.58</v>
      </c>
      <c r="U242" s="97">
        <f>Valores!$C$22*D242</f>
        <v>455.98</v>
      </c>
      <c r="V242" s="71">
        <f t="shared" si="49"/>
        <v>455.98</v>
      </c>
      <c r="W242" s="71">
        <v>0</v>
      </c>
      <c r="X242" s="71">
        <v>0</v>
      </c>
      <c r="Y242" s="114">
        <v>0</v>
      </c>
      <c r="Z242" s="71">
        <f>Y242*Valores!$C$2</f>
        <v>0</v>
      </c>
      <c r="AA242" s="71">
        <v>0</v>
      </c>
      <c r="AB242" s="76">
        <f>IF((Valores!$C$32)*D242&gt;Valores!$F$32,Valores!$F$32,(Valores!$C$32)*D242)</f>
        <v>51.800000000000004</v>
      </c>
      <c r="AC242" s="71">
        <f t="shared" si="43"/>
        <v>0</v>
      </c>
      <c r="AD242" s="71">
        <f>IF(Valores!$C$33*D242&gt;Valores!$F$33,Valores!$F$33,Valores!$C$33*D242)</f>
        <v>43.120000000000005</v>
      </c>
      <c r="AE242" s="75">
        <v>94</v>
      </c>
      <c r="AF242" s="71">
        <f>INT(((AE242*Valores!$C$2)*100)+0.5)/100</f>
        <v>719.02</v>
      </c>
      <c r="AG242" s="71">
        <f>IF(Valores!$D$58*'Escala Docente'!D242&gt;Valores!$F$58,Valores!$F$58,Valores!$D$58*'Escala Docente'!D242)</f>
        <v>175.42</v>
      </c>
      <c r="AH242" s="71">
        <f>IF(Valores!$D$60*D242&gt;Valores!$F$60,Valores!$F$60,Valores!$D$60*D242)</f>
        <v>50.120000000000005</v>
      </c>
      <c r="AI242" s="110">
        <f t="shared" si="44"/>
        <v>9792.7165</v>
      </c>
      <c r="AJ242" s="97">
        <f>IF(Valores!$C$36*D242&gt;Valores!$F$36,Valores!$F$36,Valores!$C$36*D242)</f>
        <v>409.08</v>
      </c>
      <c r="AK242" s="74">
        <f>IF(Valores!$C$11*D242&gt;Valores!$F$11,Valores!$F$11,Valores!$C$11*D242)</f>
        <v>0</v>
      </c>
      <c r="AL242" s="74">
        <f>IF(Valores!$C$84*D242&gt;Valores!$C$83,Valores!$C$83,Valores!$C$84*D242)</f>
        <v>525</v>
      </c>
      <c r="AM242" s="74">
        <f t="shared" si="37"/>
        <v>490</v>
      </c>
      <c r="AN242" s="76">
        <f>IF(Valores!$C$57*D242&gt;Valores!$F$57,Valores!$F$57,Valores!$C$57*D242)</f>
        <v>73.5</v>
      </c>
      <c r="AO242" s="78">
        <f t="shared" si="45"/>
        <v>934.0799999999999</v>
      </c>
      <c r="AP242" s="57">
        <f>AI242*-Valores!$C$65</f>
        <v>-1273.053145</v>
      </c>
      <c r="AQ242" s="57">
        <f>AI242*-Valores!$C$66</f>
        <v>-48.9635825</v>
      </c>
      <c r="AR242" s="73">
        <f>AI242*-Valores!$C$67</f>
        <v>-440.6722425</v>
      </c>
      <c r="AS242" s="73">
        <f>AI242*-Valores!$C$68</f>
        <v>-264.4033455</v>
      </c>
      <c r="AT242" s="73">
        <f>AI242*-Valores!$C$69</f>
        <v>-29.378149500000003</v>
      </c>
      <c r="AU242" s="77">
        <f t="shared" si="41"/>
        <v>8964.10753</v>
      </c>
      <c r="AV242" s="77">
        <f t="shared" si="42"/>
        <v>9110.998277499999</v>
      </c>
      <c r="AW242" s="73">
        <f>AI242*Valores!$C$71</f>
        <v>1566.83464</v>
      </c>
      <c r="AX242" s="73">
        <f>AI242*Valores!$C$72</f>
        <v>440.6722425</v>
      </c>
      <c r="AY242" s="73">
        <f>AI242*Valores!$C$73</f>
        <v>97.927165</v>
      </c>
      <c r="AZ242" s="73">
        <f>AI242*Valores!$C$75</f>
        <v>342.74507750000004</v>
      </c>
      <c r="BA242" s="73">
        <f>AI242*Valores!$C$76</f>
        <v>58.756299000000006</v>
      </c>
      <c r="BB242" s="73">
        <f t="shared" si="46"/>
        <v>528.8066910000001</v>
      </c>
      <c r="BC242" s="47"/>
      <c r="BD242" s="47">
        <f t="shared" si="47"/>
        <v>28</v>
      </c>
      <c r="BE242" s="24" t="s">
        <v>4</v>
      </c>
    </row>
    <row r="243" spans="1:57" s="24" customFormat="1" ht="11.25" customHeight="1">
      <c r="A243" s="47">
        <v>242</v>
      </c>
      <c r="B243" s="47"/>
      <c r="C243" s="24" t="s">
        <v>522</v>
      </c>
      <c r="D243" s="24">
        <v>8</v>
      </c>
      <c r="E243" s="24">
        <f t="shared" si="38"/>
        <v>33</v>
      </c>
      <c r="F243" s="67" t="str">
        <f>CONCATENATE("Hora Cátedra Enseñanza Media ",D243," hs")</f>
        <v>Hora Cátedra Enseñanza Media 8 hs</v>
      </c>
      <c r="G243" s="68">
        <f t="shared" si="48"/>
        <v>632</v>
      </c>
      <c r="H243" s="69">
        <f>INT((G243*Valores!$C$2*100)+0.49)/100</f>
        <v>4834.23</v>
      </c>
      <c r="I243" s="108">
        <v>0</v>
      </c>
      <c r="J243" s="71">
        <f>INT((I243*Valores!$C$2*100)+0.5)/100</f>
        <v>0</v>
      </c>
      <c r="K243" s="98">
        <v>0</v>
      </c>
      <c r="L243" s="71">
        <f>INT((K243*Valores!$C$2*100)+0.5)/100</f>
        <v>0</v>
      </c>
      <c r="M243" s="96">
        <v>0</v>
      </c>
      <c r="N243" s="71">
        <f>INT((M243*Valores!$C$2*100)+0.5)/100</f>
        <v>0</v>
      </c>
      <c r="O243" s="71">
        <f t="shared" si="39"/>
        <v>874.0304999999998</v>
      </c>
      <c r="P243" s="71">
        <f t="shared" si="40"/>
        <v>0</v>
      </c>
      <c r="Q243" s="97">
        <f>Valores!$C$14*D243</f>
        <v>1478.08</v>
      </c>
      <c r="R243" s="97">
        <f>IF(D243&lt;15,(Valores!$E$4*D243),Valores!$D$4)</f>
        <v>1824.72</v>
      </c>
      <c r="S243" s="71">
        <v>0</v>
      </c>
      <c r="T243" s="74">
        <f>IF(Valores!$C$45*D243&gt;Valores!$C$43,Valores!$C$43,Valores!$C$45*D243)</f>
        <v>471.52</v>
      </c>
      <c r="U243" s="97">
        <f>Valores!$C$22*D243</f>
        <v>521.12</v>
      </c>
      <c r="V243" s="71">
        <f t="shared" si="49"/>
        <v>521.12</v>
      </c>
      <c r="W243" s="71">
        <v>0</v>
      </c>
      <c r="X243" s="71">
        <v>0</v>
      </c>
      <c r="Y243" s="114">
        <v>0</v>
      </c>
      <c r="Z243" s="71">
        <f>Y243*Valores!$C$2</f>
        <v>0</v>
      </c>
      <c r="AA243" s="71">
        <v>0</v>
      </c>
      <c r="AB243" s="76">
        <f>IF((Valores!$C$32)*D243&gt;Valores!$F$32,Valores!$F$32,(Valores!$C$32)*D243)</f>
        <v>59.2</v>
      </c>
      <c r="AC243" s="71">
        <f t="shared" si="43"/>
        <v>0</v>
      </c>
      <c r="AD243" s="71">
        <f>IF(Valores!$C$33*D243&gt;Valores!$F$33,Valores!$F$33,Valores!$C$33*D243)</f>
        <v>49.28</v>
      </c>
      <c r="AE243" s="75">
        <v>0</v>
      </c>
      <c r="AF243" s="71">
        <f>INT(((AE243*Valores!$C$2)*100)+0.5)/100</f>
        <v>0</v>
      </c>
      <c r="AG243" s="71">
        <f>IF(Valores!$D$58*'Escala Docente'!D243&gt;Valores!$F$58,Valores!$F$58,Valores!$D$58*'Escala Docente'!D243)</f>
        <v>200.48</v>
      </c>
      <c r="AH243" s="71">
        <f>IF(Valores!$D$60*D243&gt;Valores!$F$60,Valores!$F$60,Valores!$D$60*D243)</f>
        <v>57.28</v>
      </c>
      <c r="AI243" s="110">
        <f t="shared" si="44"/>
        <v>10369.940500000002</v>
      </c>
      <c r="AJ243" s="97">
        <f>IF(Valores!$C$36*D243&gt;Valores!$F$36,Valores!$F$36,Valores!$C$36*D243)</f>
        <v>467.52</v>
      </c>
      <c r="AK243" s="74">
        <f>IF(Valores!$C$11*D243&gt;Valores!$F$11,Valores!$F$11,Valores!$C$11*D243)</f>
        <v>0</v>
      </c>
      <c r="AL243" s="74">
        <f>IF(Valores!$C$84*D243&gt;Valores!$C$83,Valores!$C$83,Valores!$C$84*D243)</f>
        <v>600</v>
      </c>
      <c r="AM243" s="74">
        <f t="shared" si="37"/>
        <v>560</v>
      </c>
      <c r="AN243" s="76">
        <f>IF(Valores!$C$57*D243&gt;Valores!$F$57,Valores!$F$57,Valores!$C$57*D243)</f>
        <v>84</v>
      </c>
      <c r="AO243" s="78">
        <f t="shared" si="45"/>
        <v>1067.52</v>
      </c>
      <c r="AP243" s="57">
        <f>AI243*-Valores!$C$65</f>
        <v>-1348.0922650000005</v>
      </c>
      <c r="AQ243" s="57">
        <f>AI243*-Valores!$C$66</f>
        <v>-51.849702500000014</v>
      </c>
      <c r="AR243" s="73">
        <f>AI243*-Valores!$C$67</f>
        <v>-466.6473225000001</v>
      </c>
      <c r="AS243" s="73">
        <f>AI243*-Valores!$C$68</f>
        <v>-279.9883935000001</v>
      </c>
      <c r="AT243" s="73">
        <f>AI243*-Valores!$C$69</f>
        <v>-31.10982150000001</v>
      </c>
      <c r="AU243" s="77">
        <f t="shared" si="41"/>
        <v>9570.871210000001</v>
      </c>
      <c r="AV243" s="77">
        <f t="shared" si="42"/>
        <v>9726.420317500002</v>
      </c>
      <c r="AW243" s="73">
        <f>AI243*Valores!$C$71</f>
        <v>1659.1904800000004</v>
      </c>
      <c r="AX243" s="73">
        <f>AI243*Valores!$C$72</f>
        <v>466.6473225000001</v>
      </c>
      <c r="AY243" s="73">
        <f>AI243*Valores!$C$73</f>
        <v>103.69940500000003</v>
      </c>
      <c r="AZ243" s="73">
        <f>AI243*Valores!$C$75</f>
        <v>362.94791750000013</v>
      </c>
      <c r="BA243" s="73">
        <f>AI243*Valores!$C$76</f>
        <v>62.21964300000002</v>
      </c>
      <c r="BB243" s="73">
        <f t="shared" si="46"/>
        <v>559.9767870000002</v>
      </c>
      <c r="BC243" s="47"/>
      <c r="BD243" s="47">
        <f t="shared" si="47"/>
        <v>32</v>
      </c>
      <c r="BE243" s="24" t="s">
        <v>4</v>
      </c>
    </row>
    <row r="244" spans="1:57" s="24" customFormat="1" ht="11.25" customHeight="1">
      <c r="A244" s="47">
        <v>243</v>
      </c>
      <c r="B244" s="47"/>
      <c r="C244" s="24" t="s">
        <v>522</v>
      </c>
      <c r="D244" s="24">
        <v>8</v>
      </c>
      <c r="E244" s="24">
        <f t="shared" si="38"/>
        <v>41</v>
      </c>
      <c r="F244" s="67" t="str">
        <f>CONCATENATE("Hora Cátedra Enseñanza Media ",D244," hs Esc Esp")</f>
        <v>Hora Cátedra Enseñanza Media 8 hs Esc Esp</v>
      </c>
      <c r="G244" s="68">
        <f t="shared" si="48"/>
        <v>632</v>
      </c>
      <c r="H244" s="69">
        <f>INT((G244*Valores!$C$2*100)+0.49)/100</f>
        <v>4834.23</v>
      </c>
      <c r="I244" s="108">
        <v>0</v>
      </c>
      <c r="J244" s="71">
        <f>INT((I244*Valores!$C$2*100)+0.5)/100</f>
        <v>0</v>
      </c>
      <c r="K244" s="98">
        <v>0</v>
      </c>
      <c r="L244" s="71">
        <f>INT((K244*Valores!$C$2*100)+0.5)/100</f>
        <v>0</v>
      </c>
      <c r="M244" s="96">
        <v>0</v>
      </c>
      <c r="N244" s="71">
        <f>INT((M244*Valores!$C$2*100)+0.5)/100</f>
        <v>0</v>
      </c>
      <c r="O244" s="71">
        <f t="shared" si="39"/>
        <v>874.0304999999998</v>
      </c>
      <c r="P244" s="71">
        <f t="shared" si="40"/>
        <v>0</v>
      </c>
      <c r="Q244" s="97">
        <f>Valores!$C$14*D244</f>
        <v>1478.08</v>
      </c>
      <c r="R244" s="97">
        <f>IF(D244&lt;15,(Valores!$E$4*D244),Valores!$D$4)</f>
        <v>1824.72</v>
      </c>
      <c r="S244" s="71">
        <v>0</v>
      </c>
      <c r="T244" s="74">
        <f>IF(Valores!$C$45*D244&gt;Valores!$C$43,Valores!$C$43,Valores!$C$45*D244)</f>
        <v>471.52</v>
      </c>
      <c r="U244" s="97">
        <f>Valores!$C$22*D244</f>
        <v>521.12</v>
      </c>
      <c r="V244" s="71">
        <f t="shared" si="49"/>
        <v>521.12</v>
      </c>
      <c r="W244" s="71">
        <v>0</v>
      </c>
      <c r="X244" s="71">
        <v>0</v>
      </c>
      <c r="Y244" s="114">
        <v>0</v>
      </c>
      <c r="Z244" s="71">
        <f>Y244*Valores!$C$2</f>
        <v>0</v>
      </c>
      <c r="AA244" s="71">
        <v>0</v>
      </c>
      <c r="AB244" s="76">
        <f>IF((Valores!$C$32)*D244&gt;Valores!$F$32,Valores!$F$32,(Valores!$C$32)*D244)</f>
        <v>59.2</v>
      </c>
      <c r="AC244" s="71">
        <f t="shared" si="43"/>
        <v>0</v>
      </c>
      <c r="AD244" s="71">
        <f>IF(Valores!$C$33*D244&gt;Valores!$F$33,Valores!$F$33,Valores!$C$33*D244)</f>
        <v>49.28</v>
      </c>
      <c r="AE244" s="75">
        <v>94</v>
      </c>
      <c r="AF244" s="71">
        <f>INT(((AE244*Valores!$C$2)*100)+0.5)/100</f>
        <v>719.02</v>
      </c>
      <c r="AG244" s="71">
        <f>IF(Valores!$D$58*'Escala Docente'!D244&gt;Valores!$F$58,Valores!$F$58,Valores!$D$58*'Escala Docente'!D244)</f>
        <v>200.48</v>
      </c>
      <c r="AH244" s="71">
        <f>IF(Valores!$D$60*D244&gt;Valores!$F$60,Valores!$F$60,Valores!$D$60*D244)</f>
        <v>57.28</v>
      </c>
      <c r="AI244" s="110">
        <f t="shared" si="44"/>
        <v>11088.960500000003</v>
      </c>
      <c r="AJ244" s="97">
        <f>IF(Valores!$C$36*D244&gt;Valores!$F$36,Valores!$F$36,Valores!$C$36*D244)</f>
        <v>467.52</v>
      </c>
      <c r="AK244" s="74">
        <f>IF(Valores!$C$11*D244&gt;Valores!$F$11,Valores!$F$11,Valores!$C$11*D244)</f>
        <v>0</v>
      </c>
      <c r="AL244" s="74">
        <f>IF(Valores!$C$84*D244&gt;Valores!$C$83,Valores!$C$83,Valores!$C$84*D244)</f>
        <v>600</v>
      </c>
      <c r="AM244" s="74">
        <f t="shared" si="37"/>
        <v>560</v>
      </c>
      <c r="AN244" s="76">
        <f>IF(Valores!$C$57*D244&gt;Valores!$F$57,Valores!$F$57,Valores!$C$57*D244)</f>
        <v>84</v>
      </c>
      <c r="AO244" s="78">
        <f t="shared" si="45"/>
        <v>1067.52</v>
      </c>
      <c r="AP244" s="57">
        <f>AI244*-Valores!$C$65</f>
        <v>-1441.5648650000005</v>
      </c>
      <c r="AQ244" s="57">
        <f>AI244*-Valores!$C$66</f>
        <v>-55.444802500000016</v>
      </c>
      <c r="AR244" s="73">
        <f>AI244*-Valores!$C$67</f>
        <v>-499.0032225000001</v>
      </c>
      <c r="AS244" s="73">
        <f>AI244*-Valores!$C$68</f>
        <v>-299.4019335000001</v>
      </c>
      <c r="AT244" s="73">
        <f>AI244*-Valores!$C$69</f>
        <v>-33.26688150000001</v>
      </c>
      <c r="AU244" s="77">
        <f t="shared" si="41"/>
        <v>10160.467610000003</v>
      </c>
      <c r="AV244" s="77">
        <f t="shared" si="42"/>
        <v>10326.802017500004</v>
      </c>
      <c r="AW244" s="73">
        <f>AI244*Valores!$C$71</f>
        <v>1774.2336800000005</v>
      </c>
      <c r="AX244" s="73">
        <f>AI244*Valores!$C$72</f>
        <v>499.0032225000001</v>
      </c>
      <c r="AY244" s="73">
        <f>AI244*Valores!$C$73</f>
        <v>110.88960500000003</v>
      </c>
      <c r="AZ244" s="73">
        <f>AI244*Valores!$C$75</f>
        <v>388.11361750000015</v>
      </c>
      <c r="BA244" s="73">
        <f>AI244*Valores!$C$76</f>
        <v>66.53376300000002</v>
      </c>
      <c r="BB244" s="73">
        <f t="shared" si="46"/>
        <v>598.8038670000002</v>
      </c>
      <c r="BC244" s="47"/>
      <c r="BD244" s="81">
        <f t="shared" si="47"/>
        <v>32</v>
      </c>
      <c r="BE244" s="24" t="s">
        <v>4</v>
      </c>
    </row>
    <row r="245" spans="1:57" s="24" customFormat="1" ht="11.25" customHeight="1">
      <c r="A245" s="47">
        <v>244</v>
      </c>
      <c r="B245" s="47"/>
      <c r="C245" s="24" t="s">
        <v>522</v>
      </c>
      <c r="D245" s="24">
        <v>9</v>
      </c>
      <c r="E245" s="24">
        <f t="shared" si="38"/>
        <v>33</v>
      </c>
      <c r="F245" s="67" t="str">
        <f>CONCATENATE("Hora Cátedra Enseñanza Media ",D245," hs")</f>
        <v>Hora Cátedra Enseñanza Media 9 hs</v>
      </c>
      <c r="G245" s="68">
        <f t="shared" si="48"/>
        <v>711</v>
      </c>
      <c r="H245" s="69">
        <f>INT((G245*Valores!$C$2*100)+0.49)/100</f>
        <v>5438.51</v>
      </c>
      <c r="I245" s="108">
        <v>0</v>
      </c>
      <c r="J245" s="71">
        <f>INT((I245*Valores!$C$2*100)+0.5)/100</f>
        <v>0</v>
      </c>
      <c r="K245" s="98">
        <v>0</v>
      </c>
      <c r="L245" s="71">
        <f>INT((K245*Valores!$C$2*100)+0.5)/100</f>
        <v>0</v>
      </c>
      <c r="M245" s="96">
        <v>0</v>
      </c>
      <c r="N245" s="71">
        <f>INT((M245*Valores!$C$2*100)+0.5)/100</f>
        <v>0</v>
      </c>
      <c r="O245" s="71">
        <f t="shared" si="39"/>
        <v>983.2845</v>
      </c>
      <c r="P245" s="71">
        <f t="shared" si="40"/>
        <v>0</v>
      </c>
      <c r="Q245" s="97">
        <f>Valores!$C$14*D245</f>
        <v>1662.84</v>
      </c>
      <c r="R245" s="97">
        <f>IF(D245&lt;15,(Valores!$E$4*D245),Valores!$D$4)</f>
        <v>2052.81</v>
      </c>
      <c r="S245" s="71">
        <v>0</v>
      </c>
      <c r="T245" s="74">
        <f>IF(Valores!$C$45*D245&gt;Valores!$C$43,Valores!$C$43,Valores!$C$45*D245)</f>
        <v>530.46</v>
      </c>
      <c r="U245" s="97">
        <f>Valores!$C$22*D245</f>
        <v>586.26</v>
      </c>
      <c r="V245" s="71">
        <f t="shared" si="49"/>
        <v>586.26</v>
      </c>
      <c r="W245" s="71">
        <v>0</v>
      </c>
      <c r="X245" s="71">
        <v>0</v>
      </c>
      <c r="Y245" s="114">
        <v>0</v>
      </c>
      <c r="Z245" s="71">
        <f>Y245*Valores!$C$2</f>
        <v>0</v>
      </c>
      <c r="AA245" s="71">
        <v>0</v>
      </c>
      <c r="AB245" s="76">
        <f>IF((Valores!$C$32)*D245&gt;Valores!$F$32,Valores!$F$32,(Valores!$C$32)*D245)</f>
        <v>66.60000000000001</v>
      </c>
      <c r="AC245" s="71">
        <f t="shared" si="43"/>
        <v>0</v>
      </c>
      <c r="AD245" s="71">
        <f>IF(Valores!$C$33*D245&gt;Valores!$F$33,Valores!$F$33,Valores!$C$33*D245)</f>
        <v>55.44</v>
      </c>
      <c r="AE245" s="75">
        <v>0</v>
      </c>
      <c r="AF245" s="71">
        <f>INT(((AE245*Valores!$C$2)*100)+0.5)/100</f>
        <v>0</v>
      </c>
      <c r="AG245" s="71">
        <f>IF(Valores!$D$58*'Escala Docente'!D245&gt;Valores!$F$58,Valores!$F$58,Valores!$D$58*'Escala Docente'!D245)</f>
        <v>225.54</v>
      </c>
      <c r="AH245" s="71">
        <f>IF(Valores!$D$60*D245&gt;Valores!$F$60,Valores!$F$60,Valores!$D$60*D245)</f>
        <v>64.44</v>
      </c>
      <c r="AI245" s="110">
        <f t="shared" si="44"/>
        <v>11666.184500000001</v>
      </c>
      <c r="AJ245" s="97">
        <f>IF(Valores!$C$36*D245&gt;Valores!$F$36,Valores!$F$36,Valores!$C$36*D245)</f>
        <v>525.96</v>
      </c>
      <c r="AK245" s="74">
        <f>IF(Valores!$C$11*D245&gt;Valores!$F$11,Valores!$F$11,Valores!$C$11*D245)</f>
        <v>0</v>
      </c>
      <c r="AL245" s="74">
        <f>IF(Valores!$C$84*D245&gt;Valores!$C$83,Valores!$C$83,Valores!$C$84*D245)</f>
        <v>675</v>
      </c>
      <c r="AM245" s="74">
        <f t="shared" si="37"/>
        <v>630</v>
      </c>
      <c r="AN245" s="76">
        <f>IF(Valores!$C$57*D245&gt;Valores!$F$57,Valores!$F$57,Valores!$C$57*D245)</f>
        <v>94.5</v>
      </c>
      <c r="AO245" s="78">
        <f t="shared" si="45"/>
        <v>1200.96</v>
      </c>
      <c r="AP245" s="57">
        <f>AI245*-Valores!$C$65</f>
        <v>-1516.6039850000002</v>
      </c>
      <c r="AQ245" s="57">
        <f>AI245*-Valores!$C$66</f>
        <v>-58.33092250000001</v>
      </c>
      <c r="AR245" s="73">
        <f>AI245*-Valores!$C$67</f>
        <v>-524.9783025</v>
      </c>
      <c r="AS245" s="73">
        <f>AI245*-Valores!$C$68</f>
        <v>-314.9869815</v>
      </c>
      <c r="AT245" s="73">
        <f>AI245*-Valores!$C$69</f>
        <v>-34.99855350000001</v>
      </c>
      <c r="AU245" s="77">
        <f t="shared" si="41"/>
        <v>10767.231290000003</v>
      </c>
      <c r="AV245" s="77">
        <f t="shared" si="42"/>
        <v>10942.224057500003</v>
      </c>
      <c r="AW245" s="73">
        <f>AI245*Valores!$C$71</f>
        <v>1866.5895200000002</v>
      </c>
      <c r="AX245" s="73">
        <f>AI245*Valores!$C$72</f>
        <v>524.9783025</v>
      </c>
      <c r="AY245" s="73">
        <f>AI245*Valores!$C$73</f>
        <v>116.66184500000001</v>
      </c>
      <c r="AZ245" s="73">
        <f>AI245*Valores!$C$75</f>
        <v>408.31645750000007</v>
      </c>
      <c r="BA245" s="73">
        <f>AI245*Valores!$C$76</f>
        <v>69.99710700000001</v>
      </c>
      <c r="BB245" s="73">
        <f t="shared" si="46"/>
        <v>629.973963</v>
      </c>
      <c r="BC245" s="47"/>
      <c r="BD245" s="47">
        <f t="shared" si="47"/>
        <v>36</v>
      </c>
      <c r="BE245" s="24" t="s">
        <v>4</v>
      </c>
    </row>
    <row r="246" spans="1:57" s="24" customFormat="1" ht="11.25" customHeight="1">
      <c r="A246" s="81">
        <v>245</v>
      </c>
      <c r="B246" s="81" t="s">
        <v>163</v>
      </c>
      <c r="C246" s="82" t="s">
        <v>522</v>
      </c>
      <c r="D246" s="82">
        <v>9</v>
      </c>
      <c r="E246" s="82">
        <f t="shared" si="38"/>
        <v>41</v>
      </c>
      <c r="F246" s="83" t="str">
        <f>CONCATENATE("Hora Cátedra Enseñanza Media ",D246," hs Esc Esp")</f>
        <v>Hora Cátedra Enseñanza Media 9 hs Esc Esp</v>
      </c>
      <c r="G246" s="84">
        <f t="shared" si="48"/>
        <v>711</v>
      </c>
      <c r="H246" s="85">
        <f>INT((G246*Valores!$C$2*100)+0.49)/100</f>
        <v>5438.51</v>
      </c>
      <c r="I246" s="99">
        <v>0</v>
      </c>
      <c r="J246" s="87">
        <f>INT((I246*Valores!$C$2*100)+0.5)/100</f>
        <v>0</v>
      </c>
      <c r="K246" s="100">
        <v>0</v>
      </c>
      <c r="L246" s="87">
        <f>INT((K246*Valores!$C$2*100)+0.5)/100</f>
        <v>0</v>
      </c>
      <c r="M246" s="101">
        <v>0</v>
      </c>
      <c r="N246" s="87">
        <f>INT((M246*Valores!$C$2*100)+0.5)/100</f>
        <v>0</v>
      </c>
      <c r="O246" s="87">
        <f t="shared" si="39"/>
        <v>983.2845</v>
      </c>
      <c r="P246" s="87">
        <f t="shared" si="40"/>
        <v>0</v>
      </c>
      <c r="Q246" s="103">
        <f>Valores!$C$14*D246</f>
        <v>1662.84</v>
      </c>
      <c r="R246" s="103">
        <f>IF(D246&lt;15,(Valores!$E$4*D246),Valores!$D$4)</f>
        <v>2052.81</v>
      </c>
      <c r="S246" s="87">
        <v>0</v>
      </c>
      <c r="T246" s="90">
        <f>IF(Valores!$C$45*D246&gt;Valores!$C$43,Valores!$C$43,Valores!$C$45*D246)</f>
        <v>530.46</v>
      </c>
      <c r="U246" s="103">
        <f>Valores!$C$22*D246</f>
        <v>586.26</v>
      </c>
      <c r="V246" s="87">
        <f t="shared" si="49"/>
        <v>586.26</v>
      </c>
      <c r="W246" s="87">
        <v>0</v>
      </c>
      <c r="X246" s="87">
        <v>0</v>
      </c>
      <c r="Y246" s="115">
        <v>0</v>
      </c>
      <c r="Z246" s="87">
        <f>Y246*Valores!$C$2</f>
        <v>0</v>
      </c>
      <c r="AA246" s="87">
        <v>0</v>
      </c>
      <c r="AB246" s="92">
        <f>IF((Valores!$C$32)*D246&gt;Valores!$F$32,Valores!$F$32,(Valores!$C$32)*D246)</f>
        <v>66.60000000000001</v>
      </c>
      <c r="AC246" s="87">
        <f t="shared" si="43"/>
        <v>0</v>
      </c>
      <c r="AD246" s="87">
        <f>IF(Valores!$C$33*D246&gt;Valores!$F$33,Valores!$F$33,Valores!$C$33*D246)</f>
        <v>55.44</v>
      </c>
      <c r="AE246" s="91">
        <v>94</v>
      </c>
      <c r="AF246" s="87">
        <f>INT(((AE246*Valores!$C$2)*100)+0.5)/100</f>
        <v>719.02</v>
      </c>
      <c r="AG246" s="87">
        <f>IF(Valores!$D$58*'Escala Docente'!D246&gt;Valores!$F$58,Valores!$F$58,Valores!$D$58*'Escala Docente'!D246)</f>
        <v>225.54</v>
      </c>
      <c r="AH246" s="87">
        <f>IF(Valores!$D$60*D246&gt;Valores!$F$60,Valores!$F$60,Valores!$D$60*D246)</f>
        <v>64.44</v>
      </c>
      <c r="AI246" s="111">
        <f t="shared" si="44"/>
        <v>12385.204500000002</v>
      </c>
      <c r="AJ246" s="103">
        <f>IF(Valores!$C$36*D246&gt;Valores!$F$36,Valores!$F$36,Valores!$C$36*D246)</f>
        <v>525.96</v>
      </c>
      <c r="AK246" s="90">
        <f>IF(Valores!$C$11*D246&gt;Valores!$F$11,Valores!$F$11,Valores!$C$11*D246)</f>
        <v>0</v>
      </c>
      <c r="AL246" s="90">
        <f>IF(Valores!$C$84*D246&gt;Valores!$C$83,Valores!$C$83,Valores!$C$84*D246)</f>
        <v>675</v>
      </c>
      <c r="AM246" s="74">
        <f t="shared" si="37"/>
        <v>630</v>
      </c>
      <c r="AN246" s="92">
        <f>IF(Valores!$C$57*D246&gt;Valores!$F$57,Valores!$F$57,Valores!$C$57*D246)</f>
        <v>94.5</v>
      </c>
      <c r="AO246" s="94">
        <f t="shared" si="45"/>
        <v>1200.96</v>
      </c>
      <c r="AP246" s="112">
        <f>AI246*-Valores!$C$65</f>
        <v>-1610.0765850000003</v>
      </c>
      <c r="AQ246" s="112">
        <f>AI246*-Valores!$C$66</f>
        <v>-61.92602250000001</v>
      </c>
      <c r="AR246" s="89">
        <f>AI246*-Valores!$C$67</f>
        <v>-557.3342025000001</v>
      </c>
      <c r="AS246" s="89">
        <f>AI246*-Valores!$C$68</f>
        <v>-334.4005215</v>
      </c>
      <c r="AT246" s="89">
        <f>AI246*-Valores!$C$69</f>
        <v>-37.15561350000001</v>
      </c>
      <c r="AU246" s="93">
        <f t="shared" si="41"/>
        <v>11356.827690000002</v>
      </c>
      <c r="AV246" s="93">
        <f t="shared" si="42"/>
        <v>11542.605757500003</v>
      </c>
      <c r="AW246" s="89">
        <f>AI246*Valores!$C$71</f>
        <v>1981.6327200000003</v>
      </c>
      <c r="AX246" s="89">
        <f>AI246*Valores!$C$72</f>
        <v>557.3342025000001</v>
      </c>
      <c r="AY246" s="89">
        <f>AI246*Valores!$C$73</f>
        <v>123.85204500000002</v>
      </c>
      <c r="AZ246" s="89">
        <f>AI246*Valores!$C$75</f>
        <v>433.4821575000001</v>
      </c>
      <c r="BA246" s="89">
        <f>AI246*Valores!$C$76</f>
        <v>74.31122700000002</v>
      </c>
      <c r="BB246" s="89">
        <f t="shared" si="46"/>
        <v>668.801043</v>
      </c>
      <c r="BC246" s="81"/>
      <c r="BD246" s="81">
        <f t="shared" si="47"/>
        <v>36</v>
      </c>
      <c r="BE246" s="82" t="s">
        <v>4</v>
      </c>
    </row>
    <row r="247" spans="1:57" s="24" customFormat="1" ht="11.25" customHeight="1">
      <c r="A247" s="47">
        <v>246</v>
      </c>
      <c r="B247" s="47"/>
      <c r="C247" s="24" t="s">
        <v>522</v>
      </c>
      <c r="D247" s="24">
        <v>10</v>
      </c>
      <c r="E247" s="24">
        <f t="shared" si="38"/>
        <v>34</v>
      </c>
      <c r="F247" s="67" t="str">
        <f>CONCATENATE("Hora Cátedra Enseñanza Media ",D247," hs")</f>
        <v>Hora Cátedra Enseñanza Media 10 hs</v>
      </c>
      <c r="G247" s="68">
        <f t="shared" si="48"/>
        <v>790</v>
      </c>
      <c r="H247" s="69">
        <f>INT((G247*Valores!$C$2*100)+0.49)/100</f>
        <v>6042.79</v>
      </c>
      <c r="I247" s="108">
        <v>0</v>
      </c>
      <c r="J247" s="71">
        <f>INT((I247*Valores!$C$2*100)+0.5)/100</f>
        <v>0</v>
      </c>
      <c r="K247" s="98">
        <v>0</v>
      </c>
      <c r="L247" s="71">
        <f>INT((K247*Valores!$C$2*100)+0.5)/100</f>
        <v>0</v>
      </c>
      <c r="M247" s="96">
        <v>0</v>
      </c>
      <c r="N247" s="71">
        <f>INT((M247*Valores!$C$2*100)+0.5)/100</f>
        <v>0</v>
      </c>
      <c r="O247" s="71">
        <f t="shared" si="39"/>
        <v>1092.5384999999999</v>
      </c>
      <c r="P247" s="71">
        <f t="shared" si="40"/>
        <v>0</v>
      </c>
      <c r="Q247" s="97">
        <f>Valores!$C$14*D247</f>
        <v>1847.6</v>
      </c>
      <c r="R247" s="97">
        <f>IF(D247&lt;15,(Valores!$E$4*D247),Valores!$D$4)</f>
        <v>2280.9</v>
      </c>
      <c r="S247" s="71">
        <v>0</v>
      </c>
      <c r="T247" s="74">
        <f>IF(Valores!$C$45*D247&gt;Valores!$C$43,Valores!$C$43,Valores!$C$45*D247)</f>
        <v>589.4</v>
      </c>
      <c r="U247" s="97">
        <f>Valores!$C$22*D247</f>
        <v>651.4</v>
      </c>
      <c r="V247" s="71">
        <f t="shared" si="49"/>
        <v>651.4</v>
      </c>
      <c r="W247" s="71">
        <v>0</v>
      </c>
      <c r="X247" s="71">
        <v>0</v>
      </c>
      <c r="Y247" s="114">
        <v>0</v>
      </c>
      <c r="Z247" s="71">
        <f>Y247*Valores!$C$2</f>
        <v>0</v>
      </c>
      <c r="AA247" s="71">
        <v>0</v>
      </c>
      <c r="AB247" s="76">
        <f>IF((Valores!$C$32)*D247&gt;Valores!$F$32,Valores!$F$32,(Valores!$C$32)*D247)</f>
        <v>74</v>
      </c>
      <c r="AC247" s="71">
        <f t="shared" si="43"/>
        <v>0</v>
      </c>
      <c r="AD247" s="71">
        <f>IF(Valores!$C$33*D247&gt;Valores!$F$33,Valores!$F$33,Valores!$C$33*D247)</f>
        <v>61.6</v>
      </c>
      <c r="AE247" s="75">
        <v>0</v>
      </c>
      <c r="AF247" s="71">
        <f>INT(((AE247*Valores!$C$2)*100)+0.5)/100</f>
        <v>0</v>
      </c>
      <c r="AG247" s="71">
        <f>IF(Valores!$D$58*'Escala Docente'!D247&gt;Valores!$F$58,Valores!$F$58,Valores!$D$58*'Escala Docente'!D247)</f>
        <v>250.6</v>
      </c>
      <c r="AH247" s="71">
        <f>IF(Valores!$D$60*D247&gt;Valores!$F$60,Valores!$F$60,Valores!$D$60*D247)</f>
        <v>71.6</v>
      </c>
      <c r="AI247" s="110">
        <f t="shared" si="44"/>
        <v>12962.4285</v>
      </c>
      <c r="AJ247" s="97">
        <f>IF(Valores!$C$36*D247&gt;Valores!$F$36,Valores!$F$36,Valores!$C$36*D247)</f>
        <v>584.4</v>
      </c>
      <c r="AK247" s="74">
        <f>IF(Valores!$C$11*D247&gt;Valores!$F$11,Valores!$F$11,Valores!$C$11*D247)</f>
        <v>0</v>
      </c>
      <c r="AL247" s="74">
        <f>IF(Valores!$C$84*D247&gt;Valores!$C$83,Valores!$C$83,Valores!$C$84*D247)</f>
        <v>750</v>
      </c>
      <c r="AM247" s="74">
        <f t="shared" si="37"/>
        <v>700</v>
      </c>
      <c r="AN247" s="76">
        <f>IF(Valores!$C$57*D247&gt;Valores!$F$57,Valores!$F$57,Valores!$C$57*D247)</f>
        <v>105</v>
      </c>
      <c r="AO247" s="78">
        <f t="shared" si="45"/>
        <v>1334.4</v>
      </c>
      <c r="AP247" s="57">
        <f>AI247*-Valores!$C$65</f>
        <v>-1685.1157050000002</v>
      </c>
      <c r="AQ247" s="57">
        <f>AI247*-Valores!$C$66</f>
        <v>-64.81214250000001</v>
      </c>
      <c r="AR247" s="73">
        <f>AI247*-Valores!$C$67</f>
        <v>-583.3092825</v>
      </c>
      <c r="AS247" s="73">
        <f>AI247*-Valores!$C$68</f>
        <v>-349.9855695</v>
      </c>
      <c r="AT247" s="73">
        <f>AI247*-Valores!$C$69</f>
        <v>-38.8872855</v>
      </c>
      <c r="AU247" s="77">
        <f t="shared" si="41"/>
        <v>11963.591369999998</v>
      </c>
      <c r="AV247" s="77">
        <f t="shared" si="42"/>
        <v>12158.027797499997</v>
      </c>
      <c r="AW247" s="73">
        <f>AI247*Valores!$C$71</f>
        <v>2073.9885600000002</v>
      </c>
      <c r="AX247" s="73">
        <f>AI247*Valores!$C$72</f>
        <v>583.3092825</v>
      </c>
      <c r="AY247" s="73">
        <f>AI247*Valores!$C$73</f>
        <v>129.62428500000001</v>
      </c>
      <c r="AZ247" s="73">
        <f>AI247*Valores!$C$75</f>
        <v>453.68499750000007</v>
      </c>
      <c r="BA247" s="73">
        <f>AI247*Valores!$C$76</f>
        <v>77.774571</v>
      </c>
      <c r="BB247" s="73">
        <f t="shared" si="46"/>
        <v>699.9711390000001</v>
      </c>
      <c r="BC247" s="47"/>
      <c r="BD247" s="47">
        <f t="shared" si="47"/>
        <v>40</v>
      </c>
      <c r="BE247" s="24" t="s">
        <v>4</v>
      </c>
    </row>
    <row r="248" spans="1:57" s="24" customFormat="1" ht="11.25" customHeight="1">
      <c r="A248" s="47">
        <v>247</v>
      </c>
      <c r="B248" s="47"/>
      <c r="C248" s="24" t="s">
        <v>522</v>
      </c>
      <c r="D248" s="24">
        <v>10</v>
      </c>
      <c r="E248" s="24">
        <f t="shared" si="38"/>
        <v>42</v>
      </c>
      <c r="F248" s="67" t="str">
        <f>CONCATENATE("Hora Cátedra Enseñanza Media ",D248," hs Esc Esp")</f>
        <v>Hora Cátedra Enseñanza Media 10 hs Esc Esp</v>
      </c>
      <c r="G248" s="68">
        <f t="shared" si="48"/>
        <v>790</v>
      </c>
      <c r="H248" s="69">
        <f>INT((G248*Valores!$C$2*100)+0.49)/100</f>
        <v>6042.79</v>
      </c>
      <c r="I248" s="108">
        <v>0</v>
      </c>
      <c r="J248" s="71">
        <f>INT((I248*Valores!$C$2*100)+0.5)/100</f>
        <v>0</v>
      </c>
      <c r="K248" s="98">
        <v>0</v>
      </c>
      <c r="L248" s="71">
        <f>INT((K248*Valores!$C$2*100)+0.5)/100</f>
        <v>0</v>
      </c>
      <c r="M248" s="96">
        <v>0</v>
      </c>
      <c r="N248" s="71">
        <f>INT((M248*Valores!$C$2*100)+0.5)/100</f>
        <v>0</v>
      </c>
      <c r="O248" s="71">
        <f t="shared" si="39"/>
        <v>1092.5384999999999</v>
      </c>
      <c r="P248" s="71">
        <f t="shared" si="40"/>
        <v>0</v>
      </c>
      <c r="Q248" s="97">
        <f>Valores!$C$14*D248</f>
        <v>1847.6</v>
      </c>
      <c r="R248" s="97">
        <f>IF(D248&lt;15,(Valores!$E$4*D248),Valores!$D$4)</f>
        <v>2280.9</v>
      </c>
      <c r="S248" s="71">
        <v>0</v>
      </c>
      <c r="T248" s="74">
        <f>IF(Valores!$C$45*D248&gt;Valores!$C$43,Valores!$C$43,Valores!$C$45*D248)</f>
        <v>589.4</v>
      </c>
      <c r="U248" s="97">
        <f>Valores!$C$22*D248</f>
        <v>651.4</v>
      </c>
      <c r="V248" s="71">
        <f t="shared" si="49"/>
        <v>651.4</v>
      </c>
      <c r="W248" s="71">
        <v>0</v>
      </c>
      <c r="X248" s="71">
        <v>0</v>
      </c>
      <c r="Y248" s="114">
        <v>0</v>
      </c>
      <c r="Z248" s="71">
        <f>Y248*Valores!$C$2</f>
        <v>0</v>
      </c>
      <c r="AA248" s="71">
        <v>0</v>
      </c>
      <c r="AB248" s="76">
        <f>IF((Valores!$C$32)*D248&gt;Valores!$F$32,Valores!$F$32,(Valores!$C$32)*D248)</f>
        <v>74</v>
      </c>
      <c r="AC248" s="71">
        <f t="shared" si="43"/>
        <v>0</v>
      </c>
      <c r="AD248" s="71">
        <f>IF(Valores!$C$33*D248&gt;Valores!$F$33,Valores!$F$33,Valores!$C$33*D248)</f>
        <v>61.6</v>
      </c>
      <c r="AE248" s="75">
        <v>94</v>
      </c>
      <c r="AF248" s="71">
        <f>INT(((AE248*Valores!$C$2)*100)+0.5)/100</f>
        <v>719.02</v>
      </c>
      <c r="AG248" s="71">
        <f>IF(Valores!$D$58*'Escala Docente'!D248&gt;Valores!$F$58,Valores!$F$58,Valores!$D$58*'Escala Docente'!D248)</f>
        <v>250.6</v>
      </c>
      <c r="AH248" s="71">
        <f>IF(Valores!$D$60*D248&gt;Valores!$F$60,Valores!$F$60,Valores!$D$60*D248)</f>
        <v>71.6</v>
      </c>
      <c r="AI248" s="110">
        <f t="shared" si="44"/>
        <v>13681.4485</v>
      </c>
      <c r="AJ248" s="97">
        <f>IF(Valores!$C$36*D248&gt;Valores!$F$36,Valores!$F$36,Valores!$C$36*D248)</f>
        <v>584.4</v>
      </c>
      <c r="AK248" s="74">
        <f>IF(Valores!$C$11*D248&gt;Valores!$F$11,Valores!$F$11,Valores!$C$11*D248)</f>
        <v>0</v>
      </c>
      <c r="AL248" s="74">
        <f>IF(Valores!$C$84*D248&gt;Valores!$C$83,Valores!$C$83,Valores!$C$84*D248)</f>
        <v>750</v>
      </c>
      <c r="AM248" s="74">
        <f t="shared" si="37"/>
        <v>700</v>
      </c>
      <c r="AN248" s="76">
        <f>IF(Valores!$C$57*D248&gt;Valores!$F$57,Valores!$F$57,Valores!$C$57*D248)</f>
        <v>105</v>
      </c>
      <c r="AO248" s="78">
        <f t="shared" si="45"/>
        <v>1334.4</v>
      </c>
      <c r="AP248" s="57">
        <f>AI248*-Valores!$C$65</f>
        <v>-1778.5883050000002</v>
      </c>
      <c r="AQ248" s="57">
        <f>AI248*-Valores!$C$66</f>
        <v>-68.40724250000001</v>
      </c>
      <c r="AR248" s="73">
        <f>AI248*-Valores!$C$67</f>
        <v>-615.6651825</v>
      </c>
      <c r="AS248" s="73">
        <f>AI248*-Valores!$C$68</f>
        <v>-369.3991095</v>
      </c>
      <c r="AT248" s="73">
        <f>AI248*-Valores!$C$69</f>
        <v>-41.0443455</v>
      </c>
      <c r="AU248" s="77">
        <f t="shared" si="41"/>
        <v>12553.18777</v>
      </c>
      <c r="AV248" s="77">
        <f t="shared" si="42"/>
        <v>12758.409497499999</v>
      </c>
      <c r="AW248" s="73">
        <f>AI248*Valores!$C$71</f>
        <v>2189.0317600000003</v>
      </c>
      <c r="AX248" s="73">
        <f>AI248*Valores!$C$72</f>
        <v>615.6651825</v>
      </c>
      <c r="AY248" s="73">
        <f>AI248*Valores!$C$73</f>
        <v>136.81448500000002</v>
      </c>
      <c r="AZ248" s="73">
        <f>AI248*Valores!$C$75</f>
        <v>478.8506975000001</v>
      </c>
      <c r="BA248" s="73">
        <f>AI248*Valores!$C$76</f>
        <v>82.088691</v>
      </c>
      <c r="BB248" s="73">
        <f t="shared" si="46"/>
        <v>738.7982190000001</v>
      </c>
      <c r="BC248" s="47"/>
      <c r="BD248" s="47">
        <f t="shared" si="47"/>
        <v>40</v>
      </c>
      <c r="BE248" s="24" t="s">
        <v>4</v>
      </c>
    </row>
    <row r="249" spans="1:57" s="24" customFormat="1" ht="11.25" customHeight="1">
      <c r="A249" s="47">
        <v>248</v>
      </c>
      <c r="B249" s="47"/>
      <c r="C249" s="24" t="s">
        <v>522</v>
      </c>
      <c r="D249" s="24">
        <v>11</v>
      </c>
      <c r="E249" s="24">
        <f t="shared" si="38"/>
        <v>34</v>
      </c>
      <c r="F249" s="67" t="str">
        <f>CONCATENATE("Hora Cátedra Enseñanza Media ",D249," hs")</f>
        <v>Hora Cátedra Enseñanza Media 11 hs</v>
      </c>
      <c r="G249" s="68">
        <f t="shared" si="48"/>
        <v>869</v>
      </c>
      <c r="H249" s="69">
        <f>INT((G249*Valores!$C$2*100)+0.49)/100</f>
        <v>6647.07</v>
      </c>
      <c r="I249" s="108">
        <v>0</v>
      </c>
      <c r="J249" s="71">
        <f>INT((I249*Valores!$C$2*100)+0.5)/100</f>
        <v>0</v>
      </c>
      <c r="K249" s="98">
        <v>0</v>
      </c>
      <c r="L249" s="71">
        <f>INT((K249*Valores!$C$2*100)+0.5)/100</f>
        <v>0</v>
      </c>
      <c r="M249" s="96">
        <v>0</v>
      </c>
      <c r="N249" s="71">
        <f>INT((M249*Valores!$C$2*100)+0.5)/100</f>
        <v>0</v>
      </c>
      <c r="O249" s="71">
        <f t="shared" si="39"/>
        <v>1201.7925</v>
      </c>
      <c r="P249" s="71">
        <f t="shared" si="40"/>
        <v>0</v>
      </c>
      <c r="Q249" s="97">
        <f>Valores!$C$14*D249</f>
        <v>2032.36</v>
      </c>
      <c r="R249" s="97">
        <f>IF(D249&lt;15,(Valores!$E$4*D249),Valores!$D$4)</f>
        <v>2508.9900000000002</v>
      </c>
      <c r="S249" s="71">
        <v>0</v>
      </c>
      <c r="T249" s="74">
        <f>IF(Valores!$C$45*D249&gt;Valores!$C$43,Valores!$C$43,Valores!$C$45*D249)</f>
        <v>648.3399999999999</v>
      </c>
      <c r="U249" s="97">
        <f>Valores!$C$22*D249</f>
        <v>716.54</v>
      </c>
      <c r="V249" s="71">
        <f t="shared" si="49"/>
        <v>716.54</v>
      </c>
      <c r="W249" s="71">
        <v>0</v>
      </c>
      <c r="X249" s="71">
        <v>0</v>
      </c>
      <c r="Y249" s="114">
        <v>0</v>
      </c>
      <c r="Z249" s="71">
        <f>Y249*Valores!$C$2</f>
        <v>0</v>
      </c>
      <c r="AA249" s="71">
        <v>0</v>
      </c>
      <c r="AB249" s="76">
        <f>IF((Valores!$C$32)*D249&gt;Valores!$F$32,Valores!$F$32,(Valores!$C$32)*D249)</f>
        <v>81.4</v>
      </c>
      <c r="AC249" s="71">
        <f t="shared" si="43"/>
        <v>0</v>
      </c>
      <c r="AD249" s="71">
        <f>IF(Valores!$C$33*D249&gt;Valores!$F$33,Valores!$F$33,Valores!$C$33*D249)</f>
        <v>67.76</v>
      </c>
      <c r="AE249" s="75">
        <v>0</v>
      </c>
      <c r="AF249" s="71">
        <f>INT(((AE249*Valores!$C$2)*100)+0.5)/100</f>
        <v>0</v>
      </c>
      <c r="AG249" s="71">
        <f>IF(Valores!$D$58*'Escala Docente'!D249&gt;Valores!$F$58,Valores!$F$58,Valores!$D$58*'Escala Docente'!D249)</f>
        <v>275.65999999999997</v>
      </c>
      <c r="AH249" s="71">
        <f>IF(Valores!$D$60*D249&gt;Valores!$F$60,Valores!$F$60,Valores!$D$60*D249)</f>
        <v>78.76</v>
      </c>
      <c r="AI249" s="110">
        <f t="shared" si="44"/>
        <v>14258.672499999999</v>
      </c>
      <c r="AJ249" s="97">
        <f>IF(Valores!$C$36*D249&gt;Valores!$F$36,Valores!$F$36,Valores!$C$36*D249)</f>
        <v>642.8399999999999</v>
      </c>
      <c r="AK249" s="74">
        <f>IF(Valores!$C$11*D249&gt;Valores!$F$11,Valores!$F$11,Valores!$C$11*D249)</f>
        <v>0</v>
      </c>
      <c r="AL249" s="74">
        <f>IF(Valores!$C$84*D249&gt;Valores!$C$83,Valores!$C$83,Valores!$C$84*D249)</f>
        <v>825</v>
      </c>
      <c r="AM249" s="74">
        <f t="shared" si="37"/>
        <v>770</v>
      </c>
      <c r="AN249" s="76">
        <f>IF(Valores!$C$57*D249&gt;Valores!$F$57,Valores!$F$57,Valores!$C$57*D249)</f>
        <v>115.5</v>
      </c>
      <c r="AO249" s="78">
        <f t="shared" si="45"/>
        <v>1467.84</v>
      </c>
      <c r="AP249" s="57">
        <f>AI249*-Valores!$C$65</f>
        <v>-1853.627425</v>
      </c>
      <c r="AQ249" s="57">
        <f>AI249*-Valores!$C$66</f>
        <v>-71.2933625</v>
      </c>
      <c r="AR249" s="73">
        <f>AI249*-Valores!$C$67</f>
        <v>-641.6402625</v>
      </c>
      <c r="AS249" s="73">
        <f>AI249*-Valores!$C$68</f>
        <v>-384.9841575</v>
      </c>
      <c r="AT249" s="73">
        <f>AI249*-Valores!$C$69</f>
        <v>-42.776017499999995</v>
      </c>
      <c r="AU249" s="77">
        <f t="shared" si="41"/>
        <v>13159.951449999999</v>
      </c>
      <c r="AV249" s="77">
        <f t="shared" si="42"/>
        <v>13373.831537499998</v>
      </c>
      <c r="AW249" s="73">
        <f>AI249*Valores!$C$71</f>
        <v>2281.3876</v>
      </c>
      <c r="AX249" s="73">
        <f>AI249*Valores!$C$72</f>
        <v>641.6402625</v>
      </c>
      <c r="AY249" s="73">
        <f>AI249*Valores!$C$73</f>
        <v>142.586725</v>
      </c>
      <c r="AZ249" s="73">
        <f>AI249*Valores!$C$75</f>
        <v>499.0535375</v>
      </c>
      <c r="BA249" s="73">
        <f>AI249*Valores!$C$76</f>
        <v>85.55203499999999</v>
      </c>
      <c r="BB249" s="73">
        <f t="shared" si="46"/>
        <v>769.968315</v>
      </c>
      <c r="BC249" s="47"/>
      <c r="BD249" s="81">
        <f t="shared" si="47"/>
        <v>44</v>
      </c>
      <c r="BE249" s="24" t="s">
        <v>4</v>
      </c>
    </row>
    <row r="250" spans="1:57" s="24" customFormat="1" ht="11.25" customHeight="1">
      <c r="A250" s="47">
        <v>249</v>
      </c>
      <c r="B250" s="47"/>
      <c r="C250" s="24" t="s">
        <v>522</v>
      </c>
      <c r="D250" s="24">
        <v>11</v>
      </c>
      <c r="E250" s="24">
        <f t="shared" si="38"/>
        <v>42</v>
      </c>
      <c r="F250" s="67" t="str">
        <f>CONCATENATE("Hora Cátedra Enseñanza Media ",D250," hs Esc Esp")</f>
        <v>Hora Cátedra Enseñanza Media 11 hs Esc Esp</v>
      </c>
      <c r="G250" s="68">
        <f t="shared" si="48"/>
        <v>869</v>
      </c>
      <c r="H250" s="69">
        <f>INT((G250*Valores!$C$2*100)+0.49)/100</f>
        <v>6647.07</v>
      </c>
      <c r="I250" s="108">
        <v>0</v>
      </c>
      <c r="J250" s="71">
        <f>INT((I250*Valores!$C$2*100)+0.5)/100</f>
        <v>0</v>
      </c>
      <c r="K250" s="98">
        <v>0</v>
      </c>
      <c r="L250" s="71">
        <f>INT((K250*Valores!$C$2*100)+0.5)/100</f>
        <v>0</v>
      </c>
      <c r="M250" s="96">
        <v>0</v>
      </c>
      <c r="N250" s="71">
        <f>INT((M250*Valores!$C$2*100)+0.5)/100</f>
        <v>0</v>
      </c>
      <c r="O250" s="71">
        <f t="shared" si="39"/>
        <v>1201.7925</v>
      </c>
      <c r="P250" s="71">
        <f t="shared" si="40"/>
        <v>0</v>
      </c>
      <c r="Q250" s="97">
        <f>Valores!$C$14*D250</f>
        <v>2032.36</v>
      </c>
      <c r="R250" s="97">
        <f>IF(D250&lt;15,(Valores!$E$4*D250),Valores!$D$4)</f>
        <v>2508.9900000000002</v>
      </c>
      <c r="S250" s="71">
        <v>0</v>
      </c>
      <c r="T250" s="74">
        <f>IF(Valores!$C$45*D250&gt;Valores!$C$43,Valores!$C$43,Valores!$C$45*D250)</f>
        <v>648.3399999999999</v>
      </c>
      <c r="U250" s="97">
        <f>Valores!$C$22*D250</f>
        <v>716.54</v>
      </c>
      <c r="V250" s="71">
        <f t="shared" si="49"/>
        <v>716.54</v>
      </c>
      <c r="W250" s="71">
        <v>0</v>
      </c>
      <c r="X250" s="71">
        <v>0</v>
      </c>
      <c r="Y250" s="114">
        <v>0</v>
      </c>
      <c r="Z250" s="71">
        <f>Y250*Valores!$C$2</f>
        <v>0</v>
      </c>
      <c r="AA250" s="71">
        <v>0</v>
      </c>
      <c r="AB250" s="76">
        <f>IF((Valores!$C$32)*D250&gt;Valores!$F$32,Valores!$F$32,(Valores!$C$32)*D250)</f>
        <v>81.4</v>
      </c>
      <c r="AC250" s="71">
        <f t="shared" si="43"/>
        <v>0</v>
      </c>
      <c r="AD250" s="71">
        <f>IF(Valores!$C$33*D250&gt;Valores!$F$33,Valores!$F$33,Valores!$C$33*D250)</f>
        <v>67.76</v>
      </c>
      <c r="AE250" s="75">
        <v>94</v>
      </c>
      <c r="AF250" s="71">
        <f>INT(((AE250*Valores!$C$2)*100)+0.5)/100</f>
        <v>719.02</v>
      </c>
      <c r="AG250" s="71">
        <f>IF(Valores!$D$58*'Escala Docente'!D250&gt;Valores!$F$58,Valores!$F$58,Valores!$D$58*'Escala Docente'!D250)</f>
        <v>275.65999999999997</v>
      </c>
      <c r="AH250" s="71">
        <f>IF(Valores!$D$60*D250&gt;Valores!$F$60,Valores!$F$60,Valores!$D$60*D250)</f>
        <v>78.76</v>
      </c>
      <c r="AI250" s="110">
        <f t="shared" si="44"/>
        <v>14977.6925</v>
      </c>
      <c r="AJ250" s="97">
        <f>IF(Valores!$C$36*D250&gt;Valores!$F$36,Valores!$F$36,Valores!$C$36*D250)</f>
        <v>642.8399999999999</v>
      </c>
      <c r="AK250" s="74">
        <f>IF(Valores!$C$11*D250&gt;Valores!$F$11,Valores!$F$11,Valores!$C$11*D250)</f>
        <v>0</v>
      </c>
      <c r="AL250" s="74">
        <f>IF(Valores!$C$84*D250&gt;Valores!$C$83,Valores!$C$83,Valores!$C$84*D250)</f>
        <v>825</v>
      </c>
      <c r="AM250" s="74">
        <f t="shared" si="37"/>
        <v>770</v>
      </c>
      <c r="AN250" s="76">
        <f>IF(Valores!$C$57*D250&gt;Valores!$F$57,Valores!$F$57,Valores!$C$57*D250)</f>
        <v>115.5</v>
      </c>
      <c r="AO250" s="78">
        <f t="shared" si="45"/>
        <v>1467.84</v>
      </c>
      <c r="AP250" s="57">
        <f>AI250*-Valores!$C$65</f>
        <v>-1947.100025</v>
      </c>
      <c r="AQ250" s="57">
        <f>AI250*-Valores!$C$66</f>
        <v>-74.8884625</v>
      </c>
      <c r="AR250" s="73">
        <f>AI250*-Valores!$C$67</f>
        <v>-673.9961625</v>
      </c>
      <c r="AS250" s="73">
        <f>AI250*-Valores!$C$68</f>
        <v>-404.3976975</v>
      </c>
      <c r="AT250" s="73">
        <f>AI250*-Valores!$C$69</f>
        <v>-44.933077499999996</v>
      </c>
      <c r="AU250" s="77">
        <f t="shared" si="41"/>
        <v>13749.547849999999</v>
      </c>
      <c r="AV250" s="77">
        <f t="shared" si="42"/>
        <v>13974.213237499998</v>
      </c>
      <c r="AW250" s="73">
        <f>AI250*Valores!$C$71</f>
        <v>2396.4308</v>
      </c>
      <c r="AX250" s="73">
        <f>AI250*Valores!$C$72</f>
        <v>673.9961625</v>
      </c>
      <c r="AY250" s="73">
        <f>AI250*Valores!$C$73</f>
        <v>149.776925</v>
      </c>
      <c r="AZ250" s="73">
        <f>AI250*Valores!$C$75</f>
        <v>524.2192375000001</v>
      </c>
      <c r="BA250" s="73">
        <f>AI250*Valores!$C$76</f>
        <v>89.86615499999999</v>
      </c>
      <c r="BB250" s="73">
        <f t="shared" si="46"/>
        <v>808.795395</v>
      </c>
      <c r="BC250" s="47"/>
      <c r="BD250" s="47">
        <f t="shared" si="47"/>
        <v>44</v>
      </c>
      <c r="BE250" s="24" t="s">
        <v>4</v>
      </c>
    </row>
    <row r="251" spans="1:57" s="24" customFormat="1" ht="11.25" customHeight="1">
      <c r="A251" s="81">
        <v>250</v>
      </c>
      <c r="B251" s="81" t="s">
        <v>163</v>
      </c>
      <c r="C251" s="82" t="s">
        <v>522</v>
      </c>
      <c r="D251" s="82">
        <v>12</v>
      </c>
      <c r="E251" s="82">
        <f t="shared" si="38"/>
        <v>34</v>
      </c>
      <c r="F251" s="83" t="str">
        <f>CONCATENATE("Hora Cátedra Enseñanza Media ",D251," hs")</f>
        <v>Hora Cátedra Enseñanza Media 12 hs</v>
      </c>
      <c r="G251" s="84">
        <f t="shared" si="48"/>
        <v>948</v>
      </c>
      <c r="H251" s="85">
        <f>INT((G251*Valores!$C$2*100)+0.49)/100</f>
        <v>7251.35</v>
      </c>
      <c r="I251" s="99">
        <v>0</v>
      </c>
      <c r="J251" s="87">
        <f>INT((I251*Valores!$C$2*100)+0.5)/100</f>
        <v>0</v>
      </c>
      <c r="K251" s="100">
        <v>0</v>
      </c>
      <c r="L251" s="87">
        <f>INT((K251*Valores!$C$2*100)+0.5)/100</f>
        <v>0</v>
      </c>
      <c r="M251" s="101">
        <v>0</v>
      </c>
      <c r="N251" s="87">
        <f>INT((M251*Valores!$C$2*100)+0.5)/100</f>
        <v>0</v>
      </c>
      <c r="O251" s="87">
        <f t="shared" si="39"/>
        <v>1311.0465000000002</v>
      </c>
      <c r="P251" s="87">
        <f t="shared" si="40"/>
        <v>0</v>
      </c>
      <c r="Q251" s="103">
        <f>Valores!$C$14*D251</f>
        <v>2217.12</v>
      </c>
      <c r="R251" s="103">
        <f>IF(D251&lt;15,(Valores!$E$4*D251),Valores!$D$4)</f>
        <v>2737.08</v>
      </c>
      <c r="S251" s="87">
        <v>0</v>
      </c>
      <c r="T251" s="90">
        <f>IF(Valores!$C$45*D251&gt;Valores!$C$43,Valores!$C$43,Valores!$C$45*D251)</f>
        <v>707.28</v>
      </c>
      <c r="U251" s="103">
        <f>Valores!$C$22*D251</f>
        <v>781.6800000000001</v>
      </c>
      <c r="V251" s="87">
        <f t="shared" si="49"/>
        <v>781.6800000000001</v>
      </c>
      <c r="W251" s="87">
        <v>0</v>
      </c>
      <c r="X251" s="87">
        <v>0</v>
      </c>
      <c r="Y251" s="115">
        <v>0</v>
      </c>
      <c r="Z251" s="87">
        <f>Y251*Valores!$C$2</f>
        <v>0</v>
      </c>
      <c r="AA251" s="87">
        <v>0</v>
      </c>
      <c r="AB251" s="92">
        <f>IF((Valores!$C$32)*D251&gt;Valores!$F$32,Valores!$F$32,(Valores!$C$32)*D251)</f>
        <v>88.80000000000001</v>
      </c>
      <c r="AC251" s="87">
        <f t="shared" si="43"/>
        <v>0</v>
      </c>
      <c r="AD251" s="87">
        <f>IF(Valores!$C$33*D251&gt;Valores!$F$33,Valores!$F$33,Valores!$C$33*D251)</f>
        <v>73.92</v>
      </c>
      <c r="AE251" s="91">
        <v>0</v>
      </c>
      <c r="AF251" s="87">
        <f>INT(((AE251*Valores!$C$2)*100)+0.5)/100</f>
        <v>0</v>
      </c>
      <c r="AG251" s="87">
        <f>IF(Valores!$D$58*'Escala Docente'!D251&gt;Valores!$F$58,Valores!$F$58,Valores!$D$58*'Escala Docente'!D251)</f>
        <v>300.71999999999997</v>
      </c>
      <c r="AH251" s="87">
        <f>IF(Valores!$D$60*D251&gt;Valores!$F$60,Valores!$F$60,Valores!$D$60*D251)</f>
        <v>85.92</v>
      </c>
      <c r="AI251" s="111">
        <f t="shared" si="44"/>
        <v>15554.916500000001</v>
      </c>
      <c r="AJ251" s="103">
        <f>IF(Valores!$C$36*D251&gt;Valores!$F$36,Valores!$F$36,Valores!$C$36*D251)</f>
        <v>701.28</v>
      </c>
      <c r="AK251" s="90">
        <f>IF(Valores!$C$11*D251&gt;Valores!$F$11,Valores!$F$11,Valores!$C$11*D251)</f>
        <v>0</v>
      </c>
      <c r="AL251" s="90">
        <f>IF(Valores!$C$84*D251&gt;Valores!$C$83,Valores!$C$83,Valores!$C$84*D251)</f>
        <v>900</v>
      </c>
      <c r="AM251" s="74">
        <f t="shared" si="37"/>
        <v>840</v>
      </c>
      <c r="AN251" s="92">
        <f>IF(Valores!$C$57*D251&gt;Valores!$F$57,Valores!$F$57,Valores!$C$57*D251)</f>
        <v>126</v>
      </c>
      <c r="AO251" s="94">
        <f t="shared" si="45"/>
        <v>1601.28</v>
      </c>
      <c r="AP251" s="112">
        <f>AI251*-Valores!$C$65</f>
        <v>-2022.1391450000003</v>
      </c>
      <c r="AQ251" s="112">
        <f>AI251*-Valores!$C$66</f>
        <v>-77.77458250000001</v>
      </c>
      <c r="AR251" s="89">
        <f>AI251*-Valores!$C$67</f>
        <v>-699.9712425</v>
      </c>
      <c r="AS251" s="89">
        <f>AI251*-Valores!$C$68</f>
        <v>-419.9827455</v>
      </c>
      <c r="AT251" s="89">
        <f>AI251*-Valores!$C$69</f>
        <v>-46.664749500000006</v>
      </c>
      <c r="AU251" s="93">
        <f t="shared" si="41"/>
        <v>14356.311530000003</v>
      </c>
      <c r="AV251" s="93">
        <f t="shared" si="42"/>
        <v>14589.635277500001</v>
      </c>
      <c r="AW251" s="89">
        <f>AI251*Valores!$C$71</f>
        <v>2488.7866400000003</v>
      </c>
      <c r="AX251" s="89">
        <f>AI251*Valores!$C$72</f>
        <v>699.9712425</v>
      </c>
      <c r="AY251" s="89">
        <f>AI251*Valores!$C$73</f>
        <v>155.54916500000002</v>
      </c>
      <c r="AZ251" s="89">
        <f>AI251*Valores!$C$75</f>
        <v>544.4220775000001</v>
      </c>
      <c r="BA251" s="89">
        <f>AI251*Valores!$C$76</f>
        <v>93.32949900000001</v>
      </c>
      <c r="BB251" s="89">
        <f t="shared" si="46"/>
        <v>839.9654910000002</v>
      </c>
      <c r="BC251" s="81"/>
      <c r="BD251" s="81">
        <f t="shared" si="47"/>
        <v>48</v>
      </c>
      <c r="BE251" s="82" t="s">
        <v>4</v>
      </c>
    </row>
    <row r="252" spans="1:57" s="24" customFormat="1" ht="11.25" customHeight="1">
      <c r="A252" s="47">
        <v>251</v>
      </c>
      <c r="B252" s="47"/>
      <c r="C252" s="24" t="s">
        <v>522</v>
      </c>
      <c r="D252" s="24">
        <v>12</v>
      </c>
      <c r="E252" s="24">
        <f t="shared" si="38"/>
        <v>42</v>
      </c>
      <c r="F252" s="67" t="str">
        <f>CONCATENATE("Hora Cátedra Enseñanza Media ",D252," hs Esc Esp")</f>
        <v>Hora Cátedra Enseñanza Media 12 hs Esc Esp</v>
      </c>
      <c r="G252" s="68">
        <f t="shared" si="48"/>
        <v>948</v>
      </c>
      <c r="H252" s="69">
        <f>INT((G252*Valores!$C$2*100)+0.49)/100</f>
        <v>7251.35</v>
      </c>
      <c r="I252" s="108">
        <v>0</v>
      </c>
      <c r="J252" s="71">
        <f>INT((I252*Valores!$C$2*100)+0.5)/100</f>
        <v>0</v>
      </c>
      <c r="K252" s="98">
        <v>0</v>
      </c>
      <c r="L252" s="71">
        <f>INT((K252*Valores!$C$2*100)+0.5)/100</f>
        <v>0</v>
      </c>
      <c r="M252" s="96">
        <v>0</v>
      </c>
      <c r="N252" s="71">
        <f>INT((M252*Valores!$C$2*100)+0.5)/100</f>
        <v>0</v>
      </c>
      <c r="O252" s="71">
        <f t="shared" si="39"/>
        <v>1311.0465000000002</v>
      </c>
      <c r="P252" s="71">
        <f t="shared" si="40"/>
        <v>0</v>
      </c>
      <c r="Q252" s="97">
        <f>Valores!$C$14*D252</f>
        <v>2217.12</v>
      </c>
      <c r="R252" s="97">
        <f>IF(D252&lt;15,(Valores!$E$4*D252),Valores!$D$4)</f>
        <v>2737.08</v>
      </c>
      <c r="S252" s="71">
        <v>0</v>
      </c>
      <c r="T252" s="74">
        <f>IF(Valores!$C$45*D252&gt;Valores!$C$43,Valores!$C$43,Valores!$C$45*D252)</f>
        <v>707.28</v>
      </c>
      <c r="U252" s="97">
        <f>Valores!$C$22*D252</f>
        <v>781.6800000000001</v>
      </c>
      <c r="V252" s="71">
        <f t="shared" si="49"/>
        <v>781.6800000000001</v>
      </c>
      <c r="W252" s="71">
        <v>0</v>
      </c>
      <c r="X252" s="71">
        <v>0</v>
      </c>
      <c r="Y252" s="114">
        <v>0</v>
      </c>
      <c r="Z252" s="71">
        <f>Y252*Valores!$C$2</f>
        <v>0</v>
      </c>
      <c r="AA252" s="71">
        <v>0</v>
      </c>
      <c r="AB252" s="76">
        <f>IF((Valores!$C$32)*D252&gt;Valores!$F$32,Valores!$F$32,(Valores!$C$32)*D252)</f>
        <v>88.80000000000001</v>
      </c>
      <c r="AC252" s="71">
        <f t="shared" si="43"/>
        <v>0</v>
      </c>
      <c r="AD252" s="71">
        <f>IF(Valores!$C$33*D252&gt;Valores!$F$33,Valores!$F$33,Valores!$C$33*D252)</f>
        <v>73.92</v>
      </c>
      <c r="AE252" s="75">
        <v>94</v>
      </c>
      <c r="AF252" s="71">
        <f>INT(((AE252*Valores!$C$2)*100)+0.5)/100</f>
        <v>719.02</v>
      </c>
      <c r="AG252" s="71">
        <f>IF(Valores!$D$58*'Escala Docente'!D252&gt;Valores!$F$58,Valores!$F$58,Valores!$D$58*'Escala Docente'!D252)</f>
        <v>300.71999999999997</v>
      </c>
      <c r="AH252" s="71">
        <f>IF(Valores!$D$60*D252&gt;Valores!$F$60,Valores!$F$60,Valores!$D$60*D252)</f>
        <v>85.92</v>
      </c>
      <c r="AI252" s="110">
        <f t="shared" si="44"/>
        <v>16273.936500000002</v>
      </c>
      <c r="AJ252" s="97">
        <f>IF(Valores!$C$36*D252&gt;Valores!$F$36,Valores!$F$36,Valores!$C$36*D252)</f>
        <v>701.28</v>
      </c>
      <c r="AK252" s="74">
        <f>IF(Valores!$C$11*D252&gt;Valores!$F$11,Valores!$F$11,Valores!$C$11*D252)</f>
        <v>0</v>
      </c>
      <c r="AL252" s="74">
        <f>IF(Valores!$C$84*D252&gt;Valores!$C$83,Valores!$C$83,Valores!$C$84*D252)</f>
        <v>900</v>
      </c>
      <c r="AM252" s="74">
        <f t="shared" si="37"/>
        <v>840</v>
      </c>
      <c r="AN252" s="76">
        <f>IF(Valores!$C$57*D252&gt;Valores!$F$57,Valores!$F$57,Valores!$C$57*D252)</f>
        <v>126</v>
      </c>
      <c r="AO252" s="78">
        <f t="shared" si="45"/>
        <v>1601.28</v>
      </c>
      <c r="AP252" s="57">
        <f>AI252*-Valores!$C$65</f>
        <v>-2115.611745</v>
      </c>
      <c r="AQ252" s="57">
        <f>AI252*-Valores!$C$66</f>
        <v>-81.36968250000001</v>
      </c>
      <c r="AR252" s="73">
        <f>AI252*-Valores!$C$67</f>
        <v>-732.3271425</v>
      </c>
      <c r="AS252" s="73">
        <f>AI252*-Valores!$C$68</f>
        <v>-439.39628550000003</v>
      </c>
      <c r="AT252" s="73">
        <f>AI252*-Valores!$C$69</f>
        <v>-48.82180950000001</v>
      </c>
      <c r="AU252" s="77">
        <f t="shared" si="41"/>
        <v>14945.907930000003</v>
      </c>
      <c r="AV252" s="77">
        <f t="shared" si="42"/>
        <v>15190.016977500003</v>
      </c>
      <c r="AW252" s="73">
        <f>AI252*Valores!$C$71</f>
        <v>2603.8298400000003</v>
      </c>
      <c r="AX252" s="73">
        <f>AI252*Valores!$C$72</f>
        <v>732.3271425</v>
      </c>
      <c r="AY252" s="73">
        <f>AI252*Valores!$C$73</f>
        <v>162.73936500000002</v>
      </c>
      <c r="AZ252" s="73">
        <f>AI252*Valores!$C$75</f>
        <v>569.5877775000001</v>
      </c>
      <c r="BA252" s="73">
        <f>AI252*Valores!$C$76</f>
        <v>97.64361900000002</v>
      </c>
      <c r="BB252" s="73">
        <f t="shared" si="46"/>
        <v>878.7925710000002</v>
      </c>
      <c r="BC252" s="47"/>
      <c r="BD252" s="47">
        <f t="shared" si="47"/>
        <v>48</v>
      </c>
      <c r="BE252" s="24" t="s">
        <v>4</v>
      </c>
    </row>
    <row r="253" spans="1:57" s="24" customFormat="1" ht="11.25" customHeight="1">
      <c r="A253" s="47">
        <v>252</v>
      </c>
      <c r="B253" s="47"/>
      <c r="C253" s="24" t="s">
        <v>522</v>
      </c>
      <c r="D253" s="24">
        <v>13</v>
      </c>
      <c r="E253" s="24">
        <f t="shared" si="38"/>
        <v>34</v>
      </c>
      <c r="F253" s="67" t="str">
        <f>CONCATENATE("Hora Cátedra Enseñanza Media ",D253," hs")</f>
        <v>Hora Cátedra Enseñanza Media 13 hs</v>
      </c>
      <c r="G253" s="68">
        <f t="shared" si="48"/>
        <v>1027</v>
      </c>
      <c r="H253" s="69">
        <f>INT((G253*Valores!$C$2*100)+0.49)/100</f>
        <v>7855.63</v>
      </c>
      <c r="I253" s="108">
        <v>0</v>
      </c>
      <c r="J253" s="71">
        <f>INT((I253*Valores!$C$2*100)+0.5)/100</f>
        <v>0</v>
      </c>
      <c r="K253" s="98">
        <v>0</v>
      </c>
      <c r="L253" s="71">
        <f>INT((K253*Valores!$C$2*100)+0.5)/100</f>
        <v>0</v>
      </c>
      <c r="M253" s="96">
        <v>0</v>
      </c>
      <c r="N253" s="71">
        <f>INT((M253*Valores!$C$2*100)+0.5)/100</f>
        <v>0</v>
      </c>
      <c r="O253" s="71">
        <f t="shared" si="39"/>
        <v>1420.3005</v>
      </c>
      <c r="P253" s="71">
        <f t="shared" si="40"/>
        <v>0</v>
      </c>
      <c r="Q253" s="97">
        <f>Valores!$C$14*D253</f>
        <v>2401.88</v>
      </c>
      <c r="R253" s="97">
        <f>IF(D253&lt;15,(Valores!$E$4*D253),Valores!$D$4)</f>
        <v>2965.17</v>
      </c>
      <c r="S253" s="71">
        <v>0</v>
      </c>
      <c r="T253" s="74">
        <f>IF(Valores!$C$45*D253&gt;Valores!$C$43,Valores!$C$43,Valores!$C$45*D253)</f>
        <v>766.22</v>
      </c>
      <c r="U253" s="97">
        <f>Valores!$C$22*D253</f>
        <v>846.82</v>
      </c>
      <c r="V253" s="71">
        <f t="shared" si="49"/>
        <v>846.82</v>
      </c>
      <c r="W253" s="71">
        <v>0</v>
      </c>
      <c r="X253" s="71">
        <v>0</v>
      </c>
      <c r="Y253" s="114">
        <v>0</v>
      </c>
      <c r="Z253" s="71">
        <f>Y253*Valores!$C$2</f>
        <v>0</v>
      </c>
      <c r="AA253" s="71">
        <v>0</v>
      </c>
      <c r="AB253" s="76">
        <f>IF((Valores!$C$32)*D253&gt;Valores!$F$32,Valores!$F$32,(Valores!$C$32)*D253)</f>
        <v>96.2</v>
      </c>
      <c r="AC253" s="71">
        <f t="shared" si="43"/>
        <v>0</v>
      </c>
      <c r="AD253" s="71">
        <f>IF(Valores!$C$33*D253&gt;Valores!$F$33,Valores!$F$33,Valores!$C$33*D253)</f>
        <v>80.08</v>
      </c>
      <c r="AE253" s="75">
        <v>0</v>
      </c>
      <c r="AF253" s="71">
        <f>INT(((AE253*Valores!$C$2)*100)+0.5)/100</f>
        <v>0</v>
      </c>
      <c r="AG253" s="71">
        <f>IF(Valores!$D$58*'Escala Docente'!D253&gt;Valores!$F$58,Valores!$F$58,Valores!$D$58*'Escala Docente'!D253)</f>
        <v>325.78</v>
      </c>
      <c r="AH253" s="71">
        <f>IF(Valores!$D$60*D253&gt;Valores!$F$60,Valores!$F$60,Valores!$D$60*D253)</f>
        <v>93.08</v>
      </c>
      <c r="AI253" s="110">
        <f t="shared" si="44"/>
        <v>16851.1605</v>
      </c>
      <c r="AJ253" s="97">
        <f>IF(Valores!$C$36*D253&gt;Valores!$F$36,Valores!$F$36,Valores!$C$36*D253)</f>
        <v>759.72</v>
      </c>
      <c r="AK253" s="74">
        <f>IF(Valores!$C$11*D253&gt;Valores!$F$11,Valores!$F$11,Valores!$C$11*D253)</f>
        <v>0</v>
      </c>
      <c r="AL253" s="74">
        <f>IF(Valores!$C$84*D253&gt;Valores!$C$83,Valores!$C$83,Valores!$C$84*D253)</f>
        <v>975</v>
      </c>
      <c r="AM253" s="74">
        <f t="shared" si="37"/>
        <v>910</v>
      </c>
      <c r="AN253" s="76">
        <f>IF(Valores!$C$57*D253&gt;Valores!$F$57,Valores!$F$57,Valores!$C$57*D253)</f>
        <v>136.5</v>
      </c>
      <c r="AO253" s="78">
        <f t="shared" si="45"/>
        <v>1734.72</v>
      </c>
      <c r="AP253" s="57">
        <f>AI253*-Valores!$C$65</f>
        <v>-2190.6508650000005</v>
      </c>
      <c r="AQ253" s="57">
        <f>AI253*-Valores!$C$66</f>
        <v>-84.25580250000002</v>
      </c>
      <c r="AR253" s="73">
        <f>AI253*-Valores!$C$67</f>
        <v>-758.3022225000001</v>
      </c>
      <c r="AS253" s="73">
        <f>AI253*-Valores!$C$68</f>
        <v>-454.98133350000006</v>
      </c>
      <c r="AT253" s="73">
        <f>AI253*-Valores!$C$69</f>
        <v>-50.553481500000004</v>
      </c>
      <c r="AU253" s="77">
        <f t="shared" si="41"/>
        <v>15552.671610000005</v>
      </c>
      <c r="AV253" s="77">
        <f t="shared" si="42"/>
        <v>15805.439017500004</v>
      </c>
      <c r="AW253" s="73">
        <f>AI253*Valores!$C$71</f>
        <v>2696.1856800000005</v>
      </c>
      <c r="AX253" s="73">
        <f>AI253*Valores!$C$72</f>
        <v>758.3022225000001</v>
      </c>
      <c r="AY253" s="73">
        <f>AI253*Valores!$C$73</f>
        <v>168.51160500000003</v>
      </c>
      <c r="AZ253" s="73">
        <f>AI253*Valores!$C$75</f>
        <v>589.7906175000002</v>
      </c>
      <c r="BA253" s="73">
        <f>AI253*Valores!$C$76</f>
        <v>101.10696300000001</v>
      </c>
      <c r="BB253" s="73">
        <f t="shared" si="46"/>
        <v>909.9626670000002</v>
      </c>
      <c r="BC253" s="47"/>
      <c r="BD253" s="47">
        <f t="shared" si="47"/>
        <v>52</v>
      </c>
      <c r="BE253" s="24" t="s">
        <v>4</v>
      </c>
    </row>
    <row r="254" spans="1:57" s="24" customFormat="1" ht="11.25" customHeight="1">
      <c r="A254" s="47">
        <v>253</v>
      </c>
      <c r="B254" s="47"/>
      <c r="C254" s="24" t="s">
        <v>522</v>
      </c>
      <c r="D254" s="24">
        <v>13</v>
      </c>
      <c r="E254" s="24">
        <f t="shared" si="38"/>
        <v>42</v>
      </c>
      <c r="F254" s="67" t="str">
        <f>CONCATENATE("Hora Cátedra Enseñanza Media ",D254," hs Esc Esp")</f>
        <v>Hora Cátedra Enseñanza Media 13 hs Esc Esp</v>
      </c>
      <c r="G254" s="68">
        <f t="shared" si="48"/>
        <v>1027</v>
      </c>
      <c r="H254" s="69">
        <f>INT((G254*Valores!$C$2*100)+0.49)/100</f>
        <v>7855.63</v>
      </c>
      <c r="I254" s="108">
        <v>0</v>
      </c>
      <c r="J254" s="71">
        <f>INT((I254*Valores!$C$2*100)+0.5)/100</f>
        <v>0</v>
      </c>
      <c r="K254" s="98">
        <v>0</v>
      </c>
      <c r="L254" s="71">
        <f>INT((K254*Valores!$C$2*100)+0.5)/100</f>
        <v>0</v>
      </c>
      <c r="M254" s="96">
        <v>0</v>
      </c>
      <c r="N254" s="71">
        <f>INT((M254*Valores!$C$2*100)+0.5)/100</f>
        <v>0</v>
      </c>
      <c r="O254" s="71">
        <f t="shared" si="39"/>
        <v>1420.3005</v>
      </c>
      <c r="P254" s="71">
        <f t="shared" si="40"/>
        <v>0</v>
      </c>
      <c r="Q254" s="97">
        <f>Valores!$C$14*D254</f>
        <v>2401.88</v>
      </c>
      <c r="R254" s="97">
        <f>IF(D254&lt;15,(Valores!$E$4*D254),Valores!$D$4)</f>
        <v>2965.17</v>
      </c>
      <c r="S254" s="71">
        <v>0</v>
      </c>
      <c r="T254" s="74">
        <f>IF(Valores!$C$45*D254&gt;Valores!$C$43,Valores!$C$43,Valores!$C$45*D254)</f>
        <v>766.22</v>
      </c>
      <c r="U254" s="97">
        <f>Valores!$C$22*D254</f>
        <v>846.82</v>
      </c>
      <c r="V254" s="71">
        <f t="shared" si="49"/>
        <v>846.82</v>
      </c>
      <c r="W254" s="71">
        <v>0</v>
      </c>
      <c r="X254" s="71">
        <v>0</v>
      </c>
      <c r="Y254" s="114">
        <v>0</v>
      </c>
      <c r="Z254" s="71">
        <f>Y254*Valores!$C$2</f>
        <v>0</v>
      </c>
      <c r="AA254" s="71">
        <v>0</v>
      </c>
      <c r="AB254" s="76">
        <f>IF((Valores!$C$32)*D254&gt;Valores!$F$32,Valores!$F$32,(Valores!$C$32)*D254)</f>
        <v>96.2</v>
      </c>
      <c r="AC254" s="71">
        <f t="shared" si="43"/>
        <v>0</v>
      </c>
      <c r="AD254" s="71">
        <f>IF(Valores!$C$33*D254&gt;Valores!$F$33,Valores!$F$33,Valores!$C$33*D254)</f>
        <v>80.08</v>
      </c>
      <c r="AE254" s="75">
        <v>94</v>
      </c>
      <c r="AF254" s="71">
        <f>INT(((AE254*Valores!$C$2)*100)+0.5)/100</f>
        <v>719.02</v>
      </c>
      <c r="AG254" s="71">
        <f>IF(Valores!$D$58*'Escala Docente'!D254&gt;Valores!$F$58,Valores!$F$58,Valores!$D$58*'Escala Docente'!D254)</f>
        <v>325.78</v>
      </c>
      <c r="AH254" s="71">
        <f>IF(Valores!$D$60*D254&gt;Valores!$F$60,Valores!$F$60,Valores!$D$60*D254)</f>
        <v>93.08</v>
      </c>
      <c r="AI254" s="110">
        <f t="shared" si="44"/>
        <v>17570.180500000002</v>
      </c>
      <c r="AJ254" s="97">
        <f>IF(Valores!$C$36*D254&gt;Valores!$F$36,Valores!$F$36,Valores!$C$36*D254)</f>
        <v>759.72</v>
      </c>
      <c r="AK254" s="74">
        <f>IF(Valores!$C$11*D254&gt;Valores!$F$11,Valores!$F$11,Valores!$C$11*D254)</f>
        <v>0</v>
      </c>
      <c r="AL254" s="74">
        <f>IF(Valores!$C$84*D254&gt;Valores!$C$83,Valores!$C$83,Valores!$C$84*D254)</f>
        <v>975</v>
      </c>
      <c r="AM254" s="74">
        <f t="shared" si="37"/>
        <v>910</v>
      </c>
      <c r="AN254" s="76">
        <f>IF(Valores!$C$57*D254&gt;Valores!$F$57,Valores!$F$57,Valores!$C$57*D254)</f>
        <v>136.5</v>
      </c>
      <c r="AO254" s="78">
        <f t="shared" si="45"/>
        <v>1734.72</v>
      </c>
      <c r="AP254" s="57">
        <f>AI254*-Valores!$C$65</f>
        <v>-2284.1234650000006</v>
      </c>
      <c r="AQ254" s="57">
        <f>AI254*-Valores!$C$66</f>
        <v>-87.85090250000002</v>
      </c>
      <c r="AR254" s="73">
        <f>AI254*-Valores!$C$67</f>
        <v>-790.6581225000001</v>
      </c>
      <c r="AS254" s="73">
        <f>AI254*-Valores!$C$68</f>
        <v>-474.3948735000001</v>
      </c>
      <c r="AT254" s="73">
        <f>AI254*-Valores!$C$69</f>
        <v>-52.710541500000005</v>
      </c>
      <c r="AU254" s="77">
        <f t="shared" si="41"/>
        <v>16142.268010000003</v>
      </c>
      <c r="AV254" s="77">
        <f t="shared" si="42"/>
        <v>16405.820717500003</v>
      </c>
      <c r="AW254" s="73">
        <f>AI254*Valores!$C$71</f>
        <v>2811.2288800000006</v>
      </c>
      <c r="AX254" s="73">
        <f>AI254*Valores!$C$72</f>
        <v>790.6581225000001</v>
      </c>
      <c r="AY254" s="73">
        <f>AI254*Valores!$C$73</f>
        <v>175.70180500000004</v>
      </c>
      <c r="AZ254" s="73">
        <f>AI254*Valores!$C$75</f>
        <v>614.9563175000002</v>
      </c>
      <c r="BA254" s="73">
        <f>AI254*Valores!$C$76</f>
        <v>105.42108300000001</v>
      </c>
      <c r="BB254" s="73">
        <f t="shared" si="46"/>
        <v>948.7897470000003</v>
      </c>
      <c r="BC254" s="47"/>
      <c r="BD254" s="81">
        <f t="shared" si="47"/>
        <v>52</v>
      </c>
      <c r="BE254" s="24" t="s">
        <v>4</v>
      </c>
    </row>
    <row r="255" spans="1:57" s="24" customFormat="1" ht="11.25" customHeight="1">
      <c r="A255" s="47">
        <v>254</v>
      </c>
      <c r="B255" s="47"/>
      <c r="C255" s="24" t="s">
        <v>522</v>
      </c>
      <c r="D255" s="24">
        <v>14</v>
      </c>
      <c r="E255" s="24">
        <f t="shared" si="38"/>
        <v>34</v>
      </c>
      <c r="F255" s="67" t="str">
        <f>CONCATENATE("Hora Cátedra Enseñanza Media ",D255," hs")</f>
        <v>Hora Cátedra Enseñanza Media 14 hs</v>
      </c>
      <c r="G255" s="68">
        <f t="shared" si="48"/>
        <v>1106</v>
      </c>
      <c r="H255" s="69">
        <f>INT((G255*Valores!$C$2*100)+0.49)/100</f>
        <v>8459.9</v>
      </c>
      <c r="I255" s="108">
        <v>0</v>
      </c>
      <c r="J255" s="71">
        <f>INT((I255*Valores!$C$2*100)+0.5)/100</f>
        <v>0</v>
      </c>
      <c r="K255" s="98">
        <v>0</v>
      </c>
      <c r="L255" s="71">
        <f>INT((K255*Valores!$C$2*100)+0.5)/100</f>
        <v>0</v>
      </c>
      <c r="M255" s="96">
        <v>0</v>
      </c>
      <c r="N255" s="71">
        <f>INT((M255*Valores!$C$2*100)+0.5)/100</f>
        <v>0</v>
      </c>
      <c r="O255" s="71">
        <f t="shared" si="39"/>
        <v>1529.553</v>
      </c>
      <c r="P255" s="71">
        <f t="shared" si="40"/>
        <v>0</v>
      </c>
      <c r="Q255" s="97">
        <f>Valores!$C$14*D255</f>
        <v>2586.64</v>
      </c>
      <c r="R255" s="97">
        <f>IF(D255&lt;15,(Valores!$E$4*D255),Valores!$D$4)</f>
        <v>3193.26</v>
      </c>
      <c r="S255" s="71">
        <v>0</v>
      </c>
      <c r="T255" s="74">
        <f>IF(Valores!$C$45*D255&gt;Valores!$C$43,Valores!$C$43,Valores!$C$45*D255)</f>
        <v>825.16</v>
      </c>
      <c r="U255" s="97">
        <f>Valores!$C$22*D255</f>
        <v>911.96</v>
      </c>
      <c r="V255" s="71">
        <f t="shared" si="49"/>
        <v>911.96</v>
      </c>
      <c r="W255" s="71">
        <v>0</v>
      </c>
      <c r="X255" s="71">
        <v>0</v>
      </c>
      <c r="Y255" s="114">
        <v>0</v>
      </c>
      <c r="Z255" s="71">
        <f>Y255*Valores!$C$2</f>
        <v>0</v>
      </c>
      <c r="AA255" s="71">
        <v>0</v>
      </c>
      <c r="AB255" s="76">
        <f>IF((Valores!$C$32)*D255&gt;Valores!$F$32,Valores!$F$32,(Valores!$C$32)*D255)</f>
        <v>103.60000000000001</v>
      </c>
      <c r="AC255" s="71">
        <f t="shared" si="43"/>
        <v>0</v>
      </c>
      <c r="AD255" s="71">
        <f>IF(Valores!$C$33*D255&gt;Valores!$F$33,Valores!$F$33,Valores!$C$33*D255)</f>
        <v>86.24000000000001</v>
      </c>
      <c r="AE255" s="75">
        <v>0</v>
      </c>
      <c r="AF255" s="71">
        <f>INT(((AE255*Valores!$C$2)*100)+0.5)/100</f>
        <v>0</v>
      </c>
      <c r="AG255" s="71">
        <f>IF(Valores!$D$58*'Escala Docente'!D255&gt;Valores!$F$58,Valores!$F$58,Valores!$D$58*'Escala Docente'!D255)</f>
        <v>350.84</v>
      </c>
      <c r="AH255" s="71">
        <f>IF(Valores!$D$60*D255&gt;Valores!$F$60,Valores!$F$60,Valores!$D$60*D255)</f>
        <v>100.24000000000001</v>
      </c>
      <c r="AI255" s="110">
        <f t="shared" si="44"/>
        <v>18147.393</v>
      </c>
      <c r="AJ255" s="97">
        <f>IF(Valores!$C$36*D255&gt;Valores!$F$36,Valores!$F$36,Valores!$C$36*D255)</f>
        <v>818.16</v>
      </c>
      <c r="AK255" s="74">
        <f>IF(Valores!$C$11*D255&gt;Valores!$F$11,Valores!$F$11,Valores!$C$11*D255)</f>
        <v>0</v>
      </c>
      <c r="AL255" s="74">
        <f>IF(Valores!$C$84*D255&gt;Valores!$C$83,Valores!$C$83,Valores!$C$84*D255)</f>
        <v>1050</v>
      </c>
      <c r="AM255" s="74">
        <f t="shared" si="37"/>
        <v>980</v>
      </c>
      <c r="AN255" s="76">
        <f>IF(Valores!$C$57*D255&gt;Valores!$F$57,Valores!$F$57,Valores!$C$57*D255)</f>
        <v>147</v>
      </c>
      <c r="AO255" s="78">
        <f t="shared" si="45"/>
        <v>1868.1599999999999</v>
      </c>
      <c r="AP255" s="57">
        <f>AI255*-Valores!$C$65</f>
        <v>-2359.16109</v>
      </c>
      <c r="AQ255" s="57">
        <f>AI255*-Valores!$C$66</f>
        <v>-90.736965</v>
      </c>
      <c r="AR255" s="73">
        <f>AI255*-Valores!$C$67</f>
        <v>-816.6326849999999</v>
      </c>
      <c r="AS255" s="73">
        <f>AI255*-Valores!$C$68</f>
        <v>-489.979611</v>
      </c>
      <c r="AT255" s="73">
        <f>AI255*-Valores!$C$69</f>
        <v>-54.442179</v>
      </c>
      <c r="AU255" s="77">
        <f t="shared" si="41"/>
        <v>16749.022259999998</v>
      </c>
      <c r="AV255" s="77">
        <f t="shared" si="42"/>
        <v>17021.233154999998</v>
      </c>
      <c r="AW255" s="73">
        <f>AI255*Valores!$C$71</f>
        <v>2903.58288</v>
      </c>
      <c r="AX255" s="73">
        <f>AI255*Valores!$C$72</f>
        <v>816.6326849999999</v>
      </c>
      <c r="AY255" s="73">
        <f>AI255*Valores!$C$73</f>
        <v>181.47393</v>
      </c>
      <c r="AZ255" s="73">
        <f>AI255*Valores!$C$75</f>
        <v>635.158755</v>
      </c>
      <c r="BA255" s="73">
        <f>AI255*Valores!$C$76</f>
        <v>108.884358</v>
      </c>
      <c r="BB255" s="73">
        <f t="shared" si="46"/>
        <v>979.959222</v>
      </c>
      <c r="BC255" s="47"/>
      <c r="BD255" s="47">
        <f t="shared" si="47"/>
        <v>56</v>
      </c>
      <c r="BE255" s="24" t="s">
        <v>4</v>
      </c>
    </row>
    <row r="256" spans="1:57" s="24" customFormat="1" ht="11.25" customHeight="1">
      <c r="A256" s="81">
        <v>255</v>
      </c>
      <c r="B256" s="81" t="s">
        <v>163</v>
      </c>
      <c r="C256" s="82" t="s">
        <v>522</v>
      </c>
      <c r="D256" s="82">
        <v>14</v>
      </c>
      <c r="E256" s="82">
        <f t="shared" si="38"/>
        <v>42</v>
      </c>
      <c r="F256" s="83" t="str">
        <f>CONCATENATE("Hora Cátedra Enseñanza Media ",D256," hs Esc Esp")</f>
        <v>Hora Cátedra Enseñanza Media 14 hs Esc Esp</v>
      </c>
      <c r="G256" s="84">
        <f t="shared" si="48"/>
        <v>1106</v>
      </c>
      <c r="H256" s="85">
        <f>INT((G256*Valores!$C$2*100)+0.49)/100</f>
        <v>8459.9</v>
      </c>
      <c r="I256" s="99">
        <v>0</v>
      </c>
      <c r="J256" s="87">
        <f>INT((I256*Valores!$C$2*100)+0.5)/100</f>
        <v>0</v>
      </c>
      <c r="K256" s="100">
        <v>0</v>
      </c>
      <c r="L256" s="87">
        <f>INT((K256*Valores!$C$2*100)+0.5)/100</f>
        <v>0</v>
      </c>
      <c r="M256" s="101">
        <v>0</v>
      </c>
      <c r="N256" s="87">
        <f>INT((M256*Valores!$C$2*100)+0.5)/100</f>
        <v>0</v>
      </c>
      <c r="O256" s="87">
        <f t="shared" si="39"/>
        <v>1529.553</v>
      </c>
      <c r="P256" s="87">
        <f t="shared" si="40"/>
        <v>0</v>
      </c>
      <c r="Q256" s="103">
        <f>Valores!$C$14*D256</f>
        <v>2586.64</v>
      </c>
      <c r="R256" s="103">
        <f>IF(D256&lt;15,(Valores!$E$4*D256),Valores!$D$4)</f>
        <v>3193.26</v>
      </c>
      <c r="S256" s="87">
        <v>0</v>
      </c>
      <c r="T256" s="90">
        <f>IF(Valores!$C$45*D256&gt;Valores!$C$43,Valores!$C$43,Valores!$C$45*D256)</f>
        <v>825.16</v>
      </c>
      <c r="U256" s="103">
        <f>Valores!$C$22*D256</f>
        <v>911.96</v>
      </c>
      <c r="V256" s="87">
        <f t="shared" si="49"/>
        <v>911.96</v>
      </c>
      <c r="W256" s="87">
        <v>0</v>
      </c>
      <c r="X256" s="87">
        <v>0</v>
      </c>
      <c r="Y256" s="115">
        <v>0</v>
      </c>
      <c r="Z256" s="87">
        <f>Y256*Valores!$C$2</f>
        <v>0</v>
      </c>
      <c r="AA256" s="87">
        <v>0</v>
      </c>
      <c r="AB256" s="92">
        <f>IF((Valores!$C$32)*D256&gt;Valores!$F$32,Valores!$F$32,(Valores!$C$32)*D256)</f>
        <v>103.60000000000001</v>
      </c>
      <c r="AC256" s="87">
        <f t="shared" si="43"/>
        <v>0</v>
      </c>
      <c r="AD256" s="87">
        <f>IF(Valores!$C$33*D256&gt;Valores!$F$33,Valores!$F$33,Valores!$C$33*D256)</f>
        <v>86.24000000000001</v>
      </c>
      <c r="AE256" s="91">
        <v>94</v>
      </c>
      <c r="AF256" s="87">
        <f>INT(((AE256*Valores!$C$2)*100)+0.5)/100</f>
        <v>719.02</v>
      </c>
      <c r="AG256" s="87">
        <f>IF(Valores!$D$58*'Escala Docente'!D256&gt;Valores!$F$58,Valores!$F$58,Valores!$D$58*'Escala Docente'!D256)</f>
        <v>350.84</v>
      </c>
      <c r="AH256" s="87">
        <f>IF(Valores!$D$60*D256&gt;Valores!$F$60,Valores!$F$60,Valores!$D$60*D256)</f>
        <v>100.24000000000001</v>
      </c>
      <c r="AI256" s="111">
        <f t="shared" si="44"/>
        <v>18866.413</v>
      </c>
      <c r="AJ256" s="103">
        <f>IF(Valores!$C$36*D256&gt;Valores!$F$36,Valores!$F$36,Valores!$C$36*D256)</f>
        <v>818.16</v>
      </c>
      <c r="AK256" s="90">
        <f>IF(Valores!$C$11*D256&gt;Valores!$F$11,Valores!$F$11,Valores!$C$11*D256)</f>
        <v>0</v>
      </c>
      <c r="AL256" s="90">
        <f>IF(Valores!$C$84*D256&gt;Valores!$C$83,Valores!$C$83,Valores!$C$84*D256)</f>
        <v>1050</v>
      </c>
      <c r="AM256" s="74">
        <f t="shared" si="37"/>
        <v>980</v>
      </c>
      <c r="AN256" s="92">
        <f>IF(Valores!$C$57*D256&gt;Valores!$F$57,Valores!$F$57,Valores!$C$57*D256)</f>
        <v>147</v>
      </c>
      <c r="AO256" s="94">
        <f t="shared" si="45"/>
        <v>1868.1599999999999</v>
      </c>
      <c r="AP256" s="112">
        <f>AI256*-Valores!$C$65</f>
        <v>-2452.63369</v>
      </c>
      <c r="AQ256" s="112">
        <f>AI256*-Valores!$C$66</f>
        <v>-94.332065</v>
      </c>
      <c r="AR256" s="89">
        <f>AI256*-Valores!$C$67</f>
        <v>-848.988585</v>
      </c>
      <c r="AS256" s="89">
        <f>AI256*-Valores!$C$68</f>
        <v>-509.393151</v>
      </c>
      <c r="AT256" s="89">
        <f>AI256*-Valores!$C$69</f>
        <v>-56.599239000000004</v>
      </c>
      <c r="AU256" s="93">
        <f t="shared" si="41"/>
        <v>17338.618660000004</v>
      </c>
      <c r="AV256" s="93">
        <f t="shared" si="42"/>
        <v>17621.614855000003</v>
      </c>
      <c r="AW256" s="89">
        <f>AI256*Valores!$C$71</f>
        <v>3018.62608</v>
      </c>
      <c r="AX256" s="89">
        <f>AI256*Valores!$C$72</f>
        <v>848.988585</v>
      </c>
      <c r="AY256" s="89">
        <f>AI256*Valores!$C$73</f>
        <v>188.66413</v>
      </c>
      <c r="AZ256" s="89">
        <f>AI256*Valores!$C$75</f>
        <v>660.3244550000001</v>
      </c>
      <c r="BA256" s="89">
        <f>AI256*Valores!$C$76</f>
        <v>113.19847800000001</v>
      </c>
      <c r="BB256" s="89">
        <f t="shared" si="46"/>
        <v>1018.7863020000001</v>
      </c>
      <c r="BC256" s="81"/>
      <c r="BD256" s="81">
        <f t="shared" si="47"/>
        <v>56</v>
      </c>
      <c r="BE256" s="82" t="s">
        <v>4</v>
      </c>
    </row>
    <row r="257" spans="1:57" s="24" customFormat="1" ht="11.25" customHeight="1">
      <c r="A257" s="47">
        <v>256</v>
      </c>
      <c r="B257" s="47"/>
      <c r="C257" s="24" t="s">
        <v>522</v>
      </c>
      <c r="D257" s="24">
        <v>15</v>
      </c>
      <c r="E257" s="24">
        <f t="shared" si="38"/>
        <v>34</v>
      </c>
      <c r="F257" s="67" t="str">
        <f>CONCATENATE("Hora Cátedra Enseñanza Media ",D257," hs")</f>
        <v>Hora Cátedra Enseñanza Media 15 hs</v>
      </c>
      <c r="G257" s="68">
        <f t="shared" si="48"/>
        <v>1185</v>
      </c>
      <c r="H257" s="69">
        <f>INT((G257*Valores!$C$2*100)+0.49)/100</f>
        <v>9064.18</v>
      </c>
      <c r="I257" s="108">
        <v>0</v>
      </c>
      <c r="J257" s="71">
        <f>INT((I257*Valores!$C$2*100)+0.5)/100</f>
        <v>0</v>
      </c>
      <c r="K257" s="98">
        <v>0</v>
      </c>
      <c r="L257" s="71">
        <f>INT((K257*Valores!$C$2*100)+0.5)/100</f>
        <v>0</v>
      </c>
      <c r="M257" s="96">
        <v>0</v>
      </c>
      <c r="N257" s="71">
        <f>INT((M257*Valores!$C$2*100)+0.5)/100</f>
        <v>0</v>
      </c>
      <c r="O257" s="71">
        <f t="shared" si="39"/>
        <v>1638.807</v>
      </c>
      <c r="P257" s="71">
        <f t="shared" si="40"/>
        <v>0</v>
      </c>
      <c r="Q257" s="97">
        <f>Valores!$C$14*D257</f>
        <v>2771.3999999999996</v>
      </c>
      <c r="R257" s="97">
        <f>IF(D257&lt;15,(Valores!$E$4*D257),Valores!$D$4)</f>
        <v>3421.44</v>
      </c>
      <c r="S257" s="71">
        <v>0</v>
      </c>
      <c r="T257" s="74">
        <f>IF(Valores!$C$45*D257&gt;Valores!$C$43,Valores!$C$43,Valores!$C$45*D257)</f>
        <v>884.0999999999999</v>
      </c>
      <c r="U257" s="97">
        <f>Valores!$C$22*D257</f>
        <v>977.1</v>
      </c>
      <c r="V257" s="71">
        <f t="shared" si="49"/>
        <v>977.1</v>
      </c>
      <c r="W257" s="71">
        <v>0</v>
      </c>
      <c r="X257" s="71">
        <v>0</v>
      </c>
      <c r="Y257" s="114">
        <v>0</v>
      </c>
      <c r="Z257" s="71">
        <f>Y257*Valores!$C$2</f>
        <v>0</v>
      </c>
      <c r="AA257" s="71">
        <v>0</v>
      </c>
      <c r="AB257" s="76">
        <f>IF((Valores!$C$32)*D257&gt;Valores!$F$32,Valores!$F$32,(Valores!$C$32)*D257)</f>
        <v>111</v>
      </c>
      <c r="AC257" s="71">
        <f t="shared" si="43"/>
        <v>0</v>
      </c>
      <c r="AD257" s="71">
        <f>IF(Valores!$C$33*D257&gt;Valores!$F$33,Valores!$F$33,Valores!$C$33*D257)</f>
        <v>92.4</v>
      </c>
      <c r="AE257" s="75">
        <v>0</v>
      </c>
      <c r="AF257" s="71">
        <f>INT(((AE257*Valores!$C$2)*100)+0.5)/100</f>
        <v>0</v>
      </c>
      <c r="AG257" s="71">
        <f>IF(Valores!$D$58*'Escala Docente'!D257&gt;Valores!$F$58,Valores!$F$58,Valores!$D$58*'Escala Docente'!D257)</f>
        <v>375.9</v>
      </c>
      <c r="AH257" s="71">
        <f>IF(Valores!$D$60*D257&gt;Valores!$F$60,Valores!$F$60,Valores!$D$60*D257)</f>
        <v>107.4</v>
      </c>
      <c r="AI257" s="110">
        <f t="shared" si="44"/>
        <v>19443.727000000003</v>
      </c>
      <c r="AJ257" s="97">
        <f>IF(Valores!$C$36*D257&gt;Valores!$F$36,Valores!$F$36,Valores!$C$36*D257)</f>
        <v>876.5999999999999</v>
      </c>
      <c r="AK257" s="74">
        <f>IF(Valores!$C$11*D257&gt;Valores!$F$11,Valores!$F$11,Valores!$C$11*D257)</f>
        <v>0</v>
      </c>
      <c r="AL257" s="74">
        <f>IF(Valores!$C$84*D257&gt;Valores!$C$83,Valores!$C$83,Valores!$C$84*D257)</f>
        <v>1125</v>
      </c>
      <c r="AM257" s="74">
        <f t="shared" si="37"/>
        <v>1050</v>
      </c>
      <c r="AN257" s="76">
        <f>IF(Valores!$C$57*D257&gt;Valores!$F$57,Valores!$F$57,Valores!$C$57*D257)</f>
        <v>157.5</v>
      </c>
      <c r="AO257" s="78">
        <f t="shared" si="45"/>
        <v>2001.6</v>
      </c>
      <c r="AP257" s="57">
        <f>AI257*-Valores!$C$65</f>
        <v>-2527.6845100000005</v>
      </c>
      <c r="AQ257" s="57">
        <f>AI257*-Valores!$C$66</f>
        <v>-97.21863500000002</v>
      </c>
      <c r="AR257" s="73">
        <f>AI257*-Valores!$C$67</f>
        <v>-874.9677150000001</v>
      </c>
      <c r="AS257" s="73">
        <f>AI257*-Valores!$C$68</f>
        <v>-524.980629</v>
      </c>
      <c r="AT257" s="73">
        <f>AI257*-Valores!$C$69</f>
        <v>-58.33118100000001</v>
      </c>
      <c r="AU257" s="77">
        <f t="shared" si="41"/>
        <v>17945.456140000002</v>
      </c>
      <c r="AV257" s="77">
        <f t="shared" si="42"/>
        <v>18237.112044999998</v>
      </c>
      <c r="AW257" s="73">
        <f>AI257*Valores!$C$71</f>
        <v>3110.9963200000007</v>
      </c>
      <c r="AX257" s="73">
        <f>AI257*Valores!$C$72</f>
        <v>874.9677150000001</v>
      </c>
      <c r="AY257" s="73">
        <f>AI257*Valores!$C$73</f>
        <v>194.43727000000004</v>
      </c>
      <c r="AZ257" s="73">
        <f>AI257*Valores!$C$75</f>
        <v>680.5304450000001</v>
      </c>
      <c r="BA257" s="73">
        <f>AI257*Valores!$C$76</f>
        <v>116.66236200000002</v>
      </c>
      <c r="BB257" s="73">
        <f t="shared" si="46"/>
        <v>1049.9612580000003</v>
      </c>
      <c r="BC257" s="47"/>
      <c r="BD257" s="47">
        <f aca="true" t="shared" si="50" ref="BD257:BD288">4*D257</f>
        <v>60</v>
      </c>
      <c r="BE257" s="24" t="s">
        <v>4</v>
      </c>
    </row>
    <row r="258" spans="1:57" s="24" customFormat="1" ht="11.25" customHeight="1">
      <c r="A258" s="47">
        <v>257</v>
      </c>
      <c r="B258" s="47"/>
      <c r="C258" s="24" t="s">
        <v>522</v>
      </c>
      <c r="D258" s="24">
        <v>15</v>
      </c>
      <c r="E258" s="24">
        <f t="shared" si="38"/>
        <v>42</v>
      </c>
      <c r="F258" s="67" t="str">
        <f>CONCATENATE("Hora Cátedra Enseñanza Media ",D258," hs Esc Esp")</f>
        <v>Hora Cátedra Enseñanza Media 15 hs Esc Esp</v>
      </c>
      <c r="G258" s="68">
        <f t="shared" si="48"/>
        <v>1185</v>
      </c>
      <c r="H258" s="69">
        <f>INT((G258*Valores!$C$2*100)+0.49)/100</f>
        <v>9064.18</v>
      </c>
      <c r="I258" s="108">
        <v>0</v>
      </c>
      <c r="J258" s="71">
        <f>INT((I258*Valores!$C$2*100)+0.5)/100</f>
        <v>0</v>
      </c>
      <c r="K258" s="98">
        <v>0</v>
      </c>
      <c r="L258" s="71">
        <f>INT((K258*Valores!$C$2*100)+0.5)/100</f>
        <v>0</v>
      </c>
      <c r="M258" s="96">
        <v>0</v>
      </c>
      <c r="N258" s="71">
        <f>INT((M258*Valores!$C$2*100)+0.5)/100</f>
        <v>0</v>
      </c>
      <c r="O258" s="71">
        <f t="shared" si="39"/>
        <v>1638.807</v>
      </c>
      <c r="P258" s="71">
        <f t="shared" si="40"/>
        <v>0</v>
      </c>
      <c r="Q258" s="97">
        <f>Valores!$C$14*D258</f>
        <v>2771.3999999999996</v>
      </c>
      <c r="R258" s="97">
        <f>IF(D258&lt;15,(Valores!$E$4*D258),Valores!$D$4)</f>
        <v>3421.44</v>
      </c>
      <c r="S258" s="71">
        <v>0</v>
      </c>
      <c r="T258" s="74">
        <f>IF(Valores!$C$45*D258&gt;Valores!$C$43,Valores!$C$43,Valores!$C$45*D258)</f>
        <v>884.0999999999999</v>
      </c>
      <c r="U258" s="97">
        <f>Valores!$C$22*D258</f>
        <v>977.1</v>
      </c>
      <c r="V258" s="71">
        <f t="shared" si="49"/>
        <v>977.1</v>
      </c>
      <c r="W258" s="71">
        <v>0</v>
      </c>
      <c r="X258" s="71">
        <v>0</v>
      </c>
      <c r="Y258" s="114">
        <v>0</v>
      </c>
      <c r="Z258" s="71">
        <f>Y258*Valores!$C$2</f>
        <v>0</v>
      </c>
      <c r="AA258" s="71">
        <v>0</v>
      </c>
      <c r="AB258" s="76">
        <f>IF((Valores!$C$32)*D258&gt;Valores!$F$32,Valores!$F$32,(Valores!$C$32)*D258)</f>
        <v>111</v>
      </c>
      <c r="AC258" s="71">
        <f t="shared" si="43"/>
        <v>0</v>
      </c>
      <c r="AD258" s="71">
        <f>IF(Valores!$C$33*D258&gt;Valores!$F$33,Valores!$F$33,Valores!$C$33*D258)</f>
        <v>92.4</v>
      </c>
      <c r="AE258" s="75">
        <v>94</v>
      </c>
      <c r="AF258" s="71">
        <f>INT(((AE258*Valores!$C$2)*100)+0.5)/100</f>
        <v>719.02</v>
      </c>
      <c r="AG258" s="71">
        <f>IF(Valores!$D$58*'Escala Docente'!D258&gt;Valores!$F$58,Valores!$F$58,Valores!$D$58*'Escala Docente'!D258)</f>
        <v>375.9</v>
      </c>
      <c r="AH258" s="71">
        <f>IF(Valores!$D$60*D258&gt;Valores!$F$60,Valores!$F$60,Valores!$D$60*D258)</f>
        <v>107.4</v>
      </c>
      <c r="AI258" s="110">
        <f t="shared" si="44"/>
        <v>20162.747000000003</v>
      </c>
      <c r="AJ258" s="97">
        <f>IF(Valores!$C$36*D258&gt;Valores!$F$36,Valores!$F$36,Valores!$C$36*D258)</f>
        <v>876.5999999999999</v>
      </c>
      <c r="AK258" s="74">
        <f>IF(Valores!$C$11*D258&gt;Valores!$F$11,Valores!$F$11,Valores!$C$11*D258)</f>
        <v>0</v>
      </c>
      <c r="AL258" s="74">
        <f>IF(Valores!$C$84*D258&gt;Valores!$C$83,Valores!$C$83,Valores!$C$84*D258)</f>
        <v>1125</v>
      </c>
      <c r="AM258" s="74">
        <f aca="true" t="shared" si="51" ref="AM258:AM301">70*D258</f>
        <v>1050</v>
      </c>
      <c r="AN258" s="76">
        <f>IF(Valores!$C$57*D258&gt;Valores!$F$57,Valores!$F$57,Valores!$C$57*D258)</f>
        <v>157.5</v>
      </c>
      <c r="AO258" s="78">
        <f t="shared" si="45"/>
        <v>2001.6</v>
      </c>
      <c r="AP258" s="57">
        <f>AI258*-Valores!$C$65</f>
        <v>-2621.1571100000006</v>
      </c>
      <c r="AQ258" s="57">
        <f>AI258*-Valores!$C$66</f>
        <v>-100.81373500000002</v>
      </c>
      <c r="AR258" s="73">
        <f>AI258*-Valores!$C$67</f>
        <v>-907.3236150000001</v>
      </c>
      <c r="AS258" s="73">
        <f>AI258*-Valores!$C$68</f>
        <v>-544.394169</v>
      </c>
      <c r="AT258" s="73">
        <f>AI258*-Valores!$C$69</f>
        <v>-60.48824100000001</v>
      </c>
      <c r="AU258" s="77">
        <f t="shared" si="41"/>
        <v>18535.05254</v>
      </c>
      <c r="AV258" s="77">
        <f t="shared" si="42"/>
        <v>18837.493745000003</v>
      </c>
      <c r="AW258" s="73">
        <f>AI258*Valores!$C$71</f>
        <v>3226.0395200000007</v>
      </c>
      <c r="AX258" s="73">
        <f>AI258*Valores!$C$72</f>
        <v>907.3236150000001</v>
      </c>
      <c r="AY258" s="73">
        <f>AI258*Valores!$C$73</f>
        <v>201.62747000000005</v>
      </c>
      <c r="AZ258" s="73">
        <f>AI258*Valores!$C$75</f>
        <v>705.6961450000002</v>
      </c>
      <c r="BA258" s="73">
        <f>AI258*Valores!$C$76</f>
        <v>120.97648200000002</v>
      </c>
      <c r="BB258" s="73">
        <f t="shared" si="46"/>
        <v>1088.7883380000003</v>
      </c>
      <c r="BC258" s="47"/>
      <c r="BD258" s="47">
        <f t="shared" si="50"/>
        <v>60</v>
      </c>
      <c r="BE258" s="24" t="s">
        <v>4</v>
      </c>
    </row>
    <row r="259" spans="1:57" s="24" customFormat="1" ht="11.25" customHeight="1">
      <c r="A259" s="47">
        <v>258</v>
      </c>
      <c r="B259" s="47"/>
      <c r="C259" s="24" t="s">
        <v>522</v>
      </c>
      <c r="D259" s="24">
        <v>16</v>
      </c>
      <c r="E259" s="24">
        <f t="shared" si="38"/>
        <v>34</v>
      </c>
      <c r="F259" s="67" t="str">
        <f>CONCATENATE("Hora Cátedra Enseñanza Media ",D259," hs")</f>
        <v>Hora Cátedra Enseñanza Media 16 hs</v>
      </c>
      <c r="G259" s="68">
        <f t="shared" si="48"/>
        <v>1264</v>
      </c>
      <c r="H259" s="69">
        <f>INT((G259*Valores!$C$2*100)+0.49)/100</f>
        <v>9668.46</v>
      </c>
      <c r="I259" s="108">
        <v>0</v>
      </c>
      <c r="J259" s="71">
        <f>INT((I259*Valores!$C$2*100)+0.5)/100</f>
        <v>0</v>
      </c>
      <c r="K259" s="98">
        <v>0</v>
      </c>
      <c r="L259" s="71">
        <f>INT((K259*Valores!$C$2*100)+0.5)/100</f>
        <v>0</v>
      </c>
      <c r="M259" s="96">
        <v>0</v>
      </c>
      <c r="N259" s="71">
        <f>INT((M259*Valores!$C$2*100)+0.5)/100</f>
        <v>0</v>
      </c>
      <c r="O259" s="71">
        <f t="shared" si="39"/>
        <v>1748.0609999999997</v>
      </c>
      <c r="P259" s="71">
        <f t="shared" si="40"/>
        <v>0</v>
      </c>
      <c r="Q259" s="97">
        <f>Valores!$C$14*D259</f>
        <v>2956.16</v>
      </c>
      <c r="R259" s="97">
        <f>IF(D259&lt;15,(Valores!$E$4*D259),Valores!$D$4)</f>
        <v>3421.44</v>
      </c>
      <c r="S259" s="71">
        <v>0</v>
      </c>
      <c r="T259" s="74">
        <f>IF(Valores!$C$45*D259&gt;Valores!$C$43,Valores!$C$43,Valores!$C$45*D259)</f>
        <v>943.04</v>
      </c>
      <c r="U259" s="97">
        <f>Valores!$C$22*D259</f>
        <v>1042.24</v>
      </c>
      <c r="V259" s="71">
        <f t="shared" si="49"/>
        <v>1042.24</v>
      </c>
      <c r="W259" s="71">
        <v>0</v>
      </c>
      <c r="X259" s="71">
        <v>0</v>
      </c>
      <c r="Y259" s="114">
        <v>0</v>
      </c>
      <c r="Z259" s="71">
        <f>Y259*Valores!$C$2</f>
        <v>0</v>
      </c>
      <c r="AA259" s="71">
        <v>0</v>
      </c>
      <c r="AB259" s="76">
        <f>IF((Valores!$C$32)*D259&gt;Valores!$F$32,Valores!$F$32,(Valores!$C$32)*D259)</f>
        <v>118.4</v>
      </c>
      <c r="AC259" s="71">
        <f t="shared" si="43"/>
        <v>0</v>
      </c>
      <c r="AD259" s="71">
        <f>IF(Valores!$C$33*D259&gt;Valores!$F$33,Valores!$F$33,Valores!$C$33*D259)</f>
        <v>98.56</v>
      </c>
      <c r="AE259" s="75">
        <v>0</v>
      </c>
      <c r="AF259" s="71">
        <f>INT(((AE259*Valores!$C$2)*100)+0.5)/100</f>
        <v>0</v>
      </c>
      <c r="AG259" s="71">
        <f>IF(Valores!$D$58*'Escala Docente'!D259&gt;Valores!$F$58,Valores!$F$58,Valores!$D$58*'Escala Docente'!D259)</f>
        <v>400.96</v>
      </c>
      <c r="AH259" s="71">
        <f>IF(Valores!$D$60*D259&gt;Valores!$F$60,Valores!$F$60,Valores!$D$60*D259)</f>
        <v>114.56</v>
      </c>
      <c r="AI259" s="110">
        <f t="shared" si="44"/>
        <v>20511.881000000005</v>
      </c>
      <c r="AJ259" s="97">
        <f>IF(Valores!$C$36*D259&gt;Valores!$F$36,Valores!$F$36,Valores!$C$36*D259)</f>
        <v>935.04</v>
      </c>
      <c r="AK259" s="74">
        <f>IF(Valores!$C$11*D259&gt;Valores!$F$11,Valores!$F$11,Valores!$C$11*D259)</f>
        <v>0</v>
      </c>
      <c r="AL259" s="74">
        <f>IF(Valores!$C$84*D259&gt;Valores!$C$83,Valores!$C$83,Valores!$C$84*D259)</f>
        <v>1200</v>
      </c>
      <c r="AM259" s="74">
        <f t="shared" si="51"/>
        <v>1120</v>
      </c>
      <c r="AN259" s="76">
        <f>IF(Valores!$C$57*D259&gt;Valores!$F$57,Valores!$F$57,Valores!$C$57*D259)</f>
        <v>168</v>
      </c>
      <c r="AO259" s="78">
        <f t="shared" si="45"/>
        <v>2135.04</v>
      </c>
      <c r="AP259" s="57">
        <f>AI259*-Valores!$C$65</f>
        <v>-2666.5445300000006</v>
      </c>
      <c r="AQ259" s="57">
        <f>AI259*-Valores!$C$66</f>
        <v>-102.55940500000003</v>
      </c>
      <c r="AR259" s="73">
        <f>AI259*-Valores!$C$67</f>
        <v>-923.0346450000002</v>
      </c>
      <c r="AS259" s="73">
        <f>AI259*-Valores!$C$68</f>
        <v>-553.8207870000001</v>
      </c>
      <c r="AT259" s="73">
        <f>AI259*-Valores!$C$69</f>
        <v>-61.535643000000015</v>
      </c>
      <c r="AU259" s="77">
        <f t="shared" si="41"/>
        <v>18954.782420000007</v>
      </c>
      <c r="AV259" s="77">
        <f t="shared" si="42"/>
        <v>19262.460635000007</v>
      </c>
      <c r="AW259" s="73">
        <f>AI259*Valores!$C$71</f>
        <v>3281.900960000001</v>
      </c>
      <c r="AX259" s="73">
        <f>AI259*Valores!$C$72</f>
        <v>923.0346450000002</v>
      </c>
      <c r="AY259" s="73">
        <f>AI259*Valores!$C$73</f>
        <v>205.11881000000005</v>
      </c>
      <c r="AZ259" s="73">
        <f>AI259*Valores!$C$75</f>
        <v>717.9158350000002</v>
      </c>
      <c r="BA259" s="73">
        <f>AI259*Valores!$C$76</f>
        <v>123.07128600000003</v>
      </c>
      <c r="BB259" s="73">
        <f t="shared" si="46"/>
        <v>1107.6415740000004</v>
      </c>
      <c r="BC259" s="47"/>
      <c r="BD259" s="81">
        <f t="shared" si="50"/>
        <v>64</v>
      </c>
      <c r="BE259" s="24" t="s">
        <v>4</v>
      </c>
    </row>
    <row r="260" spans="1:57" s="24" customFormat="1" ht="11.25" customHeight="1">
      <c r="A260" s="47">
        <v>259</v>
      </c>
      <c r="B260" s="47"/>
      <c r="C260" s="24" t="s">
        <v>522</v>
      </c>
      <c r="D260" s="24">
        <v>16</v>
      </c>
      <c r="E260" s="24">
        <f t="shared" si="38"/>
        <v>42</v>
      </c>
      <c r="F260" s="67" t="str">
        <f>CONCATENATE("Hora Cátedra Enseñanza Media ",D260," hs Esc Esp")</f>
        <v>Hora Cátedra Enseñanza Media 16 hs Esc Esp</v>
      </c>
      <c r="G260" s="68">
        <f t="shared" si="48"/>
        <v>1264</v>
      </c>
      <c r="H260" s="69">
        <f>INT((G260*Valores!$C$2*100)+0.49)/100</f>
        <v>9668.46</v>
      </c>
      <c r="I260" s="108">
        <v>0</v>
      </c>
      <c r="J260" s="71">
        <f>INT((I260*Valores!$C$2*100)+0.5)/100</f>
        <v>0</v>
      </c>
      <c r="K260" s="98">
        <v>0</v>
      </c>
      <c r="L260" s="71">
        <f>INT((K260*Valores!$C$2*100)+0.5)/100</f>
        <v>0</v>
      </c>
      <c r="M260" s="96">
        <v>0</v>
      </c>
      <c r="N260" s="71">
        <f>INT((M260*Valores!$C$2*100)+0.5)/100</f>
        <v>0</v>
      </c>
      <c r="O260" s="71">
        <f t="shared" si="39"/>
        <v>1748.0609999999997</v>
      </c>
      <c r="P260" s="71">
        <f t="shared" si="40"/>
        <v>0</v>
      </c>
      <c r="Q260" s="97">
        <f>Valores!$C$14*D260</f>
        <v>2956.16</v>
      </c>
      <c r="R260" s="97">
        <f>IF(D260&lt;15,(Valores!$E$4*D260),Valores!$D$4)</f>
        <v>3421.44</v>
      </c>
      <c r="S260" s="71">
        <v>0</v>
      </c>
      <c r="T260" s="74">
        <f>IF(Valores!$C$45*D260&gt;Valores!$C$43,Valores!$C$43,Valores!$C$45*D260)</f>
        <v>943.04</v>
      </c>
      <c r="U260" s="97">
        <f>Valores!$C$22*D260</f>
        <v>1042.24</v>
      </c>
      <c r="V260" s="71">
        <f t="shared" si="49"/>
        <v>1042.24</v>
      </c>
      <c r="W260" s="71">
        <v>0</v>
      </c>
      <c r="X260" s="71">
        <v>0</v>
      </c>
      <c r="Y260" s="114">
        <v>0</v>
      </c>
      <c r="Z260" s="71">
        <f>Y260*Valores!$C$2</f>
        <v>0</v>
      </c>
      <c r="AA260" s="71">
        <v>0</v>
      </c>
      <c r="AB260" s="76">
        <f>IF((Valores!$C$32)*D260&gt;Valores!$F$32,Valores!$F$32,(Valores!$C$32)*D260)</f>
        <v>118.4</v>
      </c>
      <c r="AC260" s="71">
        <f t="shared" si="43"/>
        <v>0</v>
      </c>
      <c r="AD260" s="71">
        <f>IF(Valores!$C$33*D260&gt;Valores!$F$33,Valores!$F$33,Valores!$C$33*D260)</f>
        <v>98.56</v>
      </c>
      <c r="AE260" s="75">
        <v>94</v>
      </c>
      <c r="AF260" s="71">
        <f>INT(((AE260*Valores!$C$2)*100)+0.5)/100</f>
        <v>719.02</v>
      </c>
      <c r="AG260" s="71">
        <f>IF(Valores!$D$58*'Escala Docente'!D260&gt;Valores!$F$58,Valores!$F$58,Valores!$D$58*'Escala Docente'!D260)</f>
        <v>400.96</v>
      </c>
      <c r="AH260" s="71">
        <f>IF(Valores!$D$60*D260&gt;Valores!$F$60,Valores!$F$60,Valores!$D$60*D260)</f>
        <v>114.56</v>
      </c>
      <c r="AI260" s="110">
        <f t="shared" si="44"/>
        <v>21230.901000000005</v>
      </c>
      <c r="AJ260" s="97">
        <f>IF(Valores!$C$36*D260&gt;Valores!$F$36,Valores!$F$36,Valores!$C$36*D260)</f>
        <v>935.04</v>
      </c>
      <c r="AK260" s="74">
        <f>IF(Valores!$C$11*D260&gt;Valores!$F$11,Valores!$F$11,Valores!$C$11*D260)</f>
        <v>0</v>
      </c>
      <c r="AL260" s="74">
        <f>IF(Valores!$C$84*D260&gt;Valores!$C$83,Valores!$C$83,Valores!$C$84*D260)</f>
        <v>1200</v>
      </c>
      <c r="AM260" s="74">
        <f t="shared" si="51"/>
        <v>1120</v>
      </c>
      <c r="AN260" s="76">
        <f>IF(Valores!$C$57*D260&gt;Valores!$F$57,Valores!$F$57,Valores!$C$57*D260)</f>
        <v>168</v>
      </c>
      <c r="AO260" s="78">
        <f t="shared" si="45"/>
        <v>2135.04</v>
      </c>
      <c r="AP260" s="57">
        <f>AI260*-Valores!$C$65</f>
        <v>-2760.0171300000006</v>
      </c>
      <c r="AQ260" s="57">
        <f>AI260*-Valores!$C$66</f>
        <v>-106.15450500000003</v>
      </c>
      <c r="AR260" s="73">
        <f>AI260*-Valores!$C$67</f>
        <v>-955.3905450000002</v>
      </c>
      <c r="AS260" s="73">
        <f>AI260*-Valores!$C$68</f>
        <v>-573.2343270000001</v>
      </c>
      <c r="AT260" s="73">
        <f>AI260*-Valores!$C$69</f>
        <v>-63.692703000000016</v>
      </c>
      <c r="AU260" s="77">
        <f t="shared" si="41"/>
        <v>19544.378820000005</v>
      </c>
      <c r="AV260" s="77">
        <f t="shared" si="42"/>
        <v>19862.84233500001</v>
      </c>
      <c r="AW260" s="73">
        <f>AI260*Valores!$C$71</f>
        <v>3396.944160000001</v>
      </c>
      <c r="AX260" s="73">
        <f>AI260*Valores!$C$72</f>
        <v>955.3905450000002</v>
      </c>
      <c r="AY260" s="73">
        <f>AI260*Valores!$C$73</f>
        <v>212.30901000000006</v>
      </c>
      <c r="AZ260" s="73">
        <f>AI260*Valores!$C$75</f>
        <v>743.0815350000003</v>
      </c>
      <c r="BA260" s="73">
        <f>AI260*Valores!$C$76</f>
        <v>127.38540600000003</v>
      </c>
      <c r="BB260" s="73">
        <f t="shared" si="46"/>
        <v>1146.4686540000005</v>
      </c>
      <c r="BC260" s="47"/>
      <c r="BD260" s="47">
        <f t="shared" si="50"/>
        <v>64</v>
      </c>
      <c r="BE260" s="24" t="s">
        <v>4</v>
      </c>
    </row>
    <row r="261" spans="1:57" s="24" customFormat="1" ht="11.25" customHeight="1">
      <c r="A261" s="81">
        <v>260</v>
      </c>
      <c r="B261" s="81" t="s">
        <v>163</v>
      </c>
      <c r="C261" s="82" t="s">
        <v>522</v>
      </c>
      <c r="D261" s="82">
        <v>17</v>
      </c>
      <c r="E261" s="82">
        <f t="shared" si="38"/>
        <v>34</v>
      </c>
      <c r="F261" s="83" t="str">
        <f>CONCATENATE("Hora Cátedra Enseñanza Media ",D261," hs")</f>
        <v>Hora Cátedra Enseñanza Media 17 hs</v>
      </c>
      <c r="G261" s="84">
        <f aca="true" t="shared" si="52" ref="G261:G292">79*D261</f>
        <v>1343</v>
      </c>
      <c r="H261" s="85">
        <f>INT((G261*Valores!$C$2*100)+0.49)/100</f>
        <v>10272.74</v>
      </c>
      <c r="I261" s="99">
        <v>0</v>
      </c>
      <c r="J261" s="87">
        <f>INT((I261*Valores!$C$2*100)+0.5)/100</f>
        <v>0</v>
      </c>
      <c r="K261" s="100">
        <v>0</v>
      </c>
      <c r="L261" s="87">
        <f>INT((K261*Valores!$C$2*100)+0.5)/100</f>
        <v>0</v>
      </c>
      <c r="M261" s="101">
        <v>0</v>
      </c>
      <c r="N261" s="87">
        <f>INT((M261*Valores!$C$2*100)+0.5)/100</f>
        <v>0</v>
      </c>
      <c r="O261" s="87">
        <f t="shared" si="39"/>
        <v>1857.3149999999996</v>
      </c>
      <c r="P261" s="87">
        <f t="shared" si="40"/>
        <v>0</v>
      </c>
      <c r="Q261" s="103">
        <f>Valores!$C$14*D261</f>
        <v>3140.92</v>
      </c>
      <c r="R261" s="103">
        <f>IF(D261&lt;15,(Valores!$E$4*D261),Valores!$D$4)</f>
        <v>3421.44</v>
      </c>
      <c r="S261" s="87">
        <v>0</v>
      </c>
      <c r="T261" s="90">
        <f>IF(Valores!$C$45*D261&gt;Valores!$C$43,Valores!$C$43,Valores!$C$45*D261)</f>
        <v>1001.98</v>
      </c>
      <c r="U261" s="103">
        <f>Valores!$C$22*D261</f>
        <v>1107.38</v>
      </c>
      <c r="V261" s="87">
        <f t="shared" si="49"/>
        <v>1107.38</v>
      </c>
      <c r="W261" s="87">
        <v>0</v>
      </c>
      <c r="X261" s="87">
        <v>0</v>
      </c>
      <c r="Y261" s="115">
        <v>0</v>
      </c>
      <c r="Z261" s="87">
        <f>Y261*Valores!$C$2</f>
        <v>0</v>
      </c>
      <c r="AA261" s="87">
        <v>0</v>
      </c>
      <c r="AB261" s="92">
        <f>IF((Valores!$C$32)*D261&gt;Valores!$F$32,Valores!$F$32,(Valores!$C$32)*D261)</f>
        <v>125.80000000000001</v>
      </c>
      <c r="AC261" s="87">
        <f t="shared" si="43"/>
        <v>0</v>
      </c>
      <c r="AD261" s="87">
        <f>IF(Valores!$C$33*D261&gt;Valores!$F$33,Valores!$F$33,Valores!$C$33*D261)</f>
        <v>104.72</v>
      </c>
      <c r="AE261" s="91">
        <v>0</v>
      </c>
      <c r="AF261" s="87">
        <f>INT(((AE261*Valores!$C$2)*100)+0.5)/100</f>
        <v>0</v>
      </c>
      <c r="AG261" s="87">
        <f>IF(Valores!$D$58*'Escala Docente'!D261&gt;Valores!$F$58,Valores!$F$58,Valores!$D$58*'Escala Docente'!D261)</f>
        <v>426.02</v>
      </c>
      <c r="AH261" s="87">
        <f>IF(Valores!$D$60*D261&gt;Valores!$F$60,Valores!$F$60,Valores!$D$60*D261)</f>
        <v>121.72</v>
      </c>
      <c r="AI261" s="111">
        <f t="shared" si="44"/>
        <v>21580.035000000003</v>
      </c>
      <c r="AJ261" s="103">
        <f>IF(Valores!$C$36*D261&gt;Valores!$F$36,Valores!$F$36,Valores!$C$36*D261)</f>
        <v>993.48</v>
      </c>
      <c r="AK261" s="90">
        <f>IF(Valores!$C$11*D261&gt;Valores!$F$11,Valores!$F$11,Valores!$C$11*D261)</f>
        <v>0</v>
      </c>
      <c r="AL261" s="90">
        <f>IF(Valores!$C$84*D261&gt;Valores!$C$83,Valores!$C$83,Valores!$C$84*D261)</f>
        <v>1275</v>
      </c>
      <c r="AM261" s="74">
        <f t="shared" si="51"/>
        <v>1190</v>
      </c>
      <c r="AN261" s="92">
        <f>IF(Valores!$C$57*D261&gt;Valores!$F$57,Valores!$F$57,Valores!$C$57*D261)</f>
        <v>178.5</v>
      </c>
      <c r="AO261" s="94">
        <f t="shared" si="45"/>
        <v>2268.48</v>
      </c>
      <c r="AP261" s="112">
        <f>AI261*-Valores!$C$65</f>
        <v>-2805.4045500000007</v>
      </c>
      <c r="AQ261" s="112">
        <f>AI261*-Valores!$C$66</f>
        <v>-107.90017500000002</v>
      </c>
      <c r="AR261" s="89">
        <f>AI261*-Valores!$C$67</f>
        <v>-971.1015750000001</v>
      </c>
      <c r="AS261" s="89">
        <f>AI261*-Valores!$C$68</f>
        <v>-582.6609450000001</v>
      </c>
      <c r="AT261" s="89">
        <f>AI261*-Valores!$C$69</f>
        <v>-64.74010500000001</v>
      </c>
      <c r="AU261" s="93">
        <f t="shared" si="41"/>
        <v>19964.108700000004</v>
      </c>
      <c r="AV261" s="93">
        <f t="shared" si="42"/>
        <v>20287.809225000005</v>
      </c>
      <c r="AW261" s="89">
        <f>AI261*Valores!$C$71</f>
        <v>3452.8056000000006</v>
      </c>
      <c r="AX261" s="89">
        <f>AI261*Valores!$C$72</f>
        <v>971.1015750000001</v>
      </c>
      <c r="AY261" s="89">
        <f>AI261*Valores!$C$73</f>
        <v>215.80035000000004</v>
      </c>
      <c r="AZ261" s="89">
        <f>AI261*Valores!$C$75</f>
        <v>755.3012250000002</v>
      </c>
      <c r="BA261" s="89">
        <f>AI261*Valores!$C$76</f>
        <v>129.48021000000003</v>
      </c>
      <c r="BB261" s="89">
        <f t="shared" si="46"/>
        <v>1165.3218900000002</v>
      </c>
      <c r="BC261" s="81"/>
      <c r="BD261" s="81">
        <f t="shared" si="50"/>
        <v>68</v>
      </c>
      <c r="BE261" s="82" t="s">
        <v>4</v>
      </c>
    </row>
    <row r="262" spans="1:57" s="24" customFormat="1" ht="11.25" customHeight="1">
      <c r="A262" s="47">
        <v>261</v>
      </c>
      <c r="B262" s="47"/>
      <c r="C262" s="24" t="s">
        <v>522</v>
      </c>
      <c r="D262" s="24">
        <v>17</v>
      </c>
      <c r="E262" s="24">
        <f t="shared" si="38"/>
        <v>42</v>
      </c>
      <c r="F262" s="67" t="str">
        <f>CONCATENATE("Hora Cátedra Enseñanza Media ",D262," hs Esc Esp")</f>
        <v>Hora Cátedra Enseñanza Media 17 hs Esc Esp</v>
      </c>
      <c r="G262" s="68">
        <f t="shared" si="52"/>
        <v>1343</v>
      </c>
      <c r="H262" s="69">
        <f>INT((G262*Valores!$C$2*100)+0.49)/100</f>
        <v>10272.74</v>
      </c>
      <c r="I262" s="108">
        <v>0</v>
      </c>
      <c r="J262" s="71">
        <f>INT((I262*Valores!$C$2*100)+0.5)/100</f>
        <v>0</v>
      </c>
      <c r="K262" s="98">
        <v>0</v>
      </c>
      <c r="L262" s="71">
        <f>INT((K262*Valores!$C$2*100)+0.5)/100</f>
        <v>0</v>
      </c>
      <c r="M262" s="96">
        <v>0</v>
      </c>
      <c r="N262" s="71">
        <f>INT((M262*Valores!$C$2*100)+0.5)/100</f>
        <v>0</v>
      </c>
      <c r="O262" s="71">
        <f t="shared" si="39"/>
        <v>1857.3149999999996</v>
      </c>
      <c r="P262" s="71">
        <f t="shared" si="40"/>
        <v>0</v>
      </c>
      <c r="Q262" s="97">
        <f>Valores!$C$14*D262</f>
        <v>3140.92</v>
      </c>
      <c r="R262" s="97">
        <f>IF(D262&lt;15,(Valores!$E$4*D262),Valores!$D$4)</f>
        <v>3421.44</v>
      </c>
      <c r="S262" s="71">
        <v>0</v>
      </c>
      <c r="T262" s="74">
        <f>IF(Valores!$C$45*D262&gt;Valores!$C$43,Valores!$C$43,Valores!$C$45*D262)</f>
        <v>1001.98</v>
      </c>
      <c r="U262" s="97">
        <f>Valores!$C$22*D262</f>
        <v>1107.38</v>
      </c>
      <c r="V262" s="71">
        <f t="shared" si="49"/>
        <v>1107.38</v>
      </c>
      <c r="W262" s="71">
        <v>0</v>
      </c>
      <c r="X262" s="71">
        <v>0</v>
      </c>
      <c r="Y262" s="114">
        <v>0</v>
      </c>
      <c r="Z262" s="71">
        <f>Y262*Valores!$C$2</f>
        <v>0</v>
      </c>
      <c r="AA262" s="71">
        <v>0</v>
      </c>
      <c r="AB262" s="76">
        <f>IF((Valores!$C$32)*D262&gt;Valores!$F$32,Valores!$F$32,(Valores!$C$32)*D262)</f>
        <v>125.80000000000001</v>
      </c>
      <c r="AC262" s="71">
        <f t="shared" si="43"/>
        <v>0</v>
      </c>
      <c r="AD262" s="71">
        <f>IF(Valores!$C$33*D262&gt;Valores!$F$33,Valores!$F$33,Valores!$C$33*D262)</f>
        <v>104.72</v>
      </c>
      <c r="AE262" s="75">
        <v>94</v>
      </c>
      <c r="AF262" s="71">
        <f>INT(((AE262*Valores!$C$2)*100)+0.5)/100</f>
        <v>719.02</v>
      </c>
      <c r="AG262" s="71">
        <f>IF(Valores!$D$58*'Escala Docente'!D262&gt;Valores!$F$58,Valores!$F$58,Valores!$D$58*'Escala Docente'!D262)</f>
        <v>426.02</v>
      </c>
      <c r="AH262" s="71">
        <f>IF(Valores!$D$60*D262&gt;Valores!$F$60,Valores!$F$60,Valores!$D$60*D262)</f>
        <v>121.72</v>
      </c>
      <c r="AI262" s="110">
        <f t="shared" si="44"/>
        <v>22299.055000000004</v>
      </c>
      <c r="AJ262" s="97">
        <f>IF(Valores!$C$36*D262&gt;Valores!$F$36,Valores!$F$36,Valores!$C$36*D262)</f>
        <v>993.48</v>
      </c>
      <c r="AK262" s="74">
        <f>IF(Valores!$C$11*D262&gt;Valores!$F$11,Valores!$F$11,Valores!$C$11*D262)</f>
        <v>0</v>
      </c>
      <c r="AL262" s="74">
        <f>IF(Valores!$C$84*D262&gt;Valores!$C$83,Valores!$C$83,Valores!$C$84*D262)</f>
        <v>1275</v>
      </c>
      <c r="AM262" s="74">
        <f t="shared" si="51"/>
        <v>1190</v>
      </c>
      <c r="AN262" s="76">
        <f>IF(Valores!$C$57*D262&gt;Valores!$F$57,Valores!$F$57,Valores!$C$57*D262)</f>
        <v>178.5</v>
      </c>
      <c r="AO262" s="78">
        <f t="shared" si="45"/>
        <v>2268.48</v>
      </c>
      <c r="AP262" s="57">
        <f>AI262*-Valores!$C$65</f>
        <v>-2898.8771500000007</v>
      </c>
      <c r="AQ262" s="57">
        <f>AI262*-Valores!$C$66</f>
        <v>-111.49527500000002</v>
      </c>
      <c r="AR262" s="73">
        <f>AI262*-Valores!$C$67</f>
        <v>-1003.4574750000002</v>
      </c>
      <c r="AS262" s="73">
        <f>AI262*-Valores!$C$68</f>
        <v>-602.0744850000001</v>
      </c>
      <c r="AT262" s="73">
        <f>AI262*-Valores!$C$69</f>
        <v>-66.89716500000002</v>
      </c>
      <c r="AU262" s="77">
        <f t="shared" si="41"/>
        <v>20553.705100000003</v>
      </c>
      <c r="AV262" s="77">
        <f t="shared" si="42"/>
        <v>20888.190925000003</v>
      </c>
      <c r="AW262" s="73">
        <f>AI262*Valores!$C$71</f>
        <v>3567.8488000000007</v>
      </c>
      <c r="AX262" s="73">
        <f>AI262*Valores!$C$72</f>
        <v>1003.4574750000002</v>
      </c>
      <c r="AY262" s="73">
        <f>AI262*Valores!$C$73</f>
        <v>222.99055000000004</v>
      </c>
      <c r="AZ262" s="73">
        <f>AI262*Valores!$C$75</f>
        <v>780.4669250000002</v>
      </c>
      <c r="BA262" s="73">
        <f>AI262*Valores!$C$76</f>
        <v>133.79433000000003</v>
      </c>
      <c r="BB262" s="73">
        <f t="shared" si="46"/>
        <v>1204.1489700000002</v>
      </c>
      <c r="BC262" s="47"/>
      <c r="BD262" s="47">
        <f t="shared" si="50"/>
        <v>68</v>
      </c>
      <c r="BE262" s="24" t="s">
        <v>4</v>
      </c>
    </row>
    <row r="263" spans="1:57" s="24" customFormat="1" ht="11.25" customHeight="1">
      <c r="A263" s="47">
        <v>262</v>
      </c>
      <c r="B263" s="47"/>
      <c r="C263" s="24" t="s">
        <v>522</v>
      </c>
      <c r="D263" s="24">
        <v>18</v>
      </c>
      <c r="E263" s="24">
        <f aca="true" t="shared" si="53" ref="E263:E326">LEN(F263)</f>
        <v>34</v>
      </c>
      <c r="F263" s="67" t="str">
        <f>CONCATENATE("Hora Cátedra Enseñanza Media ",D263," hs")</f>
        <v>Hora Cátedra Enseñanza Media 18 hs</v>
      </c>
      <c r="G263" s="68">
        <f t="shared" si="52"/>
        <v>1422</v>
      </c>
      <c r="H263" s="69">
        <f>INT((G263*Valores!$C$2*100)+0.49)/100</f>
        <v>10877.02</v>
      </c>
      <c r="I263" s="108">
        <v>0</v>
      </c>
      <c r="J263" s="71">
        <f>INT((I263*Valores!$C$2*100)+0.5)/100</f>
        <v>0</v>
      </c>
      <c r="K263" s="98">
        <v>0</v>
      </c>
      <c r="L263" s="71">
        <f>INT((K263*Valores!$C$2*100)+0.5)/100</f>
        <v>0</v>
      </c>
      <c r="M263" s="96">
        <v>0</v>
      </c>
      <c r="N263" s="71">
        <f>INT((M263*Valores!$C$2*100)+0.5)/100</f>
        <v>0</v>
      </c>
      <c r="O263" s="71">
        <f aca="true" t="shared" si="54" ref="O263:O326">IF($J$2=0,IF(C263&lt;&gt;"13-930",(SUM(H263,J263,L263,N263,Z263,U263,T263)*$O$2),0),0)</f>
        <v>1966.569</v>
      </c>
      <c r="P263" s="71">
        <f aca="true" t="shared" si="55" ref="P263:P327">SUM(H263,J263,L263,N263,Z263,T263)*$J$2</f>
        <v>0</v>
      </c>
      <c r="Q263" s="97">
        <f>Valores!$C$14*D263</f>
        <v>3325.68</v>
      </c>
      <c r="R263" s="97">
        <f>IF(D263&lt;15,(Valores!$E$4*D263),Valores!$D$4)</f>
        <v>3421.44</v>
      </c>
      <c r="S263" s="71">
        <v>0</v>
      </c>
      <c r="T263" s="74">
        <f>IF(Valores!$C$45*D263&gt;Valores!$C$43,Valores!$C$43,Valores!$C$45*D263)</f>
        <v>1060.92</v>
      </c>
      <c r="U263" s="97">
        <f>Valores!$C$22*D263</f>
        <v>1172.52</v>
      </c>
      <c r="V263" s="71">
        <f t="shared" si="49"/>
        <v>1172.52</v>
      </c>
      <c r="W263" s="71">
        <v>0</v>
      </c>
      <c r="X263" s="71">
        <v>0</v>
      </c>
      <c r="Y263" s="114">
        <v>0</v>
      </c>
      <c r="Z263" s="71">
        <f>Y263*Valores!$C$2</f>
        <v>0</v>
      </c>
      <c r="AA263" s="71">
        <v>0</v>
      </c>
      <c r="AB263" s="76">
        <f>IF((Valores!$C$32)*D263&gt;Valores!$F$32,Valores!$F$32,(Valores!$C$32)*D263)</f>
        <v>133.20000000000002</v>
      </c>
      <c r="AC263" s="71">
        <f t="shared" si="43"/>
        <v>0</v>
      </c>
      <c r="AD263" s="71">
        <f>IF(Valores!$C$33*D263&gt;Valores!$F$33,Valores!$F$33,Valores!$C$33*D263)</f>
        <v>110.88</v>
      </c>
      <c r="AE263" s="75">
        <v>0</v>
      </c>
      <c r="AF263" s="71">
        <f>INT(((AE263*Valores!$C$2)*100)+0.5)/100</f>
        <v>0</v>
      </c>
      <c r="AG263" s="71">
        <f>IF(Valores!$D$58*'Escala Docente'!D263&gt;Valores!$F$58,Valores!$F$58,Valores!$D$58*'Escala Docente'!D263)</f>
        <v>451.08</v>
      </c>
      <c r="AH263" s="71">
        <f>IF(Valores!$D$60*D263&gt;Valores!$F$60,Valores!$F$60,Valores!$D$60*D263)</f>
        <v>128.88</v>
      </c>
      <c r="AI263" s="110">
        <f t="shared" si="44"/>
        <v>22648.189000000002</v>
      </c>
      <c r="AJ263" s="97">
        <f>IF(Valores!$C$36*D263&gt;Valores!$F$36,Valores!$F$36,Valores!$C$36*D263)</f>
        <v>1051.92</v>
      </c>
      <c r="AK263" s="74">
        <f>IF(Valores!$C$11*D263&gt;Valores!$F$11,Valores!$F$11,Valores!$C$11*D263)</f>
        <v>0</v>
      </c>
      <c r="AL263" s="74">
        <f>IF(Valores!$C$84*D263&gt;Valores!$C$83,Valores!$C$83,Valores!$C$84*D263)</f>
        <v>1350</v>
      </c>
      <c r="AM263" s="74">
        <f t="shared" si="51"/>
        <v>1260</v>
      </c>
      <c r="AN263" s="76">
        <f>IF(Valores!$C$57*D263&gt;Valores!$F$57,Valores!$F$57,Valores!$C$57*D263)</f>
        <v>189</v>
      </c>
      <c r="AO263" s="78">
        <f t="shared" si="45"/>
        <v>2401.92</v>
      </c>
      <c r="AP263" s="57">
        <f>AI263*-Valores!$C$65</f>
        <v>-2944.2645700000003</v>
      </c>
      <c r="AQ263" s="57">
        <f>AI263*-Valores!$C$66</f>
        <v>-113.24094500000001</v>
      </c>
      <c r="AR263" s="73">
        <f>AI263*-Valores!$C$67</f>
        <v>-1019.1685050000001</v>
      </c>
      <c r="AS263" s="73">
        <f>AI263*-Valores!$C$68</f>
        <v>-611.5011030000001</v>
      </c>
      <c r="AT263" s="73">
        <f>AI263*-Valores!$C$69</f>
        <v>-67.944567</v>
      </c>
      <c r="AU263" s="77">
        <f aca="true" t="shared" si="56" ref="AU263:AU327">AI263+AO263+AQ263+AR263+AP263</f>
        <v>20973.43498</v>
      </c>
      <c r="AV263" s="77">
        <f aca="true" t="shared" si="57" ref="AV263:AV327">AI263+AO263+AQ263+AS263+AP263+AT263</f>
        <v>21313.157815000006</v>
      </c>
      <c r="AW263" s="73">
        <f>AI263*Valores!$C$71</f>
        <v>3623.7102400000003</v>
      </c>
      <c r="AX263" s="73">
        <f>AI263*Valores!$C$72</f>
        <v>1019.1685050000001</v>
      </c>
      <c r="AY263" s="73">
        <f>AI263*Valores!$C$73</f>
        <v>226.48189000000002</v>
      </c>
      <c r="AZ263" s="73">
        <f>AI263*Valores!$C$75</f>
        <v>792.6866150000002</v>
      </c>
      <c r="BA263" s="73">
        <f>AI263*Valores!$C$76</f>
        <v>135.889134</v>
      </c>
      <c r="BB263" s="73">
        <f t="shared" si="46"/>
        <v>1223.0022060000001</v>
      </c>
      <c r="BC263" s="47"/>
      <c r="BD263" s="47">
        <f t="shared" si="50"/>
        <v>72</v>
      </c>
      <c r="BE263" s="24" t="s">
        <v>4</v>
      </c>
    </row>
    <row r="264" spans="1:57" s="24" customFormat="1" ht="11.25" customHeight="1">
      <c r="A264" s="47">
        <v>263</v>
      </c>
      <c r="B264" s="47"/>
      <c r="C264" s="24" t="s">
        <v>522</v>
      </c>
      <c r="D264" s="24">
        <v>18</v>
      </c>
      <c r="E264" s="24">
        <f t="shared" si="53"/>
        <v>42</v>
      </c>
      <c r="F264" s="67" t="str">
        <f>CONCATENATE("Hora Cátedra Enseñanza Media ",D264," hs Esc Esp")</f>
        <v>Hora Cátedra Enseñanza Media 18 hs Esc Esp</v>
      </c>
      <c r="G264" s="68">
        <f t="shared" si="52"/>
        <v>1422</v>
      </c>
      <c r="H264" s="69">
        <f>INT((G264*Valores!$C$2*100)+0.49)/100</f>
        <v>10877.02</v>
      </c>
      <c r="I264" s="108">
        <v>0</v>
      </c>
      <c r="J264" s="71">
        <f>INT((I264*Valores!$C$2*100)+0.5)/100</f>
        <v>0</v>
      </c>
      <c r="K264" s="98">
        <v>0</v>
      </c>
      <c r="L264" s="71">
        <f>INT((K264*Valores!$C$2*100)+0.5)/100</f>
        <v>0</v>
      </c>
      <c r="M264" s="96">
        <v>0</v>
      </c>
      <c r="N264" s="71">
        <f>INT((M264*Valores!$C$2*100)+0.5)/100</f>
        <v>0</v>
      </c>
      <c r="O264" s="71">
        <f t="shared" si="54"/>
        <v>1966.569</v>
      </c>
      <c r="P264" s="71">
        <f t="shared" si="55"/>
        <v>0</v>
      </c>
      <c r="Q264" s="97">
        <f>Valores!$C$14*D264</f>
        <v>3325.68</v>
      </c>
      <c r="R264" s="97">
        <f>IF(D264&lt;15,(Valores!$E$4*D264),Valores!$D$4)</f>
        <v>3421.44</v>
      </c>
      <c r="S264" s="71">
        <v>0</v>
      </c>
      <c r="T264" s="74">
        <f>IF(Valores!$C$45*D264&gt;Valores!$C$43,Valores!$C$43,Valores!$C$45*D264)</f>
        <v>1060.92</v>
      </c>
      <c r="U264" s="97">
        <f>Valores!$C$22*D264</f>
        <v>1172.52</v>
      </c>
      <c r="V264" s="71">
        <f t="shared" si="49"/>
        <v>1172.52</v>
      </c>
      <c r="W264" s="71">
        <v>0</v>
      </c>
      <c r="X264" s="71">
        <v>0</v>
      </c>
      <c r="Y264" s="114">
        <v>0</v>
      </c>
      <c r="Z264" s="71">
        <f>Y264*Valores!$C$2</f>
        <v>0</v>
      </c>
      <c r="AA264" s="71">
        <v>0</v>
      </c>
      <c r="AB264" s="76">
        <f>IF((Valores!$C$32)*D264&gt;Valores!$F$32,Valores!$F$32,(Valores!$C$32)*D264)</f>
        <v>133.20000000000002</v>
      </c>
      <c r="AC264" s="71">
        <f aca="true" t="shared" si="58" ref="AC264:AC327">SUM(H264,J264,L264,Z264,T264)*$H$3/100</f>
        <v>0</v>
      </c>
      <c r="AD264" s="71">
        <f>IF(Valores!$C$33*D264&gt;Valores!$F$33,Valores!$F$33,Valores!$C$33*D264)</f>
        <v>110.88</v>
      </c>
      <c r="AE264" s="75">
        <v>94</v>
      </c>
      <c r="AF264" s="71">
        <f>INT(((AE264*Valores!$C$2)*100)+0.5)/100</f>
        <v>719.02</v>
      </c>
      <c r="AG264" s="71">
        <f>IF(Valores!$D$58*'Escala Docente'!D264&gt;Valores!$F$58,Valores!$F$58,Valores!$D$58*'Escala Docente'!D264)</f>
        <v>451.08</v>
      </c>
      <c r="AH264" s="71">
        <f>IF(Valores!$D$60*D264&gt;Valores!$F$60,Valores!$F$60,Valores!$D$60*D264)</f>
        <v>128.88</v>
      </c>
      <c r="AI264" s="110">
        <f aca="true" t="shared" si="59" ref="AI264:AI327">SUM(H264,J264,L264,N264,O264,P264,Q264,R264,S264,V264,W264,X264,Z264,AA264,AB264,AC264,AD264,AF264,T264,AG264,AH264)</f>
        <v>23367.209000000006</v>
      </c>
      <c r="AJ264" s="97">
        <f>IF(Valores!$C$36*D264&gt;Valores!$F$36,Valores!$F$36,Valores!$C$36*D264)</f>
        <v>1051.92</v>
      </c>
      <c r="AK264" s="74">
        <f>IF(Valores!$C$11*D264&gt;Valores!$F$11,Valores!$F$11,Valores!$C$11*D264)</f>
        <v>0</v>
      </c>
      <c r="AL264" s="74">
        <f>IF(Valores!$C$84*D264&gt;Valores!$C$83,Valores!$C$83,Valores!$C$84*D264)</f>
        <v>1350</v>
      </c>
      <c r="AM264" s="74">
        <f t="shared" si="51"/>
        <v>1260</v>
      </c>
      <c r="AN264" s="76">
        <f>IF(Valores!$C$57*D264&gt;Valores!$F$57,Valores!$F$57,Valores!$C$57*D264)</f>
        <v>189</v>
      </c>
      <c r="AO264" s="78">
        <f aca="true" t="shared" si="60" ref="AO264:AO327">IF($H$4="SI",SUM(AJ264:AL264,AN264),SUM(AJ264:AL264))</f>
        <v>2401.92</v>
      </c>
      <c r="AP264" s="57">
        <f>AI264*-Valores!$C$65</f>
        <v>-3037.737170000001</v>
      </c>
      <c r="AQ264" s="57">
        <f>AI264*-Valores!$C$66</f>
        <v>-116.83604500000003</v>
      </c>
      <c r="AR264" s="73">
        <f>AI264*-Valores!$C$67</f>
        <v>-1051.5244050000003</v>
      </c>
      <c r="AS264" s="73">
        <f>AI264*-Valores!$C$68</f>
        <v>-630.9146430000002</v>
      </c>
      <c r="AT264" s="73">
        <f>AI264*-Valores!$C$69</f>
        <v>-70.10162700000002</v>
      </c>
      <c r="AU264" s="77">
        <f t="shared" si="56"/>
        <v>21563.031380000008</v>
      </c>
      <c r="AV264" s="77">
        <f t="shared" si="57"/>
        <v>21913.539515000008</v>
      </c>
      <c r="AW264" s="73">
        <f>AI264*Valores!$C$71</f>
        <v>3738.753440000001</v>
      </c>
      <c r="AX264" s="73">
        <f>AI264*Valores!$C$72</f>
        <v>1051.5244050000003</v>
      </c>
      <c r="AY264" s="73">
        <f>AI264*Valores!$C$73</f>
        <v>233.67209000000005</v>
      </c>
      <c r="AZ264" s="73">
        <f>AI264*Valores!$C$75</f>
        <v>817.8523150000003</v>
      </c>
      <c r="BA264" s="73">
        <f>AI264*Valores!$C$76</f>
        <v>140.20325400000004</v>
      </c>
      <c r="BB264" s="73">
        <f t="shared" si="46"/>
        <v>1261.8292860000004</v>
      </c>
      <c r="BC264" s="47"/>
      <c r="BD264" s="81">
        <f t="shared" si="50"/>
        <v>72</v>
      </c>
      <c r="BE264" s="24" t="s">
        <v>4</v>
      </c>
    </row>
    <row r="265" spans="1:57" s="24" customFormat="1" ht="11.25" customHeight="1">
      <c r="A265" s="47">
        <v>264</v>
      </c>
      <c r="B265" s="47"/>
      <c r="C265" s="24" t="s">
        <v>522</v>
      </c>
      <c r="D265" s="24">
        <v>19</v>
      </c>
      <c r="E265" s="24">
        <f t="shared" si="53"/>
        <v>34</v>
      </c>
      <c r="F265" s="67" t="str">
        <f>CONCATENATE("Hora Cátedra Enseñanza Media ",D265," hs")</f>
        <v>Hora Cátedra Enseñanza Media 19 hs</v>
      </c>
      <c r="G265" s="68">
        <f t="shared" si="52"/>
        <v>1501</v>
      </c>
      <c r="H265" s="69">
        <f>INT((G265*Valores!$C$2*100)+0.49)/100</f>
        <v>11481.3</v>
      </c>
      <c r="I265" s="108">
        <v>0</v>
      </c>
      <c r="J265" s="71">
        <f>INT((I265*Valores!$C$2*100)+0.5)/100</f>
        <v>0</v>
      </c>
      <c r="K265" s="98">
        <v>0</v>
      </c>
      <c r="L265" s="71">
        <f>INT((K265*Valores!$C$2*100)+0.5)/100</f>
        <v>0</v>
      </c>
      <c r="M265" s="96">
        <v>0</v>
      </c>
      <c r="N265" s="71">
        <f>INT((M265*Valores!$C$2*100)+0.5)/100</f>
        <v>0</v>
      </c>
      <c r="O265" s="71">
        <f t="shared" si="54"/>
        <v>2075.823</v>
      </c>
      <c r="P265" s="71">
        <f t="shared" si="55"/>
        <v>0</v>
      </c>
      <c r="Q265" s="97">
        <f>Valores!$C$14*D265</f>
        <v>3510.4399999999996</v>
      </c>
      <c r="R265" s="97">
        <f>IF(D265&lt;15,(Valores!$E$4*D265),Valores!$D$4)</f>
        <v>3421.44</v>
      </c>
      <c r="S265" s="71">
        <v>0</v>
      </c>
      <c r="T265" s="74">
        <f>IF(Valores!$C$45*D265&gt;Valores!$C$43,Valores!$C$43,Valores!$C$45*D265)</f>
        <v>1119.86</v>
      </c>
      <c r="U265" s="97">
        <f>Valores!$C$22*D265</f>
        <v>1237.66</v>
      </c>
      <c r="V265" s="71">
        <f t="shared" si="49"/>
        <v>1237.66</v>
      </c>
      <c r="W265" s="71">
        <v>0</v>
      </c>
      <c r="X265" s="71">
        <v>0</v>
      </c>
      <c r="Y265" s="114">
        <v>0</v>
      </c>
      <c r="Z265" s="71">
        <f>Y265*Valores!$C$2</f>
        <v>0</v>
      </c>
      <c r="AA265" s="71">
        <v>0</v>
      </c>
      <c r="AB265" s="76">
        <f>IF((Valores!$C$32)*D265&gt;Valores!$F$32,Valores!$F$32,(Valores!$C$32)*D265)</f>
        <v>140.6</v>
      </c>
      <c r="AC265" s="71">
        <f t="shared" si="58"/>
        <v>0</v>
      </c>
      <c r="AD265" s="71">
        <f>IF(Valores!$C$33*D265&gt;Valores!$F$33,Valores!$F$33,Valores!$C$33*D265)</f>
        <v>117.04</v>
      </c>
      <c r="AE265" s="75">
        <v>0</v>
      </c>
      <c r="AF265" s="71">
        <f>INT(((AE265*Valores!$C$2)*100)+0.5)/100</f>
        <v>0</v>
      </c>
      <c r="AG265" s="71">
        <f>IF(Valores!$D$58*'Escala Docente'!D265&gt;Valores!$F$58,Valores!$F$58,Valores!$D$58*'Escala Docente'!D265)</f>
        <v>476.14</v>
      </c>
      <c r="AH265" s="71">
        <f>IF(Valores!$D$60*D265&gt;Valores!$F$60,Valores!$F$60,Valores!$D$60*D265)</f>
        <v>136.04</v>
      </c>
      <c r="AI265" s="110">
        <f t="shared" si="59"/>
        <v>23716.342999999997</v>
      </c>
      <c r="AJ265" s="97">
        <f>IF(Valores!$C$36*D265&gt;Valores!$F$36,Valores!$F$36,Valores!$C$36*D265)</f>
        <v>1110.36</v>
      </c>
      <c r="AK265" s="74">
        <f>IF(Valores!$C$11*D265&gt;Valores!$F$11,Valores!$F$11,Valores!$C$11*D265)</f>
        <v>0</v>
      </c>
      <c r="AL265" s="74">
        <f>IF(Valores!$C$84*D265&gt;Valores!$C$83,Valores!$C$83,Valores!$C$84*D265)</f>
        <v>1425</v>
      </c>
      <c r="AM265" s="74">
        <f t="shared" si="51"/>
        <v>1330</v>
      </c>
      <c r="AN265" s="76">
        <f>IF(Valores!$C$57*D265&gt;Valores!$F$57,Valores!$F$57,Valores!$C$57*D265)</f>
        <v>199.5</v>
      </c>
      <c r="AO265" s="78">
        <f t="shared" si="60"/>
        <v>2535.3599999999997</v>
      </c>
      <c r="AP265" s="57">
        <f>AI265*-Valores!$C$65</f>
        <v>-3083.12459</v>
      </c>
      <c r="AQ265" s="57">
        <f>AI265*-Valores!$C$66</f>
        <v>-118.58171499999999</v>
      </c>
      <c r="AR265" s="73">
        <f>AI265*-Valores!$C$67</f>
        <v>-1067.2354349999998</v>
      </c>
      <c r="AS265" s="73">
        <f>AI265*-Valores!$C$68</f>
        <v>-640.3412609999999</v>
      </c>
      <c r="AT265" s="73">
        <f>AI265*-Valores!$C$69</f>
        <v>-71.149029</v>
      </c>
      <c r="AU265" s="77">
        <f t="shared" si="56"/>
        <v>21982.76126</v>
      </c>
      <c r="AV265" s="77">
        <f t="shared" si="57"/>
        <v>22338.506404999996</v>
      </c>
      <c r="AW265" s="73">
        <f>AI265*Valores!$C$71</f>
        <v>3794.6148799999996</v>
      </c>
      <c r="AX265" s="73">
        <f>AI265*Valores!$C$72</f>
        <v>1067.2354349999998</v>
      </c>
      <c r="AY265" s="73">
        <f>AI265*Valores!$C$73</f>
        <v>237.16342999999998</v>
      </c>
      <c r="AZ265" s="73">
        <f>AI265*Valores!$C$75</f>
        <v>830.072005</v>
      </c>
      <c r="BA265" s="73">
        <f>AI265*Valores!$C$76</f>
        <v>142.298058</v>
      </c>
      <c r="BB265" s="73">
        <f aca="true" t="shared" si="61" ref="BB265:BB327">AI265*5.4/100</f>
        <v>1280.6825219999998</v>
      </c>
      <c r="BC265" s="47"/>
      <c r="BD265" s="47">
        <f t="shared" si="50"/>
        <v>76</v>
      </c>
      <c r="BE265" s="24" t="s">
        <v>4</v>
      </c>
    </row>
    <row r="266" spans="1:57" s="24" customFormat="1" ht="11.25" customHeight="1">
      <c r="A266" s="81">
        <v>265</v>
      </c>
      <c r="B266" s="81" t="s">
        <v>163</v>
      </c>
      <c r="C266" s="82" t="s">
        <v>522</v>
      </c>
      <c r="D266" s="82">
        <v>19</v>
      </c>
      <c r="E266" s="82">
        <f t="shared" si="53"/>
        <v>42</v>
      </c>
      <c r="F266" s="83" t="str">
        <f>CONCATENATE("Hora Cátedra Enseñanza Media ",D266," hs Esc Esp")</f>
        <v>Hora Cátedra Enseñanza Media 19 hs Esc Esp</v>
      </c>
      <c r="G266" s="84">
        <f t="shared" si="52"/>
        <v>1501</v>
      </c>
      <c r="H266" s="85">
        <f>INT((G266*Valores!$C$2*100)+0.49)/100</f>
        <v>11481.3</v>
      </c>
      <c r="I266" s="99">
        <v>0</v>
      </c>
      <c r="J266" s="87">
        <f>INT((I266*Valores!$C$2*100)+0.5)/100</f>
        <v>0</v>
      </c>
      <c r="K266" s="100">
        <v>0</v>
      </c>
      <c r="L266" s="87">
        <f>INT((K266*Valores!$C$2*100)+0.5)/100</f>
        <v>0</v>
      </c>
      <c r="M266" s="101">
        <v>0</v>
      </c>
      <c r="N266" s="87">
        <f>INT((M266*Valores!$C$2*100)+0.5)/100</f>
        <v>0</v>
      </c>
      <c r="O266" s="87">
        <f t="shared" si="54"/>
        <v>2075.823</v>
      </c>
      <c r="P266" s="87">
        <f t="shared" si="55"/>
        <v>0</v>
      </c>
      <c r="Q266" s="103">
        <f>Valores!$C$14*D266</f>
        <v>3510.4399999999996</v>
      </c>
      <c r="R266" s="103">
        <f>IF(D266&lt;15,(Valores!$E$4*D266),Valores!$D$4)</f>
        <v>3421.44</v>
      </c>
      <c r="S266" s="87">
        <v>0</v>
      </c>
      <c r="T266" s="90">
        <f>IF(Valores!$C$45*D266&gt;Valores!$C$43,Valores!$C$43,Valores!$C$45*D266)</f>
        <v>1119.86</v>
      </c>
      <c r="U266" s="103">
        <f>Valores!$C$22*D266</f>
        <v>1237.66</v>
      </c>
      <c r="V266" s="87">
        <f t="shared" si="49"/>
        <v>1237.66</v>
      </c>
      <c r="W266" s="87">
        <v>0</v>
      </c>
      <c r="X266" s="87">
        <v>0</v>
      </c>
      <c r="Y266" s="115">
        <v>0</v>
      </c>
      <c r="Z266" s="87">
        <f>Y266*Valores!$C$2</f>
        <v>0</v>
      </c>
      <c r="AA266" s="87">
        <v>0</v>
      </c>
      <c r="AB266" s="92">
        <f>IF((Valores!$C$32)*D266&gt;Valores!$F$32,Valores!$F$32,(Valores!$C$32)*D266)</f>
        <v>140.6</v>
      </c>
      <c r="AC266" s="87">
        <f t="shared" si="58"/>
        <v>0</v>
      </c>
      <c r="AD266" s="87">
        <f>IF(Valores!$C$33*D266&gt;Valores!$F$33,Valores!$F$33,Valores!$C$33*D266)</f>
        <v>117.04</v>
      </c>
      <c r="AE266" s="91">
        <v>94</v>
      </c>
      <c r="AF266" s="87">
        <f>INT(((AE266*Valores!$C$2)*100)+0.5)/100</f>
        <v>719.02</v>
      </c>
      <c r="AG266" s="87">
        <f>IF(Valores!$D$58*'Escala Docente'!D266&gt;Valores!$F$58,Valores!$F$58,Valores!$D$58*'Escala Docente'!D266)</f>
        <v>476.14</v>
      </c>
      <c r="AH266" s="87">
        <f>IF(Valores!$D$60*D266&gt;Valores!$F$60,Valores!$F$60,Valores!$D$60*D266)</f>
        <v>136.04</v>
      </c>
      <c r="AI266" s="111">
        <f t="shared" si="59"/>
        <v>24435.362999999998</v>
      </c>
      <c r="AJ266" s="103">
        <f>IF(Valores!$C$36*D266&gt;Valores!$F$36,Valores!$F$36,Valores!$C$36*D266)</f>
        <v>1110.36</v>
      </c>
      <c r="AK266" s="90">
        <f>IF(Valores!$C$11*D266&gt;Valores!$F$11,Valores!$F$11,Valores!$C$11*D266)</f>
        <v>0</v>
      </c>
      <c r="AL266" s="90">
        <f>IF(Valores!$C$84*D266&gt;Valores!$C$83,Valores!$C$83,Valores!$C$84*D266)</f>
        <v>1425</v>
      </c>
      <c r="AM266" s="74">
        <f t="shared" si="51"/>
        <v>1330</v>
      </c>
      <c r="AN266" s="92">
        <f>IF(Valores!$C$57*D266&gt;Valores!$F$57,Valores!$F$57,Valores!$C$57*D266)</f>
        <v>199.5</v>
      </c>
      <c r="AO266" s="94">
        <f t="shared" si="60"/>
        <v>2535.3599999999997</v>
      </c>
      <c r="AP266" s="112">
        <f>AI266*-Valores!$C$65</f>
        <v>-3176.59719</v>
      </c>
      <c r="AQ266" s="112">
        <f>AI266*-Valores!$C$66</f>
        <v>-122.17681499999999</v>
      </c>
      <c r="AR266" s="89">
        <f>AI266*-Valores!$C$67</f>
        <v>-1099.5913349999998</v>
      </c>
      <c r="AS266" s="89">
        <f>AI266*-Valores!$C$68</f>
        <v>-659.7548009999999</v>
      </c>
      <c r="AT266" s="89">
        <f>AI266*-Valores!$C$69</f>
        <v>-73.306089</v>
      </c>
      <c r="AU266" s="93">
        <f t="shared" si="56"/>
        <v>22572.357659999998</v>
      </c>
      <c r="AV266" s="93">
        <f t="shared" si="57"/>
        <v>22938.888104999998</v>
      </c>
      <c r="AW266" s="89">
        <f>AI266*Valores!$C$71</f>
        <v>3909.6580799999997</v>
      </c>
      <c r="AX266" s="89">
        <f>AI266*Valores!$C$72</f>
        <v>1099.5913349999998</v>
      </c>
      <c r="AY266" s="89">
        <f>AI266*Valores!$C$73</f>
        <v>244.35362999999998</v>
      </c>
      <c r="AZ266" s="89">
        <f>AI266*Valores!$C$75</f>
        <v>855.237705</v>
      </c>
      <c r="BA266" s="89">
        <f>AI266*Valores!$C$76</f>
        <v>146.612178</v>
      </c>
      <c r="BB266" s="89">
        <f t="shared" si="61"/>
        <v>1319.509602</v>
      </c>
      <c r="BC266" s="81"/>
      <c r="BD266" s="81">
        <f t="shared" si="50"/>
        <v>76</v>
      </c>
      <c r="BE266" s="82" t="s">
        <v>4</v>
      </c>
    </row>
    <row r="267" spans="1:57" s="24" customFormat="1" ht="11.25" customHeight="1">
      <c r="A267" s="47">
        <v>266</v>
      </c>
      <c r="B267" s="47"/>
      <c r="C267" s="24" t="s">
        <v>522</v>
      </c>
      <c r="D267" s="24">
        <v>20</v>
      </c>
      <c r="E267" s="24">
        <f t="shared" si="53"/>
        <v>34</v>
      </c>
      <c r="F267" s="67" t="str">
        <f>CONCATENATE("Hora Cátedra Enseñanza Media ",D267," hs")</f>
        <v>Hora Cátedra Enseñanza Media 20 hs</v>
      </c>
      <c r="G267" s="68">
        <f t="shared" si="52"/>
        <v>1580</v>
      </c>
      <c r="H267" s="69">
        <f>INT((G267*Valores!$C$2*100)+0.49)/100</f>
        <v>12085.58</v>
      </c>
      <c r="I267" s="108">
        <v>0</v>
      </c>
      <c r="J267" s="71">
        <f>INT((I267*Valores!$C$2*100)+0.5)/100</f>
        <v>0</v>
      </c>
      <c r="K267" s="98">
        <v>0</v>
      </c>
      <c r="L267" s="71">
        <f>INT((K267*Valores!$C$2*100)+0.5)/100</f>
        <v>0</v>
      </c>
      <c r="M267" s="96">
        <v>0</v>
      </c>
      <c r="N267" s="71">
        <f>INT((M267*Valores!$C$2*100)+0.5)/100</f>
        <v>0</v>
      </c>
      <c r="O267" s="71">
        <f t="shared" si="54"/>
        <v>2185.0769999999998</v>
      </c>
      <c r="P267" s="71">
        <f t="shared" si="55"/>
        <v>0</v>
      </c>
      <c r="Q267" s="97">
        <f>Valores!$C$14*D267</f>
        <v>3695.2</v>
      </c>
      <c r="R267" s="97">
        <f>IF(D267&lt;15,(Valores!$E$4*D267),Valores!$D$4)</f>
        <v>3421.44</v>
      </c>
      <c r="S267" s="71">
        <v>0</v>
      </c>
      <c r="T267" s="74">
        <f>IF(Valores!$C$45*D267&gt;Valores!$C$43,Valores!$C$43,Valores!$C$45*D267)</f>
        <v>1178.8</v>
      </c>
      <c r="U267" s="97">
        <f>Valores!$C$22*D267</f>
        <v>1302.8</v>
      </c>
      <c r="V267" s="71">
        <f t="shared" si="49"/>
        <v>1302.8</v>
      </c>
      <c r="W267" s="71">
        <v>0</v>
      </c>
      <c r="X267" s="71">
        <v>0</v>
      </c>
      <c r="Y267" s="114">
        <v>0</v>
      </c>
      <c r="Z267" s="71">
        <f>Y267*Valores!$C$2</f>
        <v>0</v>
      </c>
      <c r="AA267" s="71">
        <v>0</v>
      </c>
      <c r="AB267" s="76">
        <f>IF((Valores!$C$32)*D267&gt;Valores!$F$32,Valores!$F$32,(Valores!$C$32)*D267)</f>
        <v>148</v>
      </c>
      <c r="AC267" s="71">
        <f t="shared" si="58"/>
        <v>0</v>
      </c>
      <c r="AD267" s="71">
        <f>IF(Valores!$C$33*D267&gt;Valores!$F$33,Valores!$F$33,Valores!$C$33*D267)</f>
        <v>123.2</v>
      </c>
      <c r="AE267" s="75">
        <v>0</v>
      </c>
      <c r="AF267" s="71">
        <f>INT(((AE267*Valores!$C$2)*100)+0.5)/100</f>
        <v>0</v>
      </c>
      <c r="AG267" s="71">
        <f>IF(Valores!$D$58*'Escala Docente'!D267&gt;Valores!$F$58,Valores!$F$58,Valores!$D$58*'Escala Docente'!D267)</f>
        <v>501.2</v>
      </c>
      <c r="AH267" s="71">
        <f>IF(Valores!$D$60*D267&gt;Valores!$F$60,Valores!$F$60,Valores!$D$60*D267)</f>
        <v>143.2</v>
      </c>
      <c r="AI267" s="110">
        <f t="shared" si="59"/>
        <v>24784.497</v>
      </c>
      <c r="AJ267" s="97">
        <f>IF(Valores!$C$36*D267&gt;Valores!$F$36,Valores!$F$36,Valores!$C$36*D267)</f>
        <v>1168.8</v>
      </c>
      <c r="AK267" s="74">
        <f>IF(Valores!$C$11*D267&gt;Valores!$F$11,Valores!$F$11,Valores!$C$11*D267)</f>
        <v>0</v>
      </c>
      <c r="AL267" s="74">
        <f>IF(Valores!$C$84*D267&gt;Valores!$C$83,Valores!$C$83,Valores!$C$84*D267)</f>
        <v>1500</v>
      </c>
      <c r="AM267" s="74">
        <f t="shared" si="51"/>
        <v>1400</v>
      </c>
      <c r="AN267" s="76">
        <f>IF(Valores!$C$57*D267&gt;Valores!$F$57,Valores!$F$57,Valores!$C$57*D267)</f>
        <v>210</v>
      </c>
      <c r="AO267" s="78">
        <f t="shared" si="60"/>
        <v>2668.8</v>
      </c>
      <c r="AP267" s="57">
        <f>AI267*-Valores!$C$65</f>
        <v>-3221.98461</v>
      </c>
      <c r="AQ267" s="57">
        <f>AI267*-Valores!$C$66</f>
        <v>-123.922485</v>
      </c>
      <c r="AR267" s="73">
        <f>AI267*-Valores!$C$67</f>
        <v>-1115.302365</v>
      </c>
      <c r="AS267" s="73">
        <f>AI267*-Valores!$C$68</f>
        <v>-669.181419</v>
      </c>
      <c r="AT267" s="73">
        <f>AI267*-Valores!$C$69</f>
        <v>-74.353491</v>
      </c>
      <c r="AU267" s="77">
        <f t="shared" si="56"/>
        <v>22992.08754</v>
      </c>
      <c r="AV267" s="77">
        <f t="shared" si="57"/>
        <v>23363.854994999998</v>
      </c>
      <c r="AW267" s="73">
        <f>AI267*Valores!$C$71</f>
        <v>3965.51952</v>
      </c>
      <c r="AX267" s="73">
        <f>AI267*Valores!$C$72</f>
        <v>1115.302365</v>
      </c>
      <c r="AY267" s="73">
        <f>AI267*Valores!$C$73</f>
        <v>247.84497</v>
      </c>
      <c r="AZ267" s="73">
        <f>AI267*Valores!$C$75</f>
        <v>867.457395</v>
      </c>
      <c r="BA267" s="73">
        <f>AI267*Valores!$C$76</f>
        <v>148.706982</v>
      </c>
      <c r="BB267" s="73">
        <f t="shared" si="61"/>
        <v>1338.362838</v>
      </c>
      <c r="BC267" s="47"/>
      <c r="BD267" s="47">
        <f t="shared" si="50"/>
        <v>80</v>
      </c>
      <c r="BE267" s="24" t="s">
        <v>4</v>
      </c>
    </row>
    <row r="268" spans="1:57" s="24" customFormat="1" ht="11.25" customHeight="1">
      <c r="A268" s="47">
        <v>267</v>
      </c>
      <c r="B268" s="47"/>
      <c r="C268" s="24" t="s">
        <v>522</v>
      </c>
      <c r="D268" s="24">
        <v>20</v>
      </c>
      <c r="E268" s="24">
        <f t="shared" si="53"/>
        <v>42</v>
      </c>
      <c r="F268" s="67" t="str">
        <f>CONCATENATE("Hora Cátedra Enseñanza Media ",D268," hs Esc Esp")</f>
        <v>Hora Cátedra Enseñanza Media 20 hs Esc Esp</v>
      </c>
      <c r="G268" s="68">
        <f t="shared" si="52"/>
        <v>1580</v>
      </c>
      <c r="H268" s="69">
        <f>INT((G268*Valores!$C$2*100)+0.49)/100</f>
        <v>12085.58</v>
      </c>
      <c r="I268" s="108">
        <v>0</v>
      </c>
      <c r="J268" s="71">
        <f>INT((I268*Valores!$C$2*100)+0.5)/100</f>
        <v>0</v>
      </c>
      <c r="K268" s="98">
        <v>0</v>
      </c>
      <c r="L268" s="71">
        <f>INT((K268*Valores!$C$2*100)+0.5)/100</f>
        <v>0</v>
      </c>
      <c r="M268" s="96">
        <v>0</v>
      </c>
      <c r="N268" s="71">
        <f>INT((M268*Valores!$C$2*100)+0.5)/100</f>
        <v>0</v>
      </c>
      <c r="O268" s="71">
        <f t="shared" si="54"/>
        <v>2185.0769999999998</v>
      </c>
      <c r="P268" s="71">
        <f t="shared" si="55"/>
        <v>0</v>
      </c>
      <c r="Q268" s="97">
        <f>Valores!$C$14*D268</f>
        <v>3695.2</v>
      </c>
      <c r="R268" s="97">
        <f>IF(D268&lt;15,(Valores!$E$4*D268),Valores!$D$4)</f>
        <v>3421.44</v>
      </c>
      <c r="S268" s="71">
        <v>0</v>
      </c>
      <c r="T268" s="74">
        <f>IF(Valores!$C$45*D268&gt;Valores!$C$43,Valores!$C$43,Valores!$C$45*D268)</f>
        <v>1178.8</v>
      </c>
      <c r="U268" s="97">
        <f>Valores!$C$22*D268</f>
        <v>1302.8</v>
      </c>
      <c r="V268" s="71">
        <f t="shared" si="49"/>
        <v>1302.8</v>
      </c>
      <c r="W268" s="71">
        <v>0</v>
      </c>
      <c r="X268" s="71">
        <v>0</v>
      </c>
      <c r="Y268" s="114">
        <v>0</v>
      </c>
      <c r="Z268" s="71">
        <f>Y268*Valores!$C$2</f>
        <v>0</v>
      </c>
      <c r="AA268" s="71">
        <v>0</v>
      </c>
      <c r="AB268" s="76">
        <f>IF((Valores!$C$32)*D268&gt;Valores!$F$32,Valores!$F$32,(Valores!$C$32)*D268)</f>
        <v>148</v>
      </c>
      <c r="AC268" s="71">
        <f t="shared" si="58"/>
        <v>0</v>
      </c>
      <c r="AD268" s="71">
        <f>IF(Valores!$C$33*D268&gt;Valores!$F$33,Valores!$F$33,Valores!$C$33*D268)</f>
        <v>123.2</v>
      </c>
      <c r="AE268" s="75">
        <v>94</v>
      </c>
      <c r="AF268" s="71">
        <f>INT(((AE268*Valores!$C$2)*100)+0.5)/100</f>
        <v>719.02</v>
      </c>
      <c r="AG268" s="71">
        <f>IF(Valores!$D$58*'Escala Docente'!D268&gt;Valores!$F$58,Valores!$F$58,Valores!$D$58*'Escala Docente'!D268)</f>
        <v>501.2</v>
      </c>
      <c r="AH268" s="71">
        <f>IF(Valores!$D$60*D268&gt;Valores!$F$60,Valores!$F$60,Valores!$D$60*D268)</f>
        <v>143.2</v>
      </c>
      <c r="AI268" s="110">
        <f t="shared" si="59"/>
        <v>25503.517</v>
      </c>
      <c r="AJ268" s="97">
        <f>IF(Valores!$C$36*D268&gt;Valores!$F$36,Valores!$F$36,Valores!$C$36*D268)</f>
        <v>1168.8</v>
      </c>
      <c r="AK268" s="74">
        <f>IF(Valores!$C$11*D268&gt;Valores!$F$11,Valores!$F$11,Valores!$C$11*D268)</f>
        <v>0</v>
      </c>
      <c r="AL268" s="74">
        <f>IF(Valores!$C$84*D268&gt;Valores!$C$83,Valores!$C$83,Valores!$C$84*D268)</f>
        <v>1500</v>
      </c>
      <c r="AM268" s="74">
        <f t="shared" si="51"/>
        <v>1400</v>
      </c>
      <c r="AN268" s="76">
        <f>IF(Valores!$C$57*D268&gt;Valores!$F$57,Valores!$F$57,Valores!$C$57*D268)</f>
        <v>210</v>
      </c>
      <c r="AO268" s="78">
        <f t="shared" si="60"/>
        <v>2668.8</v>
      </c>
      <c r="AP268" s="57">
        <f>AI268*-Valores!$C$65</f>
        <v>-3315.45721</v>
      </c>
      <c r="AQ268" s="57">
        <f>AI268*-Valores!$C$66</f>
        <v>-127.517585</v>
      </c>
      <c r="AR268" s="73">
        <f>AI268*-Valores!$C$67</f>
        <v>-1147.658265</v>
      </c>
      <c r="AS268" s="73">
        <f>AI268*-Valores!$C$68</f>
        <v>-688.594959</v>
      </c>
      <c r="AT268" s="73">
        <f>AI268*-Valores!$C$69</f>
        <v>-76.510551</v>
      </c>
      <c r="AU268" s="77">
        <f t="shared" si="56"/>
        <v>23581.683939999995</v>
      </c>
      <c r="AV268" s="77">
        <f t="shared" si="57"/>
        <v>23964.236695</v>
      </c>
      <c r="AW268" s="73">
        <f>AI268*Valores!$C$71</f>
        <v>4080.56272</v>
      </c>
      <c r="AX268" s="73">
        <f>AI268*Valores!$C$72</f>
        <v>1147.658265</v>
      </c>
      <c r="AY268" s="73">
        <f>AI268*Valores!$C$73</f>
        <v>255.03517</v>
      </c>
      <c r="AZ268" s="73">
        <f>AI268*Valores!$C$75</f>
        <v>892.623095</v>
      </c>
      <c r="BA268" s="73">
        <f>AI268*Valores!$C$76</f>
        <v>153.021102</v>
      </c>
      <c r="BB268" s="73">
        <f t="shared" si="61"/>
        <v>1377.1899180000003</v>
      </c>
      <c r="BC268" s="47"/>
      <c r="BD268" s="47">
        <f t="shared" si="50"/>
        <v>80</v>
      </c>
      <c r="BE268" s="24" t="s">
        <v>4</v>
      </c>
    </row>
    <row r="269" spans="1:57" s="24" customFormat="1" ht="11.25" customHeight="1">
      <c r="A269" s="47">
        <v>268</v>
      </c>
      <c r="B269" s="47"/>
      <c r="C269" s="24" t="s">
        <v>522</v>
      </c>
      <c r="D269" s="24">
        <v>21</v>
      </c>
      <c r="E269" s="24">
        <f t="shared" si="53"/>
        <v>34</v>
      </c>
      <c r="F269" s="67" t="str">
        <f>CONCATENATE("Hora Cátedra Enseñanza Media ",D269," hs")</f>
        <v>Hora Cátedra Enseñanza Media 21 hs</v>
      </c>
      <c r="G269" s="68">
        <f t="shared" si="52"/>
        <v>1659</v>
      </c>
      <c r="H269" s="69">
        <f>INT((G269*Valores!$C$2*100)+0.49)/100</f>
        <v>12689.86</v>
      </c>
      <c r="I269" s="108">
        <v>0</v>
      </c>
      <c r="J269" s="71">
        <f>INT((I269*Valores!$C$2*100)+0.5)/100</f>
        <v>0</v>
      </c>
      <c r="K269" s="98">
        <v>0</v>
      </c>
      <c r="L269" s="71">
        <f>INT((K269*Valores!$C$2*100)+0.5)/100</f>
        <v>0</v>
      </c>
      <c r="M269" s="96">
        <v>0</v>
      </c>
      <c r="N269" s="71">
        <f>INT((M269*Valores!$C$2*100)+0.5)/100</f>
        <v>0</v>
      </c>
      <c r="O269" s="71">
        <f t="shared" si="54"/>
        <v>2294.331</v>
      </c>
      <c r="P269" s="71">
        <f t="shared" si="55"/>
        <v>0</v>
      </c>
      <c r="Q269" s="97">
        <f>Valores!$C$14*D269</f>
        <v>3879.96</v>
      </c>
      <c r="R269" s="97">
        <f>IF(D269&lt;15,(Valores!$E$4*D269),Valores!$D$4)</f>
        <v>3421.44</v>
      </c>
      <c r="S269" s="71">
        <v>0</v>
      </c>
      <c r="T269" s="74">
        <f>IF(Valores!$C$45*D269&gt;Valores!$C$43,Valores!$C$43,Valores!$C$45*D269)</f>
        <v>1237.74</v>
      </c>
      <c r="U269" s="97">
        <f>Valores!$C$22*D269</f>
        <v>1367.94</v>
      </c>
      <c r="V269" s="71">
        <f t="shared" si="49"/>
        <v>1367.94</v>
      </c>
      <c r="W269" s="71">
        <v>0</v>
      </c>
      <c r="X269" s="71">
        <v>0</v>
      </c>
      <c r="Y269" s="114">
        <v>0</v>
      </c>
      <c r="Z269" s="71">
        <f>Y269*Valores!$C$2</f>
        <v>0</v>
      </c>
      <c r="AA269" s="71">
        <v>0</v>
      </c>
      <c r="AB269" s="76">
        <f>IF((Valores!$C$32)*D269&gt;Valores!$F$32,Valores!$F$32,(Valores!$C$32)*D269)</f>
        <v>155.4</v>
      </c>
      <c r="AC269" s="71">
        <f t="shared" si="58"/>
        <v>0</v>
      </c>
      <c r="AD269" s="71">
        <f>IF(Valores!$C$33*D269&gt;Valores!$F$33,Valores!$F$33,Valores!$C$33*D269)</f>
        <v>129.36</v>
      </c>
      <c r="AE269" s="75">
        <v>0</v>
      </c>
      <c r="AF269" s="71">
        <f>INT(((AE269*Valores!$C$2)*100)+0.5)/100</f>
        <v>0</v>
      </c>
      <c r="AG269" s="71">
        <f>IF(Valores!$D$58*'Escala Docente'!D269&gt;Valores!$F$58,Valores!$F$58,Valores!$D$58*'Escala Docente'!D269)</f>
        <v>526.26</v>
      </c>
      <c r="AH269" s="71">
        <f>IF(Valores!$D$60*D269&gt;Valores!$F$60,Valores!$F$60,Valores!$D$60*D269)</f>
        <v>150.36</v>
      </c>
      <c r="AI269" s="110">
        <f t="shared" si="59"/>
        <v>25852.651</v>
      </c>
      <c r="AJ269" s="97">
        <f>IF(Valores!$C$36*D269&gt;Valores!$F$36,Valores!$F$36,Valores!$C$36*D269)</f>
        <v>1227.24</v>
      </c>
      <c r="AK269" s="74">
        <f>IF(Valores!$C$11*D269&gt;Valores!$F$11,Valores!$F$11,Valores!$C$11*D269)</f>
        <v>0</v>
      </c>
      <c r="AL269" s="74">
        <f>IF(Valores!$C$84*D269&gt;Valores!$C$83,Valores!$C$83,Valores!$C$84*D269)</f>
        <v>1575</v>
      </c>
      <c r="AM269" s="74">
        <f t="shared" si="51"/>
        <v>1470</v>
      </c>
      <c r="AN269" s="76">
        <f>IF(Valores!$C$57*D269&gt;Valores!$F$57,Valores!$F$57,Valores!$C$57*D269)</f>
        <v>220.5</v>
      </c>
      <c r="AO269" s="78">
        <f t="shared" si="60"/>
        <v>2802.24</v>
      </c>
      <c r="AP269" s="57">
        <f>AI269*-Valores!$C$65</f>
        <v>-3360.8446300000005</v>
      </c>
      <c r="AQ269" s="57">
        <f>AI269*-Valores!$C$66</f>
        <v>-129.26325500000002</v>
      </c>
      <c r="AR269" s="73">
        <f>AI269*-Valores!$C$67</f>
        <v>-1163.369295</v>
      </c>
      <c r="AS269" s="73">
        <f>AI269*-Valores!$C$68</f>
        <v>-698.0215770000001</v>
      </c>
      <c r="AT269" s="73">
        <f>AI269*-Valores!$C$69</f>
        <v>-77.55795300000001</v>
      </c>
      <c r="AU269" s="77">
        <f t="shared" si="56"/>
        <v>24001.41382</v>
      </c>
      <c r="AV269" s="77">
        <f t="shared" si="57"/>
        <v>24389.203585000003</v>
      </c>
      <c r="AW269" s="73">
        <f>AI269*Valores!$C$71</f>
        <v>4136.4241600000005</v>
      </c>
      <c r="AX269" s="73">
        <f>AI269*Valores!$C$72</f>
        <v>1163.369295</v>
      </c>
      <c r="AY269" s="73">
        <f>AI269*Valores!$C$73</f>
        <v>258.52651000000003</v>
      </c>
      <c r="AZ269" s="73">
        <f>AI269*Valores!$C$75</f>
        <v>904.8427850000002</v>
      </c>
      <c r="BA269" s="73">
        <f>AI269*Valores!$C$76</f>
        <v>155.11590600000002</v>
      </c>
      <c r="BB269" s="73">
        <f t="shared" si="61"/>
        <v>1396.0431540000002</v>
      </c>
      <c r="BC269" s="47"/>
      <c r="BD269" s="81">
        <f t="shared" si="50"/>
        <v>84</v>
      </c>
      <c r="BE269" s="24" t="s">
        <v>4</v>
      </c>
    </row>
    <row r="270" spans="1:57" s="24" customFormat="1" ht="11.25" customHeight="1">
      <c r="A270" s="47">
        <v>269</v>
      </c>
      <c r="B270" s="47"/>
      <c r="C270" s="24" t="s">
        <v>522</v>
      </c>
      <c r="D270" s="24">
        <v>21</v>
      </c>
      <c r="E270" s="24">
        <f t="shared" si="53"/>
        <v>42</v>
      </c>
      <c r="F270" s="67" t="str">
        <f>CONCATENATE("Hora Cátedra Enseñanza Media ",D270," hs Esc Esp")</f>
        <v>Hora Cátedra Enseñanza Media 21 hs Esc Esp</v>
      </c>
      <c r="G270" s="68">
        <f t="shared" si="52"/>
        <v>1659</v>
      </c>
      <c r="H270" s="69">
        <f>INT((G270*Valores!$C$2*100)+0.49)/100</f>
        <v>12689.86</v>
      </c>
      <c r="I270" s="108">
        <v>0</v>
      </c>
      <c r="J270" s="71">
        <f>INT((I270*Valores!$C$2*100)+0.5)/100</f>
        <v>0</v>
      </c>
      <c r="K270" s="98">
        <v>0</v>
      </c>
      <c r="L270" s="71">
        <f>INT((K270*Valores!$C$2*100)+0.5)/100</f>
        <v>0</v>
      </c>
      <c r="M270" s="96">
        <v>0</v>
      </c>
      <c r="N270" s="71">
        <f>INT((M270*Valores!$C$2*100)+0.5)/100</f>
        <v>0</v>
      </c>
      <c r="O270" s="71">
        <f t="shared" si="54"/>
        <v>2294.331</v>
      </c>
      <c r="P270" s="71">
        <f t="shared" si="55"/>
        <v>0</v>
      </c>
      <c r="Q270" s="97">
        <f>Valores!$C$14*D270</f>
        <v>3879.96</v>
      </c>
      <c r="R270" s="97">
        <f>IF(D270&lt;15,(Valores!$E$4*D270),Valores!$D$4)</f>
        <v>3421.44</v>
      </c>
      <c r="S270" s="71">
        <v>0</v>
      </c>
      <c r="T270" s="74">
        <f>IF(Valores!$C$45*D270&gt;Valores!$C$43,Valores!$C$43,Valores!$C$45*D270)</f>
        <v>1237.74</v>
      </c>
      <c r="U270" s="97">
        <f>Valores!$C$22*D270</f>
        <v>1367.94</v>
      </c>
      <c r="V270" s="71">
        <f t="shared" si="49"/>
        <v>1367.94</v>
      </c>
      <c r="W270" s="71">
        <v>0</v>
      </c>
      <c r="X270" s="71">
        <v>0</v>
      </c>
      <c r="Y270" s="114">
        <v>0</v>
      </c>
      <c r="Z270" s="71">
        <f>Y270*Valores!$C$2</f>
        <v>0</v>
      </c>
      <c r="AA270" s="71">
        <v>0</v>
      </c>
      <c r="AB270" s="76">
        <f>IF((Valores!$C$32)*D270&gt;Valores!$F$32,Valores!$F$32,(Valores!$C$32)*D270)</f>
        <v>155.4</v>
      </c>
      <c r="AC270" s="71">
        <f t="shared" si="58"/>
        <v>0</v>
      </c>
      <c r="AD270" s="71">
        <f>IF(Valores!$C$33*D270&gt;Valores!$F$33,Valores!$F$33,Valores!$C$33*D270)</f>
        <v>129.36</v>
      </c>
      <c r="AE270" s="75">
        <v>94</v>
      </c>
      <c r="AF270" s="71">
        <f>INT(((AE270*Valores!$C$2)*100)+0.5)/100</f>
        <v>719.02</v>
      </c>
      <c r="AG270" s="71">
        <f>IF(Valores!$D$58*'Escala Docente'!D270&gt;Valores!$F$58,Valores!$F$58,Valores!$D$58*'Escala Docente'!D270)</f>
        <v>526.26</v>
      </c>
      <c r="AH270" s="71">
        <f>IF(Valores!$D$60*D270&gt;Valores!$F$60,Valores!$F$60,Valores!$D$60*D270)</f>
        <v>150.36</v>
      </c>
      <c r="AI270" s="110">
        <f t="shared" si="59"/>
        <v>26571.671000000002</v>
      </c>
      <c r="AJ270" s="97">
        <f>IF(Valores!$C$36*D270&gt;Valores!$F$36,Valores!$F$36,Valores!$C$36*D270)</f>
        <v>1227.24</v>
      </c>
      <c r="AK270" s="74">
        <f>IF(Valores!$C$11*D270&gt;Valores!$F$11,Valores!$F$11,Valores!$C$11*D270)</f>
        <v>0</v>
      </c>
      <c r="AL270" s="74">
        <f>IF(Valores!$C$84*D270&gt;Valores!$C$83,Valores!$C$83,Valores!$C$84*D270)</f>
        <v>1575</v>
      </c>
      <c r="AM270" s="74">
        <f t="shared" si="51"/>
        <v>1470</v>
      </c>
      <c r="AN270" s="76">
        <f>IF(Valores!$C$57*D270&gt;Valores!$F$57,Valores!$F$57,Valores!$C$57*D270)</f>
        <v>220.5</v>
      </c>
      <c r="AO270" s="78">
        <f t="shared" si="60"/>
        <v>2802.24</v>
      </c>
      <c r="AP270" s="57">
        <f>AI270*-Valores!$C$65</f>
        <v>-3454.3172300000006</v>
      </c>
      <c r="AQ270" s="57">
        <f>AI270*-Valores!$C$66</f>
        <v>-132.85835500000002</v>
      </c>
      <c r="AR270" s="73">
        <f>AI270*-Valores!$C$67</f>
        <v>-1195.725195</v>
      </c>
      <c r="AS270" s="73">
        <f>AI270*-Valores!$C$68</f>
        <v>-717.4351170000001</v>
      </c>
      <c r="AT270" s="73">
        <f>AI270*-Valores!$C$69</f>
        <v>-79.71501300000001</v>
      </c>
      <c r="AU270" s="77">
        <f t="shared" si="56"/>
        <v>24591.01022</v>
      </c>
      <c r="AV270" s="77">
        <f t="shared" si="57"/>
        <v>24989.585284999997</v>
      </c>
      <c r="AW270" s="73">
        <f>AI270*Valores!$C$71</f>
        <v>4251.467360000001</v>
      </c>
      <c r="AX270" s="73">
        <f>AI270*Valores!$C$72</f>
        <v>1195.725195</v>
      </c>
      <c r="AY270" s="73">
        <f>AI270*Valores!$C$73</f>
        <v>265.71671000000003</v>
      </c>
      <c r="AZ270" s="73">
        <f>AI270*Valores!$C$75</f>
        <v>930.0084850000002</v>
      </c>
      <c r="BA270" s="73">
        <f>AI270*Valores!$C$76</f>
        <v>159.43002600000003</v>
      </c>
      <c r="BB270" s="73">
        <f t="shared" si="61"/>
        <v>1434.8702340000004</v>
      </c>
      <c r="BC270" s="47"/>
      <c r="BD270" s="47">
        <f t="shared" si="50"/>
        <v>84</v>
      </c>
      <c r="BE270" s="24" t="s">
        <v>4</v>
      </c>
    </row>
    <row r="271" spans="1:57" s="24" customFormat="1" ht="11.25" customHeight="1">
      <c r="A271" s="81">
        <v>270</v>
      </c>
      <c r="B271" s="81" t="s">
        <v>163</v>
      </c>
      <c r="C271" s="82" t="s">
        <v>522</v>
      </c>
      <c r="D271" s="82">
        <v>22</v>
      </c>
      <c r="E271" s="82">
        <f t="shared" si="53"/>
        <v>34</v>
      </c>
      <c r="F271" s="83" t="str">
        <f>CONCATENATE("Hora Cátedra Enseñanza Media ",D271," hs")</f>
        <v>Hora Cátedra Enseñanza Media 22 hs</v>
      </c>
      <c r="G271" s="84">
        <f t="shared" si="52"/>
        <v>1738</v>
      </c>
      <c r="H271" s="85">
        <f>INT((G271*Valores!$C$2*100)+0.49)/100</f>
        <v>13294.14</v>
      </c>
      <c r="I271" s="99">
        <v>0</v>
      </c>
      <c r="J271" s="87">
        <f>INT((I271*Valores!$C$2*100)+0.5)/100</f>
        <v>0</v>
      </c>
      <c r="K271" s="100">
        <v>0</v>
      </c>
      <c r="L271" s="87">
        <f>INT((K271*Valores!$C$2*100)+0.5)/100</f>
        <v>0</v>
      </c>
      <c r="M271" s="101">
        <v>0</v>
      </c>
      <c r="N271" s="87">
        <f>INT((M271*Valores!$C$2*100)+0.5)/100</f>
        <v>0</v>
      </c>
      <c r="O271" s="87">
        <f t="shared" si="54"/>
        <v>2403.585</v>
      </c>
      <c r="P271" s="87">
        <f t="shared" si="55"/>
        <v>0</v>
      </c>
      <c r="Q271" s="103">
        <f>Valores!$C$14*D271</f>
        <v>4064.72</v>
      </c>
      <c r="R271" s="103">
        <f>IF(D271&lt;15,(Valores!$E$4*D271),Valores!$D$4)</f>
        <v>3421.44</v>
      </c>
      <c r="S271" s="87">
        <v>0</v>
      </c>
      <c r="T271" s="90">
        <f>IF(Valores!$C$45*D271&gt;Valores!$C$43,Valores!$C$43,Valores!$C$45*D271)</f>
        <v>1296.6799999999998</v>
      </c>
      <c r="U271" s="103">
        <f>Valores!$C$22*D271</f>
        <v>1433.08</v>
      </c>
      <c r="V271" s="87">
        <f t="shared" si="49"/>
        <v>1433.08</v>
      </c>
      <c r="W271" s="87">
        <v>0</v>
      </c>
      <c r="X271" s="87">
        <v>0</v>
      </c>
      <c r="Y271" s="115">
        <v>0</v>
      </c>
      <c r="Z271" s="87">
        <f>Y271*Valores!$C$2</f>
        <v>0</v>
      </c>
      <c r="AA271" s="87">
        <v>0</v>
      </c>
      <c r="AB271" s="92">
        <f>IF((Valores!$C$32)*D271&gt;Valores!$F$32,Valores!$F$32,(Valores!$C$32)*D271)</f>
        <v>162.8</v>
      </c>
      <c r="AC271" s="87">
        <f t="shared" si="58"/>
        <v>0</v>
      </c>
      <c r="AD271" s="87">
        <f>IF(Valores!$C$33*D271&gt;Valores!$F$33,Valores!$F$33,Valores!$C$33*D271)</f>
        <v>135.52</v>
      </c>
      <c r="AE271" s="91">
        <v>0</v>
      </c>
      <c r="AF271" s="87">
        <f>INT(((AE271*Valores!$C$2)*100)+0.5)/100</f>
        <v>0</v>
      </c>
      <c r="AG271" s="87">
        <f>IF(Valores!$D$58*'Escala Docente'!D271&gt;Valores!$F$58,Valores!$F$58,Valores!$D$58*'Escala Docente'!D271)</f>
        <v>551.3199999999999</v>
      </c>
      <c r="AH271" s="87">
        <f>IF(Valores!$D$60*D271&gt;Valores!$F$60,Valores!$F$60,Valores!$D$60*D271)</f>
        <v>157.52</v>
      </c>
      <c r="AI271" s="111">
        <f t="shared" si="59"/>
        <v>26920.804999999997</v>
      </c>
      <c r="AJ271" s="103">
        <f>IF(Valores!$C$36*D271&gt;Valores!$F$36,Valores!$F$36,Valores!$C$36*D271)</f>
        <v>1285.6799999999998</v>
      </c>
      <c r="AK271" s="90">
        <f>IF(Valores!$C$11*D271&gt;Valores!$F$11,Valores!$F$11,Valores!$C$11*D271)</f>
        <v>0</v>
      </c>
      <c r="AL271" s="90">
        <f>IF(Valores!$C$84*D271&gt;Valores!$C$83,Valores!$C$83,Valores!$C$84*D271)</f>
        <v>1650</v>
      </c>
      <c r="AM271" s="74">
        <f t="shared" si="51"/>
        <v>1540</v>
      </c>
      <c r="AN271" s="92">
        <f>IF(Valores!$C$57*D271&gt;Valores!$F$57,Valores!$F$57,Valores!$C$57*D271)</f>
        <v>231</v>
      </c>
      <c r="AO271" s="94">
        <f t="shared" si="60"/>
        <v>2935.68</v>
      </c>
      <c r="AP271" s="112">
        <f>AI271*-Valores!$C$65</f>
        <v>-3499.7046499999997</v>
      </c>
      <c r="AQ271" s="112">
        <f>AI271*-Valores!$C$66</f>
        <v>-134.60402499999998</v>
      </c>
      <c r="AR271" s="89">
        <f>AI271*-Valores!$C$67</f>
        <v>-1211.4362249999997</v>
      </c>
      <c r="AS271" s="89">
        <f>AI271*-Valores!$C$68</f>
        <v>-726.861735</v>
      </c>
      <c r="AT271" s="89">
        <f>AI271*-Valores!$C$69</f>
        <v>-80.76241499999999</v>
      </c>
      <c r="AU271" s="93">
        <f t="shared" si="56"/>
        <v>25010.740099999995</v>
      </c>
      <c r="AV271" s="93">
        <f t="shared" si="57"/>
        <v>25414.552174999997</v>
      </c>
      <c r="AW271" s="89">
        <f>AI271*Valores!$C$71</f>
        <v>4307.328799999999</v>
      </c>
      <c r="AX271" s="89">
        <f>AI271*Valores!$C$72</f>
        <v>1211.4362249999997</v>
      </c>
      <c r="AY271" s="89">
        <f>AI271*Valores!$C$73</f>
        <v>269.20804999999996</v>
      </c>
      <c r="AZ271" s="89">
        <f>AI271*Valores!$C$75</f>
        <v>942.228175</v>
      </c>
      <c r="BA271" s="89">
        <f>AI271*Valores!$C$76</f>
        <v>161.52482999999998</v>
      </c>
      <c r="BB271" s="89">
        <f t="shared" si="61"/>
        <v>1453.72347</v>
      </c>
      <c r="BC271" s="81"/>
      <c r="BD271" s="81">
        <f t="shared" si="50"/>
        <v>88</v>
      </c>
      <c r="BE271" s="82" t="s">
        <v>4</v>
      </c>
    </row>
    <row r="272" spans="1:57" s="24" customFormat="1" ht="11.25" customHeight="1">
      <c r="A272" s="47">
        <v>271</v>
      </c>
      <c r="B272" s="47"/>
      <c r="C272" s="24" t="s">
        <v>522</v>
      </c>
      <c r="D272" s="24">
        <v>22</v>
      </c>
      <c r="E272" s="24">
        <f t="shared" si="53"/>
        <v>42</v>
      </c>
      <c r="F272" s="67" t="str">
        <f>CONCATENATE("Hora Cátedra Enseñanza Media ",D272," hs Esc Esp")</f>
        <v>Hora Cátedra Enseñanza Media 22 hs Esc Esp</v>
      </c>
      <c r="G272" s="68">
        <f t="shared" si="52"/>
        <v>1738</v>
      </c>
      <c r="H272" s="69">
        <f>INT((G272*Valores!$C$2*100)+0.49)/100</f>
        <v>13294.14</v>
      </c>
      <c r="I272" s="108">
        <v>0</v>
      </c>
      <c r="J272" s="71">
        <f>INT((I272*Valores!$C$2*100)+0.5)/100</f>
        <v>0</v>
      </c>
      <c r="K272" s="98">
        <v>0</v>
      </c>
      <c r="L272" s="71">
        <f>INT((K272*Valores!$C$2*100)+0.5)/100</f>
        <v>0</v>
      </c>
      <c r="M272" s="96">
        <v>0</v>
      </c>
      <c r="N272" s="71">
        <f>INT((M272*Valores!$C$2*100)+0.5)/100</f>
        <v>0</v>
      </c>
      <c r="O272" s="71">
        <f t="shared" si="54"/>
        <v>2403.585</v>
      </c>
      <c r="P272" s="71">
        <f t="shared" si="55"/>
        <v>0</v>
      </c>
      <c r="Q272" s="97">
        <f>Valores!$C$14*D272</f>
        <v>4064.72</v>
      </c>
      <c r="R272" s="97">
        <f>IF(D272&lt;15,(Valores!$E$4*D272),Valores!$D$4)</f>
        <v>3421.44</v>
      </c>
      <c r="S272" s="71">
        <v>0</v>
      </c>
      <c r="T272" s="74">
        <f>IF(Valores!$C$45*D272&gt;Valores!$C$43,Valores!$C$43,Valores!$C$45*D272)</f>
        <v>1296.6799999999998</v>
      </c>
      <c r="U272" s="97">
        <f>Valores!$C$22*D272</f>
        <v>1433.08</v>
      </c>
      <c r="V272" s="71">
        <f t="shared" si="49"/>
        <v>1433.08</v>
      </c>
      <c r="W272" s="71">
        <v>0</v>
      </c>
      <c r="X272" s="71">
        <v>0</v>
      </c>
      <c r="Y272" s="114">
        <v>0</v>
      </c>
      <c r="Z272" s="71">
        <f>Y272*Valores!$C$2</f>
        <v>0</v>
      </c>
      <c r="AA272" s="71">
        <v>0</v>
      </c>
      <c r="AB272" s="76">
        <f>IF((Valores!$C$32)*D272&gt;Valores!$F$32,Valores!$F$32,(Valores!$C$32)*D272)</f>
        <v>162.8</v>
      </c>
      <c r="AC272" s="71">
        <f t="shared" si="58"/>
        <v>0</v>
      </c>
      <c r="AD272" s="71">
        <f>IF(Valores!$C$33*D272&gt;Valores!$F$33,Valores!$F$33,Valores!$C$33*D272)</f>
        <v>135.52</v>
      </c>
      <c r="AE272" s="75">
        <v>94</v>
      </c>
      <c r="AF272" s="71">
        <f>INT(((AE272*Valores!$C$2)*100)+0.5)/100</f>
        <v>719.02</v>
      </c>
      <c r="AG272" s="71">
        <f>IF(Valores!$D$58*'Escala Docente'!D272&gt;Valores!$F$58,Valores!$F$58,Valores!$D$58*'Escala Docente'!D272)</f>
        <v>551.3199999999999</v>
      </c>
      <c r="AH272" s="71">
        <f>IF(Valores!$D$60*D272&gt;Valores!$F$60,Valores!$F$60,Valores!$D$60*D272)</f>
        <v>157.52</v>
      </c>
      <c r="AI272" s="110">
        <f t="shared" si="59"/>
        <v>27639.824999999997</v>
      </c>
      <c r="AJ272" s="97">
        <f>IF(Valores!$C$36*D272&gt;Valores!$F$36,Valores!$F$36,Valores!$C$36*D272)</f>
        <v>1285.6799999999998</v>
      </c>
      <c r="AK272" s="74">
        <f>IF(Valores!$C$11*D272&gt;Valores!$F$11,Valores!$F$11,Valores!$C$11*D272)</f>
        <v>0</v>
      </c>
      <c r="AL272" s="74">
        <f>IF(Valores!$C$84*D272&gt;Valores!$C$83,Valores!$C$83,Valores!$C$84*D272)</f>
        <v>1650</v>
      </c>
      <c r="AM272" s="74">
        <f t="shared" si="51"/>
        <v>1540</v>
      </c>
      <c r="AN272" s="76">
        <f>IF(Valores!$C$57*D272&gt;Valores!$F$57,Valores!$F$57,Valores!$C$57*D272)</f>
        <v>231</v>
      </c>
      <c r="AO272" s="78">
        <f t="shared" si="60"/>
        <v>2935.68</v>
      </c>
      <c r="AP272" s="57">
        <f>AI272*-Valores!$C$65</f>
        <v>-3593.1772499999997</v>
      </c>
      <c r="AQ272" s="57">
        <f>AI272*-Valores!$C$66</f>
        <v>-138.19912499999998</v>
      </c>
      <c r="AR272" s="73">
        <f>AI272*-Valores!$C$67</f>
        <v>-1243.7921249999997</v>
      </c>
      <c r="AS272" s="73">
        <f>AI272*-Valores!$C$68</f>
        <v>-746.275275</v>
      </c>
      <c r="AT272" s="73">
        <f>AI272*-Valores!$C$69</f>
        <v>-82.91947499999999</v>
      </c>
      <c r="AU272" s="77">
        <f t="shared" si="56"/>
        <v>25600.336499999998</v>
      </c>
      <c r="AV272" s="77">
        <f t="shared" si="57"/>
        <v>26014.933875</v>
      </c>
      <c r="AW272" s="73">
        <f>AI272*Valores!$C$71</f>
        <v>4422.371999999999</v>
      </c>
      <c r="AX272" s="73">
        <f>AI272*Valores!$C$72</f>
        <v>1243.7921249999997</v>
      </c>
      <c r="AY272" s="73">
        <f>AI272*Valores!$C$73</f>
        <v>276.39824999999996</v>
      </c>
      <c r="AZ272" s="73">
        <f>AI272*Valores!$C$75</f>
        <v>967.393875</v>
      </c>
      <c r="BA272" s="73">
        <f>AI272*Valores!$C$76</f>
        <v>165.83894999999998</v>
      </c>
      <c r="BB272" s="73">
        <f t="shared" si="61"/>
        <v>1492.55055</v>
      </c>
      <c r="BC272" s="47"/>
      <c r="BD272" s="47">
        <f t="shared" si="50"/>
        <v>88</v>
      </c>
      <c r="BE272" s="24" t="s">
        <v>4</v>
      </c>
    </row>
    <row r="273" spans="1:57" s="24" customFormat="1" ht="11.25" customHeight="1">
      <c r="A273" s="47">
        <v>272</v>
      </c>
      <c r="B273" s="47"/>
      <c r="C273" s="24" t="s">
        <v>522</v>
      </c>
      <c r="D273" s="24">
        <v>23</v>
      </c>
      <c r="E273" s="24">
        <f t="shared" si="53"/>
        <v>34</v>
      </c>
      <c r="F273" s="67" t="str">
        <f>CONCATENATE("Hora Cátedra Enseñanza Media ",D273," hs")</f>
        <v>Hora Cátedra Enseñanza Media 23 hs</v>
      </c>
      <c r="G273" s="68">
        <f t="shared" si="52"/>
        <v>1817</v>
      </c>
      <c r="H273" s="69">
        <f>INT((G273*Valores!$C$2*100)+0.49)/100</f>
        <v>13898.41</v>
      </c>
      <c r="I273" s="108">
        <v>0</v>
      </c>
      <c r="J273" s="71">
        <f>INT((I273*Valores!$C$2*100)+0.5)/100</f>
        <v>0</v>
      </c>
      <c r="K273" s="98">
        <v>0</v>
      </c>
      <c r="L273" s="71">
        <f>INT((K273*Valores!$C$2*100)+0.5)/100</f>
        <v>0</v>
      </c>
      <c r="M273" s="96">
        <v>0</v>
      </c>
      <c r="N273" s="71">
        <f>INT((M273*Valores!$C$2*100)+0.5)/100</f>
        <v>0</v>
      </c>
      <c r="O273" s="71">
        <f t="shared" si="54"/>
        <v>2512.8375</v>
      </c>
      <c r="P273" s="71">
        <f t="shared" si="55"/>
        <v>0</v>
      </c>
      <c r="Q273" s="97">
        <f>Valores!$C$14*D273</f>
        <v>4249.48</v>
      </c>
      <c r="R273" s="97">
        <f>IF(D273&lt;15,(Valores!$E$4*D273),Valores!$D$4)</f>
        <v>3421.44</v>
      </c>
      <c r="S273" s="71">
        <v>0</v>
      </c>
      <c r="T273" s="74">
        <f>IF(Valores!$C$45*D273&gt;Valores!$C$43,Valores!$C$43,Valores!$C$45*D273)</f>
        <v>1355.62</v>
      </c>
      <c r="U273" s="97">
        <f>Valores!$C$22*D273</f>
        <v>1498.22</v>
      </c>
      <c r="V273" s="71">
        <f t="shared" si="49"/>
        <v>1498.22</v>
      </c>
      <c r="W273" s="71">
        <v>0</v>
      </c>
      <c r="X273" s="71">
        <v>0</v>
      </c>
      <c r="Y273" s="114">
        <v>0</v>
      </c>
      <c r="Z273" s="71">
        <f>Y273*Valores!$C$2</f>
        <v>0</v>
      </c>
      <c r="AA273" s="71">
        <v>0</v>
      </c>
      <c r="AB273" s="76">
        <f>IF((Valores!$C$32)*D273&gt;Valores!$F$32,Valores!$F$32,(Valores!$C$32)*D273)</f>
        <v>170.20000000000002</v>
      </c>
      <c r="AC273" s="71">
        <f t="shared" si="58"/>
        <v>0</v>
      </c>
      <c r="AD273" s="71">
        <f>IF(Valores!$C$33*D273&gt;Valores!$F$33,Valores!$F$33,Valores!$C$33*D273)</f>
        <v>141.68</v>
      </c>
      <c r="AE273" s="75">
        <v>0</v>
      </c>
      <c r="AF273" s="71">
        <f>INT(((AE273*Valores!$C$2)*100)+0.5)/100</f>
        <v>0</v>
      </c>
      <c r="AG273" s="71">
        <f>IF(Valores!$D$58*'Escala Docente'!D273&gt;Valores!$F$58,Valores!$F$58,Valores!$D$58*'Escala Docente'!D273)</f>
        <v>576.38</v>
      </c>
      <c r="AH273" s="71">
        <f>IF(Valores!$D$60*D273&gt;Valores!$F$60,Valores!$F$60,Valores!$D$60*D273)</f>
        <v>164.68</v>
      </c>
      <c r="AI273" s="110">
        <f t="shared" si="59"/>
        <v>27988.947500000002</v>
      </c>
      <c r="AJ273" s="97">
        <f>IF(Valores!$C$36*D273&gt;Valores!$F$36,Valores!$F$36,Valores!$C$36*D273)</f>
        <v>1344.12</v>
      </c>
      <c r="AK273" s="74">
        <f>IF(Valores!$C$11*D273&gt;Valores!$F$11,Valores!$F$11,Valores!$C$11*D273)</f>
        <v>0</v>
      </c>
      <c r="AL273" s="74">
        <f>IF(Valores!$C$84*D273&gt;Valores!$C$83,Valores!$C$83,Valores!$C$84*D273)</f>
        <v>1725</v>
      </c>
      <c r="AM273" s="74">
        <f t="shared" si="51"/>
        <v>1610</v>
      </c>
      <c r="AN273" s="76">
        <f>IF(Valores!$C$57*D273&gt;Valores!$F$57,Valores!$F$57,Valores!$C$57*D273)</f>
        <v>241.5</v>
      </c>
      <c r="AO273" s="78">
        <f t="shared" si="60"/>
        <v>3069.12</v>
      </c>
      <c r="AP273" s="57">
        <f>AI273*-Valores!$C$65</f>
        <v>-3638.5631750000002</v>
      </c>
      <c r="AQ273" s="57">
        <f>AI273*-Valores!$C$66</f>
        <v>-139.9447375</v>
      </c>
      <c r="AR273" s="73">
        <f>AI273*-Valores!$C$67</f>
        <v>-1259.5026375</v>
      </c>
      <c r="AS273" s="73">
        <f>AI273*-Valores!$C$68</f>
        <v>-755.7015825000001</v>
      </c>
      <c r="AT273" s="73">
        <f>AI273*-Valores!$C$69</f>
        <v>-83.96684250000001</v>
      </c>
      <c r="AU273" s="77">
        <f t="shared" si="56"/>
        <v>26020.05695</v>
      </c>
      <c r="AV273" s="77">
        <f t="shared" si="57"/>
        <v>26439.891162499996</v>
      </c>
      <c r="AW273" s="73">
        <f>AI273*Valores!$C$71</f>
        <v>4478.2316</v>
      </c>
      <c r="AX273" s="73">
        <f>AI273*Valores!$C$72</f>
        <v>1259.5026375</v>
      </c>
      <c r="AY273" s="73">
        <f>AI273*Valores!$C$73</f>
        <v>279.889475</v>
      </c>
      <c r="AZ273" s="73">
        <f>AI273*Valores!$C$75</f>
        <v>979.6131625000002</v>
      </c>
      <c r="BA273" s="73">
        <f>AI273*Valores!$C$76</f>
        <v>167.93368500000003</v>
      </c>
      <c r="BB273" s="73">
        <f t="shared" si="61"/>
        <v>1511.4031650000002</v>
      </c>
      <c r="BC273" s="47"/>
      <c r="BD273" s="47">
        <f t="shared" si="50"/>
        <v>92</v>
      </c>
      <c r="BE273" s="24" t="s">
        <v>8</v>
      </c>
    </row>
    <row r="274" spans="1:57" s="24" customFormat="1" ht="11.25" customHeight="1">
      <c r="A274" s="47">
        <v>273</v>
      </c>
      <c r="B274" s="47"/>
      <c r="C274" s="24" t="s">
        <v>522</v>
      </c>
      <c r="D274" s="24">
        <v>23</v>
      </c>
      <c r="E274" s="24">
        <f t="shared" si="53"/>
        <v>42</v>
      </c>
      <c r="F274" s="67" t="str">
        <f>CONCATENATE("Hora Cátedra Enseñanza Media ",D274," hs Esc Esp")</f>
        <v>Hora Cátedra Enseñanza Media 23 hs Esc Esp</v>
      </c>
      <c r="G274" s="68">
        <f t="shared" si="52"/>
        <v>1817</v>
      </c>
      <c r="H274" s="69">
        <f>INT((G274*Valores!$C$2*100)+0.49)/100</f>
        <v>13898.41</v>
      </c>
      <c r="I274" s="108">
        <v>0</v>
      </c>
      <c r="J274" s="71">
        <f>INT((I274*Valores!$C$2*100)+0.5)/100</f>
        <v>0</v>
      </c>
      <c r="K274" s="98">
        <v>0</v>
      </c>
      <c r="L274" s="71">
        <f>INT((K274*Valores!$C$2*100)+0.5)/100</f>
        <v>0</v>
      </c>
      <c r="M274" s="96">
        <v>0</v>
      </c>
      <c r="N274" s="71">
        <f>INT((M274*Valores!$C$2*100)+0.5)/100</f>
        <v>0</v>
      </c>
      <c r="O274" s="71">
        <f t="shared" si="54"/>
        <v>2512.8375</v>
      </c>
      <c r="P274" s="71">
        <f t="shared" si="55"/>
        <v>0</v>
      </c>
      <c r="Q274" s="97">
        <f>Valores!$C$14*D274</f>
        <v>4249.48</v>
      </c>
      <c r="R274" s="97">
        <f>IF(D274&lt;15,(Valores!$E$4*D274),Valores!$D$4)</f>
        <v>3421.44</v>
      </c>
      <c r="S274" s="71">
        <v>0</v>
      </c>
      <c r="T274" s="74">
        <f>IF(Valores!$C$45*D274&gt;Valores!$C$43,Valores!$C$43,Valores!$C$45*D274)</f>
        <v>1355.62</v>
      </c>
      <c r="U274" s="97">
        <f>Valores!$C$22*D274</f>
        <v>1498.22</v>
      </c>
      <c r="V274" s="71">
        <f t="shared" si="49"/>
        <v>1498.22</v>
      </c>
      <c r="W274" s="71">
        <v>0</v>
      </c>
      <c r="X274" s="71">
        <v>0</v>
      </c>
      <c r="Y274" s="114">
        <v>0</v>
      </c>
      <c r="Z274" s="71">
        <f>Y274*Valores!$C$2</f>
        <v>0</v>
      </c>
      <c r="AA274" s="71">
        <v>0</v>
      </c>
      <c r="AB274" s="76">
        <f>IF((Valores!$C$32)*D274&gt;Valores!$F$32,Valores!$F$32,(Valores!$C$32)*D274)</f>
        <v>170.20000000000002</v>
      </c>
      <c r="AC274" s="71">
        <f t="shared" si="58"/>
        <v>0</v>
      </c>
      <c r="AD274" s="71">
        <f>IF(Valores!$C$33*D274&gt;Valores!$F$33,Valores!$F$33,Valores!$C$33*D274)</f>
        <v>141.68</v>
      </c>
      <c r="AE274" s="75">
        <v>94</v>
      </c>
      <c r="AF274" s="71">
        <f>INT(((AE274*Valores!$C$2)*100)+0.5)/100</f>
        <v>719.02</v>
      </c>
      <c r="AG274" s="71">
        <f>IF(Valores!$D$58*'Escala Docente'!D274&gt;Valores!$F$58,Valores!$F$58,Valores!$D$58*'Escala Docente'!D274)</f>
        <v>576.38</v>
      </c>
      <c r="AH274" s="71">
        <f>IF(Valores!$D$60*D274&gt;Valores!$F$60,Valores!$F$60,Valores!$D$60*D274)</f>
        <v>164.68</v>
      </c>
      <c r="AI274" s="110">
        <f t="shared" si="59"/>
        <v>28707.967500000002</v>
      </c>
      <c r="AJ274" s="97">
        <f>IF(Valores!$C$36*D274&gt;Valores!$F$36,Valores!$F$36,Valores!$C$36*D274)</f>
        <v>1344.12</v>
      </c>
      <c r="AK274" s="74">
        <f>IF(Valores!$C$11*D274&gt;Valores!$F$11,Valores!$F$11,Valores!$C$11*D274)</f>
        <v>0</v>
      </c>
      <c r="AL274" s="74">
        <f>IF(Valores!$C$84*D274&gt;Valores!$C$83,Valores!$C$83,Valores!$C$84*D274)</f>
        <v>1725</v>
      </c>
      <c r="AM274" s="74">
        <f t="shared" si="51"/>
        <v>1610</v>
      </c>
      <c r="AN274" s="76">
        <f>IF(Valores!$C$57*D274&gt;Valores!$F$57,Valores!$F$57,Valores!$C$57*D274)</f>
        <v>241.5</v>
      </c>
      <c r="AO274" s="78">
        <f t="shared" si="60"/>
        <v>3069.12</v>
      </c>
      <c r="AP274" s="57">
        <f>AI274*-Valores!$C$65</f>
        <v>-3732.0357750000003</v>
      </c>
      <c r="AQ274" s="57">
        <f>AI274*-Valores!$C$66</f>
        <v>-143.5398375</v>
      </c>
      <c r="AR274" s="73">
        <f>AI274*-Valores!$C$67</f>
        <v>-1291.8585375</v>
      </c>
      <c r="AS274" s="73">
        <f>AI274*-Valores!$C$68</f>
        <v>-775.1151225000001</v>
      </c>
      <c r="AT274" s="73">
        <f>AI274*-Valores!$C$69</f>
        <v>-86.12390250000001</v>
      </c>
      <c r="AU274" s="77">
        <f t="shared" si="56"/>
        <v>26609.65335</v>
      </c>
      <c r="AV274" s="77">
        <f t="shared" si="57"/>
        <v>27040.2728625</v>
      </c>
      <c r="AW274" s="73">
        <f>AI274*Valores!$C$71</f>
        <v>4593.2748</v>
      </c>
      <c r="AX274" s="73">
        <f>AI274*Valores!$C$72</f>
        <v>1291.8585375</v>
      </c>
      <c r="AY274" s="73">
        <f>AI274*Valores!$C$73</f>
        <v>287.079675</v>
      </c>
      <c r="AZ274" s="73">
        <f>AI274*Valores!$C$75</f>
        <v>1004.7788625000002</v>
      </c>
      <c r="BA274" s="73">
        <f>AI274*Valores!$C$76</f>
        <v>172.24780500000003</v>
      </c>
      <c r="BB274" s="73">
        <f t="shared" si="61"/>
        <v>1550.2302450000002</v>
      </c>
      <c r="BC274" s="47"/>
      <c r="BD274" s="81">
        <f t="shared" si="50"/>
        <v>92</v>
      </c>
      <c r="BE274" s="24" t="s">
        <v>8</v>
      </c>
    </row>
    <row r="275" spans="1:57" s="24" customFormat="1" ht="11.25" customHeight="1">
      <c r="A275" s="47">
        <v>274</v>
      </c>
      <c r="B275" s="47"/>
      <c r="C275" s="24" t="s">
        <v>522</v>
      </c>
      <c r="D275" s="24">
        <v>24</v>
      </c>
      <c r="E275" s="24">
        <f t="shared" si="53"/>
        <v>34</v>
      </c>
      <c r="F275" s="67" t="str">
        <f>CONCATENATE("Hora Cátedra Enseñanza Media ",D275," hs")</f>
        <v>Hora Cátedra Enseñanza Media 24 hs</v>
      </c>
      <c r="G275" s="68">
        <f t="shared" si="52"/>
        <v>1896</v>
      </c>
      <c r="H275" s="69">
        <f>INT((G275*Valores!$C$2*100)+0.49)/100</f>
        <v>14502.69</v>
      </c>
      <c r="I275" s="108">
        <v>0</v>
      </c>
      <c r="J275" s="71">
        <f>INT((I275*Valores!$C$2*100)+0.5)/100</f>
        <v>0</v>
      </c>
      <c r="K275" s="98">
        <v>0</v>
      </c>
      <c r="L275" s="71">
        <f>INT((K275*Valores!$C$2*100)+0.5)/100</f>
        <v>0</v>
      </c>
      <c r="M275" s="96">
        <v>0</v>
      </c>
      <c r="N275" s="71">
        <f>INT((M275*Valores!$C$2*100)+0.5)/100</f>
        <v>0</v>
      </c>
      <c r="O275" s="71">
        <f t="shared" si="54"/>
        <v>2622.0915</v>
      </c>
      <c r="P275" s="71">
        <f t="shared" si="55"/>
        <v>0</v>
      </c>
      <c r="Q275" s="97">
        <f>Valores!$C$14*D275</f>
        <v>4434.24</v>
      </c>
      <c r="R275" s="97">
        <f>IF(D275&lt;15,(Valores!$E$4*D275),Valores!$D$4)</f>
        <v>3421.44</v>
      </c>
      <c r="S275" s="71">
        <v>0</v>
      </c>
      <c r="T275" s="74">
        <f>IF(Valores!$C$45*D275&gt;Valores!$C$43,Valores!$C$43,Valores!$C$45*D275)</f>
        <v>1414.56</v>
      </c>
      <c r="U275" s="97">
        <f>Valores!$C$22*D275</f>
        <v>1563.3600000000001</v>
      </c>
      <c r="V275" s="71">
        <f t="shared" si="49"/>
        <v>1563.3600000000001</v>
      </c>
      <c r="W275" s="71">
        <v>0</v>
      </c>
      <c r="X275" s="71">
        <v>0</v>
      </c>
      <c r="Y275" s="114">
        <v>0</v>
      </c>
      <c r="Z275" s="71">
        <f>Y275*Valores!$C$2</f>
        <v>0</v>
      </c>
      <c r="AA275" s="71">
        <v>0</v>
      </c>
      <c r="AB275" s="76">
        <f>IF((Valores!$C$32)*D275&gt;Valores!$F$32,Valores!$F$32,(Valores!$C$32)*D275)</f>
        <v>177.60000000000002</v>
      </c>
      <c r="AC275" s="71">
        <f t="shared" si="58"/>
        <v>0</v>
      </c>
      <c r="AD275" s="71">
        <f>IF(Valores!$C$33*D275&gt;Valores!$F$33,Valores!$F$33,Valores!$C$33*D275)</f>
        <v>147.84</v>
      </c>
      <c r="AE275" s="75">
        <v>0</v>
      </c>
      <c r="AF275" s="71">
        <f>INT(((AE275*Valores!$C$2)*100)+0.5)/100</f>
        <v>0</v>
      </c>
      <c r="AG275" s="71">
        <f>IF(Valores!$D$58*'Escala Docente'!D275&gt;Valores!$F$58,Valores!$F$58,Valores!$D$58*'Escala Docente'!D275)</f>
        <v>601.4399999999999</v>
      </c>
      <c r="AH275" s="71">
        <f>IF(Valores!$D$60*D275&gt;Valores!$F$60,Valores!$F$60,Valores!$D$60*D275)</f>
        <v>171.84</v>
      </c>
      <c r="AI275" s="110">
        <f t="shared" si="59"/>
        <v>29057.1015</v>
      </c>
      <c r="AJ275" s="97">
        <f>IF(Valores!$C$36*D275&gt;Valores!$F$36,Valores!$F$36,Valores!$C$36*D275)</f>
        <v>1402.56</v>
      </c>
      <c r="AK275" s="74">
        <f>IF(Valores!$C$11*D275&gt;Valores!$F$11,Valores!$F$11,Valores!$C$11*D275)</f>
        <v>0</v>
      </c>
      <c r="AL275" s="74">
        <f>IF(Valores!$C$84*D275&gt;Valores!$C$83,Valores!$C$83,Valores!$C$84*D275)</f>
        <v>1800</v>
      </c>
      <c r="AM275" s="74">
        <f t="shared" si="51"/>
        <v>1680</v>
      </c>
      <c r="AN275" s="76">
        <f>IF(Valores!$C$57*D275&gt;Valores!$F$57,Valores!$F$57,Valores!$C$57*D275)</f>
        <v>252</v>
      </c>
      <c r="AO275" s="78">
        <f t="shared" si="60"/>
        <v>3202.56</v>
      </c>
      <c r="AP275" s="57">
        <f>AI275*-Valores!$C$65</f>
        <v>-3777.4231950000003</v>
      </c>
      <c r="AQ275" s="57">
        <f>AI275*-Valores!$C$66</f>
        <v>-145.2855075</v>
      </c>
      <c r="AR275" s="73">
        <f>AI275*-Valores!$C$67</f>
        <v>-1307.5695675</v>
      </c>
      <c r="AS275" s="73">
        <f>AI275*-Valores!$C$68</f>
        <v>-784.5417405000001</v>
      </c>
      <c r="AT275" s="73">
        <f>AI275*-Valores!$C$69</f>
        <v>-87.1713045</v>
      </c>
      <c r="AU275" s="77">
        <f t="shared" si="56"/>
        <v>27029.383230000003</v>
      </c>
      <c r="AV275" s="77">
        <f t="shared" si="57"/>
        <v>27465.2397525</v>
      </c>
      <c r="AW275" s="73">
        <f>AI275*Valores!$C$71</f>
        <v>4649.13624</v>
      </c>
      <c r="AX275" s="73">
        <f>AI275*Valores!$C$72</f>
        <v>1307.5695675</v>
      </c>
      <c r="AY275" s="73">
        <f>AI275*Valores!$C$73</f>
        <v>290.571015</v>
      </c>
      <c r="AZ275" s="73">
        <f>AI275*Valores!$C$75</f>
        <v>1016.9985525000001</v>
      </c>
      <c r="BA275" s="73">
        <f>AI275*Valores!$C$76</f>
        <v>174.342609</v>
      </c>
      <c r="BB275" s="73">
        <f t="shared" si="61"/>
        <v>1569.0834810000001</v>
      </c>
      <c r="BC275" s="47"/>
      <c r="BD275" s="47">
        <f t="shared" si="50"/>
        <v>96</v>
      </c>
      <c r="BE275" s="24" t="s">
        <v>8</v>
      </c>
    </row>
    <row r="276" spans="1:57" s="24" customFormat="1" ht="11.25" customHeight="1">
      <c r="A276" s="81">
        <v>275</v>
      </c>
      <c r="B276" s="81" t="s">
        <v>163</v>
      </c>
      <c r="C276" s="82" t="s">
        <v>522</v>
      </c>
      <c r="D276" s="82">
        <v>24</v>
      </c>
      <c r="E276" s="82">
        <f t="shared" si="53"/>
        <v>42</v>
      </c>
      <c r="F276" s="83" t="str">
        <f>CONCATENATE("Hora Cátedra Enseñanza Media ",D276," hs Esc Esp")</f>
        <v>Hora Cátedra Enseñanza Media 24 hs Esc Esp</v>
      </c>
      <c r="G276" s="84">
        <f t="shared" si="52"/>
        <v>1896</v>
      </c>
      <c r="H276" s="85">
        <f>INT((G276*Valores!$C$2*100)+0.49)/100</f>
        <v>14502.69</v>
      </c>
      <c r="I276" s="99">
        <v>0</v>
      </c>
      <c r="J276" s="87">
        <f>INT((I276*Valores!$C$2*100)+0.5)/100</f>
        <v>0</v>
      </c>
      <c r="K276" s="100">
        <v>0</v>
      </c>
      <c r="L276" s="87">
        <f>INT((K276*Valores!$C$2*100)+0.5)/100</f>
        <v>0</v>
      </c>
      <c r="M276" s="101">
        <v>0</v>
      </c>
      <c r="N276" s="87">
        <f>INT((M276*Valores!$C$2*100)+0.5)/100</f>
        <v>0</v>
      </c>
      <c r="O276" s="87">
        <f t="shared" si="54"/>
        <v>2622.0915</v>
      </c>
      <c r="P276" s="87">
        <f t="shared" si="55"/>
        <v>0</v>
      </c>
      <c r="Q276" s="103">
        <f>Valores!$C$14*D276</f>
        <v>4434.24</v>
      </c>
      <c r="R276" s="103">
        <f>IF(D276&lt;15,(Valores!$E$4*D276),Valores!$D$4)</f>
        <v>3421.44</v>
      </c>
      <c r="S276" s="87">
        <v>0</v>
      </c>
      <c r="T276" s="90">
        <f>IF(Valores!$C$45*D276&gt;Valores!$C$43,Valores!$C$43,Valores!$C$45*D276)</f>
        <v>1414.56</v>
      </c>
      <c r="U276" s="103">
        <f>Valores!$C$22*D276</f>
        <v>1563.3600000000001</v>
      </c>
      <c r="V276" s="87">
        <f t="shared" si="49"/>
        <v>1563.3600000000001</v>
      </c>
      <c r="W276" s="87">
        <v>0</v>
      </c>
      <c r="X276" s="87">
        <v>0</v>
      </c>
      <c r="Y276" s="115">
        <v>0</v>
      </c>
      <c r="Z276" s="87">
        <f>Y276*Valores!$C$2</f>
        <v>0</v>
      </c>
      <c r="AA276" s="87">
        <v>0</v>
      </c>
      <c r="AB276" s="92">
        <f>IF((Valores!$C$32)*D276&gt;Valores!$F$32,Valores!$F$32,(Valores!$C$32)*D276)</f>
        <v>177.60000000000002</v>
      </c>
      <c r="AC276" s="87">
        <f t="shared" si="58"/>
        <v>0</v>
      </c>
      <c r="AD276" s="87">
        <f>IF(Valores!$C$33*D276&gt;Valores!$F$33,Valores!$F$33,Valores!$C$33*D276)</f>
        <v>147.84</v>
      </c>
      <c r="AE276" s="91">
        <v>94</v>
      </c>
      <c r="AF276" s="87">
        <f>INT(((AE276*Valores!$C$2)*100)+0.5)/100</f>
        <v>719.02</v>
      </c>
      <c r="AG276" s="87">
        <f>IF(Valores!$D$58*'Escala Docente'!D276&gt;Valores!$F$58,Valores!$F$58,Valores!$D$58*'Escala Docente'!D276)</f>
        <v>601.4399999999999</v>
      </c>
      <c r="AH276" s="87">
        <f>IF(Valores!$D$60*D276&gt;Valores!$F$60,Valores!$F$60,Valores!$D$60*D276)</f>
        <v>171.84</v>
      </c>
      <c r="AI276" s="111">
        <f t="shared" si="59"/>
        <v>29776.1215</v>
      </c>
      <c r="AJ276" s="103">
        <f>IF(Valores!$C$36*D276&gt;Valores!$F$36,Valores!$F$36,Valores!$C$36*D276)</f>
        <v>1402.56</v>
      </c>
      <c r="AK276" s="90">
        <f>IF(Valores!$C$11*D276&gt;Valores!$F$11,Valores!$F$11,Valores!$C$11*D276)</f>
        <v>0</v>
      </c>
      <c r="AL276" s="90">
        <f>IF(Valores!$C$84*D276&gt;Valores!$C$83,Valores!$C$83,Valores!$C$84*D276)</f>
        <v>1800</v>
      </c>
      <c r="AM276" s="74">
        <f t="shared" si="51"/>
        <v>1680</v>
      </c>
      <c r="AN276" s="92">
        <f>IF(Valores!$C$57*D276&gt;Valores!$F$57,Valores!$F$57,Valores!$C$57*D276)</f>
        <v>252</v>
      </c>
      <c r="AO276" s="94">
        <f t="shared" si="60"/>
        <v>3202.56</v>
      </c>
      <c r="AP276" s="112">
        <f>AI276*-Valores!$C$65</f>
        <v>-3870.8957950000004</v>
      </c>
      <c r="AQ276" s="112">
        <f>AI276*-Valores!$C$66</f>
        <v>-148.8806075</v>
      </c>
      <c r="AR276" s="89">
        <f>AI276*-Valores!$C$67</f>
        <v>-1339.9254675</v>
      </c>
      <c r="AS276" s="89">
        <f>AI276*-Valores!$C$68</f>
        <v>-803.9552805000001</v>
      </c>
      <c r="AT276" s="89">
        <f>AI276*-Valores!$C$69</f>
        <v>-89.3283645</v>
      </c>
      <c r="AU276" s="93">
        <f t="shared" si="56"/>
        <v>27618.979629999994</v>
      </c>
      <c r="AV276" s="93">
        <f t="shared" si="57"/>
        <v>28065.621452499996</v>
      </c>
      <c r="AW276" s="89">
        <f>AI276*Valores!$C$71</f>
        <v>4764.17944</v>
      </c>
      <c r="AX276" s="89">
        <f>AI276*Valores!$C$72</f>
        <v>1339.9254675</v>
      </c>
      <c r="AY276" s="89">
        <f>AI276*Valores!$C$73</f>
        <v>297.761215</v>
      </c>
      <c r="AZ276" s="89">
        <f>AI276*Valores!$C$75</f>
        <v>1042.1642525000002</v>
      </c>
      <c r="BA276" s="89">
        <f>AI276*Valores!$C$76</f>
        <v>178.656729</v>
      </c>
      <c r="BB276" s="89">
        <f t="shared" si="61"/>
        <v>1607.9105610000001</v>
      </c>
      <c r="BC276" s="81"/>
      <c r="BD276" s="81">
        <f t="shared" si="50"/>
        <v>96</v>
      </c>
      <c r="BE276" s="82" t="s">
        <v>8</v>
      </c>
    </row>
    <row r="277" spans="1:57" s="24" customFormat="1" ht="11.25" customHeight="1">
      <c r="A277" s="47">
        <v>276</v>
      </c>
      <c r="B277" s="47"/>
      <c r="C277" s="24" t="s">
        <v>522</v>
      </c>
      <c r="D277" s="24">
        <v>25</v>
      </c>
      <c r="E277" s="24">
        <f t="shared" si="53"/>
        <v>34</v>
      </c>
      <c r="F277" s="67" t="str">
        <f>CONCATENATE("Hora Cátedra Enseñanza Media ",D277," hs")</f>
        <v>Hora Cátedra Enseñanza Media 25 hs</v>
      </c>
      <c r="G277" s="68">
        <f t="shared" si="52"/>
        <v>1975</v>
      </c>
      <c r="H277" s="69">
        <f>INT((G277*Valores!$C$2*100)+0.49)/100</f>
        <v>15106.97</v>
      </c>
      <c r="I277" s="108">
        <v>0</v>
      </c>
      <c r="J277" s="71">
        <f>INT((I277*Valores!$C$2*100)+0.5)/100</f>
        <v>0</v>
      </c>
      <c r="K277" s="98">
        <v>0</v>
      </c>
      <c r="L277" s="71">
        <f>INT((K277*Valores!$C$2*100)+0.5)/100</f>
        <v>0</v>
      </c>
      <c r="M277" s="96">
        <v>0</v>
      </c>
      <c r="N277" s="71">
        <f>INT((M277*Valores!$C$2*100)+0.5)/100</f>
        <v>0</v>
      </c>
      <c r="O277" s="71">
        <f t="shared" si="54"/>
        <v>2731.3455</v>
      </c>
      <c r="P277" s="71">
        <f t="shared" si="55"/>
        <v>0</v>
      </c>
      <c r="Q277" s="97">
        <f>Valores!$C$14*D277</f>
        <v>4619</v>
      </c>
      <c r="R277" s="97">
        <f>IF(D277&lt;15,(Valores!$E$4*D277),Valores!$D$4)</f>
        <v>3421.44</v>
      </c>
      <c r="S277" s="71">
        <v>0</v>
      </c>
      <c r="T277" s="74">
        <f>IF(Valores!$C$45*D277&gt;Valores!$C$43,Valores!$C$43,Valores!$C$45*D277)</f>
        <v>1473.5</v>
      </c>
      <c r="U277" s="97">
        <f>Valores!$C$22*D277</f>
        <v>1628.5</v>
      </c>
      <c r="V277" s="71">
        <f t="shared" si="49"/>
        <v>1628.5</v>
      </c>
      <c r="W277" s="71">
        <v>0</v>
      </c>
      <c r="X277" s="71">
        <v>0</v>
      </c>
      <c r="Y277" s="114">
        <v>0</v>
      </c>
      <c r="Z277" s="71">
        <f>Y277*Valores!$C$2</f>
        <v>0</v>
      </c>
      <c r="AA277" s="71">
        <v>0</v>
      </c>
      <c r="AB277" s="76">
        <f>IF((Valores!$C$32)*D277&gt;Valores!$F$32,Valores!$F$32,(Valores!$C$32)*D277)</f>
        <v>185</v>
      </c>
      <c r="AC277" s="71">
        <f t="shared" si="58"/>
        <v>0</v>
      </c>
      <c r="AD277" s="71">
        <f>IF(Valores!$C$33*D277&gt;Valores!$F$33,Valores!$F$33,Valores!$C$33*D277)</f>
        <v>154</v>
      </c>
      <c r="AE277" s="75">
        <v>0</v>
      </c>
      <c r="AF277" s="71">
        <f>INT(((AE277*Valores!$C$2)*100)+0.5)/100</f>
        <v>0</v>
      </c>
      <c r="AG277" s="71">
        <f>IF(Valores!$D$58*'Escala Docente'!D277&gt;Valores!$F$58,Valores!$F$58,Valores!$D$58*'Escala Docente'!D277)</f>
        <v>626.5</v>
      </c>
      <c r="AH277" s="71">
        <f>IF(Valores!$D$60*D277&gt;Valores!$F$60,Valores!$F$60,Valores!$D$60*D277)</f>
        <v>179</v>
      </c>
      <c r="AI277" s="110">
        <f t="shared" si="59"/>
        <v>30125.2555</v>
      </c>
      <c r="AJ277" s="97">
        <f>IF(Valores!$C$36*D277&gt;Valores!$F$36,Valores!$F$36,Valores!$C$36*D277)</f>
        <v>1461</v>
      </c>
      <c r="AK277" s="74">
        <f>IF(Valores!$C$11*D277&gt;Valores!$F$11,Valores!$F$11,Valores!$C$11*D277)</f>
        <v>0</v>
      </c>
      <c r="AL277" s="74">
        <f>IF(Valores!$C$84*D277&gt;Valores!$C$83,Valores!$C$83,Valores!$C$84*D277)</f>
        <v>1875</v>
      </c>
      <c r="AM277" s="74">
        <f t="shared" si="51"/>
        <v>1750</v>
      </c>
      <c r="AN277" s="76">
        <f>IF(Valores!$C$57*D277&gt;Valores!$F$57,Valores!$F$57,Valores!$C$57*D277)</f>
        <v>262.5</v>
      </c>
      <c r="AO277" s="78">
        <f t="shared" si="60"/>
        <v>3336</v>
      </c>
      <c r="AP277" s="57">
        <f>AI277*-Valores!$C$65</f>
        <v>-3916.283215</v>
      </c>
      <c r="AQ277" s="57">
        <f>AI277*-Valores!$C$66</f>
        <v>-150.6262775</v>
      </c>
      <c r="AR277" s="73">
        <f>AI277*-Valores!$C$67</f>
        <v>-1355.6364975</v>
      </c>
      <c r="AS277" s="73">
        <f>AI277*-Valores!$C$68</f>
        <v>-813.3818984999999</v>
      </c>
      <c r="AT277" s="73">
        <f>AI277*-Valores!$C$69</f>
        <v>-90.3757665</v>
      </c>
      <c r="AU277" s="77">
        <f t="shared" si="56"/>
        <v>28038.70951</v>
      </c>
      <c r="AV277" s="77">
        <f t="shared" si="57"/>
        <v>28490.5883425</v>
      </c>
      <c r="AW277" s="73">
        <f>AI277*Valores!$C$71</f>
        <v>4820.04088</v>
      </c>
      <c r="AX277" s="73">
        <f>AI277*Valores!$C$72</f>
        <v>1355.6364975</v>
      </c>
      <c r="AY277" s="73">
        <f>AI277*Valores!$C$73</f>
        <v>301.252555</v>
      </c>
      <c r="AZ277" s="73">
        <f>AI277*Valores!$C$75</f>
        <v>1054.3839425</v>
      </c>
      <c r="BA277" s="73">
        <f>AI277*Valores!$C$76</f>
        <v>180.751533</v>
      </c>
      <c r="BB277" s="73">
        <f t="shared" si="61"/>
        <v>1626.7637970000003</v>
      </c>
      <c r="BC277" s="47"/>
      <c r="BD277" s="47">
        <f t="shared" si="50"/>
        <v>100</v>
      </c>
      <c r="BE277" s="24" t="s">
        <v>4</v>
      </c>
    </row>
    <row r="278" spans="1:57" s="24" customFormat="1" ht="11.25" customHeight="1">
      <c r="A278" s="47">
        <v>277</v>
      </c>
      <c r="B278" s="47"/>
      <c r="C278" s="24" t="s">
        <v>522</v>
      </c>
      <c r="D278" s="24">
        <v>25</v>
      </c>
      <c r="E278" s="24">
        <f t="shared" si="53"/>
        <v>42</v>
      </c>
      <c r="F278" s="67" t="str">
        <f>CONCATENATE("Hora Cátedra Enseñanza Media ",D278," hs Esc Esp")</f>
        <v>Hora Cátedra Enseñanza Media 25 hs Esc Esp</v>
      </c>
      <c r="G278" s="68">
        <f t="shared" si="52"/>
        <v>1975</v>
      </c>
      <c r="H278" s="69">
        <f>INT((G278*Valores!$C$2*100)+0.49)/100</f>
        <v>15106.97</v>
      </c>
      <c r="I278" s="108">
        <v>0</v>
      </c>
      <c r="J278" s="71">
        <f>INT((I278*Valores!$C$2*100)+0.5)/100</f>
        <v>0</v>
      </c>
      <c r="K278" s="98">
        <v>0</v>
      </c>
      <c r="L278" s="71">
        <f>INT((K278*Valores!$C$2*100)+0.5)/100</f>
        <v>0</v>
      </c>
      <c r="M278" s="96">
        <v>0</v>
      </c>
      <c r="N278" s="71">
        <f>INT((M278*Valores!$C$2*100)+0.5)/100</f>
        <v>0</v>
      </c>
      <c r="O278" s="71">
        <f t="shared" si="54"/>
        <v>2731.3455</v>
      </c>
      <c r="P278" s="71">
        <f t="shared" si="55"/>
        <v>0</v>
      </c>
      <c r="Q278" s="97">
        <f>Valores!$C$14*D278</f>
        <v>4619</v>
      </c>
      <c r="R278" s="97">
        <f>IF(D278&lt;15,(Valores!$E$4*D278),Valores!$D$4)</f>
        <v>3421.44</v>
      </c>
      <c r="S278" s="71">
        <v>0</v>
      </c>
      <c r="T278" s="74">
        <f>IF(Valores!$C$45*D278&gt;Valores!$C$43,Valores!$C$43,Valores!$C$45*D278)</f>
        <v>1473.5</v>
      </c>
      <c r="U278" s="97">
        <f>Valores!$C$22*D278</f>
        <v>1628.5</v>
      </c>
      <c r="V278" s="71">
        <f t="shared" si="49"/>
        <v>1628.5</v>
      </c>
      <c r="W278" s="71">
        <v>0</v>
      </c>
      <c r="X278" s="71">
        <v>0</v>
      </c>
      <c r="Y278" s="114">
        <v>0</v>
      </c>
      <c r="Z278" s="71">
        <f>Y278*Valores!$C$2</f>
        <v>0</v>
      </c>
      <c r="AA278" s="71">
        <v>0</v>
      </c>
      <c r="AB278" s="76">
        <f>IF((Valores!$C$32)*D278&gt;Valores!$F$32,Valores!$F$32,(Valores!$C$32)*D278)</f>
        <v>185</v>
      </c>
      <c r="AC278" s="71">
        <f t="shared" si="58"/>
        <v>0</v>
      </c>
      <c r="AD278" s="71">
        <f>IF(Valores!$C$33*D278&gt;Valores!$F$33,Valores!$F$33,Valores!$C$33*D278)</f>
        <v>154</v>
      </c>
      <c r="AE278" s="75">
        <v>94</v>
      </c>
      <c r="AF278" s="71">
        <f>INT(((AE278*Valores!$C$2)*100)+0.5)/100</f>
        <v>719.02</v>
      </c>
      <c r="AG278" s="71">
        <f>IF(Valores!$D$58*'Escala Docente'!D278&gt;Valores!$F$58,Valores!$F$58,Valores!$D$58*'Escala Docente'!D278)</f>
        <v>626.5</v>
      </c>
      <c r="AH278" s="71">
        <f>IF(Valores!$D$60*D278&gt;Valores!$F$60,Valores!$F$60,Valores!$D$60*D278)</f>
        <v>179</v>
      </c>
      <c r="AI278" s="110">
        <f t="shared" si="59"/>
        <v>30844.2755</v>
      </c>
      <c r="AJ278" s="97">
        <f>IF(Valores!$C$36*D278&gt;Valores!$F$36,Valores!$F$36,Valores!$C$36*D278)</f>
        <v>1461</v>
      </c>
      <c r="AK278" s="74">
        <f>IF(Valores!$C$11*D278&gt;Valores!$F$11,Valores!$F$11,Valores!$C$11*D278)</f>
        <v>0</v>
      </c>
      <c r="AL278" s="74">
        <f>IF(Valores!$C$84*D278&gt;Valores!$C$83,Valores!$C$83,Valores!$C$84*D278)</f>
        <v>1875</v>
      </c>
      <c r="AM278" s="74">
        <f t="shared" si="51"/>
        <v>1750</v>
      </c>
      <c r="AN278" s="76">
        <f>IF(Valores!$C$57*D278&gt;Valores!$F$57,Valores!$F$57,Valores!$C$57*D278)</f>
        <v>262.5</v>
      </c>
      <c r="AO278" s="78">
        <f t="shared" si="60"/>
        <v>3336</v>
      </c>
      <c r="AP278" s="57">
        <f>AI278*-Valores!$C$65</f>
        <v>-4009.755815</v>
      </c>
      <c r="AQ278" s="57">
        <f>AI278*-Valores!$C$66</f>
        <v>-154.2213775</v>
      </c>
      <c r="AR278" s="73">
        <f>AI278*-Valores!$C$67</f>
        <v>-1387.9923975</v>
      </c>
      <c r="AS278" s="73">
        <f>AI278*-Valores!$C$68</f>
        <v>-832.7954384999999</v>
      </c>
      <c r="AT278" s="73">
        <f>AI278*-Valores!$C$69</f>
        <v>-92.5328265</v>
      </c>
      <c r="AU278" s="77">
        <f t="shared" si="56"/>
        <v>28628.305910000006</v>
      </c>
      <c r="AV278" s="77">
        <f t="shared" si="57"/>
        <v>29090.97004250001</v>
      </c>
      <c r="AW278" s="73">
        <f>AI278*Valores!$C$71</f>
        <v>4935.08408</v>
      </c>
      <c r="AX278" s="73">
        <f>AI278*Valores!$C$72</f>
        <v>1387.9923975</v>
      </c>
      <c r="AY278" s="73">
        <f>AI278*Valores!$C$73</f>
        <v>308.442755</v>
      </c>
      <c r="AZ278" s="73">
        <f>AI278*Valores!$C$75</f>
        <v>1079.5496425000001</v>
      </c>
      <c r="BA278" s="73">
        <f>AI278*Valores!$C$76</f>
        <v>185.065653</v>
      </c>
      <c r="BB278" s="73">
        <f t="shared" si="61"/>
        <v>1665.590877</v>
      </c>
      <c r="BC278" s="47"/>
      <c r="BD278" s="47">
        <f t="shared" si="50"/>
        <v>100</v>
      </c>
      <c r="BE278" s="24" t="s">
        <v>4</v>
      </c>
    </row>
    <row r="279" spans="1:57" s="24" customFormat="1" ht="11.25" customHeight="1">
      <c r="A279" s="47">
        <v>278</v>
      </c>
      <c r="B279" s="47"/>
      <c r="C279" s="24" t="s">
        <v>522</v>
      </c>
      <c r="D279" s="24">
        <v>26</v>
      </c>
      <c r="E279" s="24">
        <f t="shared" si="53"/>
        <v>34</v>
      </c>
      <c r="F279" s="67" t="str">
        <f>CONCATENATE("Hora Cátedra Enseñanza Media ",D279," hs")</f>
        <v>Hora Cátedra Enseñanza Media 26 hs</v>
      </c>
      <c r="G279" s="68">
        <f t="shared" si="52"/>
        <v>2054</v>
      </c>
      <c r="H279" s="69">
        <f>INT((G279*Valores!$C$2*100)+0.49)/100</f>
        <v>15711.25</v>
      </c>
      <c r="I279" s="108">
        <v>0</v>
      </c>
      <c r="J279" s="71">
        <f>INT((I279*Valores!$C$2*100)+0.5)/100</f>
        <v>0</v>
      </c>
      <c r="K279" s="98">
        <v>0</v>
      </c>
      <c r="L279" s="71">
        <f>INT((K279*Valores!$C$2*100)+0.5)/100</f>
        <v>0</v>
      </c>
      <c r="M279" s="96">
        <v>0</v>
      </c>
      <c r="N279" s="71">
        <f>INT((M279*Valores!$C$2*100)+0.5)/100</f>
        <v>0</v>
      </c>
      <c r="O279" s="71">
        <f t="shared" si="54"/>
        <v>2840.5995</v>
      </c>
      <c r="P279" s="71">
        <f t="shared" si="55"/>
        <v>0</v>
      </c>
      <c r="Q279" s="97">
        <f>Valores!$C$14*D279</f>
        <v>4803.76</v>
      </c>
      <c r="R279" s="97">
        <f>IF(D279&lt;15,(Valores!$E$4*D279),Valores!$D$4)</f>
        <v>3421.44</v>
      </c>
      <c r="S279" s="71">
        <v>0</v>
      </c>
      <c r="T279" s="74">
        <f>IF(Valores!$C$45*D279&gt;Valores!$C$43,Valores!$C$43,Valores!$C$45*D279)</f>
        <v>1532.44</v>
      </c>
      <c r="U279" s="97">
        <f>Valores!$C$22*D279</f>
        <v>1693.64</v>
      </c>
      <c r="V279" s="71">
        <f t="shared" si="49"/>
        <v>1693.64</v>
      </c>
      <c r="W279" s="71">
        <v>0</v>
      </c>
      <c r="X279" s="71">
        <v>0</v>
      </c>
      <c r="Y279" s="114">
        <v>0</v>
      </c>
      <c r="Z279" s="71">
        <f>Y279*Valores!$C$2</f>
        <v>0</v>
      </c>
      <c r="AA279" s="71">
        <v>0</v>
      </c>
      <c r="AB279" s="76">
        <f>IF((Valores!$C$32)*D279&gt;Valores!$F$32,Valores!$F$32,(Valores!$C$32)*D279)</f>
        <v>192.4</v>
      </c>
      <c r="AC279" s="71">
        <f t="shared" si="58"/>
        <v>0</v>
      </c>
      <c r="AD279" s="71">
        <f>IF(Valores!$C$33*D279&gt;Valores!$F$33,Valores!$F$33,Valores!$C$33*D279)</f>
        <v>160.16</v>
      </c>
      <c r="AE279" s="75">
        <v>0</v>
      </c>
      <c r="AF279" s="71">
        <f>INT(((AE279*Valores!$C$2)*100)+0.5)/100</f>
        <v>0</v>
      </c>
      <c r="AG279" s="71">
        <f>IF(Valores!$D$58*'Escala Docente'!D279&gt;Valores!$F$58,Valores!$F$58,Valores!$D$58*'Escala Docente'!D279)</f>
        <v>651.56</v>
      </c>
      <c r="AH279" s="71">
        <f>IF(Valores!$D$60*D279&gt;Valores!$F$60,Valores!$F$60,Valores!$D$60*D279)</f>
        <v>186.16</v>
      </c>
      <c r="AI279" s="110">
        <f t="shared" si="59"/>
        <v>31193.409499999998</v>
      </c>
      <c r="AJ279" s="97">
        <f>IF(Valores!$C$36*D279&gt;Valores!$F$36,Valores!$F$36,Valores!$C$36*D279)</f>
        <v>1519.44</v>
      </c>
      <c r="AK279" s="74">
        <f>IF(Valores!$C$11*D279&gt;Valores!$F$11,Valores!$F$11,Valores!$C$11*D279)</f>
        <v>0</v>
      </c>
      <c r="AL279" s="74">
        <f>IF(Valores!$C$84*D279&gt;Valores!$C$83,Valores!$C$83,Valores!$C$84*D279)</f>
        <v>1950</v>
      </c>
      <c r="AM279" s="74">
        <f t="shared" si="51"/>
        <v>1820</v>
      </c>
      <c r="AN279" s="76">
        <f>IF(Valores!$C$57*D279&gt;Valores!$F$57,Valores!$F$57,Valores!$C$57*D279)</f>
        <v>273</v>
      </c>
      <c r="AO279" s="78">
        <f t="shared" si="60"/>
        <v>3469.44</v>
      </c>
      <c r="AP279" s="57">
        <f>AI279*-Valores!$C$65</f>
        <v>-4055.143235</v>
      </c>
      <c r="AQ279" s="57">
        <f>AI279*-Valores!$C$66</f>
        <v>-155.9670475</v>
      </c>
      <c r="AR279" s="73">
        <f>AI279*-Valores!$C$67</f>
        <v>-1403.7034274999999</v>
      </c>
      <c r="AS279" s="73">
        <f>AI279*-Valores!$C$68</f>
        <v>-842.2220564999999</v>
      </c>
      <c r="AT279" s="73">
        <f>AI279*-Valores!$C$69</f>
        <v>-93.58022849999999</v>
      </c>
      <c r="AU279" s="77">
        <f t="shared" si="56"/>
        <v>29048.035789999998</v>
      </c>
      <c r="AV279" s="77">
        <f t="shared" si="57"/>
        <v>29515.936932499993</v>
      </c>
      <c r="AW279" s="73">
        <f>AI279*Valores!$C$71</f>
        <v>4990.94552</v>
      </c>
      <c r="AX279" s="73">
        <f>AI279*Valores!$C$72</f>
        <v>1403.7034274999999</v>
      </c>
      <c r="AY279" s="73">
        <f>AI279*Valores!$C$73</f>
        <v>311.934095</v>
      </c>
      <c r="AZ279" s="73">
        <f>AI279*Valores!$C$75</f>
        <v>1091.7693325</v>
      </c>
      <c r="BA279" s="73">
        <f>AI279*Valores!$C$76</f>
        <v>187.16045699999998</v>
      </c>
      <c r="BB279" s="73">
        <f t="shared" si="61"/>
        <v>1684.444113</v>
      </c>
      <c r="BC279" s="47"/>
      <c r="BD279" s="81">
        <f t="shared" si="50"/>
        <v>104</v>
      </c>
      <c r="BE279" s="24" t="s">
        <v>4</v>
      </c>
    </row>
    <row r="280" spans="1:57" s="24" customFormat="1" ht="11.25" customHeight="1">
      <c r="A280" s="47">
        <v>279</v>
      </c>
      <c r="B280" s="47"/>
      <c r="C280" s="24" t="s">
        <v>522</v>
      </c>
      <c r="D280" s="24">
        <v>26</v>
      </c>
      <c r="E280" s="24">
        <f t="shared" si="53"/>
        <v>42</v>
      </c>
      <c r="F280" s="67" t="str">
        <f>CONCATENATE("Hora Cátedra Enseñanza Media ",D280," hs Esc Esp")</f>
        <v>Hora Cátedra Enseñanza Media 26 hs Esc Esp</v>
      </c>
      <c r="G280" s="68">
        <f t="shared" si="52"/>
        <v>2054</v>
      </c>
      <c r="H280" s="69">
        <f>INT((G280*Valores!$C$2*100)+0.49)/100</f>
        <v>15711.25</v>
      </c>
      <c r="I280" s="108">
        <v>0</v>
      </c>
      <c r="J280" s="71">
        <f>INT((I280*Valores!$C$2*100)+0.5)/100</f>
        <v>0</v>
      </c>
      <c r="K280" s="98">
        <v>0</v>
      </c>
      <c r="L280" s="71">
        <f>INT((K280*Valores!$C$2*100)+0.5)/100</f>
        <v>0</v>
      </c>
      <c r="M280" s="96">
        <v>0</v>
      </c>
      <c r="N280" s="71">
        <f>INT((M280*Valores!$C$2*100)+0.5)/100</f>
        <v>0</v>
      </c>
      <c r="O280" s="71">
        <f t="shared" si="54"/>
        <v>2840.5995</v>
      </c>
      <c r="P280" s="71">
        <f t="shared" si="55"/>
        <v>0</v>
      </c>
      <c r="Q280" s="97">
        <f>Valores!$C$14*D280</f>
        <v>4803.76</v>
      </c>
      <c r="R280" s="97">
        <f>IF(D280&lt;15,(Valores!$E$4*D280),Valores!$D$4)</f>
        <v>3421.44</v>
      </c>
      <c r="S280" s="71">
        <v>0</v>
      </c>
      <c r="T280" s="74">
        <f>IF(Valores!$C$45*D280&gt;Valores!$C$43,Valores!$C$43,Valores!$C$45*D280)</f>
        <v>1532.44</v>
      </c>
      <c r="U280" s="97">
        <f>Valores!$C$22*D280</f>
        <v>1693.64</v>
      </c>
      <c r="V280" s="71">
        <f t="shared" si="49"/>
        <v>1693.64</v>
      </c>
      <c r="W280" s="71">
        <v>0</v>
      </c>
      <c r="X280" s="71">
        <v>0</v>
      </c>
      <c r="Y280" s="114">
        <v>0</v>
      </c>
      <c r="Z280" s="71">
        <f>Y280*Valores!$C$2</f>
        <v>0</v>
      </c>
      <c r="AA280" s="71">
        <v>0</v>
      </c>
      <c r="AB280" s="76">
        <f>IF((Valores!$C$32)*D280&gt;Valores!$F$32,Valores!$F$32,(Valores!$C$32)*D280)</f>
        <v>192.4</v>
      </c>
      <c r="AC280" s="71">
        <f t="shared" si="58"/>
        <v>0</v>
      </c>
      <c r="AD280" s="71">
        <f>IF(Valores!$C$33*D280&gt;Valores!$F$33,Valores!$F$33,Valores!$C$33*D280)</f>
        <v>160.16</v>
      </c>
      <c r="AE280" s="75">
        <v>94</v>
      </c>
      <c r="AF280" s="71">
        <f>INT(((AE280*Valores!$C$2)*100)+0.5)/100</f>
        <v>719.02</v>
      </c>
      <c r="AG280" s="71">
        <f>IF(Valores!$D$58*'Escala Docente'!D280&gt;Valores!$F$58,Valores!$F$58,Valores!$D$58*'Escala Docente'!D280)</f>
        <v>651.56</v>
      </c>
      <c r="AH280" s="71">
        <f>IF(Valores!$D$60*D280&gt;Valores!$F$60,Valores!$F$60,Valores!$D$60*D280)</f>
        <v>186.16</v>
      </c>
      <c r="AI280" s="110">
        <f t="shared" si="59"/>
        <v>31912.4295</v>
      </c>
      <c r="AJ280" s="97">
        <f>IF(Valores!$C$36*D280&gt;Valores!$F$36,Valores!$F$36,Valores!$C$36*D280)</f>
        <v>1519.44</v>
      </c>
      <c r="AK280" s="74">
        <f>IF(Valores!$C$11*D280&gt;Valores!$F$11,Valores!$F$11,Valores!$C$11*D280)</f>
        <v>0</v>
      </c>
      <c r="AL280" s="74">
        <f>IF(Valores!$C$84*D280&gt;Valores!$C$83,Valores!$C$83,Valores!$C$84*D280)</f>
        <v>1950</v>
      </c>
      <c r="AM280" s="74">
        <f t="shared" si="51"/>
        <v>1820</v>
      </c>
      <c r="AN280" s="76">
        <f>IF(Valores!$C$57*D280&gt;Valores!$F$57,Valores!$F$57,Valores!$C$57*D280)</f>
        <v>273</v>
      </c>
      <c r="AO280" s="78">
        <f t="shared" si="60"/>
        <v>3469.44</v>
      </c>
      <c r="AP280" s="57">
        <f>AI280*-Valores!$C$65</f>
        <v>-4148.615835</v>
      </c>
      <c r="AQ280" s="57">
        <f>AI280*-Valores!$C$66</f>
        <v>-159.5621475</v>
      </c>
      <c r="AR280" s="73">
        <f>AI280*-Valores!$C$67</f>
        <v>-1436.0593274999999</v>
      </c>
      <c r="AS280" s="73">
        <f>AI280*-Valores!$C$68</f>
        <v>-861.6355964999999</v>
      </c>
      <c r="AT280" s="73">
        <f>AI280*-Valores!$C$69</f>
        <v>-95.73728849999999</v>
      </c>
      <c r="AU280" s="77">
        <f t="shared" si="56"/>
        <v>29637.63219</v>
      </c>
      <c r="AV280" s="77">
        <f t="shared" si="57"/>
        <v>30116.318632500002</v>
      </c>
      <c r="AW280" s="73">
        <f>AI280*Valores!$C$71</f>
        <v>5105.98872</v>
      </c>
      <c r="AX280" s="73">
        <f>AI280*Valores!$C$72</f>
        <v>1436.0593274999999</v>
      </c>
      <c r="AY280" s="73">
        <f>AI280*Valores!$C$73</f>
        <v>319.124295</v>
      </c>
      <c r="AZ280" s="73">
        <f>AI280*Valores!$C$75</f>
        <v>1116.9350325</v>
      </c>
      <c r="BA280" s="73">
        <f>AI280*Valores!$C$76</f>
        <v>191.47457699999998</v>
      </c>
      <c r="BB280" s="73">
        <f t="shared" si="61"/>
        <v>1723.2711929999998</v>
      </c>
      <c r="BC280" s="47"/>
      <c r="BD280" s="47">
        <f t="shared" si="50"/>
        <v>104</v>
      </c>
      <c r="BE280" s="24" t="s">
        <v>4</v>
      </c>
    </row>
    <row r="281" spans="1:57" s="24" customFormat="1" ht="11.25" customHeight="1">
      <c r="A281" s="81">
        <v>280</v>
      </c>
      <c r="B281" s="81" t="s">
        <v>163</v>
      </c>
      <c r="C281" s="82" t="s">
        <v>522</v>
      </c>
      <c r="D281" s="82">
        <v>27</v>
      </c>
      <c r="E281" s="82">
        <f t="shared" si="53"/>
        <v>34</v>
      </c>
      <c r="F281" s="83" t="str">
        <f>CONCATENATE("Hora Cátedra Enseñanza Media ",D281," hs")</f>
        <v>Hora Cátedra Enseñanza Media 27 hs</v>
      </c>
      <c r="G281" s="84">
        <f t="shared" si="52"/>
        <v>2133</v>
      </c>
      <c r="H281" s="85">
        <f>INT((G281*Valores!$C$2*100)+0.49)/100</f>
        <v>16315.53</v>
      </c>
      <c r="I281" s="99">
        <v>0</v>
      </c>
      <c r="J281" s="87">
        <f>INT((I281*Valores!$C$2*100)+0.5)/100</f>
        <v>0</v>
      </c>
      <c r="K281" s="100">
        <v>0</v>
      </c>
      <c r="L281" s="87">
        <f>INT((K281*Valores!$C$2*100)+0.5)/100</f>
        <v>0</v>
      </c>
      <c r="M281" s="101">
        <v>0</v>
      </c>
      <c r="N281" s="87">
        <f>INT((M281*Valores!$C$2*100)+0.5)/100</f>
        <v>0</v>
      </c>
      <c r="O281" s="87">
        <f t="shared" si="54"/>
        <v>2949.8535</v>
      </c>
      <c r="P281" s="87">
        <f t="shared" si="55"/>
        <v>0</v>
      </c>
      <c r="Q281" s="103">
        <f>Valores!$C$14*D281</f>
        <v>4988.5199999999995</v>
      </c>
      <c r="R281" s="103">
        <f>IF(D281&lt;15,(Valores!$E$4*D281),Valores!$D$4)</f>
        <v>3421.44</v>
      </c>
      <c r="S281" s="87">
        <v>0</v>
      </c>
      <c r="T281" s="90">
        <f>IF(Valores!$C$45*D281&gt;Valores!$C$43,Valores!$C$43,Valores!$C$45*D281)</f>
        <v>1591.3799999999999</v>
      </c>
      <c r="U281" s="103">
        <f>Valores!$C$22*D281</f>
        <v>1758.78</v>
      </c>
      <c r="V281" s="87">
        <f t="shared" si="49"/>
        <v>1758.78</v>
      </c>
      <c r="W281" s="87">
        <v>0</v>
      </c>
      <c r="X281" s="87">
        <v>0</v>
      </c>
      <c r="Y281" s="115">
        <v>0</v>
      </c>
      <c r="Z281" s="87">
        <f>Y281*Valores!$C$2</f>
        <v>0</v>
      </c>
      <c r="AA281" s="87">
        <v>0</v>
      </c>
      <c r="AB281" s="92">
        <f>IF((Valores!$C$32)*D281&gt;Valores!$F$32,Valores!$F$32,(Valores!$C$32)*D281)</f>
        <v>199.8</v>
      </c>
      <c r="AC281" s="87">
        <f t="shared" si="58"/>
        <v>0</v>
      </c>
      <c r="AD281" s="87">
        <f>IF(Valores!$C$33*D281&gt;Valores!$F$33,Valores!$F$33,Valores!$C$33*D281)</f>
        <v>166.32</v>
      </c>
      <c r="AE281" s="91">
        <v>0</v>
      </c>
      <c r="AF281" s="87">
        <f>INT(((AE281*Valores!$C$2)*100)+0.5)/100</f>
        <v>0</v>
      </c>
      <c r="AG281" s="87">
        <f>IF(Valores!$D$58*'Escala Docente'!D281&gt;Valores!$F$58,Valores!$F$58,Valores!$D$58*'Escala Docente'!D281)</f>
        <v>676.62</v>
      </c>
      <c r="AH281" s="87">
        <f>IF(Valores!$D$60*D281&gt;Valores!$F$60,Valores!$F$60,Valores!$D$60*D281)</f>
        <v>193.32</v>
      </c>
      <c r="AI281" s="111">
        <f t="shared" si="59"/>
        <v>32261.563499999997</v>
      </c>
      <c r="AJ281" s="103">
        <f>IF(Valores!$C$36*D281&gt;Valores!$F$36,Valores!$F$36,Valores!$C$36*D281)</f>
        <v>1577.8799999999999</v>
      </c>
      <c r="AK281" s="90">
        <f>IF(Valores!$C$11*D281&gt;Valores!$F$11,Valores!$F$11,Valores!$C$11*D281)</f>
        <v>0</v>
      </c>
      <c r="AL281" s="90">
        <f>IF(Valores!$C$84*D281&gt;Valores!$C$83,Valores!$C$83,Valores!$C$84*D281)</f>
        <v>2025</v>
      </c>
      <c r="AM281" s="74">
        <f t="shared" si="51"/>
        <v>1890</v>
      </c>
      <c r="AN281" s="92">
        <f>IF(Valores!$C$57*D281&gt;Valores!$F$57,Valores!$F$57,Valores!$C$57*D281)</f>
        <v>283.5</v>
      </c>
      <c r="AO281" s="94">
        <f t="shared" si="60"/>
        <v>3602.88</v>
      </c>
      <c r="AP281" s="112">
        <f>AI281*-Valores!$C$65</f>
        <v>-4194.003255</v>
      </c>
      <c r="AQ281" s="112">
        <f>AI281*-Valores!$C$66</f>
        <v>-161.3078175</v>
      </c>
      <c r="AR281" s="89">
        <f>AI281*-Valores!$C$67</f>
        <v>-1451.7703574999998</v>
      </c>
      <c r="AS281" s="89">
        <f>AI281*-Valores!$C$68</f>
        <v>-871.0622144999999</v>
      </c>
      <c r="AT281" s="89">
        <f>AI281*-Valores!$C$69</f>
        <v>-96.7846905</v>
      </c>
      <c r="AU281" s="93">
        <f t="shared" si="56"/>
        <v>30057.36207</v>
      </c>
      <c r="AV281" s="93">
        <f t="shared" si="57"/>
        <v>30541.285522499995</v>
      </c>
      <c r="AW281" s="89">
        <f>AI281*Valores!$C$71</f>
        <v>5161.85016</v>
      </c>
      <c r="AX281" s="89">
        <f>AI281*Valores!$C$72</f>
        <v>1451.7703574999998</v>
      </c>
      <c r="AY281" s="89">
        <f>AI281*Valores!$C$73</f>
        <v>322.615635</v>
      </c>
      <c r="AZ281" s="89">
        <f>AI281*Valores!$C$75</f>
        <v>1129.1547225</v>
      </c>
      <c r="BA281" s="89">
        <f>AI281*Valores!$C$76</f>
        <v>193.569381</v>
      </c>
      <c r="BB281" s="89">
        <f t="shared" si="61"/>
        <v>1742.124429</v>
      </c>
      <c r="BC281" s="81"/>
      <c r="BD281" s="81">
        <f t="shared" si="50"/>
        <v>108</v>
      </c>
      <c r="BE281" s="82" t="s">
        <v>8</v>
      </c>
    </row>
    <row r="282" spans="1:57" s="24" customFormat="1" ht="11.25" customHeight="1">
      <c r="A282" s="47">
        <v>281</v>
      </c>
      <c r="B282" s="47"/>
      <c r="C282" s="24" t="s">
        <v>522</v>
      </c>
      <c r="D282" s="24">
        <v>27</v>
      </c>
      <c r="E282" s="24">
        <f t="shared" si="53"/>
        <v>42</v>
      </c>
      <c r="F282" s="67" t="str">
        <f>CONCATENATE("Hora Cátedra Enseñanza Media ",D282," hs Esc Esp")</f>
        <v>Hora Cátedra Enseñanza Media 27 hs Esc Esp</v>
      </c>
      <c r="G282" s="68">
        <f t="shared" si="52"/>
        <v>2133</v>
      </c>
      <c r="H282" s="69">
        <f>INT((G282*Valores!$C$2*100)+0.49)/100</f>
        <v>16315.53</v>
      </c>
      <c r="I282" s="108">
        <v>0</v>
      </c>
      <c r="J282" s="71">
        <f>INT((I282*Valores!$C$2*100)+0.5)/100</f>
        <v>0</v>
      </c>
      <c r="K282" s="98">
        <v>0</v>
      </c>
      <c r="L282" s="71">
        <f>INT((K282*Valores!$C$2*100)+0.5)/100</f>
        <v>0</v>
      </c>
      <c r="M282" s="96">
        <v>0</v>
      </c>
      <c r="N282" s="71">
        <f>INT((M282*Valores!$C$2*100)+0.5)/100</f>
        <v>0</v>
      </c>
      <c r="O282" s="71">
        <f t="shared" si="54"/>
        <v>2949.8535</v>
      </c>
      <c r="P282" s="71">
        <f t="shared" si="55"/>
        <v>0</v>
      </c>
      <c r="Q282" s="97">
        <f>Valores!$C$14*D282</f>
        <v>4988.5199999999995</v>
      </c>
      <c r="R282" s="97">
        <f>IF(D282&lt;15,(Valores!$E$4*D282),Valores!$D$4)</f>
        <v>3421.44</v>
      </c>
      <c r="S282" s="71">
        <v>0</v>
      </c>
      <c r="T282" s="74">
        <f>IF(Valores!$C$45*D282&gt;Valores!$C$43,Valores!$C$43,Valores!$C$45*D282)</f>
        <v>1591.3799999999999</v>
      </c>
      <c r="U282" s="97">
        <f>Valores!$C$22*D282</f>
        <v>1758.78</v>
      </c>
      <c r="V282" s="71">
        <f t="shared" si="49"/>
        <v>1758.78</v>
      </c>
      <c r="W282" s="71">
        <v>0</v>
      </c>
      <c r="X282" s="71">
        <v>0</v>
      </c>
      <c r="Y282" s="114">
        <v>0</v>
      </c>
      <c r="Z282" s="71">
        <f>Y282*Valores!$C$2</f>
        <v>0</v>
      </c>
      <c r="AA282" s="71">
        <v>0</v>
      </c>
      <c r="AB282" s="76">
        <f>IF((Valores!$C$32)*D282&gt;Valores!$F$32,Valores!$F$32,(Valores!$C$32)*D282)</f>
        <v>199.8</v>
      </c>
      <c r="AC282" s="71">
        <f t="shared" si="58"/>
        <v>0</v>
      </c>
      <c r="AD282" s="71">
        <f>IF(Valores!$C$33*D282&gt;Valores!$F$33,Valores!$F$33,Valores!$C$33*D282)</f>
        <v>166.32</v>
      </c>
      <c r="AE282" s="75">
        <v>94</v>
      </c>
      <c r="AF282" s="71">
        <f>INT(((AE282*Valores!$C$2)*100)+0.5)/100</f>
        <v>719.02</v>
      </c>
      <c r="AG282" s="71">
        <f>IF(Valores!$D$58*'Escala Docente'!D282&gt;Valores!$F$58,Valores!$F$58,Valores!$D$58*'Escala Docente'!D282)</f>
        <v>676.62</v>
      </c>
      <c r="AH282" s="71">
        <f>IF(Valores!$D$60*D282&gt;Valores!$F$60,Valores!$F$60,Valores!$D$60*D282)</f>
        <v>193.32</v>
      </c>
      <c r="AI282" s="110">
        <f t="shared" si="59"/>
        <v>32980.5835</v>
      </c>
      <c r="AJ282" s="97">
        <f>IF(Valores!$C$36*D282&gt;Valores!$F$36,Valores!$F$36,Valores!$C$36*D282)</f>
        <v>1577.8799999999999</v>
      </c>
      <c r="AK282" s="74">
        <f>IF(Valores!$C$11*D282&gt;Valores!$F$11,Valores!$F$11,Valores!$C$11*D282)</f>
        <v>0</v>
      </c>
      <c r="AL282" s="74">
        <f>IF(Valores!$C$84*D282&gt;Valores!$C$83,Valores!$C$83,Valores!$C$84*D282)</f>
        <v>2025</v>
      </c>
      <c r="AM282" s="74">
        <f t="shared" si="51"/>
        <v>1890</v>
      </c>
      <c r="AN282" s="76">
        <f>IF(Valores!$C$57*D282&gt;Valores!$F$57,Valores!$F$57,Valores!$C$57*D282)</f>
        <v>283.5</v>
      </c>
      <c r="AO282" s="78">
        <f t="shared" si="60"/>
        <v>3602.88</v>
      </c>
      <c r="AP282" s="57">
        <f>AI282*-Valores!$C$65</f>
        <v>-4287.475855000001</v>
      </c>
      <c r="AQ282" s="57">
        <f>AI282*-Valores!$C$66</f>
        <v>-164.9029175</v>
      </c>
      <c r="AR282" s="73">
        <f>AI282*-Valores!$C$67</f>
        <v>-1484.1262575</v>
      </c>
      <c r="AS282" s="73">
        <f>AI282*-Valores!$C$68</f>
        <v>-890.4757545</v>
      </c>
      <c r="AT282" s="73">
        <f>AI282*-Valores!$C$69</f>
        <v>-98.9417505</v>
      </c>
      <c r="AU282" s="77">
        <f t="shared" si="56"/>
        <v>30646.958469999994</v>
      </c>
      <c r="AV282" s="77">
        <f t="shared" si="57"/>
        <v>31141.667222499993</v>
      </c>
      <c r="AW282" s="73">
        <f>AI282*Valores!$C$71</f>
        <v>5276.89336</v>
      </c>
      <c r="AX282" s="73">
        <f>AI282*Valores!$C$72</f>
        <v>1484.1262575</v>
      </c>
      <c r="AY282" s="73">
        <f>AI282*Valores!$C$73</f>
        <v>329.805835</v>
      </c>
      <c r="AZ282" s="73">
        <f>AI282*Valores!$C$75</f>
        <v>1154.3204225000002</v>
      </c>
      <c r="BA282" s="73">
        <f>AI282*Valores!$C$76</f>
        <v>197.883501</v>
      </c>
      <c r="BB282" s="73">
        <f t="shared" si="61"/>
        <v>1780.951509</v>
      </c>
      <c r="BC282" s="47"/>
      <c r="BD282" s="47">
        <f t="shared" si="50"/>
        <v>108</v>
      </c>
      <c r="BE282" s="24" t="s">
        <v>8</v>
      </c>
    </row>
    <row r="283" spans="1:57" s="24" customFormat="1" ht="11.25" customHeight="1">
      <c r="A283" s="47">
        <v>282</v>
      </c>
      <c r="B283" s="47"/>
      <c r="C283" s="24" t="s">
        <v>522</v>
      </c>
      <c r="D283" s="24">
        <v>28</v>
      </c>
      <c r="E283" s="24">
        <f t="shared" si="53"/>
        <v>34</v>
      </c>
      <c r="F283" s="67" t="str">
        <f>CONCATENATE("Hora Cátedra Enseñanza Media ",D283," hs")</f>
        <v>Hora Cátedra Enseñanza Media 28 hs</v>
      </c>
      <c r="G283" s="68">
        <f t="shared" si="52"/>
        <v>2212</v>
      </c>
      <c r="H283" s="69">
        <f>INT((G283*Valores!$C$2*100)+0.49)/100</f>
        <v>16919.81</v>
      </c>
      <c r="I283" s="108">
        <v>0</v>
      </c>
      <c r="J283" s="71">
        <f>INT((I283*Valores!$C$2*100)+0.5)/100</f>
        <v>0</v>
      </c>
      <c r="K283" s="98">
        <v>0</v>
      </c>
      <c r="L283" s="71">
        <f>INT((K283*Valores!$C$2*100)+0.5)/100</f>
        <v>0</v>
      </c>
      <c r="M283" s="96">
        <v>0</v>
      </c>
      <c r="N283" s="71">
        <f>INT((M283*Valores!$C$2*100)+0.5)/100</f>
        <v>0</v>
      </c>
      <c r="O283" s="71">
        <f t="shared" si="54"/>
        <v>3059.1075000000005</v>
      </c>
      <c r="P283" s="71">
        <f t="shared" si="55"/>
        <v>0</v>
      </c>
      <c r="Q283" s="97">
        <f>Valores!$C$14*D283</f>
        <v>5173.28</v>
      </c>
      <c r="R283" s="97">
        <f>IF(D283&lt;15,(Valores!$E$4*D283),Valores!$D$4)</f>
        <v>3421.44</v>
      </c>
      <c r="S283" s="71">
        <v>0</v>
      </c>
      <c r="T283" s="74">
        <f>IF(Valores!$C$45*D283&gt;Valores!$C$43,Valores!$C$43,Valores!$C$45*D283)</f>
        <v>1650.32</v>
      </c>
      <c r="U283" s="97">
        <f>Valores!$C$22*D283</f>
        <v>1823.92</v>
      </c>
      <c r="V283" s="71">
        <f t="shared" si="49"/>
        <v>1823.92</v>
      </c>
      <c r="W283" s="71">
        <v>0</v>
      </c>
      <c r="X283" s="71">
        <v>0</v>
      </c>
      <c r="Y283" s="114">
        <v>0</v>
      </c>
      <c r="Z283" s="71">
        <f>Y283*Valores!$C$2</f>
        <v>0</v>
      </c>
      <c r="AA283" s="71">
        <v>0</v>
      </c>
      <c r="AB283" s="76">
        <f>IF((Valores!$C$32)*D283&gt;Valores!$F$32,Valores!$F$32,(Valores!$C$32)*D283)</f>
        <v>207.20000000000002</v>
      </c>
      <c r="AC283" s="71">
        <f t="shared" si="58"/>
        <v>0</v>
      </c>
      <c r="AD283" s="71">
        <f>IF(Valores!$C$33*D283&gt;Valores!$F$33,Valores!$F$33,Valores!$C$33*D283)</f>
        <v>172.48000000000002</v>
      </c>
      <c r="AE283" s="75">
        <v>0</v>
      </c>
      <c r="AF283" s="71">
        <f>INT(((AE283*Valores!$C$2)*100)+0.5)/100</f>
        <v>0</v>
      </c>
      <c r="AG283" s="71">
        <f>IF(Valores!$D$58*'Escala Docente'!D283&gt;Valores!$F$58,Valores!$F$58,Valores!$D$58*'Escala Docente'!D283)</f>
        <v>701.68</v>
      </c>
      <c r="AH283" s="71">
        <f>IF(Valores!$D$60*D283&gt;Valores!$F$60,Valores!$F$60,Valores!$D$60*D283)</f>
        <v>200.48000000000002</v>
      </c>
      <c r="AI283" s="110">
        <f t="shared" si="59"/>
        <v>33329.717500000006</v>
      </c>
      <c r="AJ283" s="97">
        <f>IF(Valores!$C$36*D283&gt;Valores!$F$36,Valores!$F$36,Valores!$C$36*D283)</f>
        <v>1636.32</v>
      </c>
      <c r="AK283" s="74">
        <f>IF(Valores!$C$11*D283&gt;Valores!$F$11,Valores!$F$11,Valores!$C$11*D283)</f>
        <v>0</v>
      </c>
      <c r="AL283" s="74">
        <f>IF(Valores!$C$84*D283&gt;Valores!$C$83,Valores!$C$83,Valores!$C$84*D283)</f>
        <v>2100</v>
      </c>
      <c r="AM283" s="74">
        <f t="shared" si="51"/>
        <v>1960</v>
      </c>
      <c r="AN283" s="76">
        <f>IF(Valores!$C$57*D283&gt;Valores!$F$57,Valores!$F$57,Valores!$C$57*D283)</f>
        <v>294</v>
      </c>
      <c r="AO283" s="78">
        <f t="shared" si="60"/>
        <v>3736.3199999999997</v>
      </c>
      <c r="AP283" s="57">
        <f>AI283*-Valores!$C$65</f>
        <v>-4332.863275000001</v>
      </c>
      <c r="AQ283" s="57">
        <f>AI283*-Valores!$C$66</f>
        <v>-166.64858750000005</v>
      </c>
      <c r="AR283" s="73">
        <f>AI283*-Valores!$C$67</f>
        <v>-1499.8372875000002</v>
      </c>
      <c r="AS283" s="73">
        <f>AI283*-Valores!$C$68</f>
        <v>-899.9023725000002</v>
      </c>
      <c r="AT283" s="73">
        <f>AI283*-Valores!$C$69</f>
        <v>-99.98915250000002</v>
      </c>
      <c r="AU283" s="77">
        <f t="shared" si="56"/>
        <v>31066.688350000008</v>
      </c>
      <c r="AV283" s="77">
        <f t="shared" si="57"/>
        <v>31566.634112500007</v>
      </c>
      <c r="AW283" s="73">
        <f>AI283*Valores!$C$71</f>
        <v>5332.7548000000015</v>
      </c>
      <c r="AX283" s="73">
        <f>AI283*Valores!$C$72</f>
        <v>1499.8372875000002</v>
      </c>
      <c r="AY283" s="73">
        <f>AI283*Valores!$C$73</f>
        <v>333.2971750000001</v>
      </c>
      <c r="AZ283" s="73">
        <f>AI283*Valores!$C$75</f>
        <v>1166.5401125000003</v>
      </c>
      <c r="BA283" s="73">
        <f>AI283*Valores!$C$76</f>
        <v>199.97830500000003</v>
      </c>
      <c r="BB283" s="73">
        <f t="shared" si="61"/>
        <v>1799.8047450000004</v>
      </c>
      <c r="BC283" s="47"/>
      <c r="BD283" s="47">
        <f t="shared" si="50"/>
        <v>112</v>
      </c>
      <c r="BE283" s="24" t="s">
        <v>4</v>
      </c>
    </row>
    <row r="284" spans="1:57" s="24" customFormat="1" ht="11.25" customHeight="1">
      <c r="A284" s="47">
        <v>283</v>
      </c>
      <c r="B284" s="47"/>
      <c r="C284" s="24" t="s">
        <v>522</v>
      </c>
      <c r="D284" s="24">
        <v>28</v>
      </c>
      <c r="E284" s="24">
        <f t="shared" si="53"/>
        <v>42</v>
      </c>
      <c r="F284" s="67" t="str">
        <f>CONCATENATE("Hora Cátedra Enseñanza Media ",D284," hs Esc Esp")</f>
        <v>Hora Cátedra Enseñanza Media 28 hs Esc Esp</v>
      </c>
      <c r="G284" s="68">
        <f t="shared" si="52"/>
        <v>2212</v>
      </c>
      <c r="H284" s="69">
        <f>INT((G284*Valores!$C$2*100)+0.49)/100</f>
        <v>16919.81</v>
      </c>
      <c r="I284" s="108">
        <v>0</v>
      </c>
      <c r="J284" s="71">
        <f>INT((I284*Valores!$C$2*100)+0.5)/100</f>
        <v>0</v>
      </c>
      <c r="K284" s="98">
        <v>0</v>
      </c>
      <c r="L284" s="71">
        <f>INT((K284*Valores!$C$2*100)+0.5)/100</f>
        <v>0</v>
      </c>
      <c r="M284" s="96">
        <v>0</v>
      </c>
      <c r="N284" s="71">
        <f>INT((M284*Valores!$C$2*100)+0.5)/100</f>
        <v>0</v>
      </c>
      <c r="O284" s="71">
        <f t="shared" si="54"/>
        <v>3059.1075000000005</v>
      </c>
      <c r="P284" s="71">
        <f t="shared" si="55"/>
        <v>0</v>
      </c>
      <c r="Q284" s="97">
        <f>Valores!$C$14*D284</f>
        <v>5173.28</v>
      </c>
      <c r="R284" s="97">
        <f>IF(D284&lt;15,(Valores!$E$4*D284),Valores!$D$4)</f>
        <v>3421.44</v>
      </c>
      <c r="S284" s="71">
        <v>0</v>
      </c>
      <c r="T284" s="74">
        <f>IF(Valores!$C$45*D284&gt;Valores!$C$43,Valores!$C$43,Valores!$C$45*D284)</f>
        <v>1650.32</v>
      </c>
      <c r="U284" s="97">
        <f>Valores!$C$22*D284</f>
        <v>1823.92</v>
      </c>
      <c r="V284" s="71">
        <f t="shared" si="49"/>
        <v>1823.92</v>
      </c>
      <c r="W284" s="71">
        <v>0</v>
      </c>
      <c r="X284" s="71">
        <v>0</v>
      </c>
      <c r="Y284" s="114">
        <v>0</v>
      </c>
      <c r="Z284" s="71">
        <f>Y284*Valores!$C$2</f>
        <v>0</v>
      </c>
      <c r="AA284" s="71">
        <v>0</v>
      </c>
      <c r="AB284" s="76">
        <f>IF((Valores!$C$32)*D284&gt;Valores!$F$32,Valores!$F$32,(Valores!$C$32)*D284)</f>
        <v>207.20000000000002</v>
      </c>
      <c r="AC284" s="71">
        <f t="shared" si="58"/>
        <v>0</v>
      </c>
      <c r="AD284" s="71">
        <f>IF(Valores!$C$33*D284&gt;Valores!$F$33,Valores!$F$33,Valores!$C$33*D284)</f>
        <v>172.48000000000002</v>
      </c>
      <c r="AE284" s="75">
        <v>94</v>
      </c>
      <c r="AF284" s="71">
        <f>INT(((AE284*Valores!$C$2)*100)+0.5)/100</f>
        <v>719.02</v>
      </c>
      <c r="AG284" s="71">
        <f>IF(Valores!$D$58*'Escala Docente'!D284&gt;Valores!$F$58,Valores!$F$58,Valores!$D$58*'Escala Docente'!D284)</f>
        <v>701.68</v>
      </c>
      <c r="AH284" s="71">
        <f>IF(Valores!$D$60*D284&gt;Valores!$F$60,Valores!$F$60,Valores!$D$60*D284)</f>
        <v>200.48000000000002</v>
      </c>
      <c r="AI284" s="110">
        <f t="shared" si="59"/>
        <v>34048.73750000001</v>
      </c>
      <c r="AJ284" s="97">
        <f>IF(Valores!$C$36*D284&gt;Valores!$F$36,Valores!$F$36,Valores!$C$36*D284)</f>
        <v>1636.32</v>
      </c>
      <c r="AK284" s="74">
        <f>IF(Valores!$C$11*D284&gt;Valores!$F$11,Valores!$F$11,Valores!$C$11*D284)</f>
        <v>0</v>
      </c>
      <c r="AL284" s="74">
        <f>IF(Valores!$C$84*D284&gt;Valores!$C$83,Valores!$C$83,Valores!$C$84*D284)</f>
        <v>2100</v>
      </c>
      <c r="AM284" s="74">
        <f t="shared" si="51"/>
        <v>1960</v>
      </c>
      <c r="AN284" s="76">
        <f>IF(Valores!$C$57*D284&gt;Valores!$F$57,Valores!$F$57,Valores!$C$57*D284)</f>
        <v>294</v>
      </c>
      <c r="AO284" s="78">
        <f t="shared" si="60"/>
        <v>3736.3199999999997</v>
      </c>
      <c r="AP284" s="57">
        <f>AI284*-Valores!$C$65</f>
        <v>-4426.335875000002</v>
      </c>
      <c r="AQ284" s="57">
        <f>AI284*-Valores!$C$66</f>
        <v>-170.24368750000005</v>
      </c>
      <c r="AR284" s="73">
        <f>AI284*-Valores!$C$67</f>
        <v>-1532.1931875000005</v>
      </c>
      <c r="AS284" s="73">
        <f>AI284*-Valores!$C$68</f>
        <v>-919.3159125000003</v>
      </c>
      <c r="AT284" s="73">
        <f>AI284*-Valores!$C$69</f>
        <v>-102.14621250000003</v>
      </c>
      <c r="AU284" s="77">
        <f t="shared" si="56"/>
        <v>31656.28475000001</v>
      </c>
      <c r="AV284" s="77">
        <f t="shared" si="57"/>
        <v>32167.01581250001</v>
      </c>
      <c r="AW284" s="73">
        <f>AI284*Valores!$C$71</f>
        <v>5447.798000000002</v>
      </c>
      <c r="AX284" s="73">
        <f>AI284*Valores!$C$72</f>
        <v>1532.1931875000005</v>
      </c>
      <c r="AY284" s="73">
        <f>AI284*Valores!$C$73</f>
        <v>340.4873750000001</v>
      </c>
      <c r="AZ284" s="73">
        <f>AI284*Valores!$C$75</f>
        <v>1191.7058125000005</v>
      </c>
      <c r="BA284" s="73">
        <f>AI284*Valores!$C$76</f>
        <v>204.29242500000007</v>
      </c>
      <c r="BB284" s="73">
        <f t="shared" si="61"/>
        <v>1838.6318250000006</v>
      </c>
      <c r="BC284" s="47"/>
      <c r="BD284" s="81">
        <f t="shared" si="50"/>
        <v>112</v>
      </c>
      <c r="BE284" s="24" t="s">
        <v>4</v>
      </c>
    </row>
    <row r="285" spans="1:57" s="24" customFormat="1" ht="11.25" customHeight="1">
      <c r="A285" s="47">
        <v>284</v>
      </c>
      <c r="B285" s="47"/>
      <c r="C285" s="24" t="s">
        <v>522</v>
      </c>
      <c r="D285" s="24">
        <v>29</v>
      </c>
      <c r="E285" s="24">
        <f t="shared" si="53"/>
        <v>34</v>
      </c>
      <c r="F285" s="67" t="str">
        <f>CONCATENATE("Hora Cátedra Enseñanza Media ",D285," hs")</f>
        <v>Hora Cátedra Enseñanza Media 29 hs</v>
      </c>
      <c r="G285" s="68">
        <f t="shared" si="52"/>
        <v>2291</v>
      </c>
      <c r="H285" s="69">
        <f>INT((G285*Valores!$C$2*100)+0.49)/100</f>
        <v>17524.09</v>
      </c>
      <c r="I285" s="108">
        <v>0</v>
      </c>
      <c r="J285" s="71">
        <f>INT((I285*Valores!$C$2*100)+0.5)/100</f>
        <v>0</v>
      </c>
      <c r="K285" s="98">
        <v>0</v>
      </c>
      <c r="L285" s="71">
        <f>INT((K285*Valores!$C$2*100)+0.5)/100</f>
        <v>0</v>
      </c>
      <c r="M285" s="96">
        <v>0</v>
      </c>
      <c r="N285" s="71">
        <f>INT((M285*Valores!$C$2*100)+0.5)/100</f>
        <v>0</v>
      </c>
      <c r="O285" s="71">
        <f t="shared" si="54"/>
        <v>3168.3615</v>
      </c>
      <c r="P285" s="71">
        <f t="shared" si="55"/>
        <v>0</v>
      </c>
      <c r="Q285" s="97">
        <f>Valores!$C$14*D285</f>
        <v>5358.04</v>
      </c>
      <c r="R285" s="97">
        <f>IF(D285&lt;15,(Valores!$E$4*D285),Valores!$D$4)</f>
        <v>3421.44</v>
      </c>
      <c r="S285" s="71">
        <v>0</v>
      </c>
      <c r="T285" s="74">
        <f>IF(Valores!$C$45*D285&gt;Valores!$C$43,Valores!$C$43,Valores!$C$45*D285)</f>
        <v>1709.26</v>
      </c>
      <c r="U285" s="97">
        <f>Valores!$C$22*D285</f>
        <v>1889.06</v>
      </c>
      <c r="V285" s="71">
        <f t="shared" si="49"/>
        <v>1889.06</v>
      </c>
      <c r="W285" s="71">
        <v>0</v>
      </c>
      <c r="X285" s="71">
        <v>0</v>
      </c>
      <c r="Y285" s="114">
        <v>0</v>
      </c>
      <c r="Z285" s="71">
        <f>Y285*Valores!$C$2</f>
        <v>0</v>
      </c>
      <c r="AA285" s="71">
        <v>0</v>
      </c>
      <c r="AB285" s="76">
        <f>IF((Valores!$C$32)*D285&gt;Valores!$F$32,Valores!$F$32,(Valores!$C$32)*D285)</f>
        <v>214.60000000000002</v>
      </c>
      <c r="AC285" s="71">
        <f t="shared" si="58"/>
        <v>0</v>
      </c>
      <c r="AD285" s="71">
        <f>IF(Valores!$C$33*D285&gt;Valores!$F$33,Valores!$F$33,Valores!$C$33*D285)</f>
        <v>178.64000000000001</v>
      </c>
      <c r="AE285" s="75">
        <v>0</v>
      </c>
      <c r="AF285" s="71">
        <f>INT(((AE285*Valores!$C$2)*100)+0.5)/100</f>
        <v>0</v>
      </c>
      <c r="AG285" s="71">
        <f>IF(Valores!$D$58*'Escala Docente'!D285&gt;Valores!$F$58,Valores!$F$58,Valores!$D$58*'Escala Docente'!D285)</f>
        <v>726.74</v>
      </c>
      <c r="AH285" s="71">
        <f>IF(Valores!$D$60*D285&gt;Valores!$F$60,Valores!$F$60,Valores!$D$60*D285)</f>
        <v>207.64000000000001</v>
      </c>
      <c r="AI285" s="110">
        <f t="shared" si="59"/>
        <v>34397.871499999994</v>
      </c>
      <c r="AJ285" s="97">
        <f>IF(Valores!$C$36*D285&gt;Valores!$F$36,Valores!$F$36,Valores!$C$36*D285)</f>
        <v>1694.76</v>
      </c>
      <c r="AK285" s="74">
        <f>IF(Valores!$C$11*D285&gt;Valores!$F$11,Valores!$F$11,Valores!$C$11*D285)</f>
        <v>0</v>
      </c>
      <c r="AL285" s="74">
        <f>IF(Valores!$C$84*D285&gt;Valores!$C$83,Valores!$C$83,Valores!$C$84*D285)</f>
        <v>2175</v>
      </c>
      <c r="AM285" s="74">
        <f t="shared" si="51"/>
        <v>2030</v>
      </c>
      <c r="AN285" s="76">
        <f>IF(Valores!$C$57*D285&gt;Valores!$F$57,Valores!$F$57,Valores!$C$57*D285)</f>
        <v>304.5</v>
      </c>
      <c r="AO285" s="78">
        <f t="shared" si="60"/>
        <v>3869.76</v>
      </c>
      <c r="AP285" s="57">
        <f>AI285*-Valores!$C$65</f>
        <v>-4471.723295</v>
      </c>
      <c r="AQ285" s="57">
        <f>AI285*-Valores!$C$66</f>
        <v>-171.98935749999998</v>
      </c>
      <c r="AR285" s="73">
        <f>AI285*-Valores!$C$67</f>
        <v>-1547.9042174999997</v>
      </c>
      <c r="AS285" s="73">
        <f>AI285*-Valores!$C$68</f>
        <v>-928.7425304999998</v>
      </c>
      <c r="AT285" s="73">
        <f>AI285*-Valores!$C$69</f>
        <v>-103.19361449999998</v>
      </c>
      <c r="AU285" s="77">
        <f t="shared" si="56"/>
        <v>32076.014629999994</v>
      </c>
      <c r="AV285" s="77">
        <f t="shared" si="57"/>
        <v>32591.982702499994</v>
      </c>
      <c r="AW285" s="73">
        <f>AI285*Valores!$C$71</f>
        <v>5503.659439999999</v>
      </c>
      <c r="AX285" s="73">
        <f>AI285*Valores!$C$72</f>
        <v>1547.9042174999997</v>
      </c>
      <c r="AY285" s="73">
        <f>AI285*Valores!$C$73</f>
        <v>343.97871499999997</v>
      </c>
      <c r="AZ285" s="73">
        <f>AI285*Valores!$C$75</f>
        <v>1203.9255025</v>
      </c>
      <c r="BA285" s="73">
        <f>AI285*Valores!$C$76</f>
        <v>206.38722899999996</v>
      </c>
      <c r="BB285" s="73">
        <f t="shared" si="61"/>
        <v>1857.4850609999996</v>
      </c>
      <c r="BC285" s="47"/>
      <c r="BD285" s="47">
        <f t="shared" si="50"/>
        <v>116</v>
      </c>
      <c r="BE285" s="24" t="s">
        <v>8</v>
      </c>
    </row>
    <row r="286" spans="1:57" s="24" customFormat="1" ht="11.25" customHeight="1">
      <c r="A286" s="81">
        <v>285</v>
      </c>
      <c r="B286" s="81" t="s">
        <v>163</v>
      </c>
      <c r="C286" s="82" t="s">
        <v>522</v>
      </c>
      <c r="D286" s="82">
        <v>29</v>
      </c>
      <c r="E286" s="82">
        <f t="shared" si="53"/>
        <v>42</v>
      </c>
      <c r="F286" s="83" t="str">
        <f>CONCATENATE("Hora Cátedra Enseñanza Media ",D286," hs Esc Esp")</f>
        <v>Hora Cátedra Enseñanza Media 29 hs Esc Esp</v>
      </c>
      <c r="G286" s="84">
        <f t="shared" si="52"/>
        <v>2291</v>
      </c>
      <c r="H286" s="85">
        <f>INT((G286*Valores!$C$2*100)+0.49)/100</f>
        <v>17524.09</v>
      </c>
      <c r="I286" s="99">
        <v>0</v>
      </c>
      <c r="J286" s="87">
        <f>INT((I286*Valores!$C$2*100)+0.5)/100</f>
        <v>0</v>
      </c>
      <c r="K286" s="100">
        <v>0</v>
      </c>
      <c r="L286" s="87">
        <f>INT((K286*Valores!$C$2*100)+0.5)/100</f>
        <v>0</v>
      </c>
      <c r="M286" s="101">
        <v>0</v>
      </c>
      <c r="N286" s="87">
        <f>INT((M286*Valores!$C$2*100)+0.5)/100</f>
        <v>0</v>
      </c>
      <c r="O286" s="87">
        <f t="shared" si="54"/>
        <v>3168.3615</v>
      </c>
      <c r="P286" s="87">
        <f t="shared" si="55"/>
        <v>0</v>
      </c>
      <c r="Q286" s="103">
        <f>Valores!$C$14*D286</f>
        <v>5358.04</v>
      </c>
      <c r="R286" s="103">
        <f>IF(D286&lt;15,(Valores!$E$4*D286),Valores!$D$4)</f>
        <v>3421.44</v>
      </c>
      <c r="S286" s="87">
        <v>0</v>
      </c>
      <c r="T286" s="90">
        <f>IF(Valores!$C$45*D286&gt;Valores!$C$43,Valores!$C$43,Valores!$C$45*D286)</f>
        <v>1709.26</v>
      </c>
      <c r="U286" s="103">
        <f>Valores!$C$22*D286</f>
        <v>1889.06</v>
      </c>
      <c r="V286" s="87">
        <f t="shared" si="49"/>
        <v>1889.06</v>
      </c>
      <c r="W286" s="87">
        <v>0</v>
      </c>
      <c r="X286" s="87">
        <v>0</v>
      </c>
      <c r="Y286" s="115">
        <v>0</v>
      </c>
      <c r="Z286" s="87">
        <f>Y286*Valores!$C$2</f>
        <v>0</v>
      </c>
      <c r="AA286" s="87">
        <v>0</v>
      </c>
      <c r="AB286" s="92">
        <f>IF((Valores!$C$32)*D286&gt;Valores!$F$32,Valores!$F$32,(Valores!$C$32)*D286)</f>
        <v>214.60000000000002</v>
      </c>
      <c r="AC286" s="87">
        <f t="shared" si="58"/>
        <v>0</v>
      </c>
      <c r="AD286" s="87">
        <f>IF(Valores!$C$33*D286&gt;Valores!$F$33,Valores!$F$33,Valores!$C$33*D286)</f>
        <v>178.64000000000001</v>
      </c>
      <c r="AE286" s="91">
        <v>94</v>
      </c>
      <c r="AF286" s="87">
        <f>INT(((AE286*Valores!$C$2)*100)+0.5)/100</f>
        <v>719.02</v>
      </c>
      <c r="AG286" s="87">
        <f>IF(Valores!$D$58*'Escala Docente'!D286&gt;Valores!$F$58,Valores!$F$58,Valores!$D$58*'Escala Docente'!D286)</f>
        <v>726.74</v>
      </c>
      <c r="AH286" s="87">
        <f>IF(Valores!$D$60*D286&gt;Valores!$F$60,Valores!$F$60,Valores!$D$60*D286)</f>
        <v>207.64000000000001</v>
      </c>
      <c r="AI286" s="111">
        <f t="shared" si="59"/>
        <v>35116.8915</v>
      </c>
      <c r="AJ286" s="103">
        <f>IF(Valores!$C$36*D286&gt;Valores!$F$36,Valores!$F$36,Valores!$C$36*D286)</f>
        <v>1694.76</v>
      </c>
      <c r="AK286" s="90">
        <f>IF(Valores!$C$11*D286&gt;Valores!$F$11,Valores!$F$11,Valores!$C$11*D286)</f>
        <v>0</v>
      </c>
      <c r="AL286" s="90">
        <f>IF(Valores!$C$84*D286&gt;Valores!$C$83,Valores!$C$83,Valores!$C$84*D286)</f>
        <v>2175</v>
      </c>
      <c r="AM286" s="74">
        <f t="shared" si="51"/>
        <v>2030</v>
      </c>
      <c r="AN286" s="92">
        <f>IF(Valores!$C$57*D286&gt;Valores!$F$57,Valores!$F$57,Valores!$C$57*D286)</f>
        <v>304.5</v>
      </c>
      <c r="AO286" s="94">
        <f t="shared" si="60"/>
        <v>3869.76</v>
      </c>
      <c r="AP286" s="112">
        <f>AI286*-Valores!$C$65</f>
        <v>-4565.195895</v>
      </c>
      <c r="AQ286" s="112">
        <f>AI286*-Valores!$C$66</f>
        <v>-175.58445749999998</v>
      </c>
      <c r="AR286" s="89">
        <f>AI286*-Valores!$C$67</f>
        <v>-1580.2601174999998</v>
      </c>
      <c r="AS286" s="89">
        <f>AI286*-Valores!$C$68</f>
        <v>-948.1560704999999</v>
      </c>
      <c r="AT286" s="89">
        <f>AI286*-Valores!$C$69</f>
        <v>-105.3506745</v>
      </c>
      <c r="AU286" s="93">
        <f t="shared" si="56"/>
        <v>32665.611029999996</v>
      </c>
      <c r="AV286" s="93">
        <f t="shared" si="57"/>
        <v>33192.3644025</v>
      </c>
      <c r="AW286" s="89">
        <f>AI286*Valores!$C$71</f>
        <v>5618.7026399999995</v>
      </c>
      <c r="AX286" s="89">
        <f>AI286*Valores!$C$72</f>
        <v>1580.2601174999998</v>
      </c>
      <c r="AY286" s="89">
        <f>AI286*Valores!$C$73</f>
        <v>351.16891499999997</v>
      </c>
      <c r="AZ286" s="89">
        <f>AI286*Valores!$C$75</f>
        <v>1229.0912025</v>
      </c>
      <c r="BA286" s="89">
        <f>AI286*Valores!$C$76</f>
        <v>210.701349</v>
      </c>
      <c r="BB286" s="89">
        <f t="shared" si="61"/>
        <v>1896.312141</v>
      </c>
      <c r="BC286" s="81"/>
      <c r="BD286" s="81">
        <f t="shared" si="50"/>
        <v>116</v>
      </c>
      <c r="BE286" s="82" t="s">
        <v>8</v>
      </c>
    </row>
    <row r="287" spans="1:57" s="24" customFormat="1" ht="11.25" customHeight="1">
      <c r="A287" s="47">
        <v>286</v>
      </c>
      <c r="B287" s="47"/>
      <c r="C287" s="24" t="s">
        <v>522</v>
      </c>
      <c r="D287" s="24">
        <v>30</v>
      </c>
      <c r="E287" s="24">
        <f t="shared" si="53"/>
        <v>34</v>
      </c>
      <c r="F287" s="67" t="str">
        <f>CONCATENATE("Hora Cátedra Enseñanza Media ",D287," hs")</f>
        <v>Hora Cátedra Enseñanza Media 30 hs</v>
      </c>
      <c r="G287" s="68">
        <f t="shared" si="52"/>
        <v>2370</v>
      </c>
      <c r="H287" s="69">
        <f>INT((G287*Valores!$C$2*100)+0.49)/100</f>
        <v>18128.37</v>
      </c>
      <c r="I287" s="108">
        <v>0</v>
      </c>
      <c r="J287" s="71">
        <f>INT((I287*Valores!$C$2*100)+0.5)/100</f>
        <v>0</v>
      </c>
      <c r="K287" s="98">
        <v>0</v>
      </c>
      <c r="L287" s="71">
        <f>INT((K287*Valores!$C$2*100)+0.5)/100</f>
        <v>0</v>
      </c>
      <c r="M287" s="96">
        <v>0</v>
      </c>
      <c r="N287" s="71">
        <f>INT((M287*Valores!$C$2*100)+0.5)/100</f>
        <v>0</v>
      </c>
      <c r="O287" s="71">
        <f t="shared" si="54"/>
        <v>3277.6155</v>
      </c>
      <c r="P287" s="71">
        <f t="shared" si="55"/>
        <v>0</v>
      </c>
      <c r="Q287" s="97">
        <f>Valores!$C$14*D287</f>
        <v>5542.799999999999</v>
      </c>
      <c r="R287" s="97">
        <f>IF(D287&lt;15,(Valores!$E$4*D287),Valores!$D$4)</f>
        <v>3421.44</v>
      </c>
      <c r="S287" s="71">
        <v>0</v>
      </c>
      <c r="T287" s="74">
        <f>IF(Valores!$C$45*D287&gt;Valores!$C$43,Valores!$C$43,Valores!$C$45*D287)</f>
        <v>1768.1999999999998</v>
      </c>
      <c r="U287" s="97">
        <f>Valores!$C$22*D287</f>
        <v>1954.2</v>
      </c>
      <c r="V287" s="71">
        <f t="shared" si="49"/>
        <v>1954.2</v>
      </c>
      <c r="W287" s="71">
        <v>0</v>
      </c>
      <c r="X287" s="71">
        <v>0</v>
      </c>
      <c r="Y287" s="114">
        <v>0</v>
      </c>
      <c r="Z287" s="71">
        <f>Y287*Valores!$C$2</f>
        <v>0</v>
      </c>
      <c r="AA287" s="71">
        <v>0</v>
      </c>
      <c r="AB287" s="76">
        <f>IF((Valores!$C$32)*D287&gt;Valores!$F$32,Valores!$F$32,(Valores!$C$32)*D287)</f>
        <v>222</v>
      </c>
      <c r="AC287" s="71">
        <f t="shared" si="58"/>
        <v>0</v>
      </c>
      <c r="AD287" s="71">
        <f>IF(Valores!$C$33*D287&gt;Valores!$F$33,Valores!$F$33,Valores!$C$33*D287)</f>
        <v>184.78</v>
      </c>
      <c r="AE287" s="75">
        <v>0</v>
      </c>
      <c r="AF287" s="71">
        <f>INT(((AE287*Valores!$C$2)*100)+0.5)/100</f>
        <v>0</v>
      </c>
      <c r="AG287" s="71">
        <f>IF(Valores!$D$58*'Escala Docente'!D287&gt;Valores!$F$58,Valores!$F$58,Valores!$D$58*'Escala Docente'!D287)</f>
        <v>751.72</v>
      </c>
      <c r="AH287" s="71">
        <f>IF(Valores!$D$60*D287&gt;Valores!$F$60,Valores!$F$60,Valores!$D$60*D287)</f>
        <v>214.76</v>
      </c>
      <c r="AI287" s="110">
        <f t="shared" si="59"/>
        <v>35465.8855</v>
      </c>
      <c r="AJ287" s="97">
        <f>IF(Valores!$C$36*D287&gt;Valores!$F$36,Valores!$F$36,Valores!$C$36*D287)</f>
        <v>1753.14</v>
      </c>
      <c r="AK287" s="74">
        <f>IF(Valores!$C$11*D287&gt;Valores!$F$11,Valores!$F$11,Valores!$C$11*D287)</f>
        <v>0</v>
      </c>
      <c r="AL287" s="74">
        <f>IF(Valores!$C$84*D287&gt;Valores!$C$83,Valores!$C$83,Valores!$C$84*D287)</f>
        <v>2250</v>
      </c>
      <c r="AM287" s="74">
        <f t="shared" si="51"/>
        <v>2100</v>
      </c>
      <c r="AN287" s="76">
        <f>IF(Valores!$C$57*D287&gt;Valores!$F$57,Valores!$F$57,Valores!$C$57*D287)</f>
        <v>314.98</v>
      </c>
      <c r="AO287" s="78">
        <f t="shared" si="60"/>
        <v>4003.1400000000003</v>
      </c>
      <c r="AP287" s="57">
        <f>AI287*-Valores!$C$65</f>
        <v>-4610.565114999999</v>
      </c>
      <c r="AQ287" s="57">
        <f>AI287*-Valores!$C$66</f>
        <v>-177.32942749999998</v>
      </c>
      <c r="AR287" s="73">
        <f>AI287*-Valores!$C$67</f>
        <v>-1595.9648475</v>
      </c>
      <c r="AS287" s="73">
        <f>AI287*-Valores!$C$68</f>
        <v>-957.5789084999999</v>
      </c>
      <c r="AT287" s="73">
        <f>AI287*-Valores!$C$69</f>
        <v>-106.3976565</v>
      </c>
      <c r="AU287" s="77">
        <f t="shared" si="56"/>
        <v>33085.16611</v>
      </c>
      <c r="AV287" s="77">
        <f t="shared" si="57"/>
        <v>33617.1543925</v>
      </c>
      <c r="AW287" s="73">
        <f>AI287*Valores!$C$71</f>
        <v>5674.541679999999</v>
      </c>
      <c r="AX287" s="73">
        <f>AI287*Valores!$C$72</f>
        <v>1595.9648475</v>
      </c>
      <c r="AY287" s="73">
        <f>AI287*Valores!$C$73</f>
        <v>354.65885499999996</v>
      </c>
      <c r="AZ287" s="73">
        <f>AI287*Valores!$C$75</f>
        <v>1241.3059925</v>
      </c>
      <c r="BA287" s="73">
        <f>AI287*Valores!$C$76</f>
        <v>212.795313</v>
      </c>
      <c r="BB287" s="73">
        <f t="shared" si="61"/>
        <v>1915.157817</v>
      </c>
      <c r="BC287" s="47"/>
      <c r="BD287" s="47">
        <f t="shared" si="50"/>
        <v>120</v>
      </c>
      <c r="BE287" s="24" t="s">
        <v>4</v>
      </c>
    </row>
    <row r="288" spans="1:57" s="24" customFormat="1" ht="11.25" customHeight="1">
      <c r="A288" s="47">
        <v>287</v>
      </c>
      <c r="B288" s="47"/>
      <c r="C288" s="24" t="s">
        <v>522</v>
      </c>
      <c r="D288" s="24">
        <v>30</v>
      </c>
      <c r="E288" s="24">
        <f t="shared" si="53"/>
        <v>42</v>
      </c>
      <c r="F288" s="67" t="str">
        <f>CONCATENATE("Hora Cátedra Enseñanza Media ",D288," hs Esc Esp")</f>
        <v>Hora Cátedra Enseñanza Media 30 hs Esc Esp</v>
      </c>
      <c r="G288" s="68">
        <f t="shared" si="52"/>
        <v>2370</v>
      </c>
      <c r="H288" s="69">
        <f>INT((G288*Valores!$C$2*100)+0.49)/100</f>
        <v>18128.37</v>
      </c>
      <c r="I288" s="108">
        <v>0</v>
      </c>
      <c r="J288" s="71">
        <f>INT((I288*Valores!$C$2*100)+0.5)/100</f>
        <v>0</v>
      </c>
      <c r="K288" s="98">
        <v>0</v>
      </c>
      <c r="L288" s="71">
        <f>INT((K288*Valores!$C$2*100)+0.5)/100</f>
        <v>0</v>
      </c>
      <c r="M288" s="96">
        <v>0</v>
      </c>
      <c r="N288" s="71">
        <f>INT((M288*Valores!$C$2*100)+0.5)/100</f>
        <v>0</v>
      </c>
      <c r="O288" s="71">
        <f t="shared" si="54"/>
        <v>3277.6155</v>
      </c>
      <c r="P288" s="71">
        <f t="shared" si="55"/>
        <v>0</v>
      </c>
      <c r="Q288" s="97">
        <f>Valores!$C$14*D288</f>
        <v>5542.799999999999</v>
      </c>
      <c r="R288" s="97">
        <f>IF(D288&lt;15,(Valores!$E$4*D288),Valores!$D$4)</f>
        <v>3421.44</v>
      </c>
      <c r="S288" s="71">
        <v>0</v>
      </c>
      <c r="T288" s="74">
        <f>IF(Valores!$C$45*D288&gt;Valores!$C$43,Valores!$C$43,Valores!$C$45*D288)</f>
        <v>1768.1999999999998</v>
      </c>
      <c r="U288" s="97">
        <f>Valores!$C$22*D288</f>
        <v>1954.2</v>
      </c>
      <c r="V288" s="71">
        <f t="shared" si="49"/>
        <v>1954.2</v>
      </c>
      <c r="W288" s="71">
        <v>0</v>
      </c>
      <c r="X288" s="71">
        <v>0</v>
      </c>
      <c r="Y288" s="114">
        <v>0</v>
      </c>
      <c r="Z288" s="71">
        <f>Y288*Valores!$C$2</f>
        <v>0</v>
      </c>
      <c r="AA288" s="71">
        <v>0</v>
      </c>
      <c r="AB288" s="76">
        <f>IF((Valores!$C$32)*D288&gt;Valores!$F$32,Valores!$F$32,(Valores!$C$32)*D288)</f>
        <v>222</v>
      </c>
      <c r="AC288" s="71">
        <f t="shared" si="58"/>
        <v>0</v>
      </c>
      <c r="AD288" s="71">
        <f>IF(Valores!$C$33*D288&gt;Valores!$F$33,Valores!$F$33,Valores!$C$33*D288)</f>
        <v>184.78</v>
      </c>
      <c r="AE288" s="75">
        <v>94</v>
      </c>
      <c r="AF288" s="71">
        <f>INT(((AE288*Valores!$C$2)*100)+0.5)/100</f>
        <v>719.02</v>
      </c>
      <c r="AG288" s="71">
        <f>IF(Valores!$D$58*'Escala Docente'!D288&gt;Valores!$F$58,Valores!$F$58,Valores!$D$58*'Escala Docente'!D288)</f>
        <v>751.72</v>
      </c>
      <c r="AH288" s="71">
        <f>IF(Valores!$D$60*D288&gt;Valores!$F$60,Valores!$F$60,Valores!$D$60*D288)</f>
        <v>214.76</v>
      </c>
      <c r="AI288" s="110">
        <f t="shared" si="59"/>
        <v>36184.90549999999</v>
      </c>
      <c r="AJ288" s="97">
        <f>IF(Valores!$C$36*D288&gt;Valores!$F$36,Valores!$F$36,Valores!$C$36*D288)</f>
        <v>1753.14</v>
      </c>
      <c r="AK288" s="74">
        <f>IF(Valores!$C$11*D288&gt;Valores!$F$11,Valores!$F$11,Valores!$C$11*D288)</f>
        <v>0</v>
      </c>
      <c r="AL288" s="74">
        <f>IF(Valores!$C$84*D288&gt;Valores!$C$83,Valores!$C$83,Valores!$C$84*D288)</f>
        <v>2250</v>
      </c>
      <c r="AM288" s="74">
        <f t="shared" si="51"/>
        <v>2100</v>
      </c>
      <c r="AN288" s="76">
        <f>IF(Valores!$C$57*D288&gt;Valores!$F$57,Valores!$F$57,Valores!$C$57*D288)</f>
        <v>314.98</v>
      </c>
      <c r="AO288" s="78">
        <f t="shared" si="60"/>
        <v>4003.1400000000003</v>
      </c>
      <c r="AP288" s="57">
        <f>AI288*-Valores!$C$65</f>
        <v>-4704.0377149999995</v>
      </c>
      <c r="AQ288" s="57">
        <f>AI288*-Valores!$C$66</f>
        <v>-180.92452749999998</v>
      </c>
      <c r="AR288" s="73">
        <f>AI288*-Valores!$C$67</f>
        <v>-1628.3207474999997</v>
      </c>
      <c r="AS288" s="73">
        <f>AI288*-Valores!$C$68</f>
        <v>-976.9924484999998</v>
      </c>
      <c r="AT288" s="73">
        <f>AI288*-Valores!$C$69</f>
        <v>-108.55471649999998</v>
      </c>
      <c r="AU288" s="77">
        <f t="shared" si="56"/>
        <v>33674.76250999999</v>
      </c>
      <c r="AV288" s="77">
        <f t="shared" si="57"/>
        <v>34217.53609249999</v>
      </c>
      <c r="AW288" s="73">
        <f>AI288*Valores!$C$71</f>
        <v>5789.584879999999</v>
      </c>
      <c r="AX288" s="73">
        <f>AI288*Valores!$C$72</f>
        <v>1628.3207474999997</v>
      </c>
      <c r="AY288" s="73">
        <f>AI288*Valores!$C$73</f>
        <v>361.84905499999996</v>
      </c>
      <c r="AZ288" s="73">
        <f>AI288*Valores!$C$75</f>
        <v>1266.4716924999998</v>
      </c>
      <c r="BA288" s="73">
        <f>AI288*Valores!$C$76</f>
        <v>217.10943299999997</v>
      </c>
      <c r="BB288" s="73">
        <f t="shared" si="61"/>
        <v>1953.9848969999998</v>
      </c>
      <c r="BC288" s="47"/>
      <c r="BD288" s="47">
        <f t="shared" si="50"/>
        <v>120</v>
      </c>
      <c r="BE288" s="24" t="s">
        <v>4</v>
      </c>
    </row>
    <row r="289" spans="1:57" s="24" customFormat="1" ht="11.25" customHeight="1">
      <c r="A289" s="47">
        <v>288</v>
      </c>
      <c r="B289" s="47"/>
      <c r="C289" s="24" t="s">
        <v>522</v>
      </c>
      <c r="D289" s="24">
        <v>31</v>
      </c>
      <c r="E289" s="24">
        <f t="shared" si="53"/>
        <v>34</v>
      </c>
      <c r="F289" s="67" t="str">
        <f>CONCATENATE("Hora Cátedra Enseñanza Media ",D289," hs")</f>
        <v>Hora Cátedra Enseñanza Media 31 hs</v>
      </c>
      <c r="G289" s="68">
        <f t="shared" si="52"/>
        <v>2449</v>
      </c>
      <c r="H289" s="69">
        <f>INT((G289*Valores!$C$2*100)+0.49)/100</f>
        <v>18732.65</v>
      </c>
      <c r="I289" s="108">
        <v>0</v>
      </c>
      <c r="J289" s="71">
        <f>INT((I289*Valores!$C$2*100)+0.5)/100</f>
        <v>0</v>
      </c>
      <c r="K289" s="98">
        <v>0</v>
      </c>
      <c r="L289" s="71">
        <f>INT((K289*Valores!$C$2*100)+0.5)/100</f>
        <v>0</v>
      </c>
      <c r="M289" s="96">
        <v>0</v>
      </c>
      <c r="N289" s="71">
        <f>INT((M289*Valores!$C$2*100)+0.5)/100</f>
        <v>0</v>
      </c>
      <c r="O289" s="71">
        <f t="shared" si="54"/>
        <v>3386.8695000000002</v>
      </c>
      <c r="P289" s="71">
        <f t="shared" si="55"/>
        <v>0</v>
      </c>
      <c r="Q289" s="97">
        <f>Valores!$C$14*D289</f>
        <v>5727.5599999999995</v>
      </c>
      <c r="R289" s="97">
        <f>IF(D289&lt;15,(Valores!$E$4*D289),Valores!$D$4)</f>
        <v>3421.44</v>
      </c>
      <c r="S289" s="71">
        <v>0</v>
      </c>
      <c r="T289" s="74">
        <f>IF(Valores!$C$45*D289&gt;Valores!$C$43,Valores!$C$43,Valores!$C$45*D289)</f>
        <v>1827.1399999999999</v>
      </c>
      <c r="U289" s="97">
        <f>Valores!$C$22*D289</f>
        <v>2019.34</v>
      </c>
      <c r="V289" s="71">
        <f t="shared" si="49"/>
        <v>2019.34</v>
      </c>
      <c r="W289" s="71">
        <v>0</v>
      </c>
      <c r="X289" s="71">
        <v>0</v>
      </c>
      <c r="Y289" s="114">
        <v>0</v>
      </c>
      <c r="Z289" s="71">
        <f>Y289*Valores!$C$2</f>
        <v>0</v>
      </c>
      <c r="AA289" s="71">
        <v>0</v>
      </c>
      <c r="AB289" s="76">
        <f>IF((Valores!$C$32)*D289&gt;Valores!$F$32,Valores!$F$32,(Valores!$C$32)*D289)</f>
        <v>229.4</v>
      </c>
      <c r="AC289" s="71">
        <f t="shared" si="58"/>
        <v>0</v>
      </c>
      <c r="AD289" s="71">
        <f>IF(Valores!$C$33*D289&gt;Valores!$F$33,Valores!$F$33,Valores!$C$33*D289)</f>
        <v>184.78</v>
      </c>
      <c r="AE289" s="75">
        <v>0</v>
      </c>
      <c r="AF289" s="71">
        <f>INT(((AE289*Valores!$C$2)*100)+0.5)/100</f>
        <v>0</v>
      </c>
      <c r="AG289" s="71">
        <f>IF(Valores!$D$58*'Escala Docente'!D289&gt;Valores!$F$58,Valores!$F$58,Valores!$D$58*'Escala Docente'!D289)</f>
        <v>751.72</v>
      </c>
      <c r="AH289" s="71">
        <f>IF(Valores!$D$60*D289&gt;Valores!$F$60,Valores!$F$60,Valores!$D$60*D289)</f>
        <v>214.76</v>
      </c>
      <c r="AI289" s="110">
        <f t="shared" si="59"/>
        <v>36495.6595</v>
      </c>
      <c r="AJ289" s="97">
        <f>IF(Valores!$C$36*D289&gt;Valores!$F$36,Valores!$F$36,Valores!$C$36*D289)</f>
        <v>1753.14</v>
      </c>
      <c r="AK289" s="74">
        <f>IF(Valores!$C$11*D289&gt;Valores!$F$11,Valores!$F$11,Valores!$C$11*D289)</f>
        <v>0</v>
      </c>
      <c r="AL289" s="74">
        <f>IF(Valores!$C$84*D289&gt;Valores!$C$83,Valores!$C$83,Valores!$C$84*D289)</f>
        <v>2325</v>
      </c>
      <c r="AM289" s="74">
        <f t="shared" si="51"/>
        <v>2170</v>
      </c>
      <c r="AN289" s="76">
        <f>IF(Valores!$C$57*D289&gt;Valores!$F$57,Valores!$F$57,Valores!$C$57*D289)</f>
        <v>314.98</v>
      </c>
      <c r="AO289" s="78">
        <f t="shared" si="60"/>
        <v>4078.1400000000003</v>
      </c>
      <c r="AP289" s="57">
        <f>AI289*-Valores!$C$65</f>
        <v>-4744.435735</v>
      </c>
      <c r="AQ289" s="57">
        <f>AI289*-Valores!$C$66</f>
        <v>-182.47829750000002</v>
      </c>
      <c r="AR289" s="73">
        <f>AI289*-Valores!$C$67</f>
        <v>-1642.3046775</v>
      </c>
      <c r="AS289" s="73">
        <f>AI289*-Valores!$C$68</f>
        <v>-985.3828065</v>
      </c>
      <c r="AT289" s="73">
        <f>AI289*-Valores!$C$69</f>
        <v>-109.4869785</v>
      </c>
      <c r="AU289" s="77">
        <f t="shared" si="56"/>
        <v>34004.58079000001</v>
      </c>
      <c r="AV289" s="77">
        <f t="shared" si="57"/>
        <v>34552.01568250001</v>
      </c>
      <c r="AW289" s="73">
        <f>AI289*Valores!$C$71</f>
        <v>5839.305520000001</v>
      </c>
      <c r="AX289" s="73">
        <f>AI289*Valores!$C$72</f>
        <v>1642.3046775</v>
      </c>
      <c r="AY289" s="73">
        <f>AI289*Valores!$C$73</f>
        <v>364.95659500000005</v>
      </c>
      <c r="AZ289" s="73">
        <f>AI289*Valores!$C$75</f>
        <v>1277.3480825000001</v>
      </c>
      <c r="BA289" s="73">
        <f>AI289*Valores!$C$76</f>
        <v>218.973957</v>
      </c>
      <c r="BB289" s="73">
        <f t="shared" si="61"/>
        <v>1970.7656130000003</v>
      </c>
      <c r="BC289" s="47"/>
      <c r="BD289" s="81">
        <f aca="true" t="shared" si="62" ref="BD289:BD301">4*D289</f>
        <v>124</v>
      </c>
      <c r="BE289" s="24" t="s">
        <v>8</v>
      </c>
    </row>
    <row r="290" spans="1:57" s="24" customFormat="1" ht="11.25" customHeight="1">
      <c r="A290" s="47">
        <v>289</v>
      </c>
      <c r="B290" s="47"/>
      <c r="C290" s="24" t="s">
        <v>522</v>
      </c>
      <c r="D290" s="24">
        <v>31</v>
      </c>
      <c r="E290" s="24">
        <f t="shared" si="53"/>
        <v>42</v>
      </c>
      <c r="F290" s="67" t="str">
        <f>CONCATENATE("Hora Cátedra Enseñanza Media ",D290," hs Esc Esp")</f>
        <v>Hora Cátedra Enseñanza Media 31 hs Esc Esp</v>
      </c>
      <c r="G290" s="68">
        <f t="shared" si="52"/>
        <v>2449</v>
      </c>
      <c r="H290" s="69">
        <f>INT((G290*Valores!$C$2*100)+0.49)/100</f>
        <v>18732.65</v>
      </c>
      <c r="I290" s="108">
        <v>0</v>
      </c>
      <c r="J290" s="71">
        <f>INT((I290*Valores!$C$2*100)+0.5)/100</f>
        <v>0</v>
      </c>
      <c r="K290" s="98">
        <v>0</v>
      </c>
      <c r="L290" s="71">
        <f>INT((K290*Valores!$C$2*100)+0.5)/100</f>
        <v>0</v>
      </c>
      <c r="M290" s="96">
        <v>0</v>
      </c>
      <c r="N290" s="71">
        <f>INT((M290*Valores!$C$2*100)+0.5)/100</f>
        <v>0</v>
      </c>
      <c r="O290" s="71">
        <f t="shared" si="54"/>
        <v>3386.8695000000002</v>
      </c>
      <c r="P290" s="71">
        <f t="shared" si="55"/>
        <v>0</v>
      </c>
      <c r="Q290" s="97">
        <f>Valores!$C$14*D290</f>
        <v>5727.5599999999995</v>
      </c>
      <c r="R290" s="97">
        <f>IF(D290&lt;15,(Valores!$E$4*D290),Valores!$D$4)</f>
        <v>3421.44</v>
      </c>
      <c r="S290" s="71">
        <v>0</v>
      </c>
      <c r="T290" s="74">
        <f>IF(Valores!$C$45*D290&gt;Valores!$C$43,Valores!$C$43,Valores!$C$45*D290)</f>
        <v>1827.1399999999999</v>
      </c>
      <c r="U290" s="97">
        <f>Valores!$C$22*D290</f>
        <v>2019.34</v>
      </c>
      <c r="V290" s="71">
        <f t="shared" si="49"/>
        <v>2019.34</v>
      </c>
      <c r="W290" s="71">
        <v>0</v>
      </c>
      <c r="X290" s="71">
        <v>0</v>
      </c>
      <c r="Y290" s="114">
        <v>0</v>
      </c>
      <c r="Z290" s="71">
        <f>Y290*Valores!$C$2</f>
        <v>0</v>
      </c>
      <c r="AA290" s="71">
        <v>0</v>
      </c>
      <c r="AB290" s="76">
        <f>IF((Valores!$C$32)*D290&gt;Valores!$F$32,Valores!$F$32,(Valores!$C$32)*D290)</f>
        <v>229.4</v>
      </c>
      <c r="AC290" s="71">
        <f t="shared" si="58"/>
        <v>0</v>
      </c>
      <c r="AD290" s="71">
        <f>IF(Valores!$C$33*D290&gt;Valores!$F$33,Valores!$F$33,Valores!$C$33*D290)</f>
        <v>184.78</v>
      </c>
      <c r="AE290" s="75">
        <v>94</v>
      </c>
      <c r="AF290" s="71">
        <f>INT(((AE290*Valores!$C$2)*100)+0.5)/100</f>
        <v>719.02</v>
      </c>
      <c r="AG290" s="71">
        <f>IF(Valores!$D$58*'Escala Docente'!D290&gt;Valores!$F$58,Valores!$F$58,Valores!$D$58*'Escala Docente'!D290)</f>
        <v>751.72</v>
      </c>
      <c r="AH290" s="71">
        <f>IF(Valores!$D$60*D290&gt;Valores!$F$60,Valores!$F$60,Valores!$D$60*D290)</f>
        <v>214.76</v>
      </c>
      <c r="AI290" s="110">
        <f t="shared" si="59"/>
        <v>37214.6795</v>
      </c>
      <c r="AJ290" s="97">
        <f>IF(Valores!$C$36*D290&gt;Valores!$F$36,Valores!$F$36,Valores!$C$36*D290)</f>
        <v>1753.14</v>
      </c>
      <c r="AK290" s="74">
        <f>IF(Valores!$C$11*D290&gt;Valores!$F$11,Valores!$F$11,Valores!$C$11*D290)</f>
        <v>0</v>
      </c>
      <c r="AL290" s="74">
        <f>IF(Valores!$C$84*D290&gt;Valores!$C$83,Valores!$C$83,Valores!$C$84*D290)</f>
        <v>2325</v>
      </c>
      <c r="AM290" s="74">
        <f t="shared" si="51"/>
        <v>2170</v>
      </c>
      <c r="AN290" s="76">
        <f>IF(Valores!$C$57*D290&gt;Valores!$F$57,Valores!$F$57,Valores!$C$57*D290)</f>
        <v>314.98</v>
      </c>
      <c r="AO290" s="78">
        <f t="shared" si="60"/>
        <v>4078.1400000000003</v>
      </c>
      <c r="AP290" s="57">
        <f>AI290*-Valores!$C$65</f>
        <v>-4837.908335</v>
      </c>
      <c r="AQ290" s="57">
        <f>AI290*-Valores!$C$66</f>
        <v>-186.0733975</v>
      </c>
      <c r="AR290" s="73">
        <f>AI290*-Valores!$C$67</f>
        <v>-1674.6605774999998</v>
      </c>
      <c r="AS290" s="73">
        <f>AI290*-Valores!$C$68</f>
        <v>-1004.7963464999999</v>
      </c>
      <c r="AT290" s="73">
        <f>AI290*-Valores!$C$69</f>
        <v>-111.6440385</v>
      </c>
      <c r="AU290" s="77">
        <f t="shared" si="56"/>
        <v>34594.17719</v>
      </c>
      <c r="AV290" s="77">
        <f t="shared" si="57"/>
        <v>35152.3973825</v>
      </c>
      <c r="AW290" s="73">
        <f>AI290*Valores!$C$71</f>
        <v>5954.34872</v>
      </c>
      <c r="AX290" s="73">
        <f>AI290*Valores!$C$72</f>
        <v>1674.6605774999998</v>
      </c>
      <c r="AY290" s="73">
        <f>AI290*Valores!$C$73</f>
        <v>372.146795</v>
      </c>
      <c r="AZ290" s="73">
        <f>AI290*Valores!$C$75</f>
        <v>1302.5137825000002</v>
      </c>
      <c r="BA290" s="73">
        <f>AI290*Valores!$C$76</f>
        <v>223.288077</v>
      </c>
      <c r="BB290" s="73">
        <f t="shared" si="61"/>
        <v>2009.592693</v>
      </c>
      <c r="BC290" s="47"/>
      <c r="BD290" s="47">
        <f t="shared" si="62"/>
        <v>124</v>
      </c>
      <c r="BE290" s="24" t="s">
        <v>8</v>
      </c>
    </row>
    <row r="291" spans="1:57" s="24" customFormat="1" ht="11.25" customHeight="1">
      <c r="A291" s="81">
        <v>290</v>
      </c>
      <c r="B291" s="81" t="s">
        <v>163</v>
      </c>
      <c r="C291" s="82" t="s">
        <v>522</v>
      </c>
      <c r="D291" s="82">
        <v>32</v>
      </c>
      <c r="E291" s="82">
        <f t="shared" si="53"/>
        <v>34</v>
      </c>
      <c r="F291" s="83" t="str">
        <f>CONCATENATE("Hora Cátedra Enseñanza Media ",D291," hs")</f>
        <v>Hora Cátedra Enseñanza Media 32 hs</v>
      </c>
      <c r="G291" s="84">
        <f t="shared" si="52"/>
        <v>2528</v>
      </c>
      <c r="H291" s="85">
        <f>INT((G291*Valores!$C$2*100)+0.49)/100</f>
        <v>19336.92</v>
      </c>
      <c r="I291" s="99">
        <v>0</v>
      </c>
      <c r="J291" s="87">
        <f>INT((I291*Valores!$C$2*100)+0.5)/100</f>
        <v>0</v>
      </c>
      <c r="K291" s="100">
        <v>0</v>
      </c>
      <c r="L291" s="87">
        <f>INT((K291*Valores!$C$2*100)+0.5)/100</f>
        <v>0</v>
      </c>
      <c r="M291" s="101">
        <v>0</v>
      </c>
      <c r="N291" s="87">
        <f>INT((M291*Valores!$C$2*100)+0.5)/100</f>
        <v>0</v>
      </c>
      <c r="O291" s="87">
        <f t="shared" si="54"/>
        <v>3496.1219999999994</v>
      </c>
      <c r="P291" s="87">
        <f t="shared" si="55"/>
        <v>0</v>
      </c>
      <c r="Q291" s="103">
        <f>Valores!$C$14*D291</f>
        <v>5912.32</v>
      </c>
      <c r="R291" s="103">
        <f>IF(D291&lt;15,(Valores!$E$4*D291),Valores!$D$4)</f>
        <v>3421.44</v>
      </c>
      <c r="S291" s="87">
        <v>0</v>
      </c>
      <c r="T291" s="90">
        <f>IF(Valores!$C$45*D291&gt;Valores!$C$43,Valores!$C$43,Valores!$C$45*D291)</f>
        <v>1886.08</v>
      </c>
      <c r="U291" s="103">
        <f>Valores!$C$22*D291</f>
        <v>2084.48</v>
      </c>
      <c r="V291" s="87">
        <f t="shared" si="49"/>
        <v>2084.48</v>
      </c>
      <c r="W291" s="87">
        <v>0</v>
      </c>
      <c r="X291" s="87">
        <v>0</v>
      </c>
      <c r="Y291" s="115">
        <v>0</v>
      </c>
      <c r="Z291" s="87">
        <f>Y291*Valores!$C$2</f>
        <v>0</v>
      </c>
      <c r="AA291" s="87">
        <v>0</v>
      </c>
      <c r="AB291" s="92">
        <f>IF((Valores!$C$32)*D291&gt;Valores!$F$32,Valores!$F$32,(Valores!$C$32)*D291)</f>
        <v>236.8</v>
      </c>
      <c r="AC291" s="87">
        <f t="shared" si="58"/>
        <v>0</v>
      </c>
      <c r="AD291" s="87">
        <f>IF(Valores!$C$33*D291&gt;Valores!$F$33,Valores!$F$33,Valores!$C$33*D291)</f>
        <v>184.78</v>
      </c>
      <c r="AE291" s="91">
        <v>0</v>
      </c>
      <c r="AF291" s="87">
        <f>INT(((AE291*Valores!$C$2)*100)+0.5)/100</f>
        <v>0</v>
      </c>
      <c r="AG291" s="87">
        <f>IF(Valores!$D$58*'Escala Docente'!D291&gt;Valores!$F$58,Valores!$F$58,Valores!$D$58*'Escala Docente'!D291)</f>
        <v>751.72</v>
      </c>
      <c r="AH291" s="87">
        <f>IF(Valores!$D$60*D291&gt;Valores!$F$60,Valores!$F$60,Valores!$D$60*D291)</f>
        <v>214.76</v>
      </c>
      <c r="AI291" s="111">
        <f t="shared" si="59"/>
        <v>37525.422000000006</v>
      </c>
      <c r="AJ291" s="103">
        <f>IF(Valores!$C$36*D291&gt;Valores!$F$36,Valores!$F$36,Valores!$C$36*D291)</f>
        <v>1753.14</v>
      </c>
      <c r="AK291" s="90">
        <f>IF(Valores!$C$11*D291&gt;Valores!$F$11,Valores!$F$11,Valores!$C$11*D291)</f>
        <v>0</v>
      </c>
      <c r="AL291" s="90">
        <f>IF(Valores!$C$84*D291&gt;Valores!$C$83,Valores!$C$83,Valores!$C$84*D291)</f>
        <v>2400</v>
      </c>
      <c r="AM291" s="74">
        <f t="shared" si="51"/>
        <v>2240</v>
      </c>
      <c r="AN291" s="92">
        <f>IF(Valores!$C$57*D291&gt;Valores!$F$57,Valores!$F$57,Valores!$C$57*D291)</f>
        <v>314.98</v>
      </c>
      <c r="AO291" s="94">
        <f t="shared" si="60"/>
        <v>4153.14</v>
      </c>
      <c r="AP291" s="112">
        <f>AI291*-Valores!$C$65</f>
        <v>-4878.304860000001</v>
      </c>
      <c r="AQ291" s="112">
        <f>AI291*-Valores!$C$66</f>
        <v>-187.62711000000004</v>
      </c>
      <c r="AR291" s="89">
        <f>AI291*-Valores!$C$67</f>
        <v>-1688.6439900000003</v>
      </c>
      <c r="AS291" s="89">
        <f>AI291*-Valores!$C$68</f>
        <v>-1013.1863940000002</v>
      </c>
      <c r="AT291" s="89">
        <f>AI291*-Valores!$C$69</f>
        <v>-112.57626600000002</v>
      </c>
      <c r="AU291" s="93">
        <f t="shared" si="56"/>
        <v>34923.98604</v>
      </c>
      <c r="AV291" s="93">
        <f t="shared" si="57"/>
        <v>35486.86737000001</v>
      </c>
      <c r="AW291" s="89">
        <f>AI291*Valores!$C$71</f>
        <v>6004.067520000001</v>
      </c>
      <c r="AX291" s="89">
        <f>AI291*Valores!$C$72</f>
        <v>1688.6439900000003</v>
      </c>
      <c r="AY291" s="89">
        <f>AI291*Valores!$C$73</f>
        <v>375.2542200000001</v>
      </c>
      <c r="AZ291" s="89">
        <f>AI291*Valores!$C$75</f>
        <v>1313.3897700000002</v>
      </c>
      <c r="BA291" s="89">
        <f>AI291*Valores!$C$76</f>
        <v>225.15253200000004</v>
      </c>
      <c r="BB291" s="89">
        <f t="shared" si="61"/>
        <v>2026.3727880000006</v>
      </c>
      <c r="BC291" s="81"/>
      <c r="BD291" s="81">
        <f t="shared" si="62"/>
        <v>128</v>
      </c>
      <c r="BE291" s="82" t="s">
        <v>8</v>
      </c>
    </row>
    <row r="292" spans="1:57" s="24" customFormat="1" ht="11.25" customHeight="1">
      <c r="A292" s="47">
        <v>291</v>
      </c>
      <c r="B292" s="47"/>
      <c r="C292" s="24" t="s">
        <v>522</v>
      </c>
      <c r="D292" s="24">
        <v>32</v>
      </c>
      <c r="E292" s="24">
        <f t="shared" si="53"/>
        <v>42</v>
      </c>
      <c r="F292" s="67" t="str">
        <f>CONCATENATE("Hora Cátedra Enseñanza Media ",D292," hs Esc Esp")</f>
        <v>Hora Cátedra Enseñanza Media 32 hs Esc Esp</v>
      </c>
      <c r="G292" s="68">
        <f t="shared" si="52"/>
        <v>2528</v>
      </c>
      <c r="H292" s="69">
        <f>INT((G292*Valores!$C$2*100)+0.49)/100</f>
        <v>19336.92</v>
      </c>
      <c r="I292" s="108">
        <v>0</v>
      </c>
      <c r="J292" s="71">
        <f>INT((I292*Valores!$C$2*100)+0.5)/100</f>
        <v>0</v>
      </c>
      <c r="K292" s="98">
        <v>0</v>
      </c>
      <c r="L292" s="71">
        <f>INT((K292*Valores!$C$2*100)+0.5)/100</f>
        <v>0</v>
      </c>
      <c r="M292" s="96">
        <v>0</v>
      </c>
      <c r="N292" s="71">
        <f>INT((M292*Valores!$C$2*100)+0.5)/100</f>
        <v>0</v>
      </c>
      <c r="O292" s="71">
        <f t="shared" si="54"/>
        <v>3496.1219999999994</v>
      </c>
      <c r="P292" s="71">
        <f t="shared" si="55"/>
        <v>0</v>
      </c>
      <c r="Q292" s="97">
        <f>Valores!$C$14*D292</f>
        <v>5912.32</v>
      </c>
      <c r="R292" s="97">
        <f>IF(D292&lt;15,(Valores!$E$4*D292),Valores!$D$4)</f>
        <v>3421.44</v>
      </c>
      <c r="S292" s="71">
        <v>0</v>
      </c>
      <c r="T292" s="74">
        <f>IF(Valores!$C$45*D292&gt;Valores!$C$43,Valores!$C$43,Valores!$C$45*D292)</f>
        <v>1886.08</v>
      </c>
      <c r="U292" s="97">
        <f>Valores!$C$22*D292</f>
        <v>2084.48</v>
      </c>
      <c r="V292" s="71">
        <f t="shared" si="49"/>
        <v>2084.48</v>
      </c>
      <c r="W292" s="71">
        <v>0</v>
      </c>
      <c r="X292" s="71">
        <v>0</v>
      </c>
      <c r="Y292" s="114">
        <v>0</v>
      </c>
      <c r="Z292" s="71">
        <f>Y292*Valores!$C$2</f>
        <v>0</v>
      </c>
      <c r="AA292" s="71">
        <v>0</v>
      </c>
      <c r="AB292" s="76">
        <f>IF((Valores!$C$32)*D292&gt;Valores!$F$32,Valores!$F$32,(Valores!$C$32)*D292)</f>
        <v>236.8</v>
      </c>
      <c r="AC292" s="71">
        <f t="shared" si="58"/>
        <v>0</v>
      </c>
      <c r="AD292" s="71">
        <f>IF(Valores!$C$33*D292&gt;Valores!$F$33,Valores!$F$33,Valores!$C$33*D292)</f>
        <v>184.78</v>
      </c>
      <c r="AE292" s="75">
        <v>94</v>
      </c>
      <c r="AF292" s="71">
        <f>INT(((AE292*Valores!$C$2)*100)+0.5)/100</f>
        <v>719.02</v>
      </c>
      <c r="AG292" s="71">
        <f>IF(Valores!$D$58*'Escala Docente'!D292&gt;Valores!$F$58,Valores!$F$58,Valores!$D$58*'Escala Docente'!D292)</f>
        <v>751.72</v>
      </c>
      <c r="AH292" s="71">
        <f>IF(Valores!$D$60*D292&gt;Valores!$F$60,Valores!$F$60,Valores!$D$60*D292)</f>
        <v>214.76</v>
      </c>
      <c r="AI292" s="110">
        <f t="shared" si="59"/>
        <v>38244.442</v>
      </c>
      <c r="AJ292" s="97">
        <f>IF(Valores!$C$36*D292&gt;Valores!$F$36,Valores!$F$36,Valores!$C$36*D292)</f>
        <v>1753.14</v>
      </c>
      <c r="AK292" s="74">
        <f>IF(Valores!$C$11*D292&gt;Valores!$F$11,Valores!$F$11,Valores!$C$11*D292)</f>
        <v>0</v>
      </c>
      <c r="AL292" s="74">
        <f>IF(Valores!$C$84*D292&gt;Valores!$C$83,Valores!$C$83,Valores!$C$84*D292)</f>
        <v>2400</v>
      </c>
      <c r="AM292" s="74">
        <f t="shared" si="51"/>
        <v>2240</v>
      </c>
      <c r="AN292" s="76">
        <f>IF(Valores!$C$57*D292&gt;Valores!$F$57,Valores!$F$57,Valores!$C$57*D292)</f>
        <v>314.98</v>
      </c>
      <c r="AO292" s="78">
        <f t="shared" si="60"/>
        <v>4153.14</v>
      </c>
      <c r="AP292" s="57">
        <f>AI292*-Valores!$C$65</f>
        <v>-4971.77746</v>
      </c>
      <c r="AQ292" s="57">
        <f>AI292*-Valores!$C$66</f>
        <v>-191.22221000000002</v>
      </c>
      <c r="AR292" s="73">
        <f>AI292*-Valores!$C$67</f>
        <v>-1720.99989</v>
      </c>
      <c r="AS292" s="73">
        <f>AI292*-Valores!$C$68</f>
        <v>-1032.599934</v>
      </c>
      <c r="AT292" s="73">
        <f>AI292*-Valores!$C$69</f>
        <v>-114.733326</v>
      </c>
      <c r="AU292" s="77">
        <f t="shared" si="56"/>
        <v>35513.582440000006</v>
      </c>
      <c r="AV292" s="77">
        <f t="shared" si="57"/>
        <v>36087.249070000005</v>
      </c>
      <c r="AW292" s="73">
        <f>AI292*Valores!$C$71</f>
        <v>6119.110720000001</v>
      </c>
      <c r="AX292" s="73">
        <f>AI292*Valores!$C$72</f>
        <v>1720.99989</v>
      </c>
      <c r="AY292" s="73">
        <f>AI292*Valores!$C$73</f>
        <v>382.44442000000004</v>
      </c>
      <c r="AZ292" s="73">
        <f>AI292*Valores!$C$75</f>
        <v>1338.5554700000002</v>
      </c>
      <c r="BA292" s="73">
        <f>AI292*Valores!$C$76</f>
        <v>229.466652</v>
      </c>
      <c r="BB292" s="73">
        <f t="shared" si="61"/>
        <v>2065.1998680000006</v>
      </c>
      <c r="BC292" s="47"/>
      <c r="BD292" s="47">
        <f t="shared" si="62"/>
        <v>128</v>
      </c>
      <c r="BE292" s="24" t="s">
        <v>8</v>
      </c>
    </row>
    <row r="293" spans="1:57" s="24" customFormat="1" ht="11.25" customHeight="1">
      <c r="A293" s="47">
        <v>292</v>
      </c>
      <c r="B293" s="47"/>
      <c r="C293" s="24" t="s">
        <v>522</v>
      </c>
      <c r="D293" s="24">
        <v>33</v>
      </c>
      <c r="E293" s="24">
        <f t="shared" si="53"/>
        <v>34</v>
      </c>
      <c r="F293" s="67" t="str">
        <f>CONCATENATE("Hora Cátedra Enseñanza Media ",D293," hs")</f>
        <v>Hora Cátedra Enseñanza Media 33 hs</v>
      </c>
      <c r="G293" s="68">
        <f aca="true" t="shared" si="63" ref="G293:G300">79*D293</f>
        <v>2607</v>
      </c>
      <c r="H293" s="69">
        <f>INT((G293*Valores!$C$2*100)+0.49)/100</f>
        <v>19941.2</v>
      </c>
      <c r="I293" s="108">
        <v>0</v>
      </c>
      <c r="J293" s="71">
        <f>INT((I293*Valores!$C$2*100)+0.5)/100</f>
        <v>0</v>
      </c>
      <c r="K293" s="98">
        <v>0</v>
      </c>
      <c r="L293" s="71">
        <f>INT((K293*Valores!$C$2*100)+0.5)/100</f>
        <v>0</v>
      </c>
      <c r="M293" s="96">
        <v>0</v>
      </c>
      <c r="N293" s="71">
        <f>INT((M293*Valores!$C$2*100)+0.5)/100</f>
        <v>0</v>
      </c>
      <c r="O293" s="71">
        <f t="shared" si="54"/>
        <v>3605.3759999999997</v>
      </c>
      <c r="P293" s="71">
        <f t="shared" si="55"/>
        <v>0</v>
      </c>
      <c r="Q293" s="97">
        <f>Valores!$C$14*D293</f>
        <v>6097.08</v>
      </c>
      <c r="R293" s="97">
        <f>IF(D293&lt;15,(Valores!$E$4*D293),Valores!$D$4)</f>
        <v>3421.44</v>
      </c>
      <c r="S293" s="71">
        <v>0</v>
      </c>
      <c r="T293" s="74">
        <f>IF(Valores!$C$45*D293&gt;Valores!$C$43,Valores!$C$43,Valores!$C$45*D293)</f>
        <v>1945.02</v>
      </c>
      <c r="U293" s="97">
        <f>Valores!$C$22*D293</f>
        <v>2149.62</v>
      </c>
      <c r="V293" s="71">
        <f t="shared" si="49"/>
        <v>2149.62</v>
      </c>
      <c r="W293" s="71">
        <v>0</v>
      </c>
      <c r="X293" s="71">
        <v>0</v>
      </c>
      <c r="Y293" s="114">
        <v>0</v>
      </c>
      <c r="Z293" s="71">
        <f>Y293*Valores!$C$2</f>
        <v>0</v>
      </c>
      <c r="AA293" s="71">
        <v>0</v>
      </c>
      <c r="AB293" s="76">
        <f>IF((Valores!$C$32)*D293&gt;Valores!$F$32,Valores!$F$32,(Valores!$C$32)*D293)</f>
        <v>244.20000000000002</v>
      </c>
      <c r="AC293" s="71">
        <f t="shared" si="58"/>
        <v>0</v>
      </c>
      <c r="AD293" s="71">
        <f>IF(Valores!$C$33*D293&gt;Valores!$F$33,Valores!$F$33,Valores!$C$33*D293)</f>
        <v>184.78</v>
      </c>
      <c r="AE293" s="75">
        <v>0</v>
      </c>
      <c r="AF293" s="71">
        <f>INT(((AE293*Valores!$C$2)*100)+0.5)/100</f>
        <v>0</v>
      </c>
      <c r="AG293" s="71">
        <f>IF(Valores!$D$58*'Escala Docente'!D293&gt;Valores!$F$58,Valores!$F$58,Valores!$D$58*'Escala Docente'!D293)</f>
        <v>751.72</v>
      </c>
      <c r="AH293" s="71">
        <f>IF(Valores!$D$60*D293&gt;Valores!$F$60,Valores!$F$60,Valores!$D$60*D293)</f>
        <v>214.76</v>
      </c>
      <c r="AI293" s="110">
        <f t="shared" si="59"/>
        <v>38555.196</v>
      </c>
      <c r="AJ293" s="97">
        <f>IF(Valores!$C$36*D293&gt;Valores!$F$36,Valores!$F$36,Valores!$C$36*D293)</f>
        <v>1753.14</v>
      </c>
      <c r="AK293" s="74">
        <f>IF(Valores!$C$11*D293&gt;Valores!$F$11,Valores!$F$11,Valores!$C$11*D293)</f>
        <v>0</v>
      </c>
      <c r="AL293" s="74">
        <f>IF(Valores!$C$84*D293&gt;Valores!$C$83,Valores!$C$83,Valores!$C$84*D293)</f>
        <v>2475</v>
      </c>
      <c r="AM293" s="74">
        <f t="shared" si="51"/>
        <v>2310</v>
      </c>
      <c r="AN293" s="76">
        <f>IF(Valores!$C$57*D293&gt;Valores!$F$57,Valores!$F$57,Valores!$C$57*D293)</f>
        <v>314.98</v>
      </c>
      <c r="AO293" s="78">
        <f t="shared" si="60"/>
        <v>4228.14</v>
      </c>
      <c r="AP293" s="57">
        <f>AI293*-Valores!$C$65</f>
        <v>-5012.175480000001</v>
      </c>
      <c r="AQ293" s="57">
        <f>AI293*-Valores!$C$66</f>
        <v>-192.77598000000003</v>
      </c>
      <c r="AR293" s="73">
        <f>AI293*-Valores!$C$67</f>
        <v>-1734.9838200000002</v>
      </c>
      <c r="AS293" s="73">
        <f>AI293*-Valores!$C$68</f>
        <v>-1040.9902920000002</v>
      </c>
      <c r="AT293" s="73">
        <f>AI293*-Valores!$C$69</f>
        <v>-115.66558800000001</v>
      </c>
      <c r="AU293" s="77">
        <f t="shared" si="56"/>
        <v>35843.400720000005</v>
      </c>
      <c r="AV293" s="77">
        <f t="shared" si="57"/>
        <v>36421.72866</v>
      </c>
      <c r="AW293" s="73">
        <f>AI293*Valores!$C$71</f>
        <v>6168.831360000001</v>
      </c>
      <c r="AX293" s="73">
        <f>AI293*Valores!$C$72</f>
        <v>1734.9838200000002</v>
      </c>
      <c r="AY293" s="73">
        <f>AI293*Valores!$C$73</f>
        <v>385.55196000000007</v>
      </c>
      <c r="AZ293" s="73">
        <f>AI293*Valores!$C$75</f>
        <v>1349.4318600000001</v>
      </c>
      <c r="BA293" s="73">
        <f>AI293*Valores!$C$76</f>
        <v>231.33117600000003</v>
      </c>
      <c r="BB293" s="73">
        <f t="shared" si="61"/>
        <v>2081.9805840000004</v>
      </c>
      <c r="BC293" s="47"/>
      <c r="BD293" s="47">
        <f t="shared" si="62"/>
        <v>132</v>
      </c>
      <c r="BE293" s="24" t="s">
        <v>8</v>
      </c>
    </row>
    <row r="294" spans="1:57" s="24" customFormat="1" ht="11.25" customHeight="1">
      <c r="A294" s="47">
        <v>293</v>
      </c>
      <c r="B294" s="47"/>
      <c r="C294" s="24" t="s">
        <v>522</v>
      </c>
      <c r="D294" s="24">
        <v>33</v>
      </c>
      <c r="E294" s="24">
        <f t="shared" si="53"/>
        <v>42</v>
      </c>
      <c r="F294" s="24" t="str">
        <f>CONCATENATE("Hora Cátedra Enseñanza Media ",D294," hs Esc Esp")</f>
        <v>Hora Cátedra Enseñanza Media 33 hs Esc Esp</v>
      </c>
      <c r="G294" s="117">
        <f t="shared" si="63"/>
        <v>2607</v>
      </c>
      <c r="H294" s="57">
        <f>INT((G294*Valores!$C$2*100)+0.49)/100</f>
        <v>19941.2</v>
      </c>
      <c r="I294" s="118">
        <v>0</v>
      </c>
      <c r="J294" s="97">
        <f>INT((I294*Valores!$C$2*100)+0.5)/100</f>
        <v>0</v>
      </c>
      <c r="K294" s="119">
        <v>0</v>
      </c>
      <c r="L294" s="97">
        <f>INT((K294*Valores!$C$2*100)+0.5)/100</f>
        <v>0</v>
      </c>
      <c r="M294" s="120">
        <v>0</v>
      </c>
      <c r="N294" s="97">
        <f>INT((M294*Valores!$C$2*100)+0.5)/100</f>
        <v>0</v>
      </c>
      <c r="O294" s="97">
        <f t="shared" si="54"/>
        <v>3605.3759999999997</v>
      </c>
      <c r="P294" s="97">
        <f t="shared" si="55"/>
        <v>0</v>
      </c>
      <c r="Q294" s="97">
        <f>Valores!$C$14*D294</f>
        <v>6097.08</v>
      </c>
      <c r="R294" s="97">
        <f>IF(D294&lt;15,(Valores!$E$4*D294),Valores!$D$4)</f>
        <v>3421.44</v>
      </c>
      <c r="S294" s="97">
        <v>0</v>
      </c>
      <c r="T294" s="97">
        <f>IF(Valores!$C$45*D294&gt;Valores!$C$43,Valores!$C$43,Valores!$C$45*D294)</f>
        <v>1945.02</v>
      </c>
      <c r="U294" s="97">
        <f>Valores!$C$22*D294</f>
        <v>2149.62</v>
      </c>
      <c r="V294" s="97">
        <f t="shared" si="49"/>
        <v>2149.62</v>
      </c>
      <c r="W294" s="97">
        <v>0</v>
      </c>
      <c r="X294" s="97">
        <v>0</v>
      </c>
      <c r="Y294" s="97">
        <v>0</v>
      </c>
      <c r="Z294" s="97">
        <f>Y294*Valores!$C$2</f>
        <v>0</v>
      </c>
      <c r="AA294" s="97">
        <v>0</v>
      </c>
      <c r="AB294" s="97">
        <f>IF((Valores!$C$32)*D294&gt;Valores!$F$32,Valores!$F$32,(Valores!$C$32)*D294)</f>
        <v>244.20000000000002</v>
      </c>
      <c r="AC294" s="97">
        <f t="shared" si="58"/>
        <v>0</v>
      </c>
      <c r="AD294" s="97">
        <f>IF(Valores!$C$33*D294&gt;Valores!$F$33,Valores!$F$33,Valores!$C$33*D294)</f>
        <v>184.78</v>
      </c>
      <c r="AE294" s="121">
        <v>94</v>
      </c>
      <c r="AF294" s="97">
        <f>INT(((AE294*Valores!$C$2)*100)+0.5)/100</f>
        <v>719.02</v>
      </c>
      <c r="AG294" s="97">
        <f>IF(Valores!$D$58*'Escala Docente'!D294&gt;Valores!$F$58,Valores!$F$58,Valores!$D$58*'Escala Docente'!D294)</f>
        <v>751.72</v>
      </c>
      <c r="AH294" s="97">
        <f>IF(Valores!$D$60*D294&gt;Valores!$F$60,Valores!$F$60,Valores!$D$60*D294)</f>
        <v>214.76</v>
      </c>
      <c r="AI294" s="57">
        <f t="shared" si="59"/>
        <v>39274.216</v>
      </c>
      <c r="AJ294" s="57">
        <f>IF(Valores!$C$36*D294&gt;Valores!$F$36,Valores!$F$36,Valores!$C$36*D294)</f>
        <v>1753.14</v>
      </c>
      <c r="AK294" s="74">
        <f>IF(Valores!$C$11*D294&gt;Valores!$F$11,Valores!$F$11,Valores!$C$11*D294)</f>
        <v>0</v>
      </c>
      <c r="AL294" s="74">
        <f>IF(Valores!$C$84*D294&gt;Valores!$C$83,Valores!$C$83,Valores!$C$84*D294)</f>
        <v>2475</v>
      </c>
      <c r="AM294" s="74">
        <f t="shared" si="51"/>
        <v>2310</v>
      </c>
      <c r="AN294" s="76">
        <f>IF(Valores!$C$57*D294&gt;Valores!$F$57,Valores!$F$57,Valores!$C$57*D294)</f>
        <v>314.98</v>
      </c>
      <c r="AO294" s="78">
        <f t="shared" si="60"/>
        <v>4228.14</v>
      </c>
      <c r="AP294" s="57">
        <f>AI294*-Valores!$C$65</f>
        <v>-5105.64808</v>
      </c>
      <c r="AQ294" s="57">
        <f>AI294*-Valores!$C$66</f>
        <v>-196.37108</v>
      </c>
      <c r="AR294" s="97">
        <f>AI294*-Valores!$C$67</f>
        <v>-1767.33972</v>
      </c>
      <c r="AS294" s="97">
        <f>AI294*-Valores!$C$68</f>
        <v>-1060.403832</v>
      </c>
      <c r="AT294" s="97">
        <f>AI294*-Valores!$C$69</f>
        <v>-117.822648</v>
      </c>
      <c r="AU294" s="110">
        <f t="shared" si="56"/>
        <v>36432.99712</v>
      </c>
      <c r="AV294" s="110">
        <f t="shared" si="57"/>
        <v>37022.110360000006</v>
      </c>
      <c r="AW294" s="73">
        <f>AI294*Valores!$C$71</f>
        <v>6283.87456</v>
      </c>
      <c r="AX294" s="73">
        <f>AI294*Valores!$C$72</f>
        <v>1767.33972</v>
      </c>
      <c r="AY294" s="73">
        <f>AI294*Valores!$C$73</f>
        <v>392.74216</v>
      </c>
      <c r="AZ294" s="73">
        <f>AI294*Valores!$C$75</f>
        <v>1374.5975600000002</v>
      </c>
      <c r="BA294" s="73">
        <f>AI294*Valores!$C$76</f>
        <v>235.645296</v>
      </c>
      <c r="BB294" s="73">
        <f t="shared" si="61"/>
        <v>2120.8076640000004</v>
      </c>
      <c r="BD294" s="82">
        <f t="shared" si="62"/>
        <v>132</v>
      </c>
      <c r="BE294" s="24" t="s">
        <v>8</v>
      </c>
    </row>
    <row r="295" spans="1:57" s="24" customFormat="1" ht="11.25" customHeight="1">
      <c r="A295" s="47">
        <v>294</v>
      </c>
      <c r="B295" s="47"/>
      <c r="C295" s="24" t="s">
        <v>522</v>
      </c>
      <c r="D295" s="24">
        <v>34</v>
      </c>
      <c r="E295" s="24">
        <f t="shared" si="53"/>
        <v>34</v>
      </c>
      <c r="F295" s="67" t="str">
        <f>CONCATENATE("Hora Cátedra Enseñanza Media ",D295," hs")</f>
        <v>Hora Cátedra Enseñanza Media 34 hs</v>
      </c>
      <c r="G295" s="68">
        <f t="shared" si="63"/>
        <v>2686</v>
      </c>
      <c r="H295" s="69">
        <f>INT((G295*Valores!$C$2*100)+0.49)/100</f>
        <v>20545.48</v>
      </c>
      <c r="I295" s="108">
        <v>0</v>
      </c>
      <c r="J295" s="71">
        <f>INT((I295*Valores!$C$2*100)+0.5)/100</f>
        <v>0</v>
      </c>
      <c r="K295" s="98">
        <v>0</v>
      </c>
      <c r="L295" s="71">
        <f>INT((K295*Valores!$C$2*100)+0.5)/100</f>
        <v>0</v>
      </c>
      <c r="M295" s="96">
        <v>0</v>
      </c>
      <c r="N295" s="71">
        <f>INT((M295*Valores!$C$2*100)+0.5)/100</f>
        <v>0</v>
      </c>
      <c r="O295" s="71">
        <f t="shared" si="54"/>
        <v>3714.629999999999</v>
      </c>
      <c r="P295" s="71">
        <f t="shared" si="55"/>
        <v>0</v>
      </c>
      <c r="Q295" s="97">
        <f>Valores!$C$14*D295</f>
        <v>6281.84</v>
      </c>
      <c r="R295" s="97">
        <f>IF(D295&lt;15,(Valores!$E$4*D295),Valores!$D$4)</f>
        <v>3421.44</v>
      </c>
      <c r="S295" s="71">
        <v>0</v>
      </c>
      <c r="T295" s="74">
        <f>IF(Valores!$C$45*D295&gt;Valores!$C$43,Valores!$C$43,Valores!$C$45*D295)</f>
        <v>2003.96</v>
      </c>
      <c r="U295" s="97">
        <f>Valores!$C$22*D295</f>
        <v>2214.76</v>
      </c>
      <c r="V295" s="71">
        <f t="shared" si="49"/>
        <v>2214.76</v>
      </c>
      <c r="W295" s="71">
        <v>0</v>
      </c>
      <c r="X295" s="71">
        <v>0</v>
      </c>
      <c r="Y295" s="114">
        <v>0</v>
      </c>
      <c r="Z295" s="71">
        <f>Y295*Valores!$C$2</f>
        <v>0</v>
      </c>
      <c r="AA295" s="71">
        <v>0</v>
      </c>
      <c r="AB295" s="76">
        <f>IF((Valores!$C$32)*D295&gt;Valores!$F$32,Valores!$F$32,(Valores!$C$32)*D295)</f>
        <v>251.60000000000002</v>
      </c>
      <c r="AC295" s="71">
        <f t="shared" si="58"/>
        <v>0</v>
      </c>
      <c r="AD295" s="71">
        <f>IF(Valores!$C$33*D295&gt;Valores!$F$33,Valores!$F$33,Valores!$C$33*D295)</f>
        <v>184.78</v>
      </c>
      <c r="AE295" s="75">
        <v>0</v>
      </c>
      <c r="AF295" s="71">
        <f>INT(((AE295*Valores!$C$2)*100)+0.5)/100</f>
        <v>0</v>
      </c>
      <c r="AG295" s="71">
        <f>IF(Valores!$D$58*'Escala Docente'!D295&gt;Valores!$F$58,Valores!$F$58,Valores!$D$58*'Escala Docente'!D295)</f>
        <v>751.72</v>
      </c>
      <c r="AH295" s="71">
        <f>IF(Valores!$D$60*D295&gt;Valores!$F$60,Valores!$F$60,Valores!$D$60*D295)</f>
        <v>214.76</v>
      </c>
      <c r="AI295" s="110">
        <f t="shared" si="59"/>
        <v>39584.97</v>
      </c>
      <c r="AJ295" s="97">
        <f>IF(Valores!$C$36*D295&gt;Valores!$F$36,Valores!$F$36,Valores!$C$36*D295)</f>
        <v>1753.14</v>
      </c>
      <c r="AK295" s="74">
        <f>IF(Valores!$C$11*D295&gt;Valores!$F$11,Valores!$F$11,Valores!$C$11*D295)</f>
        <v>0</v>
      </c>
      <c r="AL295" s="74">
        <f>IF(Valores!$C$84*D295&gt;Valores!$C$83,Valores!$C$83,Valores!$C$84*D295)</f>
        <v>2550</v>
      </c>
      <c r="AM295" s="74">
        <f t="shared" si="51"/>
        <v>2380</v>
      </c>
      <c r="AN295" s="76">
        <f>IF(Valores!$C$57*D295&gt;Valores!$F$57,Valores!$F$57,Valores!$C$57*D295)</f>
        <v>314.98</v>
      </c>
      <c r="AO295" s="78">
        <f t="shared" si="60"/>
        <v>4303.14</v>
      </c>
      <c r="AP295" s="57">
        <f>AI295*-Valores!$C$65</f>
        <v>-5146.0461000000005</v>
      </c>
      <c r="AQ295" s="57">
        <f>AI295*-Valores!$C$66</f>
        <v>-197.92485000000002</v>
      </c>
      <c r="AR295" s="73">
        <f>AI295*-Valores!$C$67</f>
        <v>-1781.32365</v>
      </c>
      <c r="AS295" s="73">
        <f>AI295*-Valores!$C$68</f>
        <v>-1068.79419</v>
      </c>
      <c r="AT295" s="73">
        <f>AI295*-Valores!$C$69</f>
        <v>-118.75491000000001</v>
      </c>
      <c r="AU295" s="77">
        <f t="shared" si="56"/>
        <v>36762.8154</v>
      </c>
      <c r="AV295" s="77">
        <f t="shared" si="57"/>
        <v>37356.589949999994</v>
      </c>
      <c r="AW295" s="73">
        <f>AI295*Valores!$C$71</f>
        <v>6333.595200000001</v>
      </c>
      <c r="AX295" s="73">
        <f>AI295*Valores!$C$72</f>
        <v>1781.32365</v>
      </c>
      <c r="AY295" s="73">
        <f>AI295*Valores!$C$73</f>
        <v>395.84970000000004</v>
      </c>
      <c r="AZ295" s="73">
        <f>AI295*Valores!$C$75</f>
        <v>1385.47395</v>
      </c>
      <c r="BA295" s="73">
        <f>AI295*Valores!$C$76</f>
        <v>237.50982000000002</v>
      </c>
      <c r="BB295" s="73">
        <f t="shared" si="61"/>
        <v>2137.58838</v>
      </c>
      <c r="BC295" s="47"/>
      <c r="BD295" s="47">
        <f t="shared" si="62"/>
        <v>136</v>
      </c>
      <c r="BE295" s="24" t="s">
        <v>8</v>
      </c>
    </row>
    <row r="296" spans="1:57" s="24" customFormat="1" ht="11.25" customHeight="1">
      <c r="A296" s="81">
        <v>295</v>
      </c>
      <c r="B296" s="81" t="s">
        <v>163</v>
      </c>
      <c r="C296" s="82" t="s">
        <v>522</v>
      </c>
      <c r="D296" s="82">
        <v>34</v>
      </c>
      <c r="E296" s="82">
        <f t="shared" si="53"/>
        <v>42</v>
      </c>
      <c r="F296" s="83" t="str">
        <f>CONCATENATE("Hora Cátedra Enseñanza Media ",D296," hs Esc Esp")</f>
        <v>Hora Cátedra Enseñanza Media 34 hs Esc Esp</v>
      </c>
      <c r="G296" s="84">
        <f t="shared" si="63"/>
        <v>2686</v>
      </c>
      <c r="H296" s="85">
        <f>INT((G296*Valores!$C$2*100)+0.49)/100</f>
        <v>20545.48</v>
      </c>
      <c r="I296" s="99">
        <v>0</v>
      </c>
      <c r="J296" s="87">
        <f>INT((I296*Valores!$C$2*100)+0.5)/100</f>
        <v>0</v>
      </c>
      <c r="K296" s="100">
        <v>0</v>
      </c>
      <c r="L296" s="87">
        <f>INT((K296*Valores!$C$2*100)+0.5)/100</f>
        <v>0</v>
      </c>
      <c r="M296" s="101">
        <v>0</v>
      </c>
      <c r="N296" s="87">
        <f>INT((M296*Valores!$C$2*100)+0.5)/100</f>
        <v>0</v>
      </c>
      <c r="O296" s="87">
        <f t="shared" si="54"/>
        <v>3714.629999999999</v>
      </c>
      <c r="P296" s="87">
        <f t="shared" si="55"/>
        <v>0</v>
      </c>
      <c r="Q296" s="103">
        <f>Valores!$C$14*D296</f>
        <v>6281.84</v>
      </c>
      <c r="R296" s="103">
        <f>IF(D296&lt;15,(Valores!$E$4*D296),Valores!$D$4)</f>
        <v>3421.44</v>
      </c>
      <c r="S296" s="87">
        <v>0</v>
      </c>
      <c r="T296" s="90">
        <f>IF(Valores!$C$45*D296&gt;Valores!$C$43,Valores!$C$43,Valores!$C$45*D296)</f>
        <v>2003.96</v>
      </c>
      <c r="U296" s="103">
        <f>Valores!$C$22*D296</f>
        <v>2214.76</v>
      </c>
      <c r="V296" s="87">
        <f t="shared" si="49"/>
        <v>2214.76</v>
      </c>
      <c r="W296" s="87">
        <v>0</v>
      </c>
      <c r="X296" s="87">
        <v>0</v>
      </c>
      <c r="Y296" s="115">
        <v>0</v>
      </c>
      <c r="Z296" s="87">
        <f>Y296*Valores!$C$2</f>
        <v>0</v>
      </c>
      <c r="AA296" s="87">
        <v>0</v>
      </c>
      <c r="AB296" s="92">
        <f>IF((Valores!$C$32)*D296&gt;Valores!$F$32,Valores!$F$32,(Valores!$C$32)*D296)</f>
        <v>251.60000000000002</v>
      </c>
      <c r="AC296" s="87">
        <f t="shared" si="58"/>
        <v>0</v>
      </c>
      <c r="AD296" s="87">
        <f>IF(Valores!$C$33*D296&gt;Valores!$F$33,Valores!$F$33,Valores!$C$33*D296)</f>
        <v>184.78</v>
      </c>
      <c r="AE296" s="91">
        <v>94</v>
      </c>
      <c r="AF296" s="87">
        <f>INT(((AE296*Valores!$C$2)*100)+0.5)/100</f>
        <v>719.02</v>
      </c>
      <c r="AG296" s="87">
        <f>IF(Valores!$D$58*'Escala Docente'!D296&gt;Valores!$F$58,Valores!$F$58,Valores!$D$58*'Escala Docente'!D296)</f>
        <v>751.72</v>
      </c>
      <c r="AH296" s="87">
        <f>IF(Valores!$D$60*D296&gt;Valores!$F$60,Valores!$F$60,Valores!$D$60*D296)</f>
        <v>214.76</v>
      </c>
      <c r="AI296" s="111">
        <f t="shared" si="59"/>
        <v>40303.99</v>
      </c>
      <c r="AJ296" s="103">
        <f>IF(Valores!$C$36*D296&gt;Valores!$F$36,Valores!$F$36,Valores!$C$36*D296)</f>
        <v>1753.14</v>
      </c>
      <c r="AK296" s="90">
        <f>IF(Valores!$C$11*D296&gt;Valores!$F$11,Valores!$F$11,Valores!$C$11*D296)</f>
        <v>0</v>
      </c>
      <c r="AL296" s="90">
        <f>IF(Valores!$C$84*D296&gt;Valores!$C$83,Valores!$C$83,Valores!$C$84*D296)</f>
        <v>2550</v>
      </c>
      <c r="AM296" s="74">
        <f t="shared" si="51"/>
        <v>2380</v>
      </c>
      <c r="AN296" s="92">
        <f>IF(Valores!$C$57*D296&gt;Valores!$F$57,Valores!$F$57,Valores!$C$57*D296)</f>
        <v>314.98</v>
      </c>
      <c r="AO296" s="94">
        <f t="shared" si="60"/>
        <v>4303.14</v>
      </c>
      <c r="AP296" s="112">
        <f>AI296*-Valores!$C$65</f>
        <v>-5239.5187</v>
      </c>
      <c r="AQ296" s="112">
        <f>AI296*-Valores!$C$66</f>
        <v>-201.51995</v>
      </c>
      <c r="AR296" s="89">
        <f>AI296*-Valores!$C$67</f>
        <v>-1813.6795499999998</v>
      </c>
      <c r="AS296" s="89">
        <f>AI296*-Valores!$C$68</f>
        <v>-1088.2077299999999</v>
      </c>
      <c r="AT296" s="89">
        <f>AI296*-Valores!$C$69</f>
        <v>-120.91197</v>
      </c>
      <c r="AU296" s="93">
        <f t="shared" si="56"/>
        <v>37352.411799999994</v>
      </c>
      <c r="AV296" s="93">
        <f t="shared" si="57"/>
        <v>37956.97164999999</v>
      </c>
      <c r="AW296" s="89">
        <f>AI296*Valores!$C$71</f>
        <v>6448.6384</v>
      </c>
      <c r="AX296" s="89">
        <f>AI296*Valores!$C$72</f>
        <v>1813.6795499999998</v>
      </c>
      <c r="AY296" s="89">
        <f>AI296*Valores!$C$73</f>
        <v>403.0399</v>
      </c>
      <c r="AZ296" s="89">
        <f>AI296*Valores!$C$75</f>
        <v>1410.63965</v>
      </c>
      <c r="BA296" s="89">
        <f>AI296*Valores!$C$76</f>
        <v>241.82394</v>
      </c>
      <c r="BB296" s="89">
        <f t="shared" si="61"/>
        <v>2176.41546</v>
      </c>
      <c r="BC296" s="81"/>
      <c r="BD296" s="81">
        <f t="shared" si="62"/>
        <v>136</v>
      </c>
      <c r="BE296" s="82" t="s">
        <v>8</v>
      </c>
    </row>
    <row r="297" spans="1:57" s="24" customFormat="1" ht="11.25" customHeight="1">
      <c r="A297" s="47">
        <v>296</v>
      </c>
      <c r="B297" s="47"/>
      <c r="C297" s="24" t="s">
        <v>522</v>
      </c>
      <c r="D297" s="24">
        <v>35</v>
      </c>
      <c r="E297" s="24">
        <f t="shared" si="53"/>
        <v>34</v>
      </c>
      <c r="F297" s="67" t="str">
        <f>CONCATENATE("Hora Cátedra Enseñanza Media ",D297," hs")</f>
        <v>Hora Cátedra Enseñanza Media 35 hs</v>
      </c>
      <c r="G297" s="68">
        <f t="shared" si="63"/>
        <v>2765</v>
      </c>
      <c r="H297" s="69">
        <f>INT((G297*Valores!$C$2*100)+0.49)/100</f>
        <v>21149.76</v>
      </c>
      <c r="I297" s="108">
        <v>0</v>
      </c>
      <c r="J297" s="71">
        <f>INT((I297*Valores!$C$2*100)+0.5)/100</f>
        <v>0</v>
      </c>
      <c r="K297" s="98">
        <v>0</v>
      </c>
      <c r="L297" s="71">
        <f>INT((K297*Valores!$C$2*100)+0.5)/100</f>
        <v>0</v>
      </c>
      <c r="M297" s="96">
        <v>0</v>
      </c>
      <c r="N297" s="71">
        <f>INT((M297*Valores!$C$2*100)+0.5)/100</f>
        <v>0</v>
      </c>
      <c r="O297" s="71">
        <f t="shared" si="54"/>
        <v>3823.884</v>
      </c>
      <c r="P297" s="71">
        <f t="shared" si="55"/>
        <v>0</v>
      </c>
      <c r="Q297" s="97">
        <f>Valores!$C$14*D297</f>
        <v>6466.599999999999</v>
      </c>
      <c r="R297" s="97">
        <f>IF(D297&lt;15,(Valores!$E$4*D297),Valores!$D$4)</f>
        <v>3421.44</v>
      </c>
      <c r="S297" s="71">
        <v>0</v>
      </c>
      <c r="T297" s="74">
        <f>IF(Valores!$C$45*D297&gt;Valores!$C$43,Valores!$C$43,Valores!$C$45*D297)</f>
        <v>2062.9</v>
      </c>
      <c r="U297" s="97">
        <f>Valores!$C$22*D297</f>
        <v>2279.9</v>
      </c>
      <c r="V297" s="71">
        <f t="shared" si="49"/>
        <v>2279.9</v>
      </c>
      <c r="W297" s="71">
        <v>0</v>
      </c>
      <c r="X297" s="71">
        <v>0</v>
      </c>
      <c r="Y297" s="114">
        <v>0</v>
      </c>
      <c r="Z297" s="71">
        <f>Y297*Valores!$C$2</f>
        <v>0</v>
      </c>
      <c r="AA297" s="71">
        <v>0</v>
      </c>
      <c r="AB297" s="76">
        <f>IF((Valores!$C$32)*D297&gt;Valores!$F$32,Valores!$F$32,(Valores!$C$32)*D297)</f>
        <v>259</v>
      </c>
      <c r="AC297" s="71">
        <f t="shared" si="58"/>
        <v>0</v>
      </c>
      <c r="AD297" s="71">
        <f>IF(Valores!$C$33*D297&gt;Valores!$F$33,Valores!$F$33,Valores!$C$33*D297)</f>
        <v>184.78</v>
      </c>
      <c r="AE297" s="75">
        <v>0</v>
      </c>
      <c r="AF297" s="71">
        <f>INT(((AE297*Valores!$C$2)*100)+0.5)/100</f>
        <v>0</v>
      </c>
      <c r="AG297" s="71">
        <f>IF(Valores!$D$58*'Escala Docente'!D297&gt;Valores!$F$58,Valores!$F$58,Valores!$D$58*'Escala Docente'!D297)</f>
        <v>751.72</v>
      </c>
      <c r="AH297" s="71">
        <f>IF(Valores!$D$60*D297&gt;Valores!$F$60,Valores!$F$60,Valores!$D$60*D297)</f>
        <v>214.76</v>
      </c>
      <c r="AI297" s="110">
        <f t="shared" si="59"/>
        <v>40614.744000000006</v>
      </c>
      <c r="AJ297" s="97">
        <f>IF(Valores!$C$36*D297&gt;Valores!$F$36,Valores!$F$36,Valores!$C$36*D297)</f>
        <v>1753.14</v>
      </c>
      <c r="AK297" s="74">
        <f>IF(Valores!$C$11*D297&gt;Valores!$F$11,Valores!$F$11,Valores!$C$11*D297)</f>
        <v>0</v>
      </c>
      <c r="AL297" s="74">
        <f>IF(Valores!$C$84*D297&gt;Valores!$C$83,Valores!$C$83,Valores!$C$84*D297)</f>
        <v>2625</v>
      </c>
      <c r="AM297" s="74">
        <f t="shared" si="51"/>
        <v>2450</v>
      </c>
      <c r="AN297" s="76">
        <f>IF(Valores!$C$57*D297&gt;Valores!$F$57,Valores!$F$57,Valores!$C$57*D297)</f>
        <v>314.98</v>
      </c>
      <c r="AO297" s="78">
        <f t="shared" si="60"/>
        <v>4378.14</v>
      </c>
      <c r="AP297" s="57">
        <f>AI297*-Valores!$C$65</f>
        <v>-5279.916720000001</v>
      </c>
      <c r="AQ297" s="57">
        <f>AI297*-Valores!$C$66</f>
        <v>-203.07372000000004</v>
      </c>
      <c r="AR297" s="73">
        <f>AI297*-Valores!$C$67</f>
        <v>-1827.6634800000002</v>
      </c>
      <c r="AS297" s="73">
        <f>AI297*-Valores!$C$68</f>
        <v>-1096.5980880000002</v>
      </c>
      <c r="AT297" s="73">
        <f>AI297*-Valores!$C$69</f>
        <v>-121.84423200000002</v>
      </c>
      <c r="AU297" s="77">
        <f t="shared" si="56"/>
        <v>37682.23008</v>
      </c>
      <c r="AV297" s="77">
        <f t="shared" si="57"/>
        <v>38291.45124</v>
      </c>
      <c r="AW297" s="73">
        <f>AI297*Valores!$C$71</f>
        <v>6498.359040000001</v>
      </c>
      <c r="AX297" s="73">
        <f>AI297*Valores!$C$72</f>
        <v>1827.6634800000002</v>
      </c>
      <c r="AY297" s="73">
        <f>AI297*Valores!$C$73</f>
        <v>406.1474400000001</v>
      </c>
      <c r="AZ297" s="73">
        <f>AI297*Valores!$C$75</f>
        <v>1421.5160400000004</v>
      </c>
      <c r="BA297" s="73">
        <f>AI297*Valores!$C$76</f>
        <v>243.68846400000004</v>
      </c>
      <c r="BB297" s="73">
        <f t="shared" si="61"/>
        <v>2193.1961760000004</v>
      </c>
      <c r="BC297" s="47"/>
      <c r="BD297" s="47">
        <f t="shared" si="62"/>
        <v>140</v>
      </c>
      <c r="BE297" s="24" t="s">
        <v>8</v>
      </c>
    </row>
    <row r="298" spans="1:57" s="24" customFormat="1" ht="11.25" customHeight="1">
      <c r="A298" s="47">
        <v>297</v>
      </c>
      <c r="B298" s="47"/>
      <c r="C298" s="24" t="s">
        <v>522</v>
      </c>
      <c r="D298" s="24">
        <v>35</v>
      </c>
      <c r="E298" s="24">
        <f t="shared" si="53"/>
        <v>42</v>
      </c>
      <c r="F298" s="67" t="str">
        <f>CONCATENATE("Hora Cátedra Enseñanza Media ",D298," hs Esc Esp")</f>
        <v>Hora Cátedra Enseñanza Media 35 hs Esc Esp</v>
      </c>
      <c r="G298" s="68">
        <f t="shared" si="63"/>
        <v>2765</v>
      </c>
      <c r="H298" s="69">
        <f>INT((G298*Valores!$C$2*100)+0.49)/100</f>
        <v>21149.76</v>
      </c>
      <c r="I298" s="108">
        <v>0</v>
      </c>
      <c r="J298" s="71">
        <f>INT((I298*Valores!$C$2*100)+0.5)/100</f>
        <v>0</v>
      </c>
      <c r="K298" s="98">
        <v>0</v>
      </c>
      <c r="L298" s="71">
        <f>INT((K298*Valores!$C$2*100)+0.5)/100</f>
        <v>0</v>
      </c>
      <c r="M298" s="96">
        <v>0</v>
      </c>
      <c r="N298" s="71">
        <f>INT((M298*Valores!$C$2*100)+0.5)/100</f>
        <v>0</v>
      </c>
      <c r="O298" s="71">
        <f t="shared" si="54"/>
        <v>3823.884</v>
      </c>
      <c r="P298" s="71">
        <f t="shared" si="55"/>
        <v>0</v>
      </c>
      <c r="Q298" s="97">
        <f>Valores!$C$14*D298</f>
        <v>6466.599999999999</v>
      </c>
      <c r="R298" s="97">
        <f>IF(D298&lt;15,(Valores!$E$4*D298),Valores!$D$4)</f>
        <v>3421.44</v>
      </c>
      <c r="S298" s="71">
        <v>0</v>
      </c>
      <c r="T298" s="74">
        <f>IF(Valores!$C$45*D298&gt;Valores!$C$43,Valores!$C$43,Valores!$C$45*D298)</f>
        <v>2062.9</v>
      </c>
      <c r="U298" s="97">
        <f>Valores!$C$22*D298</f>
        <v>2279.9</v>
      </c>
      <c r="V298" s="71">
        <f t="shared" si="49"/>
        <v>2279.9</v>
      </c>
      <c r="W298" s="71">
        <v>0</v>
      </c>
      <c r="X298" s="71">
        <v>0</v>
      </c>
      <c r="Y298" s="114">
        <v>0</v>
      </c>
      <c r="Z298" s="71">
        <f>Y298*Valores!$C$2</f>
        <v>0</v>
      </c>
      <c r="AA298" s="71">
        <v>0</v>
      </c>
      <c r="AB298" s="76">
        <f>IF((Valores!$C$32)*D298&gt;Valores!$F$32,Valores!$F$32,(Valores!$C$32)*D298)</f>
        <v>259</v>
      </c>
      <c r="AC298" s="71">
        <f t="shared" si="58"/>
        <v>0</v>
      </c>
      <c r="AD298" s="71">
        <f>IF(Valores!$C$33*D298&gt;Valores!$F$33,Valores!$F$33,Valores!$C$33*D298)</f>
        <v>184.78</v>
      </c>
      <c r="AE298" s="75">
        <v>94</v>
      </c>
      <c r="AF298" s="71">
        <f>INT(((AE298*Valores!$C$2)*100)+0.5)/100</f>
        <v>719.02</v>
      </c>
      <c r="AG298" s="71">
        <f>IF(Valores!$D$58*'Escala Docente'!D298&gt;Valores!$F$58,Valores!$F$58,Valores!$D$58*'Escala Docente'!D298)</f>
        <v>751.72</v>
      </c>
      <c r="AH298" s="71">
        <f>IF(Valores!$D$60*D298&gt;Valores!$F$60,Valores!$F$60,Valores!$D$60*D298)</f>
        <v>214.76</v>
      </c>
      <c r="AI298" s="110">
        <f t="shared" si="59"/>
        <v>41333.764</v>
      </c>
      <c r="AJ298" s="97">
        <f>IF(Valores!$C$36*D298&gt;Valores!$F$36,Valores!$F$36,Valores!$C$36*D298)</f>
        <v>1753.14</v>
      </c>
      <c r="AK298" s="74">
        <f>IF(Valores!$C$11*D298&gt;Valores!$F$11,Valores!$F$11,Valores!$C$11*D298)</f>
        <v>0</v>
      </c>
      <c r="AL298" s="74">
        <f>IF(Valores!$C$84*D298&gt;Valores!$C$83,Valores!$C$83,Valores!$C$84*D298)</f>
        <v>2625</v>
      </c>
      <c r="AM298" s="74">
        <f t="shared" si="51"/>
        <v>2450</v>
      </c>
      <c r="AN298" s="76">
        <f>IF(Valores!$C$57*D298&gt;Valores!$F$57,Valores!$F$57,Valores!$C$57*D298)</f>
        <v>314.98</v>
      </c>
      <c r="AO298" s="78">
        <f t="shared" si="60"/>
        <v>4378.14</v>
      </c>
      <c r="AP298" s="57">
        <f>AI298*-Valores!$C$65</f>
        <v>-5373.38932</v>
      </c>
      <c r="AQ298" s="57">
        <f>AI298*-Valores!$C$66</f>
        <v>-206.66882</v>
      </c>
      <c r="AR298" s="73">
        <f>AI298*-Valores!$C$67</f>
        <v>-1860.01938</v>
      </c>
      <c r="AS298" s="73">
        <f>AI298*-Valores!$C$68</f>
        <v>-1116.011628</v>
      </c>
      <c r="AT298" s="73">
        <f>AI298*-Valores!$C$69</f>
        <v>-124.001292</v>
      </c>
      <c r="AU298" s="77">
        <f t="shared" si="56"/>
        <v>38271.82648</v>
      </c>
      <c r="AV298" s="77">
        <f t="shared" si="57"/>
        <v>38891.83294</v>
      </c>
      <c r="AW298" s="73">
        <f>AI298*Valores!$C$71</f>
        <v>6613.40224</v>
      </c>
      <c r="AX298" s="73">
        <f>AI298*Valores!$C$72</f>
        <v>1860.01938</v>
      </c>
      <c r="AY298" s="73">
        <f>AI298*Valores!$C$73</f>
        <v>413.33764</v>
      </c>
      <c r="AZ298" s="73">
        <f>AI298*Valores!$C$75</f>
        <v>1446.6817400000002</v>
      </c>
      <c r="BA298" s="73">
        <f>AI298*Valores!$C$76</f>
        <v>248.002584</v>
      </c>
      <c r="BB298" s="73">
        <f t="shared" si="61"/>
        <v>2232.0232560000004</v>
      </c>
      <c r="BC298" s="47"/>
      <c r="BD298" s="47">
        <f t="shared" si="62"/>
        <v>140</v>
      </c>
      <c r="BE298" s="24" t="s">
        <v>8</v>
      </c>
    </row>
    <row r="299" spans="1:57" s="24" customFormat="1" ht="11.25" customHeight="1">
      <c r="A299" s="47">
        <v>298</v>
      </c>
      <c r="B299" s="47"/>
      <c r="C299" s="24" t="s">
        <v>522</v>
      </c>
      <c r="D299" s="24">
        <v>36</v>
      </c>
      <c r="E299" s="24">
        <f t="shared" si="53"/>
        <v>34</v>
      </c>
      <c r="F299" s="67" t="str">
        <f>CONCATENATE("Hora Cátedra Enseñanza Media ",D299," hs")</f>
        <v>Hora Cátedra Enseñanza Media 36 hs</v>
      </c>
      <c r="G299" s="68">
        <f t="shared" si="63"/>
        <v>2844</v>
      </c>
      <c r="H299" s="69">
        <f>INT((G299*Valores!$C$2*100)+0.49)/100</f>
        <v>21754.04</v>
      </c>
      <c r="I299" s="108">
        <v>0</v>
      </c>
      <c r="J299" s="71">
        <f>INT((I299*Valores!$C$2*100)+0.5)/100</f>
        <v>0</v>
      </c>
      <c r="K299" s="98">
        <v>0</v>
      </c>
      <c r="L299" s="71">
        <f>INT((K299*Valores!$C$2*100)+0.5)/100</f>
        <v>0</v>
      </c>
      <c r="M299" s="96">
        <v>0</v>
      </c>
      <c r="N299" s="71">
        <f>INT((M299*Valores!$C$2*100)+0.5)/100</f>
        <v>0</v>
      </c>
      <c r="O299" s="71">
        <f t="shared" si="54"/>
        <v>3933.0975</v>
      </c>
      <c r="P299" s="71">
        <f t="shared" si="55"/>
        <v>0</v>
      </c>
      <c r="Q299" s="97">
        <f>Valores!$C$14*D299</f>
        <v>6651.36</v>
      </c>
      <c r="R299" s="97">
        <f>IF(D299&lt;15,(Valores!$E$4*D299),Valores!$D$4)</f>
        <v>3421.44</v>
      </c>
      <c r="S299" s="71">
        <v>0</v>
      </c>
      <c r="T299" s="74">
        <f>IF(Valores!$C$45*D299&gt;Valores!$C$43,Valores!$C$43,Valores!$C$45*D299)</f>
        <v>2121.57</v>
      </c>
      <c r="U299" s="97">
        <f>Valores!$C$22*D299</f>
        <v>2345.04</v>
      </c>
      <c r="V299" s="71">
        <f t="shared" si="49"/>
        <v>2345.04</v>
      </c>
      <c r="W299" s="71">
        <v>0</v>
      </c>
      <c r="X299" s="71">
        <v>0</v>
      </c>
      <c r="Y299" s="114">
        <v>0</v>
      </c>
      <c r="Z299" s="71">
        <f>Y299*Valores!$C$2</f>
        <v>0</v>
      </c>
      <c r="AA299" s="71">
        <v>0</v>
      </c>
      <c r="AB299" s="76">
        <f>IF((Valores!$C$32)*D299&gt;Valores!$F$32,Valores!$F$32,(Valores!$C$32)*D299)</f>
        <v>266.40000000000003</v>
      </c>
      <c r="AC299" s="71">
        <f t="shared" si="58"/>
        <v>0</v>
      </c>
      <c r="AD299" s="71">
        <f>IF(Valores!$C$33*D299&gt;Valores!$F$33,Valores!$F$33,Valores!$C$33*D299)</f>
        <v>184.78</v>
      </c>
      <c r="AE299" s="75">
        <v>0</v>
      </c>
      <c r="AF299" s="71">
        <f>INT(((AE299*Valores!$C$2)*100)+0.5)/100</f>
        <v>0</v>
      </c>
      <c r="AG299" s="71">
        <f>IF(Valores!$D$58*'Escala Docente'!D299&gt;Valores!$F$58,Valores!$F$58,Valores!$D$58*'Escala Docente'!D299)</f>
        <v>751.72</v>
      </c>
      <c r="AH299" s="71">
        <f>IF(Valores!$D$60*D299&gt;Valores!$F$60,Valores!$F$60,Valores!$D$60*D299)</f>
        <v>214.76</v>
      </c>
      <c r="AI299" s="110">
        <f t="shared" si="59"/>
        <v>41644.207500000004</v>
      </c>
      <c r="AJ299" s="97">
        <f>IF(Valores!$C$36*D299&gt;Valores!$F$36,Valores!$F$36,Valores!$C$36*D299)</f>
        <v>1753.14</v>
      </c>
      <c r="AK299" s="74">
        <f>IF(Valores!$C$11*D299&gt;Valores!$F$11,Valores!$F$11,Valores!$C$11*D299)</f>
        <v>0</v>
      </c>
      <c r="AL299" s="74">
        <f>IF(Valores!$C$84*D299&gt;Valores!$C$83,Valores!$C$83,Valores!$C$84*D299)</f>
        <v>2700</v>
      </c>
      <c r="AM299" s="74">
        <f t="shared" si="51"/>
        <v>2520</v>
      </c>
      <c r="AN299" s="76">
        <f>IF(Valores!$C$57*D299&gt;Valores!$F$57,Valores!$F$57,Valores!$C$57*D299)</f>
        <v>314.98</v>
      </c>
      <c r="AO299" s="78">
        <f t="shared" si="60"/>
        <v>4453.14</v>
      </c>
      <c r="AP299" s="57">
        <f>AI299*-Valores!$C$65</f>
        <v>-5413.746975000001</v>
      </c>
      <c r="AQ299" s="57">
        <f>AI299*-Valores!$C$66</f>
        <v>-208.22103750000002</v>
      </c>
      <c r="AR299" s="73">
        <f>AI299*-Valores!$C$67</f>
        <v>-1873.9893375000001</v>
      </c>
      <c r="AS299" s="73">
        <f>AI299*-Valores!$C$68</f>
        <v>-1124.3936025</v>
      </c>
      <c r="AT299" s="73">
        <f>AI299*-Valores!$C$69</f>
        <v>-124.93262250000001</v>
      </c>
      <c r="AU299" s="77">
        <f t="shared" si="56"/>
        <v>38601.39015</v>
      </c>
      <c r="AV299" s="77">
        <f t="shared" si="57"/>
        <v>39226.053262500005</v>
      </c>
      <c r="AW299" s="73">
        <f>AI299*Valores!$C$71</f>
        <v>6663.073200000001</v>
      </c>
      <c r="AX299" s="73">
        <f>AI299*Valores!$C$72</f>
        <v>1873.9893375000001</v>
      </c>
      <c r="AY299" s="73">
        <f>AI299*Valores!$C$73</f>
        <v>416.44207500000005</v>
      </c>
      <c r="AZ299" s="73">
        <f>AI299*Valores!$C$75</f>
        <v>1457.5472625000002</v>
      </c>
      <c r="BA299" s="73">
        <f>AI299*Valores!$C$76</f>
        <v>249.86524500000002</v>
      </c>
      <c r="BB299" s="73">
        <f t="shared" si="61"/>
        <v>2248.787205</v>
      </c>
      <c r="BC299" s="47"/>
      <c r="BD299" s="81">
        <f t="shared" si="62"/>
        <v>144</v>
      </c>
      <c r="BE299" s="24" t="s">
        <v>8</v>
      </c>
    </row>
    <row r="300" spans="1:57" s="24" customFormat="1" ht="11.25" customHeight="1">
      <c r="A300" s="47">
        <v>299</v>
      </c>
      <c r="B300" s="47"/>
      <c r="C300" s="24" t="s">
        <v>522</v>
      </c>
      <c r="D300" s="24">
        <v>36</v>
      </c>
      <c r="E300" s="24">
        <f t="shared" si="53"/>
        <v>42</v>
      </c>
      <c r="F300" s="67" t="str">
        <f>CONCATENATE("Hora Cátedra Enseñanza Media ",D300," hs Esc Esp")</f>
        <v>Hora Cátedra Enseñanza Media 36 hs Esc Esp</v>
      </c>
      <c r="G300" s="68">
        <f t="shared" si="63"/>
        <v>2844</v>
      </c>
      <c r="H300" s="69">
        <f>INT((G300*Valores!$C$2*100)+0.49)/100</f>
        <v>21754.04</v>
      </c>
      <c r="I300" s="108">
        <v>0</v>
      </c>
      <c r="J300" s="71">
        <f>INT((I300*Valores!$C$2*100)+0.5)/100</f>
        <v>0</v>
      </c>
      <c r="K300" s="98">
        <v>0</v>
      </c>
      <c r="L300" s="71">
        <f>INT((K300*Valores!$C$2*100)+0.5)/100</f>
        <v>0</v>
      </c>
      <c r="M300" s="96">
        <v>0</v>
      </c>
      <c r="N300" s="71">
        <f>INT((M300*Valores!$C$2*100)+0.5)/100</f>
        <v>0</v>
      </c>
      <c r="O300" s="71">
        <f t="shared" si="54"/>
        <v>3933.0975</v>
      </c>
      <c r="P300" s="71">
        <f t="shared" si="55"/>
        <v>0</v>
      </c>
      <c r="Q300" s="97">
        <f>Valores!$C$14*D300</f>
        <v>6651.36</v>
      </c>
      <c r="R300" s="97">
        <f>IF(D300&lt;15,(Valores!$E$4*D300),Valores!$D$4)</f>
        <v>3421.44</v>
      </c>
      <c r="S300" s="71">
        <v>0</v>
      </c>
      <c r="T300" s="74">
        <f>IF(Valores!$C$45*D300&gt;Valores!$C$43,Valores!$C$43,Valores!$C$45*D300)</f>
        <v>2121.57</v>
      </c>
      <c r="U300" s="97">
        <f>Valores!$C$22*D300</f>
        <v>2345.04</v>
      </c>
      <c r="V300" s="71">
        <f t="shared" si="49"/>
        <v>2345.04</v>
      </c>
      <c r="W300" s="71">
        <v>0</v>
      </c>
      <c r="X300" s="71">
        <v>0</v>
      </c>
      <c r="Y300" s="114">
        <v>0</v>
      </c>
      <c r="Z300" s="71">
        <f>Y300*Valores!$C$2</f>
        <v>0</v>
      </c>
      <c r="AA300" s="71">
        <v>0</v>
      </c>
      <c r="AB300" s="76">
        <f>IF((Valores!$C$32)*D300&gt;Valores!$F$32,Valores!$F$32,(Valores!$C$32)*D300)</f>
        <v>266.40000000000003</v>
      </c>
      <c r="AC300" s="71">
        <f t="shared" si="58"/>
        <v>0</v>
      </c>
      <c r="AD300" s="71">
        <f>IF(Valores!$C$33*D300&gt;Valores!$F$33,Valores!$F$33,Valores!$C$33*D300)</f>
        <v>184.78</v>
      </c>
      <c r="AE300" s="75">
        <v>94</v>
      </c>
      <c r="AF300" s="71">
        <f>INT(((AE300*Valores!$C$2)*100)+0.5)/100</f>
        <v>719.02</v>
      </c>
      <c r="AG300" s="71">
        <f>IF(Valores!$D$58*'Escala Docente'!D300&gt;Valores!$F$58,Valores!$F$58,Valores!$D$58*'Escala Docente'!D300)</f>
        <v>751.72</v>
      </c>
      <c r="AH300" s="71">
        <f>IF(Valores!$D$60*D300&gt;Valores!$F$60,Valores!$F$60,Valores!$D$60*D300)</f>
        <v>214.76</v>
      </c>
      <c r="AI300" s="110">
        <f t="shared" si="59"/>
        <v>42363.2275</v>
      </c>
      <c r="AJ300" s="97">
        <f>IF(Valores!$C$36*D300&gt;Valores!$F$36,Valores!$F$36,Valores!$C$36*D300)</f>
        <v>1753.14</v>
      </c>
      <c r="AK300" s="74">
        <f>IF(Valores!$C$11*D300&gt;Valores!$F$11,Valores!$F$11,Valores!$C$11*D300)</f>
        <v>0</v>
      </c>
      <c r="AL300" s="74">
        <f>IF(Valores!$C$84*D300&gt;Valores!$C$83,Valores!$C$83,Valores!$C$84*D300)</f>
        <v>2700</v>
      </c>
      <c r="AM300" s="74">
        <f t="shared" si="51"/>
        <v>2520</v>
      </c>
      <c r="AN300" s="76">
        <f>IF(Valores!$C$57*D300&gt;Valores!$F$57,Valores!$F$57,Valores!$C$57*D300)</f>
        <v>314.98</v>
      </c>
      <c r="AO300" s="78">
        <f t="shared" si="60"/>
        <v>4453.14</v>
      </c>
      <c r="AP300" s="57">
        <f>AI300*-Valores!$C$65</f>
        <v>-5507.219575</v>
      </c>
      <c r="AQ300" s="57">
        <f>AI300*-Valores!$C$66</f>
        <v>-211.8161375</v>
      </c>
      <c r="AR300" s="73">
        <f>AI300*-Valores!$C$67</f>
        <v>-1906.3452375</v>
      </c>
      <c r="AS300" s="73">
        <f>AI300*-Valores!$C$68</f>
        <v>-1143.8071425</v>
      </c>
      <c r="AT300" s="73">
        <f>AI300*-Valores!$C$69</f>
        <v>-127.08968250000001</v>
      </c>
      <c r="AU300" s="77">
        <f t="shared" si="56"/>
        <v>39190.98655</v>
      </c>
      <c r="AV300" s="77">
        <f t="shared" si="57"/>
        <v>39826.434962499996</v>
      </c>
      <c r="AW300" s="73">
        <f>AI300*Valores!$C$71</f>
        <v>6778.1164</v>
      </c>
      <c r="AX300" s="73">
        <f>AI300*Valores!$C$72</f>
        <v>1906.3452375</v>
      </c>
      <c r="AY300" s="73">
        <f>AI300*Valores!$C$73</f>
        <v>423.632275</v>
      </c>
      <c r="AZ300" s="73">
        <f>AI300*Valores!$C$75</f>
        <v>1482.7129625000002</v>
      </c>
      <c r="BA300" s="73">
        <f>AI300*Valores!$C$76</f>
        <v>254.17936500000002</v>
      </c>
      <c r="BB300" s="73">
        <f t="shared" si="61"/>
        <v>2287.614285</v>
      </c>
      <c r="BC300" s="47"/>
      <c r="BD300" s="47">
        <f t="shared" si="62"/>
        <v>144</v>
      </c>
      <c r="BE300" s="24" t="s">
        <v>8</v>
      </c>
    </row>
    <row r="301" spans="1:57" s="24" customFormat="1" ht="11.25" customHeight="1">
      <c r="A301" s="81">
        <v>300</v>
      </c>
      <c r="B301" s="81" t="s">
        <v>163</v>
      </c>
      <c r="C301" s="82" t="s">
        <v>523</v>
      </c>
      <c r="D301" s="82">
        <v>1</v>
      </c>
      <c r="E301" s="82">
        <f t="shared" si="53"/>
        <v>26</v>
      </c>
      <c r="F301" s="83" t="s">
        <v>524</v>
      </c>
      <c r="G301" s="84">
        <v>79</v>
      </c>
      <c r="H301" s="85">
        <f>INT((G301*Valores!$C$2*100)+0.49)/100</f>
        <v>604.28</v>
      </c>
      <c r="I301" s="99">
        <v>0</v>
      </c>
      <c r="J301" s="87">
        <f>INT((I301*Valores!$C$2*100)+0.5)/100</f>
        <v>0</v>
      </c>
      <c r="K301" s="100">
        <v>0</v>
      </c>
      <c r="L301" s="87">
        <f>INT((K301*Valores!$C$2*100)+0.5)/100</f>
        <v>0</v>
      </c>
      <c r="M301" s="101">
        <v>0</v>
      </c>
      <c r="N301" s="87">
        <f>INT((M301*Valores!$C$2*100)+0.5)/100</f>
        <v>0</v>
      </c>
      <c r="O301" s="87">
        <f t="shared" si="54"/>
        <v>109.25399999999998</v>
      </c>
      <c r="P301" s="87">
        <f t="shared" si="55"/>
        <v>0</v>
      </c>
      <c r="Q301" s="103">
        <f>Valores!$C$14*D301</f>
        <v>184.76</v>
      </c>
      <c r="R301" s="103">
        <f>IF(D301&lt;15,(Valores!$E$4*D301),Valores!$D$4)</f>
        <v>228.09</v>
      </c>
      <c r="S301" s="87">
        <v>0</v>
      </c>
      <c r="T301" s="90">
        <f>IF(Valores!$C$45*D301&gt;Valores!$C$43,Valores!$C$43,Valores!$C$45*D301)</f>
        <v>58.94</v>
      </c>
      <c r="U301" s="103">
        <f>Valores!$C$22*D301</f>
        <v>65.14</v>
      </c>
      <c r="V301" s="87">
        <f t="shared" si="49"/>
        <v>65.14</v>
      </c>
      <c r="W301" s="87">
        <v>0</v>
      </c>
      <c r="X301" s="87">
        <v>0</v>
      </c>
      <c r="Y301" s="115">
        <v>0</v>
      </c>
      <c r="Z301" s="87">
        <f>Y301*Valores!$C$2</f>
        <v>0</v>
      </c>
      <c r="AA301" s="87">
        <v>0</v>
      </c>
      <c r="AB301" s="92">
        <f>IF((Valores!$C$32)*D301&gt;Valores!$F$32,Valores!$F$32,(Valores!$C$32)*D301)</f>
        <v>7.4</v>
      </c>
      <c r="AC301" s="87">
        <f t="shared" si="58"/>
        <v>0</v>
      </c>
      <c r="AD301" s="87">
        <f>IF(Valores!$C$33*D301&gt;Valores!$F$33,Valores!$F$33,Valores!$C$33*D301)</f>
        <v>6.16</v>
      </c>
      <c r="AE301" s="91">
        <v>0</v>
      </c>
      <c r="AF301" s="87">
        <f>INT(((AE301*Valores!$C$2)*100)+0.5)/100</f>
        <v>0</v>
      </c>
      <c r="AG301" s="87">
        <f>IF(Valores!$D$58*'Escala Docente'!D301&gt;Valores!$F$58,Valores!$F$58,Valores!$D$58*'Escala Docente'!D301)</f>
        <v>25.06</v>
      </c>
      <c r="AH301" s="87">
        <f>IF(Valores!$D$60*D301&gt;Valores!$F$60,Valores!$F$60,Valores!$D$60*D301)</f>
        <v>7.16</v>
      </c>
      <c r="AI301" s="111">
        <f t="shared" si="59"/>
        <v>1296.2440000000004</v>
      </c>
      <c r="AJ301" s="103">
        <f>IF(Valores!$C$36*D301&gt;Valores!$F$36,Valores!$F$36,Valores!$C$36*D301)</f>
        <v>58.44</v>
      </c>
      <c r="AK301" s="90">
        <f>IF(Valores!$C$11*D301&gt;Valores!$F$11,Valores!$F$11,Valores!$C$11*D301)</f>
        <v>0</v>
      </c>
      <c r="AL301" s="90">
        <f>IF(Valores!$C$84*D301&gt;Valores!$C$83,Valores!$C$83,Valores!$C$84*D301)</f>
        <v>75</v>
      </c>
      <c r="AM301" s="74">
        <f t="shared" si="51"/>
        <v>70</v>
      </c>
      <c r="AN301" s="92">
        <f>IF(Valores!$C$57*D301&gt;Valores!$F$57,Valores!$F$57,Valores!$C$57*D301)</f>
        <v>10.5</v>
      </c>
      <c r="AO301" s="94">
        <f t="shared" si="60"/>
        <v>133.44</v>
      </c>
      <c r="AP301" s="112">
        <f>AI301*-Valores!$C$65</f>
        <v>-168.51172000000005</v>
      </c>
      <c r="AQ301" s="112">
        <f>AI301*-Valores!$C$66</f>
        <v>-6.481220000000002</v>
      </c>
      <c r="AR301" s="89">
        <f>AI301*-Valores!$C$67</f>
        <v>-58.33098000000001</v>
      </c>
      <c r="AS301" s="89">
        <f>AI301*-Valores!$C$68</f>
        <v>-34.99858800000001</v>
      </c>
      <c r="AT301" s="89">
        <f>AI301*-Valores!$C$69</f>
        <v>-3.8887320000000014</v>
      </c>
      <c r="AU301" s="93">
        <f t="shared" si="56"/>
        <v>1196.3600800000006</v>
      </c>
      <c r="AV301" s="93">
        <f t="shared" si="57"/>
        <v>1215.8037400000007</v>
      </c>
      <c r="AW301" s="89">
        <f>AI301*Valores!$C$71</f>
        <v>207.39904000000007</v>
      </c>
      <c r="AX301" s="89">
        <f>AI301*Valores!$C$72</f>
        <v>58.33098000000001</v>
      </c>
      <c r="AY301" s="89">
        <f>AI301*Valores!$C$73</f>
        <v>12.962440000000004</v>
      </c>
      <c r="AZ301" s="89">
        <f>AI301*Valores!$C$75</f>
        <v>45.36854000000002</v>
      </c>
      <c r="BA301" s="89">
        <f>AI301*Valores!$C$76</f>
        <v>7.777464000000003</v>
      </c>
      <c r="BB301" s="89">
        <f t="shared" si="61"/>
        <v>69.99717600000002</v>
      </c>
      <c r="BC301" s="81"/>
      <c r="BD301" s="81">
        <f t="shared" si="62"/>
        <v>4</v>
      </c>
      <c r="BE301" s="82" t="s">
        <v>4</v>
      </c>
    </row>
    <row r="302" spans="1:57" s="24" customFormat="1" ht="11.25" customHeight="1">
      <c r="A302" s="47">
        <v>301</v>
      </c>
      <c r="B302" s="47"/>
      <c r="C302" s="24" t="s">
        <v>525</v>
      </c>
      <c r="E302" s="24">
        <f t="shared" si="53"/>
        <v>32</v>
      </c>
      <c r="F302" s="67" t="s">
        <v>526</v>
      </c>
      <c r="G302" s="122">
        <v>220</v>
      </c>
      <c r="H302" s="69">
        <f>INT((G302*Valores!$C$2*100)+0.5)/100</f>
        <v>1682.8</v>
      </c>
      <c r="I302" s="108">
        <v>0</v>
      </c>
      <c r="J302" s="71">
        <f>INT((I302*Valores!$C$2*100)+0.5)/100</f>
        <v>0</v>
      </c>
      <c r="K302" s="98">
        <v>0</v>
      </c>
      <c r="L302" s="71">
        <f>INT((K302*Valores!$C$2*100)+0.5)/100</f>
        <v>0</v>
      </c>
      <c r="M302" s="96">
        <v>0</v>
      </c>
      <c r="N302" s="71">
        <f>INT((M302*Valores!$C$2*100)+0.5)/100</f>
        <v>0</v>
      </c>
      <c r="O302" s="71">
        <f t="shared" si="54"/>
        <v>0</v>
      </c>
      <c r="P302" s="71">
        <f t="shared" si="55"/>
        <v>0</v>
      </c>
      <c r="Q302" s="97">
        <v>0</v>
      </c>
      <c r="R302" s="97">
        <v>0</v>
      </c>
      <c r="S302" s="71">
        <v>0</v>
      </c>
      <c r="T302" s="74">
        <f>Valores!C46</f>
        <v>141.42</v>
      </c>
      <c r="U302" s="97">
        <v>0</v>
      </c>
      <c r="V302" s="71">
        <f aca="true" t="shared" si="64" ref="V302:V327">U302*(1+$J$2)</f>
        <v>0</v>
      </c>
      <c r="W302" s="71">
        <v>0</v>
      </c>
      <c r="X302" s="71">
        <v>0</v>
      </c>
      <c r="Y302" s="114">
        <v>0</v>
      </c>
      <c r="Z302" s="71">
        <v>0</v>
      </c>
      <c r="AA302" s="71">
        <v>0</v>
      </c>
      <c r="AB302" s="76">
        <v>0</v>
      </c>
      <c r="AC302" s="71">
        <f t="shared" si="58"/>
        <v>0</v>
      </c>
      <c r="AD302" s="71">
        <v>0</v>
      </c>
      <c r="AE302" s="75">
        <v>0</v>
      </c>
      <c r="AF302" s="71">
        <f>INT(((AE302*Valores!$C$2)*100)+0.5)/100</f>
        <v>0</v>
      </c>
      <c r="AG302" s="71">
        <f>Valores!C59</f>
        <v>50.11</v>
      </c>
      <c r="AH302" s="71">
        <f>Valores!C61</f>
        <v>14.32</v>
      </c>
      <c r="AI302" s="110">
        <f t="shared" si="59"/>
        <v>1888.6499999999999</v>
      </c>
      <c r="AJ302" s="110"/>
      <c r="AK302" s="74">
        <f>Valores!C12</f>
        <v>0</v>
      </c>
      <c r="AL302" s="74">
        <f>Valores!$C$85</f>
        <v>150</v>
      </c>
      <c r="AM302" s="74">
        <v>140</v>
      </c>
      <c r="AN302" s="76">
        <v>0</v>
      </c>
      <c r="AO302" s="78">
        <f t="shared" si="60"/>
        <v>150</v>
      </c>
      <c r="AP302" s="57">
        <f>AI302*-Valores!$C$65</f>
        <v>-245.5245</v>
      </c>
      <c r="AQ302" s="57">
        <f>AI302*-Valores!$C$66</f>
        <v>-9.443249999999999</v>
      </c>
      <c r="AR302" s="73">
        <f>AI302*-Valores!$C$67</f>
        <v>-84.98924999999998</v>
      </c>
      <c r="AS302" s="73">
        <f>AI302*-Valores!$C$68</f>
        <v>-50.99355</v>
      </c>
      <c r="AT302" s="73">
        <f>AI302*-Valores!$C$69</f>
        <v>-5.66595</v>
      </c>
      <c r="AU302" s="77">
        <f t="shared" si="56"/>
        <v>1698.6929999999998</v>
      </c>
      <c r="AV302" s="77">
        <f t="shared" si="57"/>
        <v>1727.0227499999999</v>
      </c>
      <c r="AW302" s="73">
        <f>AI302*Valores!$C$71</f>
        <v>302.18399999999997</v>
      </c>
      <c r="AX302" s="73">
        <f>AI302*Valores!$C$72</f>
        <v>84.98924999999998</v>
      </c>
      <c r="AY302" s="73">
        <f>AI302*Valores!$C$73</f>
        <v>18.886499999999998</v>
      </c>
      <c r="AZ302" s="73">
        <f>AI302*Valores!$C$75</f>
        <v>66.10275</v>
      </c>
      <c r="BA302" s="73">
        <f>AI302*Valores!$C$76</f>
        <v>11.3319</v>
      </c>
      <c r="BB302" s="73">
        <f t="shared" si="61"/>
        <v>101.9871</v>
      </c>
      <c r="BC302" s="47"/>
      <c r="BD302" s="47"/>
      <c r="BE302" s="24" t="s">
        <v>4</v>
      </c>
    </row>
    <row r="303" spans="1:57" ht="11.25" customHeight="1">
      <c r="A303" s="47">
        <v>302</v>
      </c>
      <c r="B303" s="47"/>
      <c r="C303" s="123"/>
      <c r="D303" s="124">
        <v>1</v>
      </c>
      <c r="E303" s="124">
        <f t="shared" si="53"/>
        <v>28</v>
      </c>
      <c r="F303" s="49" t="s">
        <v>527</v>
      </c>
      <c r="G303" s="122">
        <v>700</v>
      </c>
      <c r="H303" s="69">
        <f>INT((G303*Valores!$C$2*100)+0.5)/100</f>
        <v>5354.37</v>
      </c>
      <c r="I303" s="108">
        <v>0</v>
      </c>
      <c r="J303" s="71">
        <f>INT((I303*Valores!$C$2*100)+0.5)/100</f>
        <v>0</v>
      </c>
      <c r="K303" s="98">
        <v>0</v>
      </c>
      <c r="L303" s="71">
        <f>INT((K303*Valores!$C$2*100)+0.5)/100</f>
        <v>0</v>
      </c>
      <c r="M303" s="96">
        <v>0</v>
      </c>
      <c r="N303" s="71">
        <f>INT((M303*Valores!$C$2*100)+0.5)/100</f>
        <v>0</v>
      </c>
      <c r="O303" s="71">
        <f t="shared" si="54"/>
        <v>935.7704999999999</v>
      </c>
      <c r="P303" s="71">
        <f t="shared" si="55"/>
        <v>0</v>
      </c>
      <c r="Q303" s="97">
        <v>0</v>
      </c>
      <c r="R303" s="97">
        <v>0</v>
      </c>
      <c r="S303" s="71">
        <v>0</v>
      </c>
      <c r="T303" s="74">
        <f>Valores!$C$45*15</f>
        <v>884.0999999999999</v>
      </c>
      <c r="U303" s="97">
        <v>0</v>
      </c>
      <c r="V303" s="71">
        <f t="shared" si="64"/>
        <v>0</v>
      </c>
      <c r="W303" s="71">
        <v>0</v>
      </c>
      <c r="X303" s="71">
        <v>0</v>
      </c>
      <c r="Y303" s="114">
        <v>0</v>
      </c>
      <c r="Z303" s="71">
        <v>0</v>
      </c>
      <c r="AA303" s="71">
        <v>0</v>
      </c>
      <c r="AB303" s="76">
        <v>0</v>
      </c>
      <c r="AC303" s="71">
        <f t="shared" si="58"/>
        <v>0</v>
      </c>
      <c r="AD303" s="71">
        <v>0</v>
      </c>
      <c r="AE303" s="75">
        <v>0</v>
      </c>
      <c r="AF303" s="71">
        <f>INT(((AE303*Valores!$C$2)*100)+0.5)/100</f>
        <v>0</v>
      </c>
      <c r="AG303" s="71"/>
      <c r="AH303" s="71"/>
      <c r="AI303" s="110">
        <f t="shared" si="59"/>
        <v>7174.2405</v>
      </c>
      <c r="AJ303" s="110"/>
      <c r="AK303" s="74">
        <f>Valores!$C$11*15</f>
        <v>0</v>
      </c>
      <c r="AL303" s="74">
        <v>0</v>
      </c>
      <c r="AM303" s="74"/>
      <c r="AN303" s="76">
        <v>0</v>
      </c>
      <c r="AO303" s="78">
        <f t="shared" si="60"/>
        <v>0</v>
      </c>
      <c r="AP303" s="57">
        <f>AI303*-Valores!$C$65</f>
        <v>-932.651265</v>
      </c>
      <c r="AQ303" s="57">
        <f>AI303*-Valores!$C$66</f>
        <v>-35.8712025</v>
      </c>
      <c r="AR303" s="73">
        <f>AI303*-Valores!$C$67</f>
        <v>-322.8408225</v>
      </c>
      <c r="AS303" s="73">
        <f>AI303*-Valores!$C$68</f>
        <v>-193.70449349999998</v>
      </c>
      <c r="AT303" s="73">
        <f>AI303*-Valores!$C$69</f>
        <v>-21.5227215</v>
      </c>
      <c r="AU303" s="77">
        <f t="shared" si="56"/>
        <v>5882.877209999999</v>
      </c>
      <c r="AV303" s="77">
        <f t="shared" si="57"/>
        <v>5990.490817499999</v>
      </c>
      <c r="AW303" s="73">
        <f>AI303*Valores!$C$71</f>
        <v>1147.87848</v>
      </c>
      <c r="AX303" s="73">
        <f>AI303*Valores!$C$72</f>
        <v>322.8408225</v>
      </c>
      <c r="AY303" s="73">
        <f>AI303*Valores!$C$73</f>
        <v>71.742405</v>
      </c>
      <c r="AZ303" s="73">
        <f>AI303*Valores!$C$75</f>
        <v>251.0984175</v>
      </c>
      <c r="BA303" s="73">
        <f>AI303*Valores!$C$76</f>
        <v>43.045443</v>
      </c>
      <c r="BB303" s="73">
        <f t="shared" si="61"/>
        <v>387.408987</v>
      </c>
      <c r="BE303" s="24" t="s">
        <v>4</v>
      </c>
    </row>
    <row r="304" spans="1:57" ht="11.25" customHeight="1">
      <c r="A304" s="47">
        <v>303</v>
      </c>
      <c r="B304" s="47"/>
      <c r="C304" s="12"/>
      <c r="D304" s="124">
        <v>1</v>
      </c>
      <c r="E304" s="124">
        <f t="shared" si="53"/>
        <v>28</v>
      </c>
      <c r="F304" s="49" t="s">
        <v>528</v>
      </c>
      <c r="G304" s="122">
        <v>500</v>
      </c>
      <c r="H304" s="69">
        <f>INT((G304*Valores!$C$2*100)+0.5)/100</f>
        <v>3824.55</v>
      </c>
      <c r="I304" s="108">
        <v>0</v>
      </c>
      <c r="J304" s="71">
        <f>INT((I304*Valores!$C$2*100)+0.5)/100</f>
        <v>0</v>
      </c>
      <c r="K304" s="98">
        <v>0</v>
      </c>
      <c r="L304" s="71">
        <f>INT((K304*Valores!$C$2*100)+0.5)/100</f>
        <v>0</v>
      </c>
      <c r="M304" s="96">
        <v>0</v>
      </c>
      <c r="N304" s="71">
        <f>INT((M304*Valores!$C$2*100)+0.5)/100</f>
        <v>0</v>
      </c>
      <c r="O304" s="71">
        <f t="shared" si="54"/>
        <v>662.0925</v>
      </c>
      <c r="P304" s="71">
        <f t="shared" si="55"/>
        <v>0</v>
      </c>
      <c r="Q304" s="97">
        <v>0</v>
      </c>
      <c r="R304" s="97">
        <v>0</v>
      </c>
      <c r="S304" s="71">
        <v>0</v>
      </c>
      <c r="T304" s="74">
        <f>Valores!$C$45*10</f>
        <v>589.4</v>
      </c>
      <c r="U304" s="74">
        <v>0</v>
      </c>
      <c r="V304" s="71">
        <f t="shared" si="64"/>
        <v>0</v>
      </c>
      <c r="W304" s="71">
        <v>0</v>
      </c>
      <c r="X304" s="71">
        <v>0</v>
      </c>
      <c r="Y304" s="114">
        <v>0</v>
      </c>
      <c r="Z304" s="71">
        <v>0</v>
      </c>
      <c r="AA304" s="71">
        <v>0</v>
      </c>
      <c r="AB304" s="76">
        <v>0</v>
      </c>
      <c r="AC304" s="71">
        <f t="shared" si="58"/>
        <v>0</v>
      </c>
      <c r="AD304" s="71">
        <v>0</v>
      </c>
      <c r="AE304" s="75">
        <v>0</v>
      </c>
      <c r="AF304" s="71">
        <f>INT(((AE304*Valores!$C$2)*100)+0.5)/100</f>
        <v>0</v>
      </c>
      <c r="AG304" s="71"/>
      <c r="AH304" s="71"/>
      <c r="AI304" s="110">
        <f t="shared" si="59"/>
        <v>5076.0425</v>
      </c>
      <c r="AJ304" s="110"/>
      <c r="AK304" s="74">
        <f>Valores!$C$11*10</f>
        <v>0</v>
      </c>
      <c r="AL304" s="74">
        <v>0</v>
      </c>
      <c r="AM304" s="74"/>
      <c r="AN304" s="76">
        <v>0</v>
      </c>
      <c r="AO304" s="78">
        <f t="shared" si="60"/>
        <v>0</v>
      </c>
      <c r="AP304" s="57">
        <f>AI304*-Valores!$C$65</f>
        <v>-659.8855249999999</v>
      </c>
      <c r="AQ304" s="57">
        <f>AI304*-Valores!$C$66</f>
        <v>-25.3802125</v>
      </c>
      <c r="AR304" s="73">
        <f>AI304*-Valores!$C$67</f>
        <v>-228.42191249999996</v>
      </c>
      <c r="AS304" s="73">
        <f>AI304*-Valores!$C$68</f>
        <v>-137.0531475</v>
      </c>
      <c r="AT304" s="73">
        <f>AI304*-Valores!$C$69</f>
        <v>-15.2281275</v>
      </c>
      <c r="AU304" s="77">
        <f t="shared" si="56"/>
        <v>4162.35485</v>
      </c>
      <c r="AV304" s="77">
        <f t="shared" si="57"/>
        <v>4238.4954875</v>
      </c>
      <c r="AW304" s="73">
        <f>AI304*Valores!$C$71</f>
        <v>812.1668</v>
      </c>
      <c r="AX304" s="73">
        <f>AI304*Valores!$C$72</f>
        <v>228.42191249999996</v>
      </c>
      <c r="AY304" s="73">
        <f>AI304*Valores!$C$73</f>
        <v>50.760425</v>
      </c>
      <c r="AZ304" s="73">
        <f>AI304*Valores!$C$75</f>
        <v>177.6614875</v>
      </c>
      <c r="BA304" s="73">
        <f>AI304*Valores!$C$76</f>
        <v>30.456255</v>
      </c>
      <c r="BB304" s="73">
        <f t="shared" si="61"/>
        <v>274.106295</v>
      </c>
      <c r="BD304" s="125"/>
      <c r="BE304" s="24" t="s">
        <v>4</v>
      </c>
    </row>
    <row r="305" spans="1:57" ht="11.25" customHeight="1">
      <c r="A305" s="47">
        <v>304</v>
      </c>
      <c r="B305" s="47"/>
      <c r="D305" s="124">
        <v>1</v>
      </c>
      <c r="E305" s="124">
        <f t="shared" si="53"/>
        <v>28</v>
      </c>
      <c r="F305" s="49" t="s">
        <v>529</v>
      </c>
      <c r="G305" s="122">
        <v>300</v>
      </c>
      <c r="H305" s="69">
        <f>INT((G305*Valores!$C$2*100)+0.5)/100</f>
        <v>2294.73</v>
      </c>
      <c r="I305" s="108">
        <v>0</v>
      </c>
      <c r="J305" s="71">
        <f>INT((I305*Valores!$C$2*100)+0.5)/100</f>
        <v>0</v>
      </c>
      <c r="K305" s="98">
        <v>0</v>
      </c>
      <c r="L305" s="71">
        <f>INT((K305*Valores!$C$2*100)+0.5)/100</f>
        <v>0</v>
      </c>
      <c r="M305" s="96">
        <v>0</v>
      </c>
      <c r="N305" s="71">
        <f>INT((M305*Valores!$C$2*100)+0.5)/100</f>
        <v>0</v>
      </c>
      <c r="O305" s="71">
        <f t="shared" si="54"/>
        <v>388.4145</v>
      </c>
      <c r="P305" s="71">
        <f t="shared" si="55"/>
        <v>0</v>
      </c>
      <c r="Q305" s="97">
        <v>0</v>
      </c>
      <c r="R305" s="97">
        <v>0</v>
      </c>
      <c r="S305" s="71">
        <v>0</v>
      </c>
      <c r="T305" s="74">
        <f>Valores!$C$45*5</f>
        <v>294.7</v>
      </c>
      <c r="U305" s="97">
        <v>0</v>
      </c>
      <c r="V305" s="71">
        <f t="shared" si="64"/>
        <v>0</v>
      </c>
      <c r="W305" s="71">
        <v>0</v>
      </c>
      <c r="X305" s="71">
        <v>0</v>
      </c>
      <c r="Y305" s="114">
        <v>0</v>
      </c>
      <c r="Z305" s="71">
        <v>0</v>
      </c>
      <c r="AA305" s="71">
        <v>0</v>
      </c>
      <c r="AB305" s="76">
        <v>0</v>
      </c>
      <c r="AC305" s="71">
        <f t="shared" si="58"/>
        <v>0</v>
      </c>
      <c r="AD305" s="71">
        <v>0</v>
      </c>
      <c r="AE305" s="75">
        <v>0</v>
      </c>
      <c r="AF305" s="71">
        <f>INT(((AE305*Valores!$C$2)*100)+0.5)/100</f>
        <v>0</v>
      </c>
      <c r="AG305" s="71"/>
      <c r="AH305" s="71"/>
      <c r="AI305" s="110">
        <f t="shared" si="59"/>
        <v>2977.8444999999997</v>
      </c>
      <c r="AJ305" s="110"/>
      <c r="AK305" s="74">
        <f>Valores!$C$11*5</f>
        <v>0</v>
      </c>
      <c r="AL305" s="74">
        <v>0</v>
      </c>
      <c r="AM305" s="74"/>
      <c r="AN305" s="76">
        <v>0</v>
      </c>
      <c r="AO305" s="78">
        <f t="shared" si="60"/>
        <v>0</v>
      </c>
      <c r="AP305" s="57">
        <f>AI305*-Valores!$C$65</f>
        <v>-387.119785</v>
      </c>
      <c r="AQ305" s="57">
        <f>AI305*-Valores!$C$66</f>
        <v>-14.889222499999999</v>
      </c>
      <c r="AR305" s="73">
        <f>AI305*-Valores!$C$67</f>
        <v>-134.00300249999998</v>
      </c>
      <c r="AS305" s="73">
        <f>AI305*-Valores!$C$68</f>
        <v>-80.40180149999999</v>
      </c>
      <c r="AT305" s="73">
        <f>AI305*-Valores!$C$69</f>
        <v>-8.9335335</v>
      </c>
      <c r="AU305" s="77">
        <f t="shared" si="56"/>
        <v>2441.83249</v>
      </c>
      <c r="AV305" s="77">
        <f t="shared" si="57"/>
        <v>2486.5001574999997</v>
      </c>
      <c r="AW305" s="73">
        <f>AI305*Valores!$C$71</f>
        <v>476.45511999999997</v>
      </c>
      <c r="AX305" s="73">
        <f>AI305*Valores!$C$72</f>
        <v>134.00300249999998</v>
      </c>
      <c r="AY305" s="73">
        <f>AI305*Valores!$C$73</f>
        <v>29.778444999999998</v>
      </c>
      <c r="AZ305" s="73">
        <f>AI305*Valores!$C$75</f>
        <v>104.2245575</v>
      </c>
      <c r="BA305" s="73">
        <f>AI305*Valores!$C$76</f>
        <v>17.867067</v>
      </c>
      <c r="BB305" s="73">
        <f t="shared" si="61"/>
        <v>160.803603</v>
      </c>
      <c r="BE305" s="24" t="s">
        <v>4</v>
      </c>
    </row>
    <row r="306" spans="1:57" ht="11.25" customHeight="1">
      <c r="A306" s="81">
        <v>305</v>
      </c>
      <c r="B306" s="81" t="s">
        <v>163</v>
      </c>
      <c r="C306" s="125"/>
      <c r="D306" s="126">
        <v>1</v>
      </c>
      <c r="E306" s="126">
        <f t="shared" si="53"/>
        <v>25</v>
      </c>
      <c r="F306" s="127" t="s">
        <v>530</v>
      </c>
      <c r="G306" s="128">
        <v>155</v>
      </c>
      <c r="H306" s="85">
        <f>INT((G306*Valores!$C$2*100)+0.5)/100</f>
        <v>1185.61</v>
      </c>
      <c r="I306" s="99">
        <v>0</v>
      </c>
      <c r="J306" s="87">
        <f>INT((I306*Valores!$C$2*100)+0.5)/100</f>
        <v>0</v>
      </c>
      <c r="K306" s="100">
        <v>0</v>
      </c>
      <c r="L306" s="87">
        <f>INT((K306*Valores!$C$2*100)+0.5)/100</f>
        <v>0</v>
      </c>
      <c r="M306" s="101">
        <v>0</v>
      </c>
      <c r="N306" s="87">
        <f>INT((M306*Valores!$C$2*100)+0.5)/100</f>
        <v>0</v>
      </c>
      <c r="O306" s="87">
        <f t="shared" si="54"/>
        <v>186.68249999999998</v>
      </c>
      <c r="P306" s="87">
        <f t="shared" si="55"/>
        <v>0</v>
      </c>
      <c r="Q306" s="103">
        <v>0</v>
      </c>
      <c r="R306" s="103">
        <v>0</v>
      </c>
      <c r="S306" s="87">
        <v>0</v>
      </c>
      <c r="T306" s="90">
        <f>Valores!$C$45</f>
        <v>58.94</v>
      </c>
      <c r="U306" s="103">
        <v>0</v>
      </c>
      <c r="V306" s="87">
        <f t="shared" si="64"/>
        <v>0</v>
      </c>
      <c r="W306" s="87">
        <v>0</v>
      </c>
      <c r="X306" s="87">
        <v>0</v>
      </c>
      <c r="Y306" s="115">
        <v>0</v>
      </c>
      <c r="Z306" s="87">
        <v>0</v>
      </c>
      <c r="AA306" s="87">
        <v>0</v>
      </c>
      <c r="AB306" s="92">
        <v>0</v>
      </c>
      <c r="AC306" s="87">
        <f t="shared" si="58"/>
        <v>0</v>
      </c>
      <c r="AD306" s="87">
        <v>0</v>
      </c>
      <c r="AE306" s="91">
        <v>0</v>
      </c>
      <c r="AF306" s="87">
        <f>INT(((AE306*Valores!$C$2)*100)+0.5)/100</f>
        <v>0</v>
      </c>
      <c r="AG306" s="87"/>
      <c r="AH306" s="87"/>
      <c r="AI306" s="111">
        <f t="shared" si="59"/>
        <v>1431.2324999999998</v>
      </c>
      <c r="AJ306" s="111"/>
      <c r="AK306" s="90">
        <f>Valores!$C$11*1</f>
        <v>0</v>
      </c>
      <c r="AL306" s="90">
        <v>0</v>
      </c>
      <c r="AM306" s="90"/>
      <c r="AN306" s="92">
        <v>0</v>
      </c>
      <c r="AO306" s="94">
        <f t="shared" si="60"/>
        <v>0</v>
      </c>
      <c r="AP306" s="112">
        <f>AI306*-Valores!$C$65</f>
        <v>-186.06022499999997</v>
      </c>
      <c r="AQ306" s="112">
        <f>AI306*-Valores!$C$66</f>
        <v>-7.1561625</v>
      </c>
      <c r="AR306" s="89">
        <f>AI306*-Valores!$C$67</f>
        <v>-64.40546249999998</v>
      </c>
      <c r="AS306" s="89">
        <f>AI306*-Valores!$C$68</f>
        <v>-38.643277499999996</v>
      </c>
      <c r="AT306" s="89">
        <f>AI306*-Valores!$C$69</f>
        <v>-4.2936974999999995</v>
      </c>
      <c r="AU306" s="93">
        <f t="shared" si="56"/>
        <v>1173.61065</v>
      </c>
      <c r="AV306" s="93">
        <f t="shared" si="57"/>
        <v>1195.0791375</v>
      </c>
      <c r="AW306" s="89">
        <f>AI306*Valores!$C$71</f>
        <v>228.9972</v>
      </c>
      <c r="AX306" s="89">
        <f>AI306*Valores!$C$72</f>
        <v>64.40546249999998</v>
      </c>
      <c r="AY306" s="89">
        <f>AI306*Valores!$C$73</f>
        <v>14.312325</v>
      </c>
      <c r="AZ306" s="89">
        <f>AI306*Valores!$C$75</f>
        <v>50.0931375</v>
      </c>
      <c r="BA306" s="89">
        <f>AI306*Valores!$C$76</f>
        <v>8.587394999999999</v>
      </c>
      <c r="BB306" s="89">
        <f t="shared" si="61"/>
        <v>77.28655499999999</v>
      </c>
      <c r="BC306" s="125"/>
      <c r="BD306" s="125"/>
      <c r="BE306" s="82" t="s">
        <v>4</v>
      </c>
    </row>
    <row r="307" spans="1:57" ht="11.25" customHeight="1">
      <c r="A307" s="47">
        <v>306</v>
      </c>
      <c r="B307" s="47"/>
      <c r="D307" s="124">
        <v>1</v>
      </c>
      <c r="E307" s="124">
        <f t="shared" si="53"/>
        <v>26</v>
      </c>
      <c r="F307" s="49" t="s">
        <v>531</v>
      </c>
      <c r="G307" s="122">
        <f aca="true" t="shared" si="65" ref="G307:G321">155+G306</f>
        <v>310</v>
      </c>
      <c r="H307" s="69">
        <f>INT((G307*Valores!$C$2*100)+0.5)/100</f>
        <v>2371.22</v>
      </c>
      <c r="I307" s="108">
        <v>0</v>
      </c>
      <c r="J307" s="71">
        <f>INT((I307*Valores!$C$2*100)+0.5)/100</f>
        <v>0</v>
      </c>
      <c r="K307" s="98">
        <v>0</v>
      </c>
      <c r="L307" s="71">
        <f>INT((K307*Valores!$C$2*100)+0.5)/100</f>
        <v>0</v>
      </c>
      <c r="M307" s="96">
        <v>0</v>
      </c>
      <c r="N307" s="71">
        <f>INT((M307*Valores!$C$2*100)+0.5)/100</f>
        <v>0</v>
      </c>
      <c r="O307" s="71">
        <f t="shared" si="54"/>
        <v>373.36499999999995</v>
      </c>
      <c r="P307" s="71">
        <f t="shared" si="55"/>
        <v>0</v>
      </c>
      <c r="Q307" s="97">
        <v>0</v>
      </c>
      <c r="R307" s="97">
        <v>0</v>
      </c>
      <c r="S307" s="71">
        <v>0</v>
      </c>
      <c r="T307" s="74">
        <f>Valores!$C$45+T306</f>
        <v>117.88</v>
      </c>
      <c r="U307" s="97">
        <v>0</v>
      </c>
      <c r="V307" s="71">
        <f t="shared" si="64"/>
        <v>0</v>
      </c>
      <c r="W307" s="71">
        <v>0</v>
      </c>
      <c r="X307" s="71">
        <v>0</v>
      </c>
      <c r="Y307" s="114">
        <v>0</v>
      </c>
      <c r="Z307" s="71">
        <v>0</v>
      </c>
      <c r="AA307" s="71">
        <v>0</v>
      </c>
      <c r="AB307" s="76">
        <v>0</v>
      </c>
      <c r="AC307" s="71">
        <f t="shared" si="58"/>
        <v>0</v>
      </c>
      <c r="AD307" s="71">
        <v>0</v>
      </c>
      <c r="AE307" s="75">
        <v>0</v>
      </c>
      <c r="AF307" s="71">
        <f>INT(((AE307*Valores!$C$2)*100)+0.5)/100</f>
        <v>0</v>
      </c>
      <c r="AG307" s="71"/>
      <c r="AH307" s="71"/>
      <c r="AI307" s="110">
        <f t="shared" si="59"/>
        <v>2862.4649999999997</v>
      </c>
      <c r="AJ307" s="110"/>
      <c r="AK307" s="74">
        <f>Valores!$C$11+AK306</f>
        <v>0</v>
      </c>
      <c r="AL307" s="74">
        <v>0</v>
      </c>
      <c r="AM307" s="74"/>
      <c r="AN307" s="76">
        <v>0</v>
      </c>
      <c r="AO307" s="78">
        <f t="shared" si="60"/>
        <v>0</v>
      </c>
      <c r="AP307" s="57">
        <f>AI307*-Valores!$C$65</f>
        <v>-372.12044999999995</v>
      </c>
      <c r="AQ307" s="57">
        <f>AI307*-Valores!$C$66</f>
        <v>-14.312325</v>
      </c>
      <c r="AR307" s="73">
        <f>AI307*-Valores!$C$67</f>
        <v>-128.81092499999997</v>
      </c>
      <c r="AS307" s="73">
        <f>AI307*-Valores!$C$68</f>
        <v>-77.28655499999999</v>
      </c>
      <c r="AT307" s="73">
        <f>AI307*-Valores!$C$69</f>
        <v>-8.587394999999999</v>
      </c>
      <c r="AU307" s="77">
        <f t="shared" si="56"/>
        <v>2347.2213</v>
      </c>
      <c r="AV307" s="77">
        <f t="shared" si="57"/>
        <v>2390.158275</v>
      </c>
      <c r="AW307" s="73">
        <f>AI307*Valores!$C$71</f>
        <v>457.9944</v>
      </c>
      <c r="AX307" s="73">
        <f>AI307*Valores!$C$72</f>
        <v>128.81092499999997</v>
      </c>
      <c r="AY307" s="73">
        <f>AI307*Valores!$C$73</f>
        <v>28.62465</v>
      </c>
      <c r="AZ307" s="73">
        <f>AI307*Valores!$C$75</f>
        <v>100.186275</v>
      </c>
      <c r="BA307" s="73">
        <f>AI307*Valores!$C$76</f>
        <v>17.174789999999998</v>
      </c>
      <c r="BB307" s="73">
        <f t="shared" si="61"/>
        <v>154.57310999999999</v>
      </c>
      <c r="BE307" s="24" t="s">
        <v>4</v>
      </c>
    </row>
    <row r="308" spans="1:57" ht="11.25" customHeight="1">
      <c r="A308" s="47">
        <v>307</v>
      </c>
      <c r="B308" s="47"/>
      <c r="D308" s="124">
        <v>1</v>
      </c>
      <c r="E308" s="124">
        <f t="shared" si="53"/>
        <v>26</v>
      </c>
      <c r="F308" s="49" t="s">
        <v>532</v>
      </c>
      <c r="G308" s="122">
        <f t="shared" si="65"/>
        <v>465</v>
      </c>
      <c r="H308" s="69">
        <f>INT((G308*Valores!$C$2*100)+0.5)/100</f>
        <v>3556.83</v>
      </c>
      <c r="I308" s="108">
        <v>0</v>
      </c>
      <c r="J308" s="71">
        <f>INT((I308*Valores!$C$2*100)+0.5)/100</f>
        <v>0</v>
      </c>
      <c r="K308" s="98">
        <v>0</v>
      </c>
      <c r="L308" s="71">
        <f>INT((K308*Valores!$C$2*100)+0.5)/100</f>
        <v>0</v>
      </c>
      <c r="M308" s="96">
        <v>0</v>
      </c>
      <c r="N308" s="71">
        <f>INT((M308*Valores!$C$2*100)+0.5)/100</f>
        <v>0</v>
      </c>
      <c r="O308" s="71">
        <f t="shared" si="54"/>
        <v>560.0475</v>
      </c>
      <c r="P308" s="71">
        <f t="shared" si="55"/>
        <v>0</v>
      </c>
      <c r="Q308" s="97">
        <v>0</v>
      </c>
      <c r="R308" s="97">
        <v>0</v>
      </c>
      <c r="S308" s="71">
        <v>0</v>
      </c>
      <c r="T308" s="74">
        <f>Valores!$C$45+T307</f>
        <v>176.82</v>
      </c>
      <c r="U308" s="97">
        <v>0</v>
      </c>
      <c r="V308" s="71">
        <f t="shared" si="64"/>
        <v>0</v>
      </c>
      <c r="W308" s="71">
        <v>0</v>
      </c>
      <c r="X308" s="71">
        <v>0</v>
      </c>
      <c r="Y308" s="114">
        <v>0</v>
      </c>
      <c r="Z308" s="71">
        <v>0</v>
      </c>
      <c r="AA308" s="71">
        <v>0</v>
      </c>
      <c r="AB308" s="76">
        <v>0</v>
      </c>
      <c r="AC308" s="71">
        <f t="shared" si="58"/>
        <v>0</v>
      </c>
      <c r="AD308" s="71">
        <v>0</v>
      </c>
      <c r="AE308" s="75">
        <v>0</v>
      </c>
      <c r="AF308" s="71">
        <f>INT(((AE308*Valores!$C$2)*100)+0.5)/100</f>
        <v>0</v>
      </c>
      <c r="AG308" s="71"/>
      <c r="AH308" s="71"/>
      <c r="AI308" s="110">
        <f t="shared" si="59"/>
        <v>4293.697499999999</v>
      </c>
      <c r="AJ308" s="110"/>
      <c r="AK308" s="74">
        <f>Valores!$C$11+AK307</f>
        <v>0</v>
      </c>
      <c r="AL308" s="74">
        <v>0</v>
      </c>
      <c r="AM308" s="74"/>
      <c r="AN308" s="76">
        <v>0</v>
      </c>
      <c r="AO308" s="78">
        <f t="shared" si="60"/>
        <v>0</v>
      </c>
      <c r="AP308" s="57">
        <f>AI308*-Valores!$C$65</f>
        <v>-558.180675</v>
      </c>
      <c r="AQ308" s="57">
        <f>AI308*-Valores!$C$66</f>
        <v>-21.4684875</v>
      </c>
      <c r="AR308" s="73">
        <f>AI308*-Valores!$C$67</f>
        <v>-193.21638749999997</v>
      </c>
      <c r="AS308" s="73">
        <f>AI308*-Valores!$C$68</f>
        <v>-115.92983249999997</v>
      </c>
      <c r="AT308" s="73">
        <f>AI308*-Valores!$C$69</f>
        <v>-12.881092499999998</v>
      </c>
      <c r="AU308" s="77">
        <f t="shared" si="56"/>
        <v>3520.831949999999</v>
      </c>
      <c r="AV308" s="77">
        <f t="shared" si="57"/>
        <v>3585.237412499999</v>
      </c>
      <c r="AW308" s="73">
        <f>AI308*Valores!$C$71</f>
        <v>686.9916</v>
      </c>
      <c r="AX308" s="73">
        <f>AI308*Valores!$C$72</f>
        <v>193.21638749999997</v>
      </c>
      <c r="AY308" s="73">
        <f>AI308*Valores!$C$73</f>
        <v>42.936975</v>
      </c>
      <c r="AZ308" s="73">
        <f>AI308*Valores!$C$75</f>
        <v>150.27941249999998</v>
      </c>
      <c r="BA308" s="73">
        <f>AI308*Valores!$C$76</f>
        <v>25.762184999999995</v>
      </c>
      <c r="BB308" s="73">
        <f t="shared" si="61"/>
        <v>231.85966499999998</v>
      </c>
      <c r="BE308" s="24" t="s">
        <v>4</v>
      </c>
    </row>
    <row r="309" spans="1:56" ht="11.25" customHeight="1">
      <c r="A309" s="47">
        <v>308</v>
      </c>
      <c r="B309" s="47"/>
      <c r="D309" s="124">
        <v>1</v>
      </c>
      <c r="E309" s="124">
        <f t="shared" si="53"/>
        <v>26</v>
      </c>
      <c r="F309" s="49" t="s">
        <v>533</v>
      </c>
      <c r="G309" s="122">
        <f t="shared" si="65"/>
        <v>620</v>
      </c>
      <c r="H309" s="69">
        <f>INT((G309*Valores!$C$2*100)+0.5)/100</f>
        <v>4742.44</v>
      </c>
      <c r="I309" s="108">
        <v>0</v>
      </c>
      <c r="J309" s="71">
        <f>INT((I309*Valores!$C$2*100)+0.5)/100</f>
        <v>0</v>
      </c>
      <c r="K309" s="98">
        <v>0</v>
      </c>
      <c r="L309" s="71">
        <f>INT((K309*Valores!$C$2*100)+0.5)/100</f>
        <v>0</v>
      </c>
      <c r="M309" s="96">
        <v>0</v>
      </c>
      <c r="N309" s="71">
        <f>INT((M309*Valores!$C$2*100)+0.5)/100</f>
        <v>0</v>
      </c>
      <c r="O309" s="71">
        <f t="shared" si="54"/>
        <v>746.7299999999999</v>
      </c>
      <c r="P309" s="71">
        <f t="shared" si="55"/>
        <v>0</v>
      </c>
      <c r="Q309" s="97">
        <v>0</v>
      </c>
      <c r="R309" s="97">
        <v>0</v>
      </c>
      <c r="S309" s="71">
        <v>0</v>
      </c>
      <c r="T309" s="74">
        <f>Valores!$C$45+T308</f>
        <v>235.76</v>
      </c>
      <c r="U309" s="74">
        <v>0</v>
      </c>
      <c r="V309" s="71">
        <f t="shared" si="64"/>
        <v>0</v>
      </c>
      <c r="W309" s="71">
        <v>0</v>
      </c>
      <c r="X309" s="71">
        <v>0</v>
      </c>
      <c r="Y309" s="114">
        <v>0</v>
      </c>
      <c r="Z309" s="71">
        <v>0</v>
      </c>
      <c r="AA309" s="71">
        <v>0</v>
      </c>
      <c r="AB309" s="76">
        <v>0</v>
      </c>
      <c r="AC309" s="71">
        <f t="shared" si="58"/>
        <v>0</v>
      </c>
      <c r="AD309" s="71">
        <v>0</v>
      </c>
      <c r="AE309" s="75">
        <v>0</v>
      </c>
      <c r="AF309" s="71">
        <f>INT(((AE309*Valores!$C$2)*100)+0.5)/100</f>
        <v>0</v>
      </c>
      <c r="AG309" s="71"/>
      <c r="AH309" s="71"/>
      <c r="AI309" s="110">
        <f t="shared" si="59"/>
        <v>5724.929999999999</v>
      </c>
      <c r="AJ309" s="110"/>
      <c r="AK309" s="74">
        <f>Valores!$C$11+AK308</f>
        <v>0</v>
      </c>
      <c r="AL309" s="74">
        <v>0</v>
      </c>
      <c r="AM309" s="74"/>
      <c r="AN309" s="76">
        <v>0</v>
      </c>
      <c r="AO309" s="78">
        <f t="shared" si="60"/>
        <v>0</v>
      </c>
      <c r="AP309" s="57">
        <f>AI309*-Valores!$C$65</f>
        <v>-744.2408999999999</v>
      </c>
      <c r="AQ309" s="57">
        <f>AI309*-Valores!$C$66</f>
        <v>-28.62465</v>
      </c>
      <c r="AR309" s="73">
        <f>AI309*-Valores!$C$67</f>
        <v>-257.62184999999994</v>
      </c>
      <c r="AS309" s="73">
        <f>AI309*-Valores!$C$68</f>
        <v>-154.57310999999999</v>
      </c>
      <c r="AT309" s="73">
        <f>AI309*-Valores!$C$69</f>
        <v>-17.174789999999998</v>
      </c>
      <c r="AU309" s="77">
        <f t="shared" si="56"/>
        <v>4694.4426</v>
      </c>
      <c r="AV309" s="77">
        <f t="shared" si="57"/>
        <v>4780.31655</v>
      </c>
      <c r="AW309" s="73">
        <f>AI309*Valores!$C$71</f>
        <v>915.9888</v>
      </c>
      <c r="AX309" s="73">
        <f>AI309*Valores!$C$72</f>
        <v>257.62184999999994</v>
      </c>
      <c r="AY309" s="73">
        <f>AI309*Valores!$C$73</f>
        <v>57.2493</v>
      </c>
      <c r="AZ309" s="73">
        <f>AI309*Valores!$C$75</f>
        <v>200.37255</v>
      </c>
      <c r="BA309" s="73">
        <f>AI309*Valores!$C$76</f>
        <v>34.349579999999996</v>
      </c>
      <c r="BB309" s="73">
        <f t="shared" si="61"/>
        <v>309.14621999999997</v>
      </c>
      <c r="BD309" s="125"/>
    </row>
    <row r="310" spans="1:54" ht="11.25" customHeight="1">
      <c r="A310" s="47">
        <v>309</v>
      </c>
      <c r="B310" s="47"/>
      <c r="D310" s="124">
        <v>1</v>
      </c>
      <c r="E310" s="124">
        <f t="shared" si="53"/>
        <v>26</v>
      </c>
      <c r="F310" s="49" t="s">
        <v>534</v>
      </c>
      <c r="G310" s="122">
        <f t="shared" si="65"/>
        <v>775</v>
      </c>
      <c r="H310" s="69">
        <f>INT((G310*Valores!$C$2*100)+0.5)/100</f>
        <v>5928.05</v>
      </c>
      <c r="I310" s="108">
        <v>0</v>
      </c>
      <c r="J310" s="71">
        <f>INT((I310*Valores!$C$2*100)+0.5)/100</f>
        <v>0</v>
      </c>
      <c r="K310" s="98">
        <v>0</v>
      </c>
      <c r="L310" s="71">
        <f>INT((K310*Valores!$C$2*100)+0.5)/100</f>
        <v>0</v>
      </c>
      <c r="M310" s="96">
        <v>0</v>
      </c>
      <c r="N310" s="71">
        <f>INT((M310*Valores!$C$2*100)+0.5)/100</f>
        <v>0</v>
      </c>
      <c r="O310" s="71">
        <f t="shared" si="54"/>
        <v>933.4124999999999</v>
      </c>
      <c r="P310" s="71">
        <f t="shared" si="55"/>
        <v>0</v>
      </c>
      <c r="Q310" s="97">
        <v>0</v>
      </c>
      <c r="R310" s="97">
        <v>0</v>
      </c>
      <c r="S310" s="71">
        <v>0</v>
      </c>
      <c r="T310" s="74">
        <f>Valores!$C$45+T309</f>
        <v>294.7</v>
      </c>
      <c r="U310" s="97">
        <v>0</v>
      </c>
      <c r="V310" s="71">
        <f t="shared" si="64"/>
        <v>0</v>
      </c>
      <c r="W310" s="71">
        <v>0</v>
      </c>
      <c r="X310" s="71">
        <v>0</v>
      </c>
      <c r="Y310" s="114">
        <v>0</v>
      </c>
      <c r="Z310" s="71">
        <v>0</v>
      </c>
      <c r="AA310" s="71">
        <v>0</v>
      </c>
      <c r="AB310" s="76">
        <v>0</v>
      </c>
      <c r="AC310" s="71">
        <f t="shared" si="58"/>
        <v>0</v>
      </c>
      <c r="AD310" s="71">
        <v>0</v>
      </c>
      <c r="AE310" s="75">
        <v>0</v>
      </c>
      <c r="AF310" s="71">
        <f>INT(((AE310*Valores!$C$2)*100)+0.5)/100</f>
        <v>0</v>
      </c>
      <c r="AG310" s="71"/>
      <c r="AH310" s="71"/>
      <c r="AI310" s="110">
        <f t="shared" si="59"/>
        <v>7156.162499999999</v>
      </c>
      <c r="AJ310" s="110"/>
      <c r="AK310" s="74">
        <f>Valores!$C$11+AK309</f>
        <v>0</v>
      </c>
      <c r="AL310" s="74">
        <v>0</v>
      </c>
      <c r="AM310" s="74"/>
      <c r="AN310" s="76">
        <v>0</v>
      </c>
      <c r="AO310" s="78">
        <f t="shared" si="60"/>
        <v>0</v>
      </c>
      <c r="AP310" s="57">
        <f>AI310*-Valores!$C$65</f>
        <v>-930.301125</v>
      </c>
      <c r="AQ310" s="57">
        <f>AI310*-Valores!$C$66</f>
        <v>-35.780812499999996</v>
      </c>
      <c r="AR310" s="73">
        <f>AI310*-Valores!$C$67</f>
        <v>-322.02731249999994</v>
      </c>
      <c r="AS310" s="73">
        <f>AI310*-Valores!$C$68</f>
        <v>-193.2163875</v>
      </c>
      <c r="AT310" s="73">
        <f>AI310*-Valores!$C$69</f>
        <v>-21.4684875</v>
      </c>
      <c r="AU310" s="77">
        <f t="shared" si="56"/>
        <v>5868.053249999999</v>
      </c>
      <c r="AV310" s="77">
        <f t="shared" si="57"/>
        <v>5975.395687499999</v>
      </c>
      <c r="AW310" s="73">
        <f>AI310*Valores!$C$71</f>
        <v>1144.9859999999999</v>
      </c>
      <c r="AX310" s="73">
        <f>AI310*Valores!$C$72</f>
        <v>322.02731249999994</v>
      </c>
      <c r="AY310" s="73">
        <f>AI310*Valores!$C$73</f>
        <v>71.56162499999999</v>
      </c>
      <c r="AZ310" s="73">
        <f>AI310*Valores!$C$75</f>
        <v>250.4656875</v>
      </c>
      <c r="BA310" s="73">
        <f>AI310*Valores!$C$76</f>
        <v>42.936975</v>
      </c>
      <c r="BB310" s="73">
        <f t="shared" si="61"/>
        <v>386.432775</v>
      </c>
    </row>
    <row r="311" spans="1:57" ht="11.25" customHeight="1">
      <c r="A311" s="81">
        <v>310</v>
      </c>
      <c r="B311" s="81" t="s">
        <v>163</v>
      </c>
      <c r="C311" s="129"/>
      <c r="D311" s="126">
        <v>1</v>
      </c>
      <c r="E311" s="126">
        <f t="shared" si="53"/>
        <v>26</v>
      </c>
      <c r="F311" s="127" t="s">
        <v>535</v>
      </c>
      <c r="G311" s="128">
        <f t="shared" si="65"/>
        <v>930</v>
      </c>
      <c r="H311" s="85">
        <f>INT((G311*Valores!$C$2*100)+0.5)/100</f>
        <v>7113.66</v>
      </c>
      <c r="I311" s="99">
        <v>0</v>
      </c>
      <c r="J311" s="87">
        <f>INT((I311*Valores!$C$2*100)+0.5)/100</f>
        <v>0</v>
      </c>
      <c r="K311" s="100">
        <v>0</v>
      </c>
      <c r="L311" s="87">
        <f>INT((K311*Valores!$C$2*100)+0.5)/100</f>
        <v>0</v>
      </c>
      <c r="M311" s="101">
        <v>0</v>
      </c>
      <c r="N311" s="87">
        <f>INT((M311*Valores!$C$2*100)+0.5)/100</f>
        <v>0</v>
      </c>
      <c r="O311" s="87">
        <f t="shared" si="54"/>
        <v>1120.095</v>
      </c>
      <c r="P311" s="87">
        <f t="shared" si="55"/>
        <v>0</v>
      </c>
      <c r="Q311" s="103">
        <v>0</v>
      </c>
      <c r="R311" s="103">
        <v>0</v>
      </c>
      <c r="S311" s="87">
        <v>0</v>
      </c>
      <c r="T311" s="90">
        <f>Valores!$C$45+T310</f>
        <v>353.64</v>
      </c>
      <c r="U311" s="103">
        <v>0</v>
      </c>
      <c r="V311" s="87">
        <f t="shared" si="64"/>
        <v>0</v>
      </c>
      <c r="W311" s="87">
        <v>0</v>
      </c>
      <c r="X311" s="87">
        <v>0</v>
      </c>
      <c r="Y311" s="115">
        <v>0</v>
      </c>
      <c r="Z311" s="87">
        <v>0</v>
      </c>
      <c r="AA311" s="87">
        <v>0</v>
      </c>
      <c r="AB311" s="92">
        <v>0</v>
      </c>
      <c r="AC311" s="87">
        <f t="shared" si="58"/>
        <v>0</v>
      </c>
      <c r="AD311" s="87">
        <v>0</v>
      </c>
      <c r="AE311" s="91">
        <v>0</v>
      </c>
      <c r="AF311" s="87">
        <f>INT(((AE311*Valores!$C$2)*100)+0.5)/100</f>
        <v>0</v>
      </c>
      <c r="AG311" s="87"/>
      <c r="AH311" s="87"/>
      <c r="AI311" s="111">
        <f t="shared" si="59"/>
        <v>8587.394999999999</v>
      </c>
      <c r="AJ311" s="111"/>
      <c r="AK311" s="90">
        <f>Valores!$C$11+AK310</f>
        <v>0</v>
      </c>
      <c r="AL311" s="90">
        <v>0</v>
      </c>
      <c r="AM311" s="90"/>
      <c r="AN311" s="92">
        <v>0</v>
      </c>
      <c r="AO311" s="94">
        <f t="shared" si="60"/>
        <v>0</v>
      </c>
      <c r="AP311" s="112">
        <f>AI311*-Valores!$C$65</f>
        <v>-1116.36135</v>
      </c>
      <c r="AQ311" s="112">
        <f>AI311*-Valores!$C$66</f>
        <v>-42.936975</v>
      </c>
      <c r="AR311" s="89">
        <f>AI311*-Valores!$C$67</f>
        <v>-386.43277499999994</v>
      </c>
      <c r="AS311" s="89">
        <f>AI311*-Valores!$C$68</f>
        <v>-231.85966499999995</v>
      </c>
      <c r="AT311" s="89">
        <f>AI311*-Valores!$C$69</f>
        <v>-25.762184999999995</v>
      </c>
      <c r="AU311" s="93">
        <f t="shared" si="56"/>
        <v>7041.663899999998</v>
      </c>
      <c r="AV311" s="93">
        <f t="shared" si="57"/>
        <v>7170.474824999998</v>
      </c>
      <c r="AW311" s="89">
        <f>AI311*Valores!$C$71</f>
        <v>1373.9832</v>
      </c>
      <c r="AX311" s="89">
        <f>AI311*Valores!$C$72</f>
        <v>386.43277499999994</v>
      </c>
      <c r="AY311" s="89">
        <f>AI311*Valores!$C$73</f>
        <v>85.87395</v>
      </c>
      <c r="AZ311" s="89">
        <f>AI311*Valores!$C$75</f>
        <v>300.55882499999996</v>
      </c>
      <c r="BA311" s="89">
        <f>AI311*Valores!$C$76</f>
        <v>51.52436999999999</v>
      </c>
      <c r="BB311" s="89">
        <f t="shared" si="61"/>
        <v>463.71932999999996</v>
      </c>
      <c r="BC311" s="125"/>
      <c r="BD311" s="125"/>
      <c r="BE311" s="82"/>
    </row>
    <row r="312" spans="1:54" ht="11.25" customHeight="1">
      <c r="A312" s="47">
        <v>311</v>
      </c>
      <c r="B312" s="47"/>
      <c r="D312" s="124">
        <v>1</v>
      </c>
      <c r="E312" s="124">
        <f t="shared" si="53"/>
        <v>26</v>
      </c>
      <c r="F312" s="49" t="s">
        <v>536</v>
      </c>
      <c r="G312" s="122">
        <f t="shared" si="65"/>
        <v>1085</v>
      </c>
      <c r="H312" s="69">
        <f>INT((G312*Valores!$C$2*100)+0.5)/100</f>
        <v>8299.27</v>
      </c>
      <c r="I312" s="108">
        <v>0</v>
      </c>
      <c r="J312" s="71">
        <f>INT((I312*Valores!$C$2*100)+0.5)/100</f>
        <v>0</v>
      </c>
      <c r="K312" s="98">
        <v>0</v>
      </c>
      <c r="L312" s="71">
        <f>INT((K312*Valores!$C$2*100)+0.5)/100</f>
        <v>0</v>
      </c>
      <c r="M312" s="96">
        <v>0</v>
      </c>
      <c r="N312" s="71">
        <f>INT((M312*Valores!$C$2*100)+0.5)/100</f>
        <v>0</v>
      </c>
      <c r="O312" s="71">
        <f t="shared" si="54"/>
        <v>1306.7775</v>
      </c>
      <c r="P312" s="71">
        <f t="shared" si="55"/>
        <v>0</v>
      </c>
      <c r="Q312" s="97">
        <v>0</v>
      </c>
      <c r="R312" s="97">
        <v>0</v>
      </c>
      <c r="S312" s="71">
        <v>0</v>
      </c>
      <c r="T312" s="74">
        <f>Valores!$C$45+T311</f>
        <v>412.58</v>
      </c>
      <c r="U312" s="97">
        <v>0</v>
      </c>
      <c r="V312" s="71">
        <f t="shared" si="64"/>
        <v>0</v>
      </c>
      <c r="W312" s="71">
        <v>0</v>
      </c>
      <c r="X312" s="71">
        <v>0</v>
      </c>
      <c r="Y312" s="114">
        <v>0</v>
      </c>
      <c r="Z312" s="71">
        <v>0</v>
      </c>
      <c r="AA312" s="71">
        <v>0</v>
      </c>
      <c r="AB312" s="76">
        <v>0</v>
      </c>
      <c r="AC312" s="71">
        <f t="shared" si="58"/>
        <v>0</v>
      </c>
      <c r="AD312" s="71">
        <v>0</v>
      </c>
      <c r="AE312" s="75">
        <v>0</v>
      </c>
      <c r="AF312" s="71">
        <f>INT(((AE312*Valores!$C$2)*100)+0.5)/100</f>
        <v>0</v>
      </c>
      <c r="AG312" s="71"/>
      <c r="AH312" s="71"/>
      <c r="AI312" s="110">
        <f t="shared" si="59"/>
        <v>10018.6275</v>
      </c>
      <c r="AJ312" s="110"/>
      <c r="AK312" s="74">
        <f>Valores!$C$11+AK311</f>
        <v>0</v>
      </c>
      <c r="AL312" s="74">
        <v>0</v>
      </c>
      <c r="AM312" s="74"/>
      <c r="AN312" s="76">
        <v>0</v>
      </c>
      <c r="AO312" s="78">
        <f t="shared" si="60"/>
        <v>0</v>
      </c>
      <c r="AP312" s="57">
        <f>AI312*-Valores!$C$65</f>
        <v>-1302.421575</v>
      </c>
      <c r="AQ312" s="57">
        <f>AI312*-Valores!$C$66</f>
        <v>-50.093137500000005</v>
      </c>
      <c r="AR312" s="73">
        <f>AI312*-Valores!$C$67</f>
        <v>-450.8382375</v>
      </c>
      <c r="AS312" s="73">
        <f>AI312*-Valores!$C$68</f>
        <v>-270.5029425</v>
      </c>
      <c r="AT312" s="73">
        <f>AI312*-Valores!$C$69</f>
        <v>-30.055882500000003</v>
      </c>
      <c r="AU312" s="77">
        <f t="shared" si="56"/>
        <v>8215.27455</v>
      </c>
      <c r="AV312" s="77">
        <f t="shared" si="57"/>
        <v>8365.5539625</v>
      </c>
      <c r="AW312" s="73">
        <f>AI312*Valores!$C$71</f>
        <v>1602.9804000000001</v>
      </c>
      <c r="AX312" s="73">
        <f>AI312*Valores!$C$72</f>
        <v>450.8382375</v>
      </c>
      <c r="AY312" s="73">
        <f>AI312*Valores!$C$73</f>
        <v>100.18627500000001</v>
      </c>
      <c r="AZ312" s="73">
        <f>AI312*Valores!$C$75</f>
        <v>350.6519625</v>
      </c>
      <c r="BA312" s="73">
        <f>AI312*Valores!$C$76</f>
        <v>60.111765000000005</v>
      </c>
      <c r="BB312" s="73">
        <f t="shared" si="61"/>
        <v>541.005885</v>
      </c>
    </row>
    <row r="313" spans="1:57" ht="11.25" customHeight="1">
      <c r="A313" s="47">
        <v>312</v>
      </c>
      <c r="B313" s="47"/>
      <c r="D313" s="124">
        <v>1</v>
      </c>
      <c r="E313" s="124">
        <f t="shared" si="53"/>
        <v>26</v>
      </c>
      <c r="F313" s="49" t="s">
        <v>537</v>
      </c>
      <c r="G313" s="122">
        <f t="shared" si="65"/>
        <v>1240</v>
      </c>
      <c r="H313" s="69">
        <f>INT((G313*Valores!$C$2*100)+0.5)/100</f>
        <v>9484.88</v>
      </c>
      <c r="I313" s="108">
        <v>0</v>
      </c>
      <c r="J313" s="71">
        <f>INT((I313*Valores!$C$2*100)+0.5)/100</f>
        <v>0</v>
      </c>
      <c r="K313" s="98">
        <v>0</v>
      </c>
      <c r="L313" s="71">
        <f>INT((K313*Valores!$C$2*100)+0.5)/100</f>
        <v>0</v>
      </c>
      <c r="M313" s="96">
        <v>0</v>
      </c>
      <c r="N313" s="71">
        <f>INT((M313*Valores!$C$2*100)+0.5)/100</f>
        <v>0</v>
      </c>
      <c r="O313" s="71">
        <f t="shared" si="54"/>
        <v>1493.4599999999998</v>
      </c>
      <c r="P313" s="71">
        <f t="shared" si="55"/>
        <v>0</v>
      </c>
      <c r="Q313" s="97">
        <v>0</v>
      </c>
      <c r="R313" s="97">
        <v>0</v>
      </c>
      <c r="S313" s="71">
        <v>0</v>
      </c>
      <c r="T313" s="74">
        <f>Valores!$C$45+T312</f>
        <v>471.52</v>
      </c>
      <c r="U313" s="97">
        <v>0</v>
      </c>
      <c r="V313" s="71">
        <f t="shared" si="64"/>
        <v>0</v>
      </c>
      <c r="W313" s="71">
        <v>0</v>
      </c>
      <c r="X313" s="71">
        <v>0</v>
      </c>
      <c r="Y313" s="114">
        <v>0</v>
      </c>
      <c r="Z313" s="71">
        <v>0</v>
      </c>
      <c r="AA313" s="71">
        <v>0</v>
      </c>
      <c r="AB313" s="76">
        <v>0</v>
      </c>
      <c r="AC313" s="71">
        <f t="shared" si="58"/>
        <v>0</v>
      </c>
      <c r="AD313" s="71">
        <v>0</v>
      </c>
      <c r="AE313" s="75">
        <v>0</v>
      </c>
      <c r="AF313" s="71">
        <f>INT(((AE313*Valores!$C$2)*100)+0.5)/100</f>
        <v>0</v>
      </c>
      <c r="AG313" s="71"/>
      <c r="AH313" s="71"/>
      <c r="AI313" s="110">
        <f t="shared" si="59"/>
        <v>11449.859999999999</v>
      </c>
      <c r="AJ313" s="110"/>
      <c r="AK313" s="74">
        <f>Valores!$C$11+AK312</f>
        <v>0</v>
      </c>
      <c r="AL313" s="74">
        <v>0</v>
      </c>
      <c r="AM313" s="74"/>
      <c r="AN313" s="76">
        <v>0</v>
      </c>
      <c r="AO313" s="78">
        <f t="shared" si="60"/>
        <v>0</v>
      </c>
      <c r="AP313" s="57">
        <f>AI313*-Valores!$C$65</f>
        <v>-1488.4817999999998</v>
      </c>
      <c r="AQ313" s="57">
        <f>AI313*-Valores!$C$66</f>
        <v>-57.2493</v>
      </c>
      <c r="AR313" s="73">
        <f>AI313*-Valores!$C$67</f>
        <v>-515.2436999999999</v>
      </c>
      <c r="AS313" s="73">
        <f>AI313*-Valores!$C$68</f>
        <v>-309.14621999999997</v>
      </c>
      <c r="AT313" s="73">
        <f>AI313*-Valores!$C$69</f>
        <v>-34.349579999999996</v>
      </c>
      <c r="AU313" s="77">
        <f t="shared" si="56"/>
        <v>9388.8852</v>
      </c>
      <c r="AV313" s="77">
        <f t="shared" si="57"/>
        <v>9560.6331</v>
      </c>
      <c r="AW313" s="73">
        <f>AI313*Valores!$C$71</f>
        <v>1831.9776</v>
      </c>
      <c r="AX313" s="73">
        <f>AI313*Valores!$C$72</f>
        <v>515.2436999999999</v>
      </c>
      <c r="AY313" s="73">
        <f>AI313*Valores!$C$73</f>
        <v>114.4986</v>
      </c>
      <c r="AZ313" s="73">
        <f>AI313*Valores!$C$75</f>
        <v>400.7451</v>
      </c>
      <c r="BA313" s="73">
        <f>AI313*Valores!$C$76</f>
        <v>68.69915999999999</v>
      </c>
      <c r="BB313" s="73">
        <f t="shared" si="61"/>
        <v>618.2924399999999</v>
      </c>
      <c r="BE313" s="24" t="s">
        <v>4</v>
      </c>
    </row>
    <row r="314" spans="1:56" ht="11.25" customHeight="1">
      <c r="A314" s="47">
        <v>313</v>
      </c>
      <c r="B314" s="47"/>
      <c r="D314" s="124">
        <v>1</v>
      </c>
      <c r="E314" s="124">
        <f t="shared" si="53"/>
        <v>26</v>
      </c>
      <c r="F314" s="49" t="s">
        <v>538</v>
      </c>
      <c r="G314" s="122">
        <f t="shared" si="65"/>
        <v>1395</v>
      </c>
      <c r="H314" s="69">
        <f>INT((G314*Valores!$C$2*100)+0.5)/100</f>
        <v>10670.49</v>
      </c>
      <c r="I314" s="108">
        <v>0</v>
      </c>
      <c r="J314" s="71">
        <f>INT((I314*Valores!$C$2*100)+0.5)/100</f>
        <v>0</v>
      </c>
      <c r="K314" s="98">
        <v>0</v>
      </c>
      <c r="L314" s="71">
        <f>INT((K314*Valores!$C$2*100)+0.5)/100</f>
        <v>0</v>
      </c>
      <c r="M314" s="96">
        <v>0</v>
      </c>
      <c r="N314" s="71">
        <f>INT((M314*Valores!$C$2*100)+0.5)/100</f>
        <v>0</v>
      </c>
      <c r="O314" s="71">
        <f t="shared" si="54"/>
        <v>1680.1425000000002</v>
      </c>
      <c r="P314" s="71">
        <f t="shared" si="55"/>
        <v>0</v>
      </c>
      <c r="Q314" s="97">
        <v>0</v>
      </c>
      <c r="R314" s="97">
        <v>0</v>
      </c>
      <c r="S314" s="71">
        <v>0</v>
      </c>
      <c r="T314" s="74">
        <f>Valores!$C$45+T313</f>
        <v>530.46</v>
      </c>
      <c r="U314" s="74">
        <v>0</v>
      </c>
      <c r="V314" s="71">
        <f t="shared" si="64"/>
        <v>0</v>
      </c>
      <c r="W314" s="71">
        <v>0</v>
      </c>
      <c r="X314" s="71">
        <v>0</v>
      </c>
      <c r="Y314" s="114">
        <v>0</v>
      </c>
      <c r="Z314" s="71">
        <v>0</v>
      </c>
      <c r="AA314" s="71">
        <v>0</v>
      </c>
      <c r="AB314" s="76">
        <v>0</v>
      </c>
      <c r="AC314" s="71">
        <f t="shared" si="58"/>
        <v>0</v>
      </c>
      <c r="AD314" s="71">
        <v>0</v>
      </c>
      <c r="AE314" s="75">
        <v>0</v>
      </c>
      <c r="AF314" s="71">
        <f>INT(((AE314*Valores!$C$2)*100)+0.5)/100</f>
        <v>0</v>
      </c>
      <c r="AG314" s="71"/>
      <c r="AH314" s="71"/>
      <c r="AI314" s="110">
        <f t="shared" si="59"/>
        <v>12881.092499999999</v>
      </c>
      <c r="AJ314" s="110"/>
      <c r="AK314" s="74">
        <f>Valores!$C$11+AK313</f>
        <v>0</v>
      </c>
      <c r="AL314" s="74">
        <v>0</v>
      </c>
      <c r="AM314" s="74"/>
      <c r="AN314" s="76">
        <v>0</v>
      </c>
      <c r="AO314" s="78">
        <f t="shared" si="60"/>
        <v>0</v>
      </c>
      <c r="AP314" s="57">
        <f>AI314*-Valores!$C$65</f>
        <v>-1674.542025</v>
      </c>
      <c r="AQ314" s="57">
        <f>AI314*-Valores!$C$66</f>
        <v>-64.4054625</v>
      </c>
      <c r="AR314" s="73">
        <f>AI314*-Valores!$C$67</f>
        <v>-579.6491624999999</v>
      </c>
      <c r="AS314" s="73">
        <f>AI314*-Valores!$C$68</f>
        <v>-347.7894975</v>
      </c>
      <c r="AT314" s="73">
        <f>AI314*-Valores!$C$69</f>
        <v>-38.643277499999996</v>
      </c>
      <c r="AU314" s="77">
        <f t="shared" si="56"/>
        <v>10562.495849999998</v>
      </c>
      <c r="AV314" s="77">
        <f t="shared" si="57"/>
        <v>10755.712237499998</v>
      </c>
      <c r="AW314" s="73">
        <f>AI314*Valores!$C$71</f>
        <v>2060.9748</v>
      </c>
      <c r="AX314" s="73">
        <f>AI314*Valores!$C$72</f>
        <v>579.6491624999999</v>
      </c>
      <c r="AY314" s="73">
        <f>AI314*Valores!$C$73</f>
        <v>128.810925</v>
      </c>
      <c r="AZ314" s="73">
        <f>AI314*Valores!$C$75</f>
        <v>450.8382375</v>
      </c>
      <c r="BA314" s="73">
        <f>AI314*Valores!$C$76</f>
        <v>77.28655499999999</v>
      </c>
      <c r="BB314" s="73">
        <f t="shared" si="61"/>
        <v>695.578995</v>
      </c>
      <c r="BD314" s="125"/>
    </row>
    <row r="315" spans="1:54" ht="11.25" customHeight="1">
      <c r="A315" s="47">
        <v>314</v>
      </c>
      <c r="B315" s="47"/>
      <c r="D315" s="124">
        <v>1</v>
      </c>
      <c r="E315" s="124">
        <f t="shared" si="53"/>
        <v>26</v>
      </c>
      <c r="F315" s="49" t="s">
        <v>539</v>
      </c>
      <c r="G315" s="122">
        <f t="shared" si="65"/>
        <v>1550</v>
      </c>
      <c r="H315" s="69">
        <f>INT((G315*Valores!$C$2*100)+0.5)/100</f>
        <v>11856.11</v>
      </c>
      <c r="I315" s="108">
        <v>0</v>
      </c>
      <c r="J315" s="71">
        <f>INT((I315*Valores!$C$2*100)+0.5)/100</f>
        <v>0</v>
      </c>
      <c r="K315" s="98">
        <v>0</v>
      </c>
      <c r="L315" s="71">
        <f>INT((K315*Valores!$C$2*100)+0.5)/100</f>
        <v>0</v>
      </c>
      <c r="M315" s="96">
        <v>0</v>
      </c>
      <c r="N315" s="71">
        <f>INT((M315*Valores!$C$2*100)+0.5)/100</f>
        <v>0</v>
      </c>
      <c r="O315" s="71">
        <f t="shared" si="54"/>
        <v>1866.8265</v>
      </c>
      <c r="P315" s="71">
        <f t="shared" si="55"/>
        <v>0</v>
      </c>
      <c r="Q315" s="97">
        <v>0</v>
      </c>
      <c r="R315" s="97">
        <v>0</v>
      </c>
      <c r="S315" s="71">
        <v>0</v>
      </c>
      <c r="T315" s="74">
        <f>Valores!$C$45+T314</f>
        <v>589.4000000000001</v>
      </c>
      <c r="U315" s="97">
        <v>0</v>
      </c>
      <c r="V315" s="71">
        <f t="shared" si="64"/>
        <v>0</v>
      </c>
      <c r="W315" s="71">
        <v>0</v>
      </c>
      <c r="X315" s="71">
        <v>0</v>
      </c>
      <c r="Y315" s="114">
        <v>0</v>
      </c>
      <c r="Z315" s="71">
        <v>0</v>
      </c>
      <c r="AA315" s="71">
        <v>0</v>
      </c>
      <c r="AB315" s="76">
        <v>0</v>
      </c>
      <c r="AC315" s="71">
        <f t="shared" si="58"/>
        <v>0</v>
      </c>
      <c r="AD315" s="71">
        <v>0</v>
      </c>
      <c r="AE315" s="75">
        <v>0</v>
      </c>
      <c r="AF315" s="71">
        <f>INT(((AE315*Valores!$C$2)*100)+0.5)/100</f>
        <v>0</v>
      </c>
      <c r="AG315" s="71"/>
      <c r="AH315" s="71"/>
      <c r="AI315" s="110">
        <f t="shared" si="59"/>
        <v>14312.3365</v>
      </c>
      <c r="AJ315" s="110"/>
      <c r="AK315" s="74">
        <f>Valores!$C$11+AK314</f>
        <v>0</v>
      </c>
      <c r="AL315" s="74">
        <v>0</v>
      </c>
      <c r="AM315" s="74"/>
      <c r="AN315" s="76">
        <v>0</v>
      </c>
      <c r="AO315" s="78">
        <f t="shared" si="60"/>
        <v>0</v>
      </c>
      <c r="AP315" s="57">
        <f>AI315*-Valores!$C$65</f>
        <v>-1860.603745</v>
      </c>
      <c r="AQ315" s="57">
        <f>AI315*-Valores!$C$66</f>
        <v>-71.5616825</v>
      </c>
      <c r="AR315" s="73">
        <f>AI315*-Valores!$C$67</f>
        <v>-644.0551425</v>
      </c>
      <c r="AS315" s="73">
        <f>AI315*-Valores!$C$68</f>
        <v>-386.4330855</v>
      </c>
      <c r="AT315" s="73">
        <f>AI315*-Valores!$C$69</f>
        <v>-42.9370095</v>
      </c>
      <c r="AU315" s="77">
        <f t="shared" si="56"/>
        <v>11736.11593</v>
      </c>
      <c r="AV315" s="77">
        <f t="shared" si="57"/>
        <v>11950.8009775</v>
      </c>
      <c r="AW315" s="73">
        <f>AI315*Valores!$C$71</f>
        <v>2289.97384</v>
      </c>
      <c r="AX315" s="73">
        <f>AI315*Valores!$C$72</f>
        <v>644.0551425</v>
      </c>
      <c r="AY315" s="73">
        <f>AI315*Valores!$C$73</f>
        <v>143.123365</v>
      </c>
      <c r="AZ315" s="73">
        <f>AI315*Valores!$C$75</f>
        <v>500.9317775</v>
      </c>
      <c r="BA315" s="73">
        <f>AI315*Valores!$C$76</f>
        <v>85.874019</v>
      </c>
      <c r="BB315" s="73">
        <f t="shared" si="61"/>
        <v>772.866171</v>
      </c>
    </row>
    <row r="316" spans="1:57" ht="11.25" customHeight="1">
      <c r="A316" s="81">
        <v>315</v>
      </c>
      <c r="B316" s="81" t="s">
        <v>163</v>
      </c>
      <c r="C316" s="129"/>
      <c r="D316" s="126">
        <v>1</v>
      </c>
      <c r="E316" s="126">
        <f t="shared" si="53"/>
        <v>26</v>
      </c>
      <c r="F316" s="127" t="s">
        <v>540</v>
      </c>
      <c r="G316" s="128">
        <f t="shared" si="65"/>
        <v>1705</v>
      </c>
      <c r="H316" s="85">
        <f>INT((G316*Valores!$C$2*100)+0.5)/100</f>
        <v>13041.72</v>
      </c>
      <c r="I316" s="99">
        <v>0</v>
      </c>
      <c r="J316" s="87">
        <f>INT((I316*Valores!$C$2*100)+0.5)/100</f>
        <v>0</v>
      </c>
      <c r="K316" s="100">
        <v>0</v>
      </c>
      <c r="L316" s="87">
        <f>INT((K316*Valores!$C$2*100)+0.5)/100</f>
        <v>0</v>
      </c>
      <c r="M316" s="101">
        <v>0</v>
      </c>
      <c r="N316" s="87">
        <f>INT((M316*Valores!$C$2*100)+0.5)/100</f>
        <v>0</v>
      </c>
      <c r="O316" s="87">
        <f t="shared" si="54"/>
        <v>2053.509</v>
      </c>
      <c r="P316" s="87">
        <f t="shared" si="55"/>
        <v>0</v>
      </c>
      <c r="Q316" s="103">
        <v>0</v>
      </c>
      <c r="R316" s="103">
        <v>0</v>
      </c>
      <c r="S316" s="87">
        <v>0</v>
      </c>
      <c r="T316" s="90">
        <f>Valores!$C$45+T315</f>
        <v>648.3400000000001</v>
      </c>
      <c r="U316" s="103">
        <v>0</v>
      </c>
      <c r="V316" s="87">
        <f t="shared" si="64"/>
        <v>0</v>
      </c>
      <c r="W316" s="87">
        <v>0</v>
      </c>
      <c r="X316" s="87">
        <v>0</v>
      </c>
      <c r="Y316" s="115">
        <v>0</v>
      </c>
      <c r="Z316" s="87">
        <v>0</v>
      </c>
      <c r="AA316" s="87">
        <v>0</v>
      </c>
      <c r="AB316" s="92">
        <v>0</v>
      </c>
      <c r="AC316" s="87">
        <f t="shared" si="58"/>
        <v>0</v>
      </c>
      <c r="AD316" s="87">
        <v>0</v>
      </c>
      <c r="AE316" s="91">
        <v>0</v>
      </c>
      <c r="AF316" s="87">
        <f>INT(((AE316*Valores!$C$2)*100)+0.5)/100</f>
        <v>0</v>
      </c>
      <c r="AG316" s="87"/>
      <c r="AH316" s="87"/>
      <c r="AI316" s="111">
        <f t="shared" si="59"/>
        <v>15743.569</v>
      </c>
      <c r="AJ316" s="111"/>
      <c r="AK316" s="90">
        <f>Valores!$C$11+AK315</f>
        <v>0</v>
      </c>
      <c r="AL316" s="90">
        <v>0</v>
      </c>
      <c r="AM316" s="90"/>
      <c r="AN316" s="92">
        <v>0</v>
      </c>
      <c r="AO316" s="94">
        <f t="shared" si="60"/>
        <v>0</v>
      </c>
      <c r="AP316" s="112">
        <f>AI316*-Valores!$C$65</f>
        <v>-2046.66397</v>
      </c>
      <c r="AQ316" s="112">
        <f>AI316*-Valores!$C$66</f>
        <v>-78.717845</v>
      </c>
      <c r="AR316" s="89">
        <f>AI316*-Valores!$C$67</f>
        <v>-708.460605</v>
      </c>
      <c r="AS316" s="89">
        <f>AI316*-Valores!$C$68</f>
        <v>-425.07636299999996</v>
      </c>
      <c r="AT316" s="89">
        <f>AI316*-Valores!$C$69</f>
        <v>-47.230707</v>
      </c>
      <c r="AU316" s="93">
        <f t="shared" si="56"/>
        <v>12909.72658</v>
      </c>
      <c r="AV316" s="93">
        <f t="shared" si="57"/>
        <v>13145.880115</v>
      </c>
      <c r="AW316" s="89">
        <f>AI316*Valores!$C$71</f>
        <v>2518.97104</v>
      </c>
      <c r="AX316" s="89">
        <f>AI316*Valores!$C$72</f>
        <v>708.460605</v>
      </c>
      <c r="AY316" s="89">
        <f>AI316*Valores!$C$73</f>
        <v>157.43569</v>
      </c>
      <c r="AZ316" s="89">
        <f>AI316*Valores!$C$75</f>
        <v>551.0249150000001</v>
      </c>
      <c r="BA316" s="89">
        <f>AI316*Valores!$C$76</f>
        <v>94.461414</v>
      </c>
      <c r="BB316" s="89">
        <f t="shared" si="61"/>
        <v>850.1527259999999</v>
      </c>
      <c r="BC316" s="125"/>
      <c r="BD316" s="125"/>
      <c r="BE316" s="82"/>
    </row>
    <row r="317" spans="1:54" ht="11.25" customHeight="1">
      <c r="A317" s="47">
        <v>316</v>
      </c>
      <c r="B317" s="47"/>
      <c r="D317" s="124">
        <v>1</v>
      </c>
      <c r="E317" s="124">
        <f t="shared" si="53"/>
        <v>26</v>
      </c>
      <c r="F317" s="49" t="s">
        <v>541</v>
      </c>
      <c r="G317" s="122">
        <f t="shared" si="65"/>
        <v>1860</v>
      </c>
      <c r="H317" s="69">
        <f>INT((G317*Valores!$C$2*100)+0.5)/100</f>
        <v>14227.33</v>
      </c>
      <c r="I317" s="108">
        <v>0</v>
      </c>
      <c r="J317" s="71">
        <f>INT((I317*Valores!$C$2*100)+0.5)/100</f>
        <v>0</v>
      </c>
      <c r="K317" s="98">
        <v>0</v>
      </c>
      <c r="L317" s="71">
        <f>INT((K317*Valores!$C$2*100)+0.5)/100</f>
        <v>0</v>
      </c>
      <c r="M317" s="96">
        <v>0</v>
      </c>
      <c r="N317" s="71">
        <f>INT((M317*Valores!$C$2*100)+0.5)/100</f>
        <v>0</v>
      </c>
      <c r="O317" s="71">
        <f t="shared" si="54"/>
        <v>2240.1915</v>
      </c>
      <c r="P317" s="71">
        <f t="shared" si="55"/>
        <v>0</v>
      </c>
      <c r="Q317" s="97">
        <v>0</v>
      </c>
      <c r="R317" s="97">
        <v>0</v>
      </c>
      <c r="S317" s="71">
        <v>0</v>
      </c>
      <c r="T317" s="74">
        <f>Valores!$C$45+T316</f>
        <v>707.2800000000002</v>
      </c>
      <c r="U317" s="97">
        <v>0</v>
      </c>
      <c r="V317" s="71">
        <f t="shared" si="64"/>
        <v>0</v>
      </c>
      <c r="W317" s="71">
        <v>0</v>
      </c>
      <c r="X317" s="71">
        <v>0</v>
      </c>
      <c r="Y317" s="114">
        <v>0</v>
      </c>
      <c r="Z317" s="71">
        <v>0</v>
      </c>
      <c r="AA317" s="71">
        <v>0</v>
      </c>
      <c r="AB317" s="76">
        <v>0</v>
      </c>
      <c r="AC317" s="71">
        <f t="shared" si="58"/>
        <v>0</v>
      </c>
      <c r="AD317" s="71">
        <v>0</v>
      </c>
      <c r="AE317" s="75">
        <v>0</v>
      </c>
      <c r="AF317" s="71">
        <f>INT(((AE317*Valores!$C$2)*100)+0.5)/100</f>
        <v>0</v>
      </c>
      <c r="AG317" s="71"/>
      <c r="AH317" s="71"/>
      <c r="AI317" s="110">
        <f t="shared" si="59"/>
        <v>17174.801499999998</v>
      </c>
      <c r="AJ317" s="110"/>
      <c r="AK317" s="74">
        <f>Valores!$C$11+AK316</f>
        <v>0</v>
      </c>
      <c r="AL317" s="74">
        <v>0</v>
      </c>
      <c r="AM317" s="74"/>
      <c r="AN317" s="76">
        <v>0</v>
      </c>
      <c r="AO317" s="78">
        <f t="shared" si="60"/>
        <v>0</v>
      </c>
      <c r="AP317" s="57">
        <f>AI317*-Valores!$C$65</f>
        <v>-2232.724195</v>
      </c>
      <c r="AQ317" s="57">
        <f>AI317*-Valores!$C$66</f>
        <v>-85.87400749999999</v>
      </c>
      <c r="AR317" s="73">
        <f>AI317*-Valores!$C$67</f>
        <v>-772.8660674999999</v>
      </c>
      <c r="AS317" s="73">
        <f>AI317*-Valores!$C$68</f>
        <v>-463.7196404999999</v>
      </c>
      <c r="AT317" s="73">
        <f>AI317*-Valores!$C$69</f>
        <v>-51.524404499999996</v>
      </c>
      <c r="AU317" s="77">
        <f t="shared" si="56"/>
        <v>14083.337230000001</v>
      </c>
      <c r="AV317" s="77">
        <f t="shared" si="57"/>
        <v>14340.9592525</v>
      </c>
      <c r="AW317" s="73">
        <f>AI317*Valores!$C$71</f>
        <v>2747.9682399999997</v>
      </c>
      <c r="AX317" s="73">
        <f>AI317*Valores!$C$72</f>
        <v>772.8660674999999</v>
      </c>
      <c r="AY317" s="73">
        <f>AI317*Valores!$C$73</f>
        <v>171.74801499999998</v>
      </c>
      <c r="AZ317" s="73">
        <f>AI317*Valores!$C$75</f>
        <v>601.1180525</v>
      </c>
      <c r="BA317" s="73">
        <f>AI317*Valores!$C$76</f>
        <v>103.04880899999999</v>
      </c>
      <c r="BB317" s="73">
        <f t="shared" si="61"/>
        <v>927.4392809999999</v>
      </c>
    </row>
    <row r="318" spans="1:54" ht="11.25" customHeight="1">
      <c r="A318" s="47">
        <v>317</v>
      </c>
      <c r="B318" s="47"/>
      <c r="D318" s="124">
        <v>1</v>
      </c>
      <c r="E318" s="124">
        <f t="shared" si="53"/>
        <v>26</v>
      </c>
      <c r="F318" s="49" t="s">
        <v>542</v>
      </c>
      <c r="G318" s="122">
        <f t="shared" si="65"/>
        <v>2015</v>
      </c>
      <c r="H318" s="69">
        <f>INT((G318*Valores!$C$2*100)+0.5)/100</f>
        <v>15412.94</v>
      </c>
      <c r="I318" s="108">
        <v>0</v>
      </c>
      <c r="J318" s="71">
        <f>INT((I318*Valores!$C$2*100)+0.5)/100</f>
        <v>0</v>
      </c>
      <c r="K318" s="98">
        <v>0</v>
      </c>
      <c r="L318" s="71">
        <f>INT((K318*Valores!$C$2*100)+0.5)/100</f>
        <v>0</v>
      </c>
      <c r="M318" s="96">
        <v>0</v>
      </c>
      <c r="N318" s="71">
        <f>INT((M318*Valores!$C$2*100)+0.5)/100</f>
        <v>0</v>
      </c>
      <c r="O318" s="71">
        <f t="shared" si="54"/>
        <v>2426.874</v>
      </c>
      <c r="P318" s="71">
        <f t="shared" si="55"/>
        <v>0</v>
      </c>
      <c r="Q318" s="97">
        <v>0</v>
      </c>
      <c r="R318" s="97">
        <v>0</v>
      </c>
      <c r="S318" s="71">
        <v>0</v>
      </c>
      <c r="T318" s="74">
        <f>Valores!$C$45+T317</f>
        <v>766.2200000000003</v>
      </c>
      <c r="U318" s="97">
        <v>0</v>
      </c>
      <c r="V318" s="71">
        <f t="shared" si="64"/>
        <v>0</v>
      </c>
      <c r="W318" s="71">
        <v>0</v>
      </c>
      <c r="X318" s="71">
        <v>0</v>
      </c>
      <c r="Y318" s="114">
        <v>0</v>
      </c>
      <c r="Z318" s="71">
        <v>0</v>
      </c>
      <c r="AA318" s="71">
        <v>0</v>
      </c>
      <c r="AB318" s="76">
        <v>0</v>
      </c>
      <c r="AC318" s="71">
        <f t="shared" si="58"/>
        <v>0</v>
      </c>
      <c r="AD318" s="71">
        <v>0</v>
      </c>
      <c r="AE318" s="75">
        <v>0</v>
      </c>
      <c r="AF318" s="71">
        <f>INT(((AE318*Valores!$C$2)*100)+0.5)/100</f>
        <v>0</v>
      </c>
      <c r="AG318" s="71"/>
      <c r="AH318" s="71"/>
      <c r="AI318" s="110">
        <f t="shared" si="59"/>
        <v>18606.034</v>
      </c>
      <c r="AJ318" s="110"/>
      <c r="AK318" s="74">
        <f>Valores!$C$11+AK317</f>
        <v>0</v>
      </c>
      <c r="AL318" s="74">
        <v>0</v>
      </c>
      <c r="AM318" s="74"/>
      <c r="AN318" s="76">
        <v>0</v>
      </c>
      <c r="AO318" s="78">
        <f t="shared" si="60"/>
        <v>0</v>
      </c>
      <c r="AP318" s="57">
        <f>AI318*-Valores!$C$65</f>
        <v>-2418.78442</v>
      </c>
      <c r="AQ318" s="57">
        <f>AI318*-Valores!$C$66</f>
        <v>-93.03017</v>
      </c>
      <c r="AR318" s="73">
        <f>AI318*-Valores!$C$67</f>
        <v>-837.27153</v>
      </c>
      <c r="AS318" s="73">
        <f>AI318*-Valores!$C$68</f>
        <v>-502.362918</v>
      </c>
      <c r="AT318" s="73">
        <f>AI318*-Valores!$C$69</f>
        <v>-55.818102</v>
      </c>
      <c r="AU318" s="77">
        <f t="shared" si="56"/>
        <v>15256.947880000003</v>
      </c>
      <c r="AV318" s="77">
        <f t="shared" si="57"/>
        <v>15536.038390000003</v>
      </c>
      <c r="AW318" s="73">
        <f>AI318*Valores!$C$71</f>
        <v>2976.96544</v>
      </c>
      <c r="AX318" s="73">
        <f>AI318*Valores!$C$72</f>
        <v>837.27153</v>
      </c>
      <c r="AY318" s="73">
        <f>AI318*Valores!$C$73</f>
        <v>186.06034</v>
      </c>
      <c r="AZ318" s="73">
        <f>AI318*Valores!$C$75</f>
        <v>651.2111900000001</v>
      </c>
      <c r="BA318" s="73">
        <f>AI318*Valores!$C$76</f>
        <v>111.636204</v>
      </c>
      <c r="BB318" s="73">
        <f t="shared" si="61"/>
        <v>1004.725836</v>
      </c>
    </row>
    <row r="319" spans="1:56" ht="11.25" customHeight="1">
      <c r="A319" s="47">
        <v>318</v>
      </c>
      <c r="B319" s="47"/>
      <c r="D319" s="124">
        <v>1</v>
      </c>
      <c r="E319" s="124">
        <f t="shared" si="53"/>
        <v>26</v>
      </c>
      <c r="F319" s="49" t="s">
        <v>543</v>
      </c>
      <c r="G319" s="122">
        <f t="shared" si="65"/>
        <v>2170</v>
      </c>
      <c r="H319" s="69">
        <f>INT((G319*Valores!$C$2*100)+0.5)/100</f>
        <v>16598.55</v>
      </c>
      <c r="I319" s="108">
        <v>0</v>
      </c>
      <c r="J319" s="71">
        <f>INT((I319*Valores!$C$2*100)+0.5)/100</f>
        <v>0</v>
      </c>
      <c r="K319" s="98">
        <v>0</v>
      </c>
      <c r="L319" s="71">
        <f>INT((K319*Valores!$C$2*100)+0.5)/100</f>
        <v>0</v>
      </c>
      <c r="M319" s="96">
        <v>0</v>
      </c>
      <c r="N319" s="71">
        <f>INT((M319*Valores!$C$2*100)+0.5)/100</f>
        <v>0</v>
      </c>
      <c r="O319" s="71">
        <f t="shared" si="54"/>
        <v>2613.5564999999997</v>
      </c>
      <c r="P319" s="71">
        <f t="shared" si="55"/>
        <v>0</v>
      </c>
      <c r="Q319" s="97">
        <v>0</v>
      </c>
      <c r="R319" s="97">
        <v>0</v>
      </c>
      <c r="S319" s="71">
        <v>0</v>
      </c>
      <c r="T319" s="74">
        <f>Valores!$C$45+T318</f>
        <v>825.1600000000003</v>
      </c>
      <c r="U319" s="74">
        <v>0</v>
      </c>
      <c r="V319" s="71">
        <f t="shared" si="64"/>
        <v>0</v>
      </c>
      <c r="W319" s="71">
        <v>0</v>
      </c>
      <c r="X319" s="71">
        <v>0</v>
      </c>
      <c r="Y319" s="114">
        <v>0</v>
      </c>
      <c r="Z319" s="71">
        <v>0</v>
      </c>
      <c r="AA319" s="71">
        <v>0</v>
      </c>
      <c r="AB319" s="76">
        <v>0</v>
      </c>
      <c r="AC319" s="71">
        <f t="shared" si="58"/>
        <v>0</v>
      </c>
      <c r="AD319" s="71">
        <v>0</v>
      </c>
      <c r="AE319" s="75">
        <v>0</v>
      </c>
      <c r="AF319" s="71">
        <f>INT(((AE319*Valores!$C$2)*100)+0.5)/100</f>
        <v>0</v>
      </c>
      <c r="AG319" s="71"/>
      <c r="AH319" s="71"/>
      <c r="AI319" s="110">
        <f t="shared" si="59"/>
        <v>20037.266499999998</v>
      </c>
      <c r="AJ319" s="110"/>
      <c r="AK319" s="74">
        <f>Valores!$C$11+AK318</f>
        <v>0</v>
      </c>
      <c r="AL319" s="74">
        <v>0</v>
      </c>
      <c r="AM319" s="74"/>
      <c r="AN319" s="76">
        <v>0</v>
      </c>
      <c r="AO319" s="78">
        <f t="shared" si="60"/>
        <v>0</v>
      </c>
      <c r="AP319" s="57">
        <f>AI319*-Valores!$C$65</f>
        <v>-2604.8446449999997</v>
      </c>
      <c r="AQ319" s="57">
        <f>AI319*-Valores!$C$66</f>
        <v>-100.18633249999999</v>
      </c>
      <c r="AR319" s="73">
        <f>AI319*-Valores!$C$67</f>
        <v>-901.6769924999999</v>
      </c>
      <c r="AS319" s="73">
        <f>AI319*-Valores!$C$68</f>
        <v>-541.0061955</v>
      </c>
      <c r="AT319" s="73">
        <f>AI319*-Valores!$C$69</f>
        <v>-60.1117995</v>
      </c>
      <c r="AU319" s="77">
        <f t="shared" si="56"/>
        <v>16430.558529999995</v>
      </c>
      <c r="AV319" s="77">
        <f t="shared" si="57"/>
        <v>16731.1175275</v>
      </c>
      <c r="AW319" s="73">
        <f>AI319*Valores!$C$71</f>
        <v>3205.9626399999997</v>
      </c>
      <c r="AX319" s="73">
        <f>AI319*Valores!$C$72</f>
        <v>901.6769924999999</v>
      </c>
      <c r="AY319" s="73">
        <f>AI319*Valores!$C$73</f>
        <v>200.37266499999998</v>
      </c>
      <c r="AZ319" s="73">
        <f>AI319*Valores!$C$75</f>
        <v>701.3043275</v>
      </c>
      <c r="BA319" s="73">
        <f>AI319*Valores!$C$76</f>
        <v>120.223599</v>
      </c>
      <c r="BB319" s="73">
        <f t="shared" si="61"/>
        <v>1082.012391</v>
      </c>
      <c r="BD319" s="125"/>
    </row>
    <row r="320" spans="1:54" ht="11.25" customHeight="1">
      <c r="A320" s="47">
        <v>319</v>
      </c>
      <c r="B320" s="47"/>
      <c r="D320" s="124">
        <v>1</v>
      </c>
      <c r="E320" s="124">
        <f t="shared" si="53"/>
        <v>26</v>
      </c>
      <c r="F320" s="49" t="s">
        <v>544</v>
      </c>
      <c r="G320" s="122">
        <f t="shared" si="65"/>
        <v>2325</v>
      </c>
      <c r="H320" s="69">
        <f>INT((G320*Valores!$C$2*100)+0.5)/100</f>
        <v>17784.16</v>
      </c>
      <c r="I320" s="108">
        <v>0</v>
      </c>
      <c r="J320" s="71">
        <f>INT((I320*Valores!$C$2*100)+0.5)/100</f>
        <v>0</v>
      </c>
      <c r="K320" s="98">
        <v>0</v>
      </c>
      <c r="L320" s="71">
        <f>INT((K320*Valores!$C$2*100)+0.5)/100</f>
        <v>0</v>
      </c>
      <c r="M320" s="96">
        <v>0</v>
      </c>
      <c r="N320" s="71">
        <f>INT((M320*Valores!$C$2*100)+0.5)/100</f>
        <v>0</v>
      </c>
      <c r="O320" s="71">
        <f t="shared" si="54"/>
        <v>2800.239</v>
      </c>
      <c r="P320" s="71">
        <f t="shared" si="55"/>
        <v>0</v>
      </c>
      <c r="Q320" s="97">
        <v>0</v>
      </c>
      <c r="R320" s="97">
        <v>0</v>
      </c>
      <c r="S320" s="71">
        <v>0</v>
      </c>
      <c r="T320" s="74">
        <f>Valores!$C$45+T319</f>
        <v>884.1000000000004</v>
      </c>
      <c r="U320" s="97">
        <v>0</v>
      </c>
      <c r="V320" s="71">
        <f t="shared" si="64"/>
        <v>0</v>
      </c>
      <c r="W320" s="71">
        <v>0</v>
      </c>
      <c r="X320" s="71">
        <v>0</v>
      </c>
      <c r="Y320" s="114">
        <v>0</v>
      </c>
      <c r="Z320" s="71">
        <v>0</v>
      </c>
      <c r="AA320" s="71">
        <v>0</v>
      </c>
      <c r="AB320" s="76">
        <v>0</v>
      </c>
      <c r="AC320" s="71">
        <f t="shared" si="58"/>
        <v>0</v>
      </c>
      <c r="AD320" s="71">
        <v>0</v>
      </c>
      <c r="AE320" s="75">
        <v>0</v>
      </c>
      <c r="AF320" s="71">
        <f>INT(((AE320*Valores!$C$2)*100)+0.5)/100</f>
        <v>0</v>
      </c>
      <c r="AG320" s="71"/>
      <c r="AH320" s="71"/>
      <c r="AI320" s="110">
        <f t="shared" si="59"/>
        <v>21468.499000000003</v>
      </c>
      <c r="AJ320" s="110"/>
      <c r="AK320" s="74">
        <f>Valores!$C$11+AK319</f>
        <v>0</v>
      </c>
      <c r="AL320" s="74">
        <v>0</v>
      </c>
      <c r="AM320" s="74"/>
      <c r="AN320" s="76">
        <v>0</v>
      </c>
      <c r="AO320" s="78">
        <f t="shared" si="60"/>
        <v>0</v>
      </c>
      <c r="AP320" s="57">
        <f>AI320*-Valores!$C$65</f>
        <v>-2790.9048700000008</v>
      </c>
      <c r="AQ320" s="57">
        <f>AI320*-Valores!$C$66</f>
        <v>-107.34249500000001</v>
      </c>
      <c r="AR320" s="73">
        <f>AI320*-Valores!$C$67</f>
        <v>-966.0824550000001</v>
      </c>
      <c r="AS320" s="73">
        <f>AI320*-Valores!$C$68</f>
        <v>-579.6494730000001</v>
      </c>
      <c r="AT320" s="73">
        <f>AI320*-Valores!$C$69</f>
        <v>-64.40549700000001</v>
      </c>
      <c r="AU320" s="77">
        <f t="shared" si="56"/>
        <v>17604.16918</v>
      </c>
      <c r="AV320" s="77">
        <f t="shared" si="57"/>
        <v>17926.196665</v>
      </c>
      <c r="AW320" s="73">
        <f>AI320*Valores!$C$71</f>
        <v>3434.9598400000004</v>
      </c>
      <c r="AX320" s="73">
        <f>AI320*Valores!$C$72</f>
        <v>966.0824550000001</v>
      </c>
      <c r="AY320" s="73">
        <f>AI320*Valores!$C$73</f>
        <v>214.68499000000003</v>
      </c>
      <c r="AZ320" s="73">
        <f>AI320*Valores!$C$75</f>
        <v>751.3974650000002</v>
      </c>
      <c r="BA320" s="73">
        <f>AI320*Valores!$C$76</f>
        <v>128.81099400000002</v>
      </c>
      <c r="BB320" s="73">
        <f t="shared" si="61"/>
        <v>1159.2989460000003</v>
      </c>
    </row>
    <row r="321" spans="1:57" ht="11.25" customHeight="1">
      <c r="A321" s="81">
        <v>320</v>
      </c>
      <c r="B321" s="81" t="s">
        <v>163</v>
      </c>
      <c r="C321" s="129"/>
      <c r="D321" s="124">
        <v>1</v>
      </c>
      <c r="E321" s="124">
        <f t="shared" si="53"/>
        <v>26</v>
      </c>
      <c r="F321" s="127" t="s">
        <v>545</v>
      </c>
      <c r="G321" s="128">
        <f t="shared" si="65"/>
        <v>2480</v>
      </c>
      <c r="H321" s="85">
        <f>INT((G321*Valores!$C$2*100)+0.5)/100</f>
        <v>18969.77</v>
      </c>
      <c r="I321" s="99">
        <v>0</v>
      </c>
      <c r="J321" s="87">
        <f>INT((I321*Valores!$C$2*100)+0.5)/100</f>
        <v>0</v>
      </c>
      <c r="K321" s="100">
        <v>0</v>
      </c>
      <c r="L321" s="87">
        <f>INT((K321*Valores!$C$2*100)+0.5)/100</f>
        <v>0</v>
      </c>
      <c r="M321" s="101">
        <v>0</v>
      </c>
      <c r="N321" s="87">
        <f>INT((M321*Valores!$C$2*100)+0.5)/100</f>
        <v>0</v>
      </c>
      <c r="O321" s="87">
        <f t="shared" si="54"/>
        <v>2986.9215</v>
      </c>
      <c r="P321" s="87">
        <f t="shared" si="55"/>
        <v>0</v>
      </c>
      <c r="Q321" s="103">
        <v>0</v>
      </c>
      <c r="R321" s="103">
        <v>0</v>
      </c>
      <c r="S321" s="87">
        <v>0</v>
      </c>
      <c r="T321" s="90">
        <f>Valores!$C$45+T320</f>
        <v>943.0400000000004</v>
      </c>
      <c r="U321" s="103">
        <v>0</v>
      </c>
      <c r="V321" s="87">
        <f t="shared" si="64"/>
        <v>0</v>
      </c>
      <c r="W321" s="87">
        <v>0</v>
      </c>
      <c r="X321" s="87">
        <v>0</v>
      </c>
      <c r="Y321" s="115">
        <v>0</v>
      </c>
      <c r="Z321" s="87">
        <v>0</v>
      </c>
      <c r="AA321" s="87">
        <v>0</v>
      </c>
      <c r="AB321" s="92">
        <v>0</v>
      </c>
      <c r="AC321" s="87">
        <f t="shared" si="58"/>
        <v>0</v>
      </c>
      <c r="AD321" s="87">
        <v>0</v>
      </c>
      <c r="AE321" s="91">
        <v>0</v>
      </c>
      <c r="AF321" s="87">
        <f>INT(((AE321*Valores!$C$2)*100)+0.5)/100</f>
        <v>0</v>
      </c>
      <c r="AG321" s="87"/>
      <c r="AH321" s="87"/>
      <c r="AI321" s="111">
        <f t="shared" si="59"/>
        <v>22899.7315</v>
      </c>
      <c r="AJ321" s="111"/>
      <c r="AK321" s="90">
        <f>Valores!$C$11+AK320</f>
        <v>0</v>
      </c>
      <c r="AL321" s="90">
        <v>0</v>
      </c>
      <c r="AM321" s="90"/>
      <c r="AN321" s="92">
        <v>0</v>
      </c>
      <c r="AO321" s="94">
        <f t="shared" si="60"/>
        <v>0</v>
      </c>
      <c r="AP321" s="112">
        <f>AI321*-Valores!$C$65</f>
        <v>-2976.9650950000005</v>
      </c>
      <c r="AQ321" s="112">
        <f>AI321*-Valores!$C$66</f>
        <v>-114.49865750000001</v>
      </c>
      <c r="AR321" s="89">
        <f>AI321*-Valores!$C$67</f>
        <v>-1030.4879175</v>
      </c>
      <c r="AS321" s="89">
        <f>AI321*-Valores!$C$68</f>
        <v>-618.2927505</v>
      </c>
      <c r="AT321" s="89">
        <f>AI321*-Valores!$C$69</f>
        <v>-68.6991945</v>
      </c>
      <c r="AU321" s="93">
        <f t="shared" si="56"/>
        <v>18777.779830000003</v>
      </c>
      <c r="AV321" s="93">
        <f t="shared" si="57"/>
        <v>19121.2758025</v>
      </c>
      <c r="AW321" s="89">
        <f>AI321*Valores!$C$71</f>
        <v>3663.9570400000002</v>
      </c>
      <c r="AX321" s="89">
        <f>AI321*Valores!$C$72</f>
        <v>1030.4879175</v>
      </c>
      <c r="AY321" s="89">
        <f>AI321*Valores!$C$73</f>
        <v>228.99731500000001</v>
      </c>
      <c r="AZ321" s="89">
        <f>AI321*Valores!$C$75</f>
        <v>801.4906025000001</v>
      </c>
      <c r="BA321" s="89">
        <f>AI321*Valores!$C$76</f>
        <v>137.398389</v>
      </c>
      <c r="BB321" s="89">
        <f t="shared" si="61"/>
        <v>1236.5855010000002</v>
      </c>
      <c r="BC321" s="125"/>
      <c r="BD321" s="125"/>
      <c r="BE321" s="82" t="s">
        <v>4</v>
      </c>
    </row>
    <row r="322" spans="1:57" ht="11.25" customHeight="1">
      <c r="A322" s="47">
        <v>321</v>
      </c>
      <c r="B322" s="47"/>
      <c r="C322" s="130" t="s">
        <v>525</v>
      </c>
      <c r="D322" s="124">
        <v>1</v>
      </c>
      <c r="E322" s="124">
        <f t="shared" si="53"/>
        <v>40</v>
      </c>
      <c r="F322" s="49" t="s">
        <v>546</v>
      </c>
      <c r="G322" s="122">
        <v>250</v>
      </c>
      <c r="H322" s="69">
        <f>INT((G322*Valores!$C$2*100)+0.5)/100</f>
        <v>1912.28</v>
      </c>
      <c r="I322" s="108">
        <v>0</v>
      </c>
      <c r="J322" s="71">
        <f>INT((I322*Valores!$C$2*100)+0.5)/100</f>
        <v>0</v>
      </c>
      <c r="K322" s="98">
        <v>0</v>
      </c>
      <c r="L322" s="71">
        <f>INT((K322*Valores!$C$2*100)+0.5)/100</f>
        <v>0</v>
      </c>
      <c r="M322" s="96">
        <v>0</v>
      </c>
      <c r="N322" s="71">
        <f>INT((M322*Valores!$C$2*100)+0.5)/100</f>
        <v>0</v>
      </c>
      <c r="O322" s="71">
        <f t="shared" si="54"/>
        <v>0</v>
      </c>
      <c r="P322" s="71">
        <f t="shared" si="55"/>
        <v>0</v>
      </c>
      <c r="Q322" s="97">
        <v>0</v>
      </c>
      <c r="R322" s="97">
        <v>0</v>
      </c>
      <c r="S322" s="71">
        <v>0</v>
      </c>
      <c r="T322" s="74">
        <f>Valores!$C$46</f>
        <v>141.42</v>
      </c>
      <c r="U322" s="97">
        <v>0</v>
      </c>
      <c r="V322" s="71">
        <f t="shared" si="64"/>
        <v>0</v>
      </c>
      <c r="W322" s="71">
        <v>0</v>
      </c>
      <c r="X322" s="71">
        <v>0</v>
      </c>
      <c r="Y322" s="114">
        <v>0</v>
      </c>
      <c r="Z322" s="71">
        <v>0</v>
      </c>
      <c r="AA322" s="71">
        <v>0</v>
      </c>
      <c r="AB322" s="76">
        <v>0</v>
      </c>
      <c r="AC322" s="71">
        <f t="shared" si="58"/>
        <v>0</v>
      </c>
      <c r="AD322" s="71">
        <v>0</v>
      </c>
      <c r="AE322" s="75">
        <v>0</v>
      </c>
      <c r="AF322" s="71">
        <f>INT(((AE322*Valores!$C$2)*100)+0.5)/100</f>
        <v>0</v>
      </c>
      <c r="AG322" s="71"/>
      <c r="AH322" s="71"/>
      <c r="AI322" s="110">
        <f t="shared" si="59"/>
        <v>2053.7</v>
      </c>
      <c r="AJ322" s="110"/>
      <c r="AK322" s="74">
        <f>Valores!$C$12</f>
        <v>0</v>
      </c>
      <c r="AL322" s="74">
        <v>0</v>
      </c>
      <c r="AM322" s="74"/>
      <c r="AN322" s="76">
        <v>0</v>
      </c>
      <c r="AO322" s="78">
        <f t="shared" si="60"/>
        <v>0</v>
      </c>
      <c r="AP322" s="57">
        <f>AI322*-Valores!$C$65</f>
        <v>-266.981</v>
      </c>
      <c r="AQ322" s="57">
        <f>AI322*-Valores!$C$66</f>
        <v>-10.2685</v>
      </c>
      <c r="AR322" s="73">
        <f>AI322*-Valores!$C$67</f>
        <v>-92.41649999999998</v>
      </c>
      <c r="AS322" s="73">
        <f>AI322*-Valores!$C$68</f>
        <v>-55.44989999999999</v>
      </c>
      <c r="AT322" s="73">
        <f>AI322*-Valores!$C$69</f>
        <v>-6.161099999999999</v>
      </c>
      <c r="AU322" s="77">
        <f t="shared" si="56"/>
        <v>1684.0339999999999</v>
      </c>
      <c r="AV322" s="77">
        <f t="shared" si="57"/>
        <v>1714.8394999999998</v>
      </c>
      <c r="AW322" s="73">
        <f>AI322*Valores!$C$71</f>
        <v>328.592</v>
      </c>
      <c r="AX322" s="73">
        <f>AI322*Valores!$C$72</f>
        <v>92.41649999999998</v>
      </c>
      <c r="AY322" s="73">
        <f>AI322*Valores!$C$73</f>
        <v>20.537</v>
      </c>
      <c r="AZ322" s="73">
        <f>AI322*Valores!$C$75</f>
        <v>71.87950000000001</v>
      </c>
      <c r="BA322" s="73">
        <f>AI322*Valores!$C$76</f>
        <v>12.322199999999999</v>
      </c>
      <c r="BB322" s="73">
        <f t="shared" si="61"/>
        <v>110.8998</v>
      </c>
      <c r="BE322" s="24" t="s">
        <v>4</v>
      </c>
    </row>
    <row r="323" spans="1:57" ht="11.25" customHeight="1">
      <c r="A323" s="47">
        <v>322</v>
      </c>
      <c r="B323" s="47"/>
      <c r="C323" s="131" t="s">
        <v>525</v>
      </c>
      <c r="D323" s="124">
        <v>1</v>
      </c>
      <c r="E323" s="124">
        <f t="shared" si="53"/>
        <v>40</v>
      </c>
      <c r="F323" s="49" t="s">
        <v>547</v>
      </c>
      <c r="G323" s="122">
        <v>226</v>
      </c>
      <c r="H323" s="69">
        <f>INT((G323*Valores!$C$2*100)+0.5)/100</f>
        <v>1728.7</v>
      </c>
      <c r="I323" s="108">
        <v>0</v>
      </c>
      <c r="J323" s="71">
        <f>INT((I323*Valores!$C$2*100)+0.5)/100</f>
        <v>0</v>
      </c>
      <c r="K323" s="98">
        <v>0</v>
      </c>
      <c r="L323" s="71">
        <f>INT((K323*Valores!$C$2*100)+0.5)/100</f>
        <v>0</v>
      </c>
      <c r="M323" s="96">
        <v>0</v>
      </c>
      <c r="N323" s="71">
        <f>INT((M323*Valores!$C$2*100)+0.5)/100</f>
        <v>0</v>
      </c>
      <c r="O323" s="71">
        <f t="shared" si="54"/>
        <v>0</v>
      </c>
      <c r="P323" s="71">
        <f t="shared" si="55"/>
        <v>0</v>
      </c>
      <c r="Q323" s="97">
        <v>0</v>
      </c>
      <c r="R323" s="97">
        <v>0</v>
      </c>
      <c r="S323" s="71">
        <v>0</v>
      </c>
      <c r="T323" s="74">
        <f>Valores!$C$46</f>
        <v>141.42</v>
      </c>
      <c r="U323" s="97">
        <v>0</v>
      </c>
      <c r="V323" s="71">
        <f t="shared" si="64"/>
        <v>0</v>
      </c>
      <c r="W323" s="71">
        <v>0</v>
      </c>
      <c r="X323" s="71">
        <v>0</v>
      </c>
      <c r="Y323" s="114">
        <v>0</v>
      </c>
      <c r="Z323" s="71">
        <v>0</v>
      </c>
      <c r="AA323" s="71">
        <v>0</v>
      </c>
      <c r="AB323" s="76">
        <v>0</v>
      </c>
      <c r="AC323" s="71">
        <f t="shared" si="58"/>
        <v>0</v>
      </c>
      <c r="AD323" s="71">
        <v>0</v>
      </c>
      <c r="AE323" s="75">
        <v>0</v>
      </c>
      <c r="AF323" s="71">
        <f>INT(((AE323*Valores!$C$2)*100)+0.5)/100</f>
        <v>0</v>
      </c>
      <c r="AG323" s="71"/>
      <c r="AH323" s="71"/>
      <c r="AI323" s="110">
        <f t="shared" si="59"/>
        <v>1870.1200000000001</v>
      </c>
      <c r="AJ323" s="110"/>
      <c r="AK323" s="74">
        <f>Valores!$C$12</f>
        <v>0</v>
      </c>
      <c r="AL323" s="74">
        <v>0</v>
      </c>
      <c r="AM323" s="74"/>
      <c r="AN323" s="76">
        <v>0</v>
      </c>
      <c r="AO323" s="78">
        <f t="shared" si="60"/>
        <v>0</v>
      </c>
      <c r="AP323" s="57">
        <f>AI323*-Valores!$C$65</f>
        <v>-243.11560000000003</v>
      </c>
      <c r="AQ323" s="57">
        <f>AI323*-Valores!$C$66</f>
        <v>-9.3506</v>
      </c>
      <c r="AR323" s="73">
        <f>AI323*-Valores!$C$67</f>
        <v>-84.1554</v>
      </c>
      <c r="AS323" s="73">
        <f>AI323*-Valores!$C$68</f>
        <v>-50.49324</v>
      </c>
      <c r="AT323" s="73">
        <f>AI323*-Valores!$C$69</f>
        <v>-5.610360000000001</v>
      </c>
      <c r="AU323" s="77">
        <f t="shared" si="56"/>
        <v>1533.4984</v>
      </c>
      <c r="AV323" s="77">
        <f t="shared" si="57"/>
        <v>1561.5502000000001</v>
      </c>
      <c r="AW323" s="73">
        <f>AI323*Valores!$C$71</f>
        <v>299.2192</v>
      </c>
      <c r="AX323" s="73">
        <f>AI323*Valores!$C$72</f>
        <v>84.1554</v>
      </c>
      <c r="AY323" s="73">
        <f>AI323*Valores!$C$73</f>
        <v>18.7012</v>
      </c>
      <c r="AZ323" s="73">
        <f>AI323*Valores!$C$75</f>
        <v>65.45420000000001</v>
      </c>
      <c r="BA323" s="73">
        <f>AI323*Valores!$C$76</f>
        <v>11.220720000000002</v>
      </c>
      <c r="BB323" s="73">
        <f t="shared" si="61"/>
        <v>100.98648000000001</v>
      </c>
      <c r="BE323" s="24" t="s">
        <v>4</v>
      </c>
    </row>
    <row r="324" spans="1:57" ht="11.25" customHeight="1">
      <c r="A324" s="47">
        <v>323</v>
      </c>
      <c r="B324" s="47"/>
      <c r="C324" s="131" t="s">
        <v>525</v>
      </c>
      <c r="D324" s="124">
        <v>1</v>
      </c>
      <c r="E324" s="124">
        <f t="shared" si="53"/>
        <v>40</v>
      </c>
      <c r="F324" s="49" t="s">
        <v>548</v>
      </c>
      <c r="G324" s="122">
        <v>222</v>
      </c>
      <c r="H324" s="69">
        <f>INT((G324*Valores!$C$2*100)+0.5)/100</f>
        <v>1698.1</v>
      </c>
      <c r="I324" s="108">
        <v>0</v>
      </c>
      <c r="J324" s="71">
        <f>INT((I324*Valores!$C$2*100)+0.5)/100</f>
        <v>0</v>
      </c>
      <c r="K324" s="98">
        <v>0</v>
      </c>
      <c r="L324" s="71">
        <f>INT((K324*Valores!$C$2*100)+0.5)/100</f>
        <v>0</v>
      </c>
      <c r="M324" s="96">
        <v>0</v>
      </c>
      <c r="N324" s="71">
        <f>INT((M324*Valores!$C$2*100)+0.5)/100</f>
        <v>0</v>
      </c>
      <c r="O324" s="71">
        <f t="shared" si="54"/>
        <v>0</v>
      </c>
      <c r="P324" s="71">
        <f t="shared" si="55"/>
        <v>0</v>
      </c>
      <c r="Q324" s="97">
        <v>0</v>
      </c>
      <c r="R324" s="97">
        <v>0</v>
      </c>
      <c r="S324" s="71">
        <v>0</v>
      </c>
      <c r="T324" s="74">
        <f>Valores!$C$46</f>
        <v>141.42</v>
      </c>
      <c r="U324" s="97">
        <v>0</v>
      </c>
      <c r="V324" s="71">
        <f t="shared" si="64"/>
        <v>0</v>
      </c>
      <c r="W324" s="71">
        <v>0</v>
      </c>
      <c r="X324" s="71">
        <v>0</v>
      </c>
      <c r="Y324" s="114">
        <v>0</v>
      </c>
      <c r="Z324" s="71">
        <v>0</v>
      </c>
      <c r="AA324" s="71">
        <v>0</v>
      </c>
      <c r="AB324" s="76">
        <v>0</v>
      </c>
      <c r="AC324" s="71">
        <f t="shared" si="58"/>
        <v>0</v>
      </c>
      <c r="AD324" s="71">
        <v>0</v>
      </c>
      <c r="AE324" s="75">
        <v>0</v>
      </c>
      <c r="AF324" s="71">
        <f>INT(((AE324*Valores!$C$2)*100)+0.5)/100</f>
        <v>0</v>
      </c>
      <c r="AG324" s="71"/>
      <c r="AH324" s="71"/>
      <c r="AI324" s="110">
        <f t="shared" si="59"/>
        <v>1839.52</v>
      </c>
      <c r="AJ324" s="110"/>
      <c r="AK324" s="74">
        <f>Valores!$C$12</f>
        <v>0</v>
      </c>
      <c r="AL324" s="74">
        <v>0</v>
      </c>
      <c r="AM324" s="74"/>
      <c r="AN324" s="76">
        <v>0</v>
      </c>
      <c r="AO324" s="78">
        <f t="shared" si="60"/>
        <v>0</v>
      </c>
      <c r="AP324" s="57">
        <f>AI324*-Valores!$C$65</f>
        <v>-239.1376</v>
      </c>
      <c r="AQ324" s="57">
        <f>AI324*-Valores!$C$66</f>
        <v>-9.1976</v>
      </c>
      <c r="AR324" s="73">
        <f>AI324*-Valores!$C$67</f>
        <v>-82.77839999999999</v>
      </c>
      <c r="AS324" s="73">
        <f>AI324*-Valores!$C$68</f>
        <v>-49.66704</v>
      </c>
      <c r="AT324" s="73">
        <f>AI324*-Valores!$C$69</f>
        <v>-5.51856</v>
      </c>
      <c r="AU324" s="77">
        <f t="shared" si="56"/>
        <v>1508.4064</v>
      </c>
      <c r="AV324" s="77">
        <f t="shared" si="57"/>
        <v>1535.9992</v>
      </c>
      <c r="AW324" s="73">
        <f>AI324*Valores!$C$71</f>
        <v>294.3232</v>
      </c>
      <c r="AX324" s="73">
        <f>AI324*Valores!$C$72</f>
        <v>82.77839999999999</v>
      </c>
      <c r="AY324" s="73">
        <f>AI324*Valores!$C$73</f>
        <v>18.3952</v>
      </c>
      <c r="AZ324" s="73">
        <f>AI324*Valores!$C$75</f>
        <v>64.3832</v>
      </c>
      <c r="BA324" s="73">
        <f>AI324*Valores!$C$76</f>
        <v>11.03712</v>
      </c>
      <c r="BB324" s="73">
        <f t="shared" si="61"/>
        <v>99.33408000000001</v>
      </c>
      <c r="BE324" s="24" t="s">
        <v>4</v>
      </c>
    </row>
    <row r="325" spans="1:57" ht="11.25" customHeight="1">
      <c r="A325" s="47">
        <v>324</v>
      </c>
      <c r="B325" s="47"/>
      <c r="C325" s="131" t="s">
        <v>525</v>
      </c>
      <c r="D325" s="124">
        <v>1</v>
      </c>
      <c r="E325" s="124">
        <f t="shared" si="53"/>
        <v>40</v>
      </c>
      <c r="F325" s="49" t="s">
        <v>549</v>
      </c>
      <c r="G325" s="122">
        <v>226</v>
      </c>
      <c r="H325" s="69">
        <f>INT((G325*Valores!$C$2*100)+0.5)/100</f>
        <v>1728.7</v>
      </c>
      <c r="I325" s="108">
        <v>0</v>
      </c>
      <c r="J325" s="71">
        <f>INT((I325*Valores!$C$2*100)+0.5)/100</f>
        <v>0</v>
      </c>
      <c r="K325" s="98">
        <v>0</v>
      </c>
      <c r="L325" s="71">
        <f>INT((K325*Valores!$C$2*100)+0.5)/100</f>
        <v>0</v>
      </c>
      <c r="M325" s="96">
        <v>0</v>
      </c>
      <c r="N325" s="71">
        <f>INT((M325*Valores!$C$2*100)+0.5)/100</f>
        <v>0</v>
      </c>
      <c r="O325" s="71">
        <f t="shared" si="54"/>
        <v>0</v>
      </c>
      <c r="P325" s="71">
        <f t="shared" si="55"/>
        <v>0</v>
      </c>
      <c r="Q325" s="97">
        <v>0</v>
      </c>
      <c r="R325" s="97">
        <v>0</v>
      </c>
      <c r="S325" s="71">
        <v>0</v>
      </c>
      <c r="T325" s="74">
        <f>Valores!$C$46</f>
        <v>141.42</v>
      </c>
      <c r="U325" s="74">
        <v>0</v>
      </c>
      <c r="V325" s="71">
        <f t="shared" si="64"/>
        <v>0</v>
      </c>
      <c r="W325" s="71">
        <v>0</v>
      </c>
      <c r="X325" s="71">
        <v>0</v>
      </c>
      <c r="Y325" s="114">
        <v>0</v>
      </c>
      <c r="Z325" s="71">
        <v>0</v>
      </c>
      <c r="AA325" s="71">
        <v>0</v>
      </c>
      <c r="AB325" s="76">
        <v>0</v>
      </c>
      <c r="AC325" s="71">
        <f t="shared" si="58"/>
        <v>0</v>
      </c>
      <c r="AD325" s="71">
        <v>0</v>
      </c>
      <c r="AE325" s="75">
        <v>0</v>
      </c>
      <c r="AF325" s="71">
        <f>INT(((AE325*Valores!$C$2)*100)+0.5)/100</f>
        <v>0</v>
      </c>
      <c r="AG325" s="71"/>
      <c r="AH325" s="71"/>
      <c r="AI325" s="110">
        <f t="shared" si="59"/>
        <v>1870.1200000000001</v>
      </c>
      <c r="AJ325" s="110"/>
      <c r="AK325" s="74">
        <f>Valores!$C$12</f>
        <v>0</v>
      </c>
      <c r="AL325" s="74">
        <v>0</v>
      </c>
      <c r="AM325" s="74"/>
      <c r="AN325" s="76">
        <v>0</v>
      </c>
      <c r="AO325" s="78">
        <f t="shared" si="60"/>
        <v>0</v>
      </c>
      <c r="AP325" s="57">
        <f>AI325*-Valores!$C$65</f>
        <v>-243.11560000000003</v>
      </c>
      <c r="AQ325" s="57">
        <f>AI325*-Valores!$C$66</f>
        <v>-9.3506</v>
      </c>
      <c r="AR325" s="73">
        <f>AI325*-Valores!$C$67</f>
        <v>-84.1554</v>
      </c>
      <c r="AS325" s="73">
        <f>AI325*-Valores!$C$68</f>
        <v>-50.49324</v>
      </c>
      <c r="AT325" s="73">
        <f>AI325*-Valores!$C$69</f>
        <v>-5.610360000000001</v>
      </c>
      <c r="AU325" s="77">
        <f t="shared" si="56"/>
        <v>1533.4984</v>
      </c>
      <c r="AV325" s="77">
        <f t="shared" si="57"/>
        <v>1561.5502000000001</v>
      </c>
      <c r="AW325" s="73">
        <f>AI325*Valores!$C$71</f>
        <v>299.2192</v>
      </c>
      <c r="AX325" s="73">
        <f>AI325*Valores!$C$72</f>
        <v>84.1554</v>
      </c>
      <c r="AY325" s="73">
        <f>AI325*Valores!$C$73</f>
        <v>18.7012</v>
      </c>
      <c r="AZ325" s="73">
        <f>AI325*Valores!$C$75</f>
        <v>65.45420000000001</v>
      </c>
      <c r="BA325" s="73">
        <f>AI325*Valores!$C$76</f>
        <v>11.220720000000002</v>
      </c>
      <c r="BB325" s="73">
        <f t="shared" si="61"/>
        <v>100.98648000000001</v>
      </c>
      <c r="BD325" s="125"/>
      <c r="BE325" s="24" t="s">
        <v>4</v>
      </c>
    </row>
    <row r="326" spans="1:57" ht="11.25" customHeight="1">
      <c r="A326" s="81">
        <v>325</v>
      </c>
      <c r="B326" s="81" t="s">
        <v>163</v>
      </c>
      <c r="C326" s="132" t="s">
        <v>525</v>
      </c>
      <c r="D326" s="124">
        <v>1</v>
      </c>
      <c r="E326" s="124">
        <f t="shared" si="53"/>
        <v>43</v>
      </c>
      <c r="F326" s="127" t="s">
        <v>550</v>
      </c>
      <c r="G326" s="128">
        <v>220</v>
      </c>
      <c r="H326" s="85">
        <f>INT((G326*Valores!$C$2*100)+0.5)/100</f>
        <v>1682.8</v>
      </c>
      <c r="I326" s="99">
        <v>0</v>
      </c>
      <c r="J326" s="87">
        <f>INT((I326*Valores!$C$2*100)+0.5)/100</f>
        <v>0</v>
      </c>
      <c r="K326" s="100">
        <v>0</v>
      </c>
      <c r="L326" s="87">
        <f>INT((K326*Valores!$C$2*100)+0.5)/100</f>
        <v>0</v>
      </c>
      <c r="M326" s="101">
        <v>0</v>
      </c>
      <c r="N326" s="87">
        <f>INT((M326*Valores!$C$2*100)+0.5)/100</f>
        <v>0</v>
      </c>
      <c r="O326" s="87">
        <f t="shared" si="54"/>
        <v>0</v>
      </c>
      <c r="P326" s="87">
        <f t="shared" si="55"/>
        <v>0</v>
      </c>
      <c r="Q326" s="103">
        <v>0</v>
      </c>
      <c r="R326" s="103">
        <v>0</v>
      </c>
      <c r="S326" s="87">
        <v>0</v>
      </c>
      <c r="T326" s="90">
        <f>Valores!$C$46</f>
        <v>141.42</v>
      </c>
      <c r="U326" s="103">
        <v>0</v>
      </c>
      <c r="V326" s="87">
        <f t="shared" si="64"/>
        <v>0</v>
      </c>
      <c r="W326" s="87">
        <v>0</v>
      </c>
      <c r="X326" s="87">
        <v>0</v>
      </c>
      <c r="Y326" s="115">
        <v>0</v>
      </c>
      <c r="Z326" s="87">
        <v>0</v>
      </c>
      <c r="AA326" s="87">
        <v>0</v>
      </c>
      <c r="AB326" s="92">
        <v>0</v>
      </c>
      <c r="AC326" s="87">
        <f t="shared" si="58"/>
        <v>0</v>
      </c>
      <c r="AD326" s="87">
        <v>0</v>
      </c>
      <c r="AE326" s="91">
        <v>0</v>
      </c>
      <c r="AF326" s="87">
        <f>INT(((AE326*Valores!$C$2)*100)+0.5)/100</f>
        <v>0</v>
      </c>
      <c r="AG326" s="87"/>
      <c r="AH326" s="87"/>
      <c r="AI326" s="111">
        <f t="shared" si="59"/>
        <v>1824.22</v>
      </c>
      <c r="AJ326" s="111"/>
      <c r="AK326" s="90">
        <f>Valores!$C$12</f>
        <v>0</v>
      </c>
      <c r="AL326" s="90">
        <v>0</v>
      </c>
      <c r="AM326" s="90"/>
      <c r="AN326" s="92">
        <v>0</v>
      </c>
      <c r="AO326" s="94">
        <f t="shared" si="60"/>
        <v>0</v>
      </c>
      <c r="AP326" s="112">
        <f>AI326*-Valores!$C$65</f>
        <v>-237.14860000000002</v>
      </c>
      <c r="AQ326" s="112">
        <f>AI326*-Valores!$C$66</f>
        <v>-9.1211</v>
      </c>
      <c r="AR326" s="89">
        <f>AI326*-Valores!$C$67</f>
        <v>-82.0899</v>
      </c>
      <c r="AS326" s="89">
        <f>AI326*-Valores!$C$68</f>
        <v>-49.25394</v>
      </c>
      <c r="AT326" s="89">
        <f>AI326*-Valores!$C$69</f>
        <v>-5.47266</v>
      </c>
      <c r="AU326" s="93">
        <f t="shared" si="56"/>
        <v>1495.8604</v>
      </c>
      <c r="AV326" s="93">
        <f t="shared" si="57"/>
        <v>1523.2237</v>
      </c>
      <c r="AW326" s="89">
        <f>AI326*Valores!$C$71</f>
        <v>291.8752</v>
      </c>
      <c r="AX326" s="89">
        <f>AI326*Valores!$C$72</f>
        <v>82.0899</v>
      </c>
      <c r="AY326" s="89">
        <f>AI326*Valores!$C$73</f>
        <v>18.2422</v>
      </c>
      <c r="AZ326" s="89">
        <f>AI326*Valores!$C$75</f>
        <v>63.84770000000001</v>
      </c>
      <c r="BA326" s="89">
        <f>AI326*Valores!$C$76</f>
        <v>10.94532</v>
      </c>
      <c r="BB326" s="89">
        <f t="shared" si="61"/>
        <v>98.50788</v>
      </c>
      <c r="BC326" s="125"/>
      <c r="BD326" s="125"/>
      <c r="BE326" s="82" t="s">
        <v>4</v>
      </c>
    </row>
    <row r="327" spans="1:57" ht="11.25" customHeight="1">
      <c r="A327" s="47">
        <v>326</v>
      </c>
      <c r="B327" s="47"/>
      <c r="C327" s="130" t="s">
        <v>525</v>
      </c>
      <c r="E327" s="124">
        <f>LEN(F327)</f>
        <v>46</v>
      </c>
      <c r="F327" s="49" t="s">
        <v>551</v>
      </c>
      <c r="G327" s="122">
        <v>212</v>
      </c>
      <c r="H327" s="69">
        <f>INT((G327*Valores!$C$2*100)+0.5)/100</f>
        <v>1621.61</v>
      </c>
      <c r="I327" s="108">
        <v>0</v>
      </c>
      <c r="J327" s="71">
        <f>INT((I327*Valores!$C$2*100)+0.5)/100</f>
        <v>0</v>
      </c>
      <c r="K327" s="98">
        <v>0</v>
      </c>
      <c r="L327" s="71">
        <f>INT((K327*Valores!$C$2*100)+0.5)/100</f>
        <v>0</v>
      </c>
      <c r="M327" s="96">
        <v>0</v>
      </c>
      <c r="N327" s="71">
        <f>INT((M327*Valores!$C$2*100)+0.5)/100</f>
        <v>0</v>
      </c>
      <c r="O327" s="71">
        <f>IF($J$2=0,IF(C327&lt;&gt;"13-930",(SUM(H327,J327,L327,N327,Z327,U327,T327)*$O$2),0),0)</f>
        <v>0</v>
      </c>
      <c r="P327" s="71">
        <f t="shared" si="55"/>
        <v>0</v>
      </c>
      <c r="Q327" s="97">
        <v>0</v>
      </c>
      <c r="R327" s="97">
        <v>0</v>
      </c>
      <c r="S327" s="71">
        <v>0</v>
      </c>
      <c r="T327" s="74">
        <f>Valores!$C$46</f>
        <v>141.42</v>
      </c>
      <c r="U327" s="97">
        <v>0</v>
      </c>
      <c r="V327" s="71">
        <f t="shared" si="64"/>
        <v>0</v>
      </c>
      <c r="W327" s="71">
        <v>0</v>
      </c>
      <c r="X327" s="71">
        <v>0</v>
      </c>
      <c r="Y327" s="114">
        <v>0</v>
      </c>
      <c r="Z327" s="71">
        <v>0</v>
      </c>
      <c r="AA327" s="71">
        <v>0</v>
      </c>
      <c r="AB327" s="76">
        <v>0</v>
      </c>
      <c r="AC327" s="71">
        <f t="shared" si="58"/>
        <v>0</v>
      </c>
      <c r="AD327" s="71">
        <v>0</v>
      </c>
      <c r="AE327" s="75">
        <v>0</v>
      </c>
      <c r="AF327" s="71">
        <f>INT(((AE327*Valores!$C$2)*100)+0.5)/100</f>
        <v>0</v>
      </c>
      <c r="AG327" s="71"/>
      <c r="AH327" s="71"/>
      <c r="AI327" s="110">
        <f t="shared" si="59"/>
        <v>1763.03</v>
      </c>
      <c r="AJ327" s="110"/>
      <c r="AK327" s="74">
        <f>Valores!$C$12</f>
        <v>0</v>
      </c>
      <c r="AL327" s="74">
        <v>0</v>
      </c>
      <c r="AM327" s="74"/>
      <c r="AN327" s="76">
        <v>0</v>
      </c>
      <c r="AO327" s="78">
        <f t="shared" si="60"/>
        <v>0</v>
      </c>
      <c r="AP327" s="57">
        <f>AI327*-Valores!$C$65</f>
        <v>-229.1939</v>
      </c>
      <c r="AQ327" s="57">
        <f>AI327*-Valores!$C$66</f>
        <v>-8.815150000000001</v>
      </c>
      <c r="AR327" s="73">
        <f>AI327*-Valores!$C$67</f>
        <v>-79.33635</v>
      </c>
      <c r="AS327" s="73">
        <f>AI327*-Valores!$C$68</f>
        <v>-47.60181</v>
      </c>
      <c r="AT327" s="73">
        <f>AI327*-Valores!$C$69</f>
        <v>-5.28909</v>
      </c>
      <c r="AU327" s="77">
        <f t="shared" si="56"/>
        <v>1445.6846</v>
      </c>
      <c r="AV327" s="77">
        <f t="shared" si="57"/>
        <v>1472.1300500000002</v>
      </c>
      <c r="AW327" s="73">
        <f>AI327*Valores!$C$71</f>
        <v>282.08480000000003</v>
      </c>
      <c r="AX327" s="73">
        <f>AI327*Valores!$C$72</f>
        <v>79.33635</v>
      </c>
      <c r="AY327" s="73">
        <f>AI327*Valores!$C$73</f>
        <v>17.630300000000002</v>
      </c>
      <c r="AZ327" s="73">
        <f>AI327*Valores!$C$75</f>
        <v>61.706050000000005</v>
      </c>
      <c r="BA327" s="73">
        <f>AI327*Valores!$C$76</f>
        <v>10.57818</v>
      </c>
      <c r="BB327" s="73">
        <f t="shared" si="61"/>
        <v>95.20362000000002</v>
      </c>
      <c r="BE327" s="24" t="s">
        <v>4</v>
      </c>
    </row>
    <row r="329" spans="10:36" ht="11.25" customHeight="1">
      <c r="J329" s="15"/>
      <c r="P329" s="15"/>
      <c r="Q329" s="15"/>
      <c r="R329" s="15"/>
      <c r="S329" s="15"/>
      <c r="T329" s="15"/>
      <c r="U329" s="15"/>
      <c r="V329" s="15"/>
      <c r="W329" s="15"/>
      <c r="X329" s="15"/>
      <c r="Y329" s="133">
        <f>Y47-Y54</f>
        <v>0</v>
      </c>
      <c r="Z329" s="15"/>
      <c r="AA329" s="15"/>
      <c r="AB329" s="15"/>
      <c r="AC329" s="15"/>
      <c r="AD329" s="15"/>
      <c r="AI329" s="134"/>
      <c r="AJ329" s="135"/>
    </row>
  </sheetData>
  <autoFilter ref="A6:BE327"/>
  <mergeCells count="10">
    <mergeCell ref="C1:AN1"/>
    <mergeCell ref="AN2:AN3"/>
    <mergeCell ref="I3:J3"/>
    <mergeCell ref="K3:L3"/>
    <mergeCell ref="G5:H5"/>
    <mergeCell ref="I5:J5"/>
    <mergeCell ref="K5:L5"/>
    <mergeCell ref="M5:N5"/>
    <mergeCell ref="Y5:Z5"/>
    <mergeCell ref="AE5:AF5"/>
  </mergeCells>
  <conditionalFormatting sqref="C257:AC257 AE257:AM257 AK192:AM257 C258:AM327 AN7:BE327 C7:AM256 AM241:AM302">
    <cfRule type="expression" priority="2" dxfId="1">
      <formula>$BE7="SI"</formula>
    </cfRule>
  </conditionalFormatting>
  <conditionalFormatting sqref="AD257">
    <cfRule type="expression" priority="3" dxfId="1">
      <formula>$BE257="SI"</formula>
    </cfRule>
  </conditionalFormatting>
  <conditionalFormatting sqref="BE192:BE321 BE93 AX89:BB91 BC7:BC93 AO7:AW87 AO89:AW90 AO92:BB93 C322:BE327 C7:AN93 AM81:AM122 C94:BD321">
    <cfRule type="expression" priority="4" dxfId="0">
      <formula>#REF!="x"</formula>
    </cfRule>
  </conditionalFormatting>
  <conditionalFormatting sqref="BE89:BE91 AO91:AW91">
    <cfRule type="expression" priority="5" dxfId="0">
      <formula>#REF!="x"</formula>
    </cfRule>
  </conditionalFormatting>
  <conditionalFormatting sqref="BE92">
    <cfRule type="expression" priority="6" dxfId="0">
      <formula>#REF!="x"</formula>
    </cfRule>
  </conditionalFormatting>
  <conditionalFormatting sqref="BE7:BE88 AO88:AW88 AW8:AW327 AX7:BB327 AO8:AO327">
    <cfRule type="expression" priority="7" dxfId="0">
      <formula>#REF!="x"</formula>
    </cfRule>
  </conditionalFormatting>
  <conditionalFormatting sqref="BE94:BE191">
    <cfRule type="expression" priority="8" dxfId="0">
      <formula>#REF!="x"</formula>
    </cfRule>
  </conditionalFormatting>
  <conditionalFormatting sqref="BD7:BD88">
    <cfRule type="expression" priority="9" dxfId="0">
      <formula>#REF!="x"</formula>
    </cfRule>
  </conditionalFormatting>
  <conditionalFormatting sqref="BD89:BD91">
    <cfRule type="expression" priority="10" dxfId="0">
      <formula>#REF!="x"</formula>
    </cfRule>
  </conditionalFormatting>
  <conditionalFormatting sqref="BD92:BD93">
    <cfRule type="expression" priority="11" dxfId="0">
      <formula>#REF!="x"</formula>
    </cfRule>
  </conditionalFormatting>
  <conditionalFormatting sqref="AQ7">
    <cfRule type="expression" priority="12" dxfId="0">
      <formula>#REF!="x"</formula>
    </cfRule>
  </conditionalFormatting>
  <conditionalFormatting sqref="AQ7">
    <cfRule type="expression" priority="13" dxfId="0">
      <formula>#REF!="x"</formula>
    </cfRule>
  </conditionalFormatting>
  <conditionalFormatting sqref="AN94">
    <cfRule type="expression" priority="15" dxfId="0">
      <formula>#REF!="x"</formula>
    </cfRule>
  </conditionalFormatting>
  <conditionalFormatting sqref="AN99">
    <cfRule type="expression" priority="16" dxfId="0">
      <formula>#REF!="x"</formula>
    </cfRule>
  </conditionalFormatting>
  <conditionalFormatting sqref="AN103">
    <cfRule type="expression" priority="17" dxfId="0">
      <formula>#REF!="x"</formula>
    </cfRule>
  </conditionalFormatting>
  <conditionalFormatting sqref="AN104">
    <cfRule type="expression" priority="18" dxfId="0">
      <formula>#REF!="x"</formula>
    </cfRule>
  </conditionalFormatting>
  <conditionalFormatting sqref="AN105">
    <cfRule type="expression" priority="19" dxfId="0">
      <formula>#REF!="x"</formula>
    </cfRule>
  </conditionalFormatting>
  <conditionalFormatting sqref="AN106">
    <cfRule type="expression" priority="20" dxfId="0">
      <formula>#REF!="x"</formula>
    </cfRule>
  </conditionalFormatting>
  <conditionalFormatting sqref="AN107">
    <cfRule type="expression" priority="21" dxfId="0">
      <formula>#REF!="x"</formula>
    </cfRule>
  </conditionalFormatting>
  <conditionalFormatting sqref="AN108">
    <cfRule type="expression" priority="22" dxfId="0">
      <formula>#REF!="x"</formula>
    </cfRule>
  </conditionalFormatting>
  <conditionalFormatting sqref="AN109">
    <cfRule type="expression" priority="23" dxfId="0">
      <formula>#REF!="x"</formula>
    </cfRule>
  </conditionalFormatting>
  <conditionalFormatting sqref="AN110">
    <cfRule type="expression" priority="24" dxfId="0">
      <formula>#REF!="x"</formula>
    </cfRule>
  </conditionalFormatting>
  <conditionalFormatting sqref="AN111">
    <cfRule type="expression" priority="25" dxfId="0">
      <formula>#REF!="x"</formula>
    </cfRule>
  </conditionalFormatting>
  <conditionalFormatting sqref="AN113">
    <cfRule type="expression" priority="26" dxfId="0">
      <formula>#REF!="x"</formula>
    </cfRule>
  </conditionalFormatting>
  <conditionalFormatting sqref="AN114">
    <cfRule type="expression" priority="27" dxfId="0">
      <formula>#REF!="x"</formula>
    </cfRule>
  </conditionalFormatting>
  <conditionalFormatting sqref="AN117">
    <cfRule type="expression" priority="28" dxfId="0">
      <formula>#REF!="x"</formula>
    </cfRule>
  </conditionalFormatting>
  <conditionalFormatting sqref="AN119">
    <cfRule type="expression" priority="29" dxfId="0">
      <formula>#REF!="x"</formula>
    </cfRule>
  </conditionalFormatting>
  <conditionalFormatting sqref="AN122">
    <cfRule type="expression" priority="30" dxfId="0">
      <formula>#REF!="x"</formula>
    </cfRule>
  </conditionalFormatting>
  <conditionalFormatting sqref="AN123">
    <cfRule type="expression" priority="31" dxfId="0">
      <formula>#REF!="x"</formula>
    </cfRule>
  </conditionalFormatting>
  <conditionalFormatting sqref="AN124">
    <cfRule type="expression" priority="32" dxfId="0">
      <formula>#REF!="x"</formula>
    </cfRule>
  </conditionalFormatting>
  <conditionalFormatting sqref="AN125">
    <cfRule type="expression" priority="33" dxfId="0">
      <formula>#REF!="x"</formula>
    </cfRule>
  </conditionalFormatting>
  <conditionalFormatting sqref="AN126">
    <cfRule type="expression" priority="34" dxfId="0">
      <formula>#REF!="x"</formula>
    </cfRule>
  </conditionalFormatting>
  <conditionalFormatting sqref="AN128">
    <cfRule type="expression" priority="35" dxfId="0">
      <formula>#REF!="x"</formula>
    </cfRule>
  </conditionalFormatting>
  <conditionalFormatting sqref="AN129">
    <cfRule type="expression" priority="36" dxfId="0">
      <formula>#REF!="x"</formula>
    </cfRule>
  </conditionalFormatting>
  <conditionalFormatting sqref="AN131">
    <cfRule type="expression" priority="37" dxfId="0">
      <formula>#REF!="x"</formula>
    </cfRule>
  </conditionalFormatting>
  <conditionalFormatting sqref="AN132">
    <cfRule type="expression" priority="38" dxfId="0">
      <formula>#REF!="x"</formula>
    </cfRule>
  </conditionalFormatting>
  <conditionalFormatting sqref="AN133">
    <cfRule type="expression" priority="39" dxfId="0">
      <formula>#REF!="x"</formula>
    </cfRule>
  </conditionalFormatting>
  <conditionalFormatting sqref="AN134">
    <cfRule type="expression" priority="40" dxfId="0">
      <formula>#REF!="x"</formula>
    </cfRule>
  </conditionalFormatting>
  <conditionalFormatting sqref="AN135">
    <cfRule type="expression" priority="41" dxfId="0">
      <formula>#REF!="x"</formula>
    </cfRule>
  </conditionalFormatting>
  <conditionalFormatting sqref="AN136">
    <cfRule type="expression" priority="42" dxfId="0">
      <formula>#REF!="x"</formula>
    </cfRule>
  </conditionalFormatting>
  <conditionalFormatting sqref="AN139">
    <cfRule type="expression" priority="43" dxfId="0">
      <formula>#REF!="x"</formula>
    </cfRule>
  </conditionalFormatting>
  <conditionalFormatting sqref="AN141">
    <cfRule type="expression" priority="44" dxfId="0">
      <formula>#REF!="x"</formula>
    </cfRule>
  </conditionalFormatting>
  <conditionalFormatting sqref="AN142">
    <cfRule type="expression" priority="45" dxfId="0">
      <formula>#REF!="x"</formula>
    </cfRule>
  </conditionalFormatting>
  <conditionalFormatting sqref="AN145">
    <cfRule type="expression" priority="46" dxfId="0">
      <formula>#REF!="x"</formula>
    </cfRule>
  </conditionalFormatting>
  <conditionalFormatting sqref="AN146">
    <cfRule type="expression" priority="47" dxfId="0">
      <formula>#REF!="x"</formula>
    </cfRule>
  </conditionalFormatting>
  <conditionalFormatting sqref="AN147">
    <cfRule type="expression" priority="48" dxfId="0">
      <formula>#REF!="x"</formula>
    </cfRule>
  </conditionalFormatting>
  <conditionalFormatting sqref="AN150">
    <cfRule type="expression" priority="49" dxfId="0">
      <formula>#REF!="x"</formula>
    </cfRule>
  </conditionalFormatting>
  <conditionalFormatting sqref="AN153">
    <cfRule type="expression" priority="50" dxfId="0">
      <formula>#REF!="x"</formula>
    </cfRule>
  </conditionalFormatting>
  <conditionalFormatting sqref="AN154">
    <cfRule type="expression" priority="51" dxfId="0">
      <formula>#REF!="x"</formula>
    </cfRule>
  </conditionalFormatting>
  <conditionalFormatting sqref="AN156">
    <cfRule type="expression" priority="52" dxfId="0">
      <formula>#REF!="x"</formula>
    </cfRule>
  </conditionalFormatting>
  <conditionalFormatting sqref="AN159">
    <cfRule type="expression" priority="53" dxfId="0">
      <formula>#REF!="x"</formula>
    </cfRule>
  </conditionalFormatting>
  <conditionalFormatting sqref="AN160">
    <cfRule type="expression" priority="54" dxfId="0">
      <formula>#REF!="x"</formula>
    </cfRule>
  </conditionalFormatting>
  <conditionalFormatting sqref="AN162">
    <cfRule type="expression" priority="55" dxfId="0">
      <formula>#REF!="x"</formula>
    </cfRule>
  </conditionalFormatting>
  <conditionalFormatting sqref="AN163">
    <cfRule type="expression" priority="56" dxfId="0">
      <formula>#REF!="x"</formula>
    </cfRule>
  </conditionalFormatting>
  <conditionalFormatting sqref="AN164">
    <cfRule type="expression" priority="57" dxfId="0">
      <formula>#REF!="x"</formula>
    </cfRule>
  </conditionalFormatting>
  <conditionalFormatting sqref="AN174">
    <cfRule type="expression" priority="58" dxfId="0">
      <formula>#REF!="x"</formula>
    </cfRule>
  </conditionalFormatting>
  <conditionalFormatting sqref="AN175:AN179">
    <cfRule type="expression" priority="59" dxfId="0">
      <formula>#REF!="x"</formula>
    </cfRule>
  </conditionalFormatting>
  <conditionalFormatting sqref="AN179">
    <cfRule type="expression" priority="60" dxfId="0">
      <formula>#REF!="x"</formula>
    </cfRule>
  </conditionalFormatting>
  <conditionalFormatting sqref="AN180">
    <cfRule type="expression" priority="61" dxfId="0">
      <formula>#REF!="x"</formula>
    </cfRule>
  </conditionalFormatting>
  <conditionalFormatting sqref="AN183">
    <cfRule type="expression" priority="62" dxfId="0">
      <formula>#REF!="x"</formula>
    </cfRule>
  </conditionalFormatting>
  <conditionalFormatting sqref="AN184">
    <cfRule type="expression" priority="63" dxfId="0">
      <formula>#REF!="x"</formula>
    </cfRule>
  </conditionalFormatting>
  <conditionalFormatting sqref="AN185">
    <cfRule type="expression" priority="64" dxfId="0">
      <formula>#REF!="x"</formula>
    </cfRule>
  </conditionalFormatting>
  <conditionalFormatting sqref="AN190">
    <cfRule type="expression" priority="65" dxfId="0">
      <formula>#REF!="x"</formula>
    </cfRule>
  </conditionalFormatting>
  <conditionalFormatting sqref="AN191">
    <cfRule type="expression" priority="66" dxfId="0">
      <formula>#REF!="x"</formula>
    </cfRule>
  </conditionalFormatting>
  <conditionalFormatting sqref="AN181:AN182">
    <cfRule type="expression" priority="67" dxfId="0">
      <formula>#REF!="x"</formula>
    </cfRule>
  </conditionalFormatting>
  <conditionalFormatting sqref="AN180">
    <cfRule type="expression" priority="68" dxfId="0">
      <formula>#REF!="x"</formula>
    </cfRule>
  </conditionalFormatting>
  <dataValidations count="1" disablePrompts="1">
    <dataValidation type="list" allowBlank="1" showInputMessage="1" showErrorMessage="1" error="VALOR INCORRECTO" sqref="H4 AN4">
      <formula1>$AO$3:$AO$4</formula1>
      <formula2>0</formula2>
    </dataValidation>
  </dataValidations>
  <printOptions/>
  <pageMargins left="0" right="0" top="0.747916666666667" bottom="0.314583333333333" header="0.39375" footer="0"/>
  <pageSetup horizontalDpi="600" verticalDpi="600" orientation="landscape" paperSize="9" scale="110" r:id="rId1"/>
  <headerFooter>
    <oddHeader>&amp;LMinisterio de EducaciónDirección de Recursos Humanos&amp;C&amp;F&amp;RValor del Punto: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57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6" t="str">
        <f ca="1">MID(CELL("FILENAME",L41),FIND("[",CELL("FILENAME",L41))+1,FIND("]",CELL("FILENAME",L41))-FIND("[",CELL("FILENAME",L41))-1)</f>
        <v>Esc Doc 2019 09 Cba v1 1.xlsx</v>
      </c>
      <c r="B1" s="236"/>
      <c r="C1" s="236"/>
      <c r="D1" s="236"/>
      <c r="E1" s="236"/>
      <c r="F1" s="236"/>
      <c r="G1" s="236"/>
      <c r="H1" s="236"/>
      <c r="I1" s="236"/>
      <c r="J1" s="2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25" ht="12.75">
      <c r="A2" s="237" t="s">
        <v>69</v>
      </c>
      <c r="B2" s="237"/>
      <c r="C2" s="137">
        <v>0</v>
      </c>
      <c r="D2" s="137"/>
      <c r="E2" s="137"/>
      <c r="F2" s="137"/>
      <c r="G2" s="138"/>
      <c r="H2" s="137"/>
      <c r="I2" s="139"/>
      <c r="J2" s="140"/>
      <c r="K2" s="141"/>
      <c r="Y2" s="69"/>
    </row>
    <row r="3" spans="7:25" ht="12.75" customHeight="1">
      <c r="G3" s="142"/>
      <c r="H3" s="143"/>
      <c r="I3" s="143"/>
      <c r="J3" s="143"/>
      <c r="K3" s="144"/>
      <c r="Q3" s="238" t="s">
        <v>552</v>
      </c>
      <c r="R3" s="238"/>
      <c r="S3" s="238"/>
      <c r="T3" s="239" t="s">
        <v>553</v>
      </c>
      <c r="U3" s="239"/>
      <c r="V3" s="239"/>
      <c r="W3" s="239"/>
      <c r="Y3" s="69"/>
    </row>
    <row r="4" spans="1:25" ht="19.5">
      <c r="A4" s="39"/>
      <c r="B4" s="39"/>
      <c r="C4" s="145" t="s">
        <v>554</v>
      </c>
      <c r="D4" s="146" t="s">
        <v>77</v>
      </c>
      <c r="E4" s="146" t="s">
        <v>555</v>
      </c>
      <c r="F4" s="146" t="s">
        <v>556</v>
      </c>
      <c r="G4" s="147" t="s">
        <v>78</v>
      </c>
      <c r="H4" s="148" t="s">
        <v>79</v>
      </c>
      <c r="I4" s="149" t="s">
        <v>557</v>
      </c>
      <c r="J4" s="150" t="s">
        <v>558</v>
      </c>
      <c r="K4" s="151" t="s">
        <v>557</v>
      </c>
      <c r="Q4" s="152" t="s">
        <v>559</v>
      </c>
      <c r="R4" s="153" t="s">
        <v>560</v>
      </c>
      <c r="S4" s="153" t="s">
        <v>561</v>
      </c>
      <c r="T4" s="154" t="s">
        <v>562</v>
      </c>
      <c r="U4" s="155" t="s">
        <v>563</v>
      </c>
      <c r="V4" s="155" t="s">
        <v>564</v>
      </c>
      <c r="W4" s="155" t="s">
        <v>561</v>
      </c>
      <c r="X4" s="156" t="s">
        <v>565</v>
      </c>
      <c r="Y4" s="156" t="s">
        <v>566</v>
      </c>
    </row>
    <row r="5" spans="1:25" ht="12.75">
      <c r="A5" s="48" t="s">
        <v>111</v>
      </c>
      <c r="B5" s="50" t="s">
        <v>112</v>
      </c>
      <c r="C5" s="157" t="s">
        <v>114</v>
      </c>
      <c r="D5" s="158" t="s">
        <v>121</v>
      </c>
      <c r="E5" s="158" t="s">
        <v>567</v>
      </c>
      <c r="F5" s="159"/>
      <c r="G5" s="159" t="s">
        <v>122</v>
      </c>
      <c r="H5" s="159" t="s">
        <v>123</v>
      </c>
      <c r="I5" s="160" t="s">
        <v>568</v>
      </c>
      <c r="J5" s="161" t="s">
        <v>569</v>
      </c>
      <c r="K5" s="160" t="s">
        <v>570</v>
      </c>
      <c r="L5" s="162" t="s">
        <v>571</v>
      </c>
      <c r="Q5" s="163">
        <v>0.135</v>
      </c>
      <c r="R5" s="164">
        <v>0.025</v>
      </c>
      <c r="S5" s="165">
        <v>0.045</v>
      </c>
      <c r="T5" s="166">
        <v>0.16</v>
      </c>
      <c r="U5" s="167">
        <v>0.01</v>
      </c>
      <c r="V5" s="168">
        <v>0.025</v>
      </c>
      <c r="W5" s="168">
        <v>0.035</v>
      </c>
      <c r="Y5" s="69"/>
    </row>
    <row r="6" spans="1:25" ht="12.75" customHeight="1">
      <c r="A6" s="24" t="s">
        <v>572</v>
      </c>
      <c r="B6" s="67" t="s">
        <v>573</v>
      </c>
      <c r="C6" s="69">
        <f>C9/1.6*1.8</f>
        <v>7750.89</v>
      </c>
      <c r="D6" s="69">
        <f aca="true" t="shared" si="0" ref="D6:D32">IF($C$2=0,C6*0.15,0)</f>
        <v>1162.6335</v>
      </c>
      <c r="E6" s="69">
        <v>0</v>
      </c>
      <c r="F6" s="69"/>
      <c r="G6" s="69">
        <f>C6*VLOOKUP($C$2,Valores!$I$1:$J$53,2,0)</f>
        <v>0</v>
      </c>
      <c r="H6" s="69">
        <f>H9/1.6*1.8</f>
        <v>5167.27125</v>
      </c>
      <c r="I6" s="77">
        <f aca="true" t="shared" si="1" ref="I6:I32">SUM(C6:H6)</f>
        <v>14080.79475</v>
      </c>
      <c r="J6" s="69">
        <v>0</v>
      </c>
      <c r="K6" s="78">
        <f aca="true" t="shared" si="2" ref="K6:K32">SUM(J6)</f>
        <v>0</v>
      </c>
      <c r="Q6" s="69">
        <f aca="true" t="shared" si="3" ref="Q6:Q28">I6*$Q$5</f>
        <v>1900.90729125</v>
      </c>
      <c r="R6" s="69">
        <f aca="true" t="shared" si="4" ref="R6:R28">I6*$R$5</f>
        <v>352.01986875</v>
      </c>
      <c r="S6" s="69">
        <f aca="true" t="shared" si="5" ref="S6:S28">I6*$S$5</f>
        <v>633.6357637499999</v>
      </c>
      <c r="T6" s="69">
        <f aca="true" t="shared" si="6" ref="T6:T28">I6*$T$5</f>
        <v>2252.9271599999997</v>
      </c>
      <c r="U6" s="69">
        <f aca="true" t="shared" si="7" ref="U6:U28">I6*$U$5</f>
        <v>140.80794749999998</v>
      </c>
      <c r="V6" s="69">
        <f aca="true" t="shared" si="8" ref="V6:V28">I6*$V$5</f>
        <v>352.01986875</v>
      </c>
      <c r="W6" s="69">
        <f aca="true" t="shared" si="9" ref="W6:W28">I6*$W$5</f>
        <v>492.82781625</v>
      </c>
      <c r="X6" s="69">
        <f aca="true" t="shared" si="10" ref="X6:X28">I6+K6+T6+U6+V6+W6</f>
        <v>17319.3775425</v>
      </c>
      <c r="Y6" s="69">
        <f aca="true" t="shared" si="11" ref="Y6:Y28">+I6-SUM(Q6:S6)</f>
        <v>11194.23182625</v>
      </c>
    </row>
    <row r="7" spans="1:25" ht="12.75" customHeight="1">
      <c r="A7" s="169" t="s">
        <v>574</v>
      </c>
      <c r="B7" s="67" t="s">
        <v>575</v>
      </c>
      <c r="C7" s="69">
        <f>C10/1.6*1.8</f>
        <v>15514.02</v>
      </c>
      <c r="D7" s="69">
        <f t="shared" si="0"/>
        <v>2327.103</v>
      </c>
      <c r="E7" s="69">
        <v>0</v>
      </c>
      <c r="F7" s="69"/>
      <c r="G7" s="69">
        <f>C7*VLOOKUP($C$2,Valores!$I$1:$J$53,2,0)</f>
        <v>0</v>
      </c>
      <c r="H7" s="69">
        <f>H10/1.6*1.8</f>
        <v>10334.508749999999</v>
      </c>
      <c r="I7" s="77">
        <f t="shared" si="1"/>
        <v>28175.63175</v>
      </c>
      <c r="J7" s="69">
        <v>0</v>
      </c>
      <c r="K7" s="78">
        <f t="shared" si="2"/>
        <v>0</v>
      </c>
      <c r="M7" s="67" t="s">
        <v>554</v>
      </c>
      <c r="N7" s="170">
        <v>5361.09</v>
      </c>
      <c r="O7" s="170">
        <v>446.76</v>
      </c>
      <c r="Q7" s="69">
        <f t="shared" si="3"/>
        <v>3803.7102862500005</v>
      </c>
      <c r="R7" s="69">
        <f t="shared" si="4"/>
        <v>704.3907937500001</v>
      </c>
      <c r="S7" s="69">
        <f t="shared" si="5"/>
        <v>1267.9034287499999</v>
      </c>
      <c r="T7" s="69">
        <f t="shared" si="6"/>
        <v>4508.10108</v>
      </c>
      <c r="U7" s="69">
        <f t="shared" si="7"/>
        <v>281.7563175</v>
      </c>
      <c r="V7" s="69">
        <f t="shared" si="8"/>
        <v>704.3907937500001</v>
      </c>
      <c r="W7" s="69">
        <f t="shared" si="9"/>
        <v>986.1471112500001</v>
      </c>
      <c r="X7" s="69">
        <f t="shared" si="10"/>
        <v>34656.0270525</v>
      </c>
      <c r="Y7" s="69">
        <f t="shared" si="11"/>
        <v>22399.62724125</v>
      </c>
    </row>
    <row r="8" spans="1:25" ht="12.75" customHeight="1">
      <c r="A8" s="169" t="s">
        <v>576</v>
      </c>
      <c r="B8" s="67" t="s">
        <v>577</v>
      </c>
      <c r="C8" s="69">
        <f>C11/1.6*1.8</f>
        <v>31028.04</v>
      </c>
      <c r="D8" s="69">
        <f t="shared" si="0"/>
        <v>4654.206</v>
      </c>
      <c r="E8" s="69">
        <v>0</v>
      </c>
      <c r="F8" s="69"/>
      <c r="G8" s="69">
        <f>C8*VLOOKUP($C$2,Valores!$I$1:$J$53,2,0)</f>
        <v>0</v>
      </c>
      <c r="H8" s="69">
        <f>H11/1.6*1.8</f>
        <v>20669.017499999998</v>
      </c>
      <c r="I8" s="77">
        <f t="shared" si="1"/>
        <v>56351.2635</v>
      </c>
      <c r="J8" s="69">
        <v>0</v>
      </c>
      <c r="K8" s="78">
        <f t="shared" si="2"/>
        <v>0</v>
      </c>
      <c r="M8" s="67" t="s">
        <v>578</v>
      </c>
      <c r="N8" s="170">
        <v>1068</v>
      </c>
      <c r="O8" s="170">
        <v>89</v>
      </c>
      <c r="Q8" s="69">
        <f t="shared" si="3"/>
        <v>7607.420572500001</v>
      </c>
      <c r="R8" s="69">
        <f t="shared" si="4"/>
        <v>1408.7815875000001</v>
      </c>
      <c r="S8" s="69">
        <f t="shared" si="5"/>
        <v>2535.8068574999998</v>
      </c>
      <c r="T8" s="69">
        <f t="shared" si="6"/>
        <v>9016.20216</v>
      </c>
      <c r="U8" s="69">
        <f t="shared" si="7"/>
        <v>563.512635</v>
      </c>
      <c r="V8" s="69">
        <f t="shared" si="8"/>
        <v>1408.7815875000001</v>
      </c>
      <c r="W8" s="69">
        <f t="shared" si="9"/>
        <v>1972.2942225000002</v>
      </c>
      <c r="X8" s="69">
        <f t="shared" si="10"/>
        <v>69312.054105</v>
      </c>
      <c r="Y8" s="69">
        <f t="shared" si="11"/>
        <v>44799.2544825</v>
      </c>
    </row>
    <row r="9" spans="1:25" ht="12.75" customHeight="1">
      <c r="A9" s="171" t="s">
        <v>579</v>
      </c>
      <c r="B9" s="172" t="s">
        <v>580</v>
      </c>
      <c r="C9" s="173">
        <v>6889.68</v>
      </c>
      <c r="D9" s="173">
        <f t="shared" si="0"/>
        <v>1033.452</v>
      </c>
      <c r="E9" s="173">
        <v>0</v>
      </c>
      <c r="F9" s="173"/>
      <c r="G9" s="173">
        <f>C9*VLOOKUP($C$2,Valores!$I$1:$J$53,2,0)</f>
        <v>0</v>
      </c>
      <c r="H9" s="173">
        <v>4593.13</v>
      </c>
      <c r="I9" s="174">
        <f t="shared" si="1"/>
        <v>12516.262</v>
      </c>
      <c r="J9" s="173">
        <v>888.69</v>
      </c>
      <c r="K9" s="175">
        <f t="shared" si="2"/>
        <v>888.69</v>
      </c>
      <c r="M9" s="67" t="s">
        <v>581</v>
      </c>
      <c r="N9" s="170">
        <v>1614.824</v>
      </c>
      <c r="O9" s="170">
        <v>134.578666666667</v>
      </c>
      <c r="Q9" s="69">
        <f t="shared" si="3"/>
        <v>1689.6953700000001</v>
      </c>
      <c r="R9" s="69">
        <f t="shared" si="4"/>
        <v>312.90655000000004</v>
      </c>
      <c r="S9" s="69">
        <f t="shared" si="5"/>
        <v>563.23179</v>
      </c>
      <c r="T9" s="69">
        <f t="shared" si="6"/>
        <v>2002.60192</v>
      </c>
      <c r="U9" s="69">
        <f t="shared" si="7"/>
        <v>125.16262</v>
      </c>
      <c r="V9" s="69">
        <f t="shared" si="8"/>
        <v>312.90655000000004</v>
      </c>
      <c r="W9" s="69">
        <f t="shared" si="9"/>
        <v>438.06917000000004</v>
      </c>
      <c r="X9" s="69">
        <f t="shared" si="10"/>
        <v>16283.692260000002</v>
      </c>
      <c r="Y9" s="69">
        <f t="shared" si="11"/>
        <v>9950.42829</v>
      </c>
    </row>
    <row r="10" spans="1:25" ht="12.75" customHeight="1">
      <c r="A10" s="171" t="s">
        <v>582</v>
      </c>
      <c r="B10" s="172" t="s">
        <v>583</v>
      </c>
      <c r="C10" s="173">
        <v>13790.24</v>
      </c>
      <c r="D10" s="173">
        <f t="shared" si="0"/>
        <v>2068.536</v>
      </c>
      <c r="E10" s="173">
        <v>0</v>
      </c>
      <c r="F10" s="173"/>
      <c r="G10" s="173">
        <f>C10*VLOOKUP($C$2,Valores!$I$1:$J$53,2,0)</f>
        <v>0</v>
      </c>
      <c r="H10" s="173">
        <v>9186.23</v>
      </c>
      <c r="I10" s="174">
        <f t="shared" si="1"/>
        <v>25045.006</v>
      </c>
      <c r="J10" s="173">
        <v>1064.02</v>
      </c>
      <c r="K10" s="175">
        <f t="shared" si="2"/>
        <v>1064.02</v>
      </c>
      <c r="M10" s="67" t="s">
        <v>584</v>
      </c>
      <c r="N10" s="170">
        <v>250.08</v>
      </c>
      <c r="O10" s="170">
        <v>20.84</v>
      </c>
      <c r="Q10" s="69">
        <f t="shared" si="3"/>
        <v>3381.0758100000003</v>
      </c>
      <c r="R10" s="69">
        <f t="shared" si="4"/>
        <v>626.1251500000001</v>
      </c>
      <c r="S10" s="69">
        <f t="shared" si="5"/>
        <v>1127.02527</v>
      </c>
      <c r="T10" s="69">
        <f t="shared" si="6"/>
        <v>4007.20096</v>
      </c>
      <c r="U10" s="69">
        <f t="shared" si="7"/>
        <v>250.45006</v>
      </c>
      <c r="V10" s="69">
        <f t="shared" si="8"/>
        <v>626.1251500000001</v>
      </c>
      <c r="W10" s="69">
        <f t="shared" si="9"/>
        <v>876.5752100000001</v>
      </c>
      <c r="X10" s="69">
        <f t="shared" si="10"/>
        <v>31869.377379999998</v>
      </c>
      <c r="Y10" s="69">
        <f t="shared" si="11"/>
        <v>19910.77977</v>
      </c>
    </row>
    <row r="11" spans="1:25" ht="12.75" customHeight="1">
      <c r="A11" s="169" t="s">
        <v>585</v>
      </c>
      <c r="B11" s="67" t="s">
        <v>586</v>
      </c>
      <c r="C11" s="69">
        <f>C10*2</f>
        <v>27580.48</v>
      </c>
      <c r="D11" s="69">
        <f t="shared" si="0"/>
        <v>4137.072</v>
      </c>
      <c r="E11" s="69">
        <v>0</v>
      </c>
      <c r="F11" s="69"/>
      <c r="G11" s="69">
        <f>C11*VLOOKUP($C$2,Valores!$I$1:$J$53,2,0)</f>
        <v>0</v>
      </c>
      <c r="H11" s="69">
        <f>H10*2</f>
        <v>18372.46</v>
      </c>
      <c r="I11" s="77">
        <f t="shared" si="1"/>
        <v>50090.012</v>
      </c>
      <c r="J11" s="69">
        <v>0</v>
      </c>
      <c r="K11" s="78">
        <f t="shared" si="2"/>
        <v>0</v>
      </c>
      <c r="M11" s="67" t="s">
        <v>587</v>
      </c>
      <c r="N11" s="170">
        <v>546</v>
      </c>
      <c r="O11" s="170">
        <v>45.5</v>
      </c>
      <c r="Q11" s="69">
        <f t="shared" si="3"/>
        <v>6762.151620000001</v>
      </c>
      <c r="R11" s="69">
        <f t="shared" si="4"/>
        <v>1252.2503000000002</v>
      </c>
      <c r="S11" s="69">
        <f t="shared" si="5"/>
        <v>2254.05054</v>
      </c>
      <c r="T11" s="69">
        <f t="shared" si="6"/>
        <v>8014.40192</v>
      </c>
      <c r="U11" s="69">
        <f t="shared" si="7"/>
        <v>500.90012</v>
      </c>
      <c r="V11" s="69">
        <f t="shared" si="8"/>
        <v>1252.2503000000002</v>
      </c>
      <c r="W11" s="69">
        <f t="shared" si="9"/>
        <v>1753.1504200000002</v>
      </c>
      <c r="X11" s="69">
        <f t="shared" si="10"/>
        <v>61610.71476</v>
      </c>
      <c r="Y11" s="69">
        <f t="shared" si="11"/>
        <v>39821.55954</v>
      </c>
    </row>
    <row r="12" spans="1:25" ht="12.75" customHeight="1">
      <c r="A12" s="169" t="s">
        <v>588</v>
      </c>
      <c r="B12" s="67" t="s">
        <v>589</v>
      </c>
      <c r="C12" s="69">
        <f>C9/1.6*1.4</f>
        <v>6028.47</v>
      </c>
      <c r="D12" s="69">
        <f t="shared" si="0"/>
        <v>904.2705</v>
      </c>
      <c r="E12" s="69">
        <v>0</v>
      </c>
      <c r="F12" s="69"/>
      <c r="G12" s="69">
        <f>C12*VLOOKUP($C$2,Valores!$I$1:$J$53,2,0)</f>
        <v>0</v>
      </c>
      <c r="H12" s="69">
        <f>H9/1.6*1.4</f>
        <v>4018.9887499999995</v>
      </c>
      <c r="I12" s="77">
        <f t="shared" si="1"/>
        <v>10951.72925</v>
      </c>
      <c r="J12" s="69">
        <v>0</v>
      </c>
      <c r="K12" s="78">
        <f t="shared" si="2"/>
        <v>0</v>
      </c>
      <c r="M12" s="67" t="s">
        <v>590</v>
      </c>
      <c r="N12" s="170">
        <v>62.04</v>
      </c>
      <c r="O12" s="170">
        <v>5.17</v>
      </c>
      <c r="Q12" s="69">
        <f t="shared" si="3"/>
        <v>1478.4834487500002</v>
      </c>
      <c r="R12" s="69">
        <f t="shared" si="4"/>
        <v>273.79323125</v>
      </c>
      <c r="S12" s="69">
        <f t="shared" si="5"/>
        <v>492.82781625</v>
      </c>
      <c r="T12" s="69">
        <f t="shared" si="6"/>
        <v>1752.2766800000002</v>
      </c>
      <c r="U12" s="69">
        <f t="shared" si="7"/>
        <v>109.51729250000001</v>
      </c>
      <c r="V12" s="69">
        <f t="shared" si="8"/>
        <v>273.79323125</v>
      </c>
      <c r="W12" s="69">
        <f t="shared" si="9"/>
        <v>383.3105237500001</v>
      </c>
      <c r="X12" s="69">
        <f t="shared" si="10"/>
        <v>13470.626977500002</v>
      </c>
      <c r="Y12" s="69">
        <f t="shared" si="11"/>
        <v>8706.62475375</v>
      </c>
    </row>
    <row r="13" spans="1:25" ht="12.75" customHeight="1">
      <c r="A13" s="169" t="s">
        <v>591</v>
      </c>
      <c r="B13" s="67" t="s">
        <v>592</v>
      </c>
      <c r="C13" s="69">
        <f>C10/1.6*1.4</f>
        <v>12066.46</v>
      </c>
      <c r="D13" s="69">
        <f t="shared" si="0"/>
        <v>1809.9689999999998</v>
      </c>
      <c r="E13" s="69">
        <v>0</v>
      </c>
      <c r="F13" s="69"/>
      <c r="G13" s="69">
        <f>C13*VLOOKUP($C$2,Valores!$I$1:$J$53,2,0)</f>
        <v>0</v>
      </c>
      <c r="H13" s="69">
        <f>H10/1.6*1.4</f>
        <v>8037.951249999998</v>
      </c>
      <c r="I13" s="77">
        <f t="shared" si="1"/>
        <v>21914.380249999995</v>
      </c>
      <c r="J13" s="69">
        <v>0</v>
      </c>
      <c r="K13" s="78">
        <f t="shared" si="2"/>
        <v>0</v>
      </c>
      <c r="M13" s="67" t="s">
        <v>593</v>
      </c>
      <c r="N13" s="170">
        <v>175</v>
      </c>
      <c r="O13" s="170"/>
      <c r="Q13" s="69">
        <f t="shared" si="3"/>
        <v>2958.4413337499996</v>
      </c>
      <c r="R13" s="69">
        <f t="shared" si="4"/>
        <v>547.8595062499999</v>
      </c>
      <c r="S13" s="69">
        <f t="shared" si="5"/>
        <v>986.1471112499997</v>
      </c>
      <c r="T13" s="69">
        <f t="shared" si="6"/>
        <v>3506.3008399999994</v>
      </c>
      <c r="U13" s="69">
        <f t="shared" si="7"/>
        <v>219.14380249999996</v>
      </c>
      <c r="V13" s="69">
        <f t="shared" si="8"/>
        <v>547.8595062499999</v>
      </c>
      <c r="W13" s="69">
        <f t="shared" si="9"/>
        <v>767.0033087499999</v>
      </c>
      <c r="X13" s="69">
        <f t="shared" si="10"/>
        <v>26954.687707499994</v>
      </c>
      <c r="Y13" s="69">
        <f t="shared" si="11"/>
        <v>17421.932298749995</v>
      </c>
    </row>
    <row r="14" spans="1:25" ht="12.75" customHeight="1">
      <c r="A14" s="169" t="s">
        <v>594</v>
      </c>
      <c r="B14" s="67" t="s">
        <v>595</v>
      </c>
      <c r="C14" s="69">
        <f>C11/1.6*1.4</f>
        <v>24132.92</v>
      </c>
      <c r="D14" s="69">
        <f t="shared" si="0"/>
        <v>3619.9379999999996</v>
      </c>
      <c r="E14" s="69">
        <v>0</v>
      </c>
      <c r="F14" s="69"/>
      <c r="G14" s="69">
        <f>C14*VLOOKUP($C$2,Valores!$I$1:$J$53,2,0)</f>
        <v>0</v>
      </c>
      <c r="H14" s="69">
        <f>H11/1.6*1.4</f>
        <v>16075.902499999997</v>
      </c>
      <c r="I14" s="77">
        <f t="shared" si="1"/>
        <v>43828.76049999999</v>
      </c>
      <c r="J14" s="69">
        <v>0</v>
      </c>
      <c r="K14" s="78">
        <f t="shared" si="2"/>
        <v>0</v>
      </c>
      <c r="M14" s="67" t="s">
        <v>596</v>
      </c>
      <c r="N14" s="170">
        <v>50</v>
      </c>
      <c r="O14" s="170"/>
      <c r="Q14" s="69">
        <f t="shared" si="3"/>
        <v>5916.882667499999</v>
      </c>
      <c r="R14" s="69">
        <f t="shared" si="4"/>
        <v>1095.7190124999997</v>
      </c>
      <c r="S14" s="69">
        <f t="shared" si="5"/>
        <v>1972.2942224999995</v>
      </c>
      <c r="T14" s="69">
        <f t="shared" si="6"/>
        <v>7012.601679999999</v>
      </c>
      <c r="U14" s="69">
        <f t="shared" si="7"/>
        <v>438.2876049999999</v>
      </c>
      <c r="V14" s="69">
        <f t="shared" si="8"/>
        <v>1095.7190124999997</v>
      </c>
      <c r="W14" s="69">
        <f t="shared" si="9"/>
        <v>1534.0066174999997</v>
      </c>
      <c r="X14" s="69">
        <f t="shared" si="10"/>
        <v>53909.37541499999</v>
      </c>
      <c r="Y14" s="69">
        <f t="shared" si="11"/>
        <v>34843.86459749999</v>
      </c>
    </row>
    <row r="15" spans="1:25" ht="12.75" customHeight="1">
      <c r="A15" s="169" t="s">
        <v>597</v>
      </c>
      <c r="B15" s="67" t="s">
        <v>598</v>
      </c>
      <c r="C15" s="69">
        <f>C9/1.6*1.2</f>
        <v>5167.26</v>
      </c>
      <c r="D15" s="69">
        <f t="shared" si="0"/>
        <v>775.089</v>
      </c>
      <c r="E15" s="69">
        <v>0</v>
      </c>
      <c r="F15" s="69"/>
      <c r="G15" s="69">
        <f>C15*VLOOKUP($C$2,Valores!$I$1:$J$53,2,0)</f>
        <v>0</v>
      </c>
      <c r="H15" s="69">
        <f>H9/1.6*1.2</f>
        <v>3444.8474999999994</v>
      </c>
      <c r="I15" s="77">
        <f t="shared" si="1"/>
        <v>9387.1965</v>
      </c>
      <c r="J15" s="69">
        <v>0</v>
      </c>
      <c r="K15" s="78">
        <f t="shared" si="2"/>
        <v>0</v>
      </c>
      <c r="M15" s="67" t="s">
        <v>599</v>
      </c>
      <c r="N15" s="170">
        <v>51.6</v>
      </c>
      <c r="O15" s="170">
        <v>4.3</v>
      </c>
      <c r="Q15" s="69">
        <f t="shared" si="3"/>
        <v>1267.2715275</v>
      </c>
      <c r="R15" s="69">
        <f t="shared" si="4"/>
        <v>234.6799125</v>
      </c>
      <c r="S15" s="69">
        <f t="shared" si="5"/>
        <v>422.4238425</v>
      </c>
      <c r="T15" s="69">
        <f t="shared" si="6"/>
        <v>1501.95144</v>
      </c>
      <c r="U15" s="69">
        <f t="shared" si="7"/>
        <v>93.871965</v>
      </c>
      <c r="V15" s="69">
        <f t="shared" si="8"/>
        <v>234.6799125</v>
      </c>
      <c r="W15" s="69">
        <f t="shared" si="9"/>
        <v>328.55187750000005</v>
      </c>
      <c r="X15" s="69">
        <f t="shared" si="10"/>
        <v>11546.251695</v>
      </c>
      <c r="Y15" s="69">
        <f t="shared" si="11"/>
        <v>7462.8212175</v>
      </c>
    </row>
    <row r="16" spans="1:25" ht="12.75" customHeight="1">
      <c r="A16" s="169" t="s">
        <v>600</v>
      </c>
      <c r="B16" s="67" t="s">
        <v>601</v>
      </c>
      <c r="C16" s="69">
        <f>C10/1.6*1.2</f>
        <v>10342.679999999998</v>
      </c>
      <c r="D16" s="69">
        <f t="shared" si="0"/>
        <v>1551.4019999999998</v>
      </c>
      <c r="E16" s="69">
        <v>0</v>
      </c>
      <c r="F16" s="69"/>
      <c r="G16" s="69">
        <f>C16*VLOOKUP($C$2,Valores!$I$1:$J$53,2,0)</f>
        <v>0</v>
      </c>
      <c r="H16" s="69">
        <f>H10/1.6*1.2</f>
        <v>6889.672499999999</v>
      </c>
      <c r="I16" s="77">
        <f t="shared" si="1"/>
        <v>18783.754499999995</v>
      </c>
      <c r="J16" s="69">
        <v>0</v>
      </c>
      <c r="K16" s="78">
        <f t="shared" si="2"/>
        <v>0</v>
      </c>
      <c r="M16" s="176" t="s">
        <v>93</v>
      </c>
      <c r="N16" s="177">
        <f>SUM(N7:N15)</f>
        <v>9178.634000000002</v>
      </c>
      <c r="O16" s="170">
        <f>INT((SUM(O7:O15)*100)+0.5)/100</f>
        <v>746.15</v>
      </c>
      <c r="Q16" s="69">
        <f t="shared" si="3"/>
        <v>2535.8068574999998</v>
      </c>
      <c r="R16" s="69">
        <f t="shared" si="4"/>
        <v>469.5938624999999</v>
      </c>
      <c r="S16" s="69">
        <f t="shared" si="5"/>
        <v>845.2689524999997</v>
      </c>
      <c r="T16" s="69">
        <f t="shared" si="6"/>
        <v>3005.400719999999</v>
      </c>
      <c r="U16" s="69">
        <f t="shared" si="7"/>
        <v>187.83754499999995</v>
      </c>
      <c r="V16" s="69">
        <f t="shared" si="8"/>
        <v>469.5938624999999</v>
      </c>
      <c r="W16" s="69">
        <f t="shared" si="9"/>
        <v>657.4314074999999</v>
      </c>
      <c r="X16" s="69">
        <f t="shared" si="10"/>
        <v>23104.018034999994</v>
      </c>
      <c r="Y16" s="69">
        <f t="shared" si="11"/>
        <v>14933.084827499995</v>
      </c>
    </row>
    <row r="17" spans="1:25" ht="12.75" customHeight="1">
      <c r="A17" s="169" t="s">
        <v>602</v>
      </c>
      <c r="B17" s="67" t="s">
        <v>603</v>
      </c>
      <c r="C17" s="69">
        <f>C11/1.6*1.2</f>
        <v>20685.359999999997</v>
      </c>
      <c r="D17" s="69">
        <f t="shared" si="0"/>
        <v>3102.8039999999996</v>
      </c>
      <c r="E17" s="69">
        <v>0</v>
      </c>
      <c r="F17" s="69"/>
      <c r="G17" s="69">
        <f>C17*VLOOKUP($C$2,Valores!$I$1:$J$53,2,0)</f>
        <v>0</v>
      </c>
      <c r="H17" s="69">
        <f>H11/1.6*1.2</f>
        <v>13779.344999999998</v>
      </c>
      <c r="I17" s="77">
        <f t="shared" si="1"/>
        <v>37567.50899999999</v>
      </c>
      <c r="J17" s="69">
        <v>0</v>
      </c>
      <c r="K17" s="78">
        <f t="shared" si="2"/>
        <v>0</v>
      </c>
      <c r="M17" s="67"/>
      <c r="N17" s="170"/>
      <c r="O17" s="170">
        <f>O16*12*1.2</f>
        <v>10744.56</v>
      </c>
      <c r="Q17" s="69">
        <f t="shared" si="3"/>
        <v>5071.6137149999995</v>
      </c>
      <c r="R17" s="69">
        <f t="shared" si="4"/>
        <v>939.1877249999998</v>
      </c>
      <c r="S17" s="69">
        <f t="shared" si="5"/>
        <v>1690.5379049999995</v>
      </c>
      <c r="T17" s="69">
        <f t="shared" si="6"/>
        <v>6010.801439999998</v>
      </c>
      <c r="U17" s="69">
        <f t="shared" si="7"/>
        <v>375.6750899999999</v>
      </c>
      <c r="V17" s="69">
        <f t="shared" si="8"/>
        <v>939.1877249999998</v>
      </c>
      <c r="W17" s="69">
        <f t="shared" si="9"/>
        <v>1314.8628149999997</v>
      </c>
      <c r="X17" s="69">
        <f t="shared" si="10"/>
        <v>46208.03606999999</v>
      </c>
      <c r="Y17" s="69">
        <f t="shared" si="11"/>
        <v>29866.16965499999</v>
      </c>
    </row>
    <row r="18" spans="1:25" ht="12.75" customHeight="1">
      <c r="A18" s="169" t="s">
        <v>604</v>
      </c>
      <c r="B18" s="67" t="s">
        <v>605</v>
      </c>
      <c r="C18" s="69">
        <f>C6/1.6</f>
        <v>4844.30625</v>
      </c>
      <c r="D18" s="69">
        <f t="shared" si="0"/>
        <v>726.6459375</v>
      </c>
      <c r="E18" s="69">
        <v>0</v>
      </c>
      <c r="F18" s="69"/>
      <c r="G18" s="69">
        <f>C18*VLOOKUP($C$2,Valores!$I$1:$J$53,2,0)</f>
        <v>0</v>
      </c>
      <c r="H18" s="69">
        <f>H6/1.6</f>
        <v>3229.5445312499996</v>
      </c>
      <c r="I18" s="77">
        <f t="shared" si="1"/>
        <v>8800.496718749999</v>
      </c>
      <c r="J18" s="69">
        <v>0</v>
      </c>
      <c r="K18" s="78">
        <f t="shared" si="2"/>
        <v>0</v>
      </c>
      <c r="M18" s="67" t="s">
        <v>606</v>
      </c>
      <c r="N18" s="170">
        <v>200.04</v>
      </c>
      <c r="O18" s="170">
        <v>16.67</v>
      </c>
      <c r="P18" s="69"/>
      <c r="Q18" s="69">
        <f t="shared" si="3"/>
        <v>1188.06705703125</v>
      </c>
      <c r="R18" s="69">
        <f t="shared" si="4"/>
        <v>220.01241796875</v>
      </c>
      <c r="S18" s="69">
        <f t="shared" si="5"/>
        <v>396.02235234374996</v>
      </c>
      <c r="T18" s="69">
        <f t="shared" si="6"/>
        <v>1408.0794749999998</v>
      </c>
      <c r="U18" s="69">
        <f t="shared" si="7"/>
        <v>88.00496718749999</v>
      </c>
      <c r="V18" s="69">
        <f t="shared" si="8"/>
        <v>220.01241796875</v>
      </c>
      <c r="W18" s="69">
        <f t="shared" si="9"/>
        <v>308.01738515625</v>
      </c>
      <c r="X18" s="69">
        <f t="shared" si="10"/>
        <v>10824.6109640625</v>
      </c>
      <c r="Y18" s="69">
        <f t="shared" si="11"/>
        <v>6996.394891406249</v>
      </c>
    </row>
    <row r="19" spans="1:25" ht="12.75" customHeight="1">
      <c r="A19" s="169" t="s">
        <v>607</v>
      </c>
      <c r="B19" s="67" t="s">
        <v>608</v>
      </c>
      <c r="C19" s="69">
        <f>C10/1.6</f>
        <v>8618.9</v>
      </c>
      <c r="D19" s="69">
        <f t="shared" si="0"/>
        <v>1292.8349999999998</v>
      </c>
      <c r="E19" s="69">
        <v>0</v>
      </c>
      <c r="F19" s="69"/>
      <c r="G19" s="69">
        <f>C19*VLOOKUP($C$2,Valores!$I$1:$J$53,2,0)</f>
        <v>0</v>
      </c>
      <c r="H19" s="69">
        <f>H10/1.6</f>
        <v>5741.393749999999</v>
      </c>
      <c r="I19" s="77">
        <f t="shared" si="1"/>
        <v>15653.128749999998</v>
      </c>
      <c r="J19" s="69">
        <v>0</v>
      </c>
      <c r="K19" s="78">
        <f t="shared" si="2"/>
        <v>0</v>
      </c>
      <c r="M19" s="67" t="s">
        <v>609</v>
      </c>
      <c r="N19" s="170" t="e">
        <f>#REF!</f>
        <v>#REF!</v>
      </c>
      <c r="O19" s="170">
        <f>390/12</f>
        <v>32.5</v>
      </c>
      <c r="Q19" s="69">
        <f t="shared" si="3"/>
        <v>2113.17238125</v>
      </c>
      <c r="R19" s="69">
        <f t="shared" si="4"/>
        <v>391.32821874999996</v>
      </c>
      <c r="S19" s="69">
        <f t="shared" si="5"/>
        <v>704.3907937499998</v>
      </c>
      <c r="T19" s="69">
        <f t="shared" si="6"/>
        <v>2504.5006</v>
      </c>
      <c r="U19" s="69">
        <f t="shared" si="7"/>
        <v>156.5312875</v>
      </c>
      <c r="V19" s="69">
        <f t="shared" si="8"/>
        <v>391.32821874999996</v>
      </c>
      <c r="W19" s="69">
        <f t="shared" si="9"/>
        <v>547.85950625</v>
      </c>
      <c r="X19" s="69">
        <f t="shared" si="10"/>
        <v>19253.3483625</v>
      </c>
      <c r="Y19" s="69">
        <f t="shared" si="11"/>
        <v>12444.237356249998</v>
      </c>
    </row>
    <row r="20" spans="1:25" ht="12.75" customHeight="1">
      <c r="A20" s="169" t="s">
        <v>610</v>
      </c>
      <c r="B20" s="67" t="s">
        <v>611</v>
      </c>
      <c r="C20" s="69">
        <f>C11/1.6</f>
        <v>17237.8</v>
      </c>
      <c r="D20" s="69">
        <f t="shared" si="0"/>
        <v>2585.6699999999996</v>
      </c>
      <c r="E20" s="69">
        <v>0</v>
      </c>
      <c r="F20" s="69"/>
      <c r="G20" s="69">
        <f>C20*VLOOKUP($C$2,Valores!$I$1:$J$53,2,0)</f>
        <v>0</v>
      </c>
      <c r="H20" s="69">
        <f>H11/1.6</f>
        <v>11482.787499999999</v>
      </c>
      <c r="I20" s="77">
        <f t="shared" si="1"/>
        <v>31306.257499999996</v>
      </c>
      <c r="J20" s="69">
        <v>0</v>
      </c>
      <c r="K20" s="78">
        <f t="shared" si="2"/>
        <v>0</v>
      </c>
      <c r="M20" s="176" t="s">
        <v>97</v>
      </c>
      <c r="N20" s="177" t="e">
        <f>SUM(N18:N19)</f>
        <v>#REF!</v>
      </c>
      <c r="O20" s="170">
        <f>SUM(O18:O19)*12</f>
        <v>590.04</v>
      </c>
      <c r="Q20" s="69">
        <f t="shared" si="3"/>
        <v>4226.3447625</v>
      </c>
      <c r="R20" s="69">
        <f t="shared" si="4"/>
        <v>782.6564374999999</v>
      </c>
      <c r="S20" s="69">
        <f t="shared" si="5"/>
        <v>1408.7815874999997</v>
      </c>
      <c r="T20" s="69">
        <f t="shared" si="6"/>
        <v>5009.0012</v>
      </c>
      <c r="U20" s="69">
        <f t="shared" si="7"/>
        <v>313.062575</v>
      </c>
      <c r="V20" s="69">
        <f t="shared" si="8"/>
        <v>782.6564374999999</v>
      </c>
      <c r="W20" s="69">
        <f t="shared" si="9"/>
        <v>1095.7190125</v>
      </c>
      <c r="X20" s="69">
        <f t="shared" si="10"/>
        <v>38506.696725</v>
      </c>
      <c r="Y20" s="69">
        <f t="shared" si="11"/>
        <v>24888.474712499996</v>
      </c>
    </row>
    <row r="21" spans="1:25" ht="12.75" customHeight="1">
      <c r="A21" s="169" t="s">
        <v>612</v>
      </c>
      <c r="B21" s="67" t="s">
        <v>613</v>
      </c>
      <c r="C21" s="69">
        <v>688.97</v>
      </c>
      <c r="D21" s="69">
        <f t="shared" si="0"/>
        <v>103.3455</v>
      </c>
      <c r="E21" s="69">
        <v>0</v>
      </c>
      <c r="F21" s="69"/>
      <c r="G21" s="69">
        <f>C21*VLOOKUP($C$2,Valores!$I$1:$J$53,2,0)</f>
        <v>0</v>
      </c>
      <c r="H21" s="69">
        <v>459.3149</v>
      </c>
      <c r="I21" s="77">
        <f t="shared" si="1"/>
        <v>1251.6304</v>
      </c>
      <c r="J21" s="69">
        <v>88.67</v>
      </c>
      <c r="K21" s="78">
        <f t="shared" si="2"/>
        <v>88.67</v>
      </c>
      <c r="M21" s="176"/>
      <c r="N21" s="177"/>
      <c r="O21" s="170"/>
      <c r="Q21" s="69">
        <f t="shared" si="3"/>
        <v>168.97010400000002</v>
      </c>
      <c r="R21" s="69">
        <f t="shared" si="4"/>
        <v>31.290760000000002</v>
      </c>
      <c r="S21" s="69">
        <f t="shared" si="5"/>
        <v>56.323367999999995</v>
      </c>
      <c r="T21" s="69">
        <f t="shared" si="6"/>
        <v>200.260864</v>
      </c>
      <c r="U21" s="69">
        <f t="shared" si="7"/>
        <v>12.516304</v>
      </c>
      <c r="V21" s="69">
        <f t="shared" si="8"/>
        <v>31.290760000000002</v>
      </c>
      <c r="W21" s="69">
        <f t="shared" si="9"/>
        <v>43.807064000000004</v>
      </c>
      <c r="X21" s="69">
        <f t="shared" si="10"/>
        <v>1628.1753920000003</v>
      </c>
      <c r="Y21" s="69">
        <f t="shared" si="11"/>
        <v>995.046168</v>
      </c>
    </row>
    <row r="22" spans="1:25" ht="12.75" customHeight="1">
      <c r="A22" s="169" t="s">
        <v>612</v>
      </c>
      <c r="B22" s="67" t="s">
        <v>614</v>
      </c>
      <c r="C22" s="69">
        <v>1377.94</v>
      </c>
      <c r="D22" s="69">
        <f t="shared" si="0"/>
        <v>206.691</v>
      </c>
      <c r="E22" s="69">
        <v>0</v>
      </c>
      <c r="F22" s="69"/>
      <c r="G22" s="69">
        <f>C22*VLOOKUP($C$2,Valores!$I$1:$J$53,2,0)</f>
        <v>0</v>
      </c>
      <c r="H22" s="69">
        <v>918.63</v>
      </c>
      <c r="I22" s="77">
        <f t="shared" si="1"/>
        <v>2503.261</v>
      </c>
      <c r="J22" s="69">
        <v>177.34</v>
      </c>
      <c r="K22" s="78">
        <f t="shared" si="2"/>
        <v>177.34</v>
      </c>
      <c r="M22" s="176"/>
      <c r="N22" s="177"/>
      <c r="O22" s="170"/>
      <c r="Q22" s="69">
        <f t="shared" si="3"/>
        <v>337.94023500000003</v>
      </c>
      <c r="R22" s="69">
        <f t="shared" si="4"/>
        <v>62.581525</v>
      </c>
      <c r="S22" s="69">
        <f t="shared" si="5"/>
        <v>112.646745</v>
      </c>
      <c r="T22" s="69">
        <f t="shared" si="6"/>
        <v>400.52176000000003</v>
      </c>
      <c r="U22" s="69">
        <f t="shared" si="7"/>
        <v>25.032610000000002</v>
      </c>
      <c r="V22" s="69">
        <f t="shared" si="8"/>
        <v>62.581525</v>
      </c>
      <c r="W22" s="69">
        <f t="shared" si="9"/>
        <v>87.614135</v>
      </c>
      <c r="X22" s="69">
        <f t="shared" si="10"/>
        <v>3256.3510300000003</v>
      </c>
      <c r="Y22" s="69">
        <f t="shared" si="11"/>
        <v>1990.0924949999999</v>
      </c>
    </row>
    <row r="23" spans="1:25" ht="12.75" customHeight="1">
      <c r="A23" s="169" t="s">
        <v>612</v>
      </c>
      <c r="B23" s="67" t="s">
        <v>615</v>
      </c>
      <c r="C23" s="69">
        <v>2066.9</v>
      </c>
      <c r="D23" s="69">
        <f t="shared" si="0"/>
        <v>310.035</v>
      </c>
      <c r="E23" s="69">
        <v>0</v>
      </c>
      <c r="F23" s="69"/>
      <c r="G23" s="69">
        <f>C23*VLOOKUP($C$2,Valores!$I$1:$J$53,2,0)</f>
        <v>0</v>
      </c>
      <c r="H23" s="69">
        <f>$H$21*3</f>
        <v>1377.9447</v>
      </c>
      <c r="I23" s="77">
        <f t="shared" si="1"/>
        <v>3754.8797</v>
      </c>
      <c r="J23" s="69">
        <v>266.01</v>
      </c>
      <c r="K23" s="78">
        <f t="shared" si="2"/>
        <v>266.01</v>
      </c>
      <c r="M23" s="176"/>
      <c r="N23" s="177"/>
      <c r="O23" s="170"/>
      <c r="Q23" s="69">
        <f t="shared" si="3"/>
        <v>506.90875950000003</v>
      </c>
      <c r="R23" s="69">
        <f t="shared" si="4"/>
        <v>93.8719925</v>
      </c>
      <c r="S23" s="69">
        <f t="shared" si="5"/>
        <v>168.9695865</v>
      </c>
      <c r="T23" s="69">
        <f t="shared" si="6"/>
        <v>600.780752</v>
      </c>
      <c r="U23" s="69">
        <f t="shared" si="7"/>
        <v>37.548797</v>
      </c>
      <c r="V23" s="69">
        <f t="shared" si="8"/>
        <v>93.8719925</v>
      </c>
      <c r="W23" s="69">
        <f t="shared" si="9"/>
        <v>131.4207895</v>
      </c>
      <c r="X23" s="69">
        <f t="shared" si="10"/>
        <v>4884.512030999999</v>
      </c>
      <c r="Y23" s="69">
        <f t="shared" si="11"/>
        <v>2985.1293615</v>
      </c>
    </row>
    <row r="24" spans="1:25" ht="12.75" customHeight="1">
      <c r="A24" s="169" t="s">
        <v>612</v>
      </c>
      <c r="B24" s="67" t="s">
        <v>616</v>
      </c>
      <c r="C24" s="69">
        <v>2755.87</v>
      </c>
      <c r="D24" s="69">
        <f t="shared" si="0"/>
        <v>413.3805</v>
      </c>
      <c r="E24" s="69">
        <v>0</v>
      </c>
      <c r="F24" s="69"/>
      <c r="G24" s="69">
        <f>C24*VLOOKUP($C$2,Valores!$I$1:$J$53,2,0)</f>
        <v>0</v>
      </c>
      <c r="H24" s="69">
        <v>1837.25</v>
      </c>
      <c r="I24" s="77">
        <f t="shared" si="1"/>
        <v>5006.5005</v>
      </c>
      <c r="J24" s="69">
        <v>354.68</v>
      </c>
      <c r="K24" s="78">
        <f t="shared" si="2"/>
        <v>354.68</v>
      </c>
      <c r="M24" s="176"/>
      <c r="N24" s="177"/>
      <c r="O24" s="170"/>
      <c r="Q24" s="69">
        <f t="shared" si="3"/>
        <v>675.8775675</v>
      </c>
      <c r="R24" s="69">
        <f t="shared" si="4"/>
        <v>125.1625125</v>
      </c>
      <c r="S24" s="69">
        <f t="shared" si="5"/>
        <v>225.2925225</v>
      </c>
      <c r="T24" s="69">
        <f t="shared" si="6"/>
        <v>801.04008</v>
      </c>
      <c r="U24" s="69">
        <f t="shared" si="7"/>
        <v>50.065005</v>
      </c>
      <c r="V24" s="69">
        <f t="shared" si="8"/>
        <v>125.1625125</v>
      </c>
      <c r="W24" s="69">
        <f t="shared" si="9"/>
        <v>175.22751750000003</v>
      </c>
      <c r="X24" s="69">
        <f t="shared" si="10"/>
        <v>6512.675615000001</v>
      </c>
      <c r="Y24" s="69">
        <f t="shared" si="11"/>
        <v>3980.1678975</v>
      </c>
    </row>
    <row r="25" spans="1:25" ht="12.75" customHeight="1">
      <c r="A25" s="169" t="s">
        <v>612</v>
      </c>
      <c r="B25" s="67" t="s">
        <v>617</v>
      </c>
      <c r="C25" s="69">
        <v>3444.84</v>
      </c>
      <c r="D25" s="69">
        <f t="shared" si="0"/>
        <v>516.726</v>
      </c>
      <c r="E25" s="69">
        <v>0</v>
      </c>
      <c r="F25" s="69"/>
      <c r="G25" s="69">
        <f>C25*VLOOKUP($C$2,Valores!$I$1:$J$53,2,0)</f>
        <v>0</v>
      </c>
      <c r="H25" s="69">
        <v>2296.57</v>
      </c>
      <c r="I25" s="77">
        <f t="shared" si="1"/>
        <v>6258.136</v>
      </c>
      <c r="J25" s="69">
        <v>443.35</v>
      </c>
      <c r="K25" s="78">
        <f t="shared" si="2"/>
        <v>443.35</v>
      </c>
      <c r="M25" s="176"/>
      <c r="N25" s="177"/>
      <c r="O25" s="170"/>
      <c r="Q25" s="69">
        <f t="shared" si="3"/>
        <v>844.8483600000001</v>
      </c>
      <c r="R25" s="69">
        <f t="shared" si="4"/>
        <v>156.45340000000002</v>
      </c>
      <c r="S25" s="69">
        <f t="shared" si="5"/>
        <v>281.61612</v>
      </c>
      <c r="T25" s="69">
        <f t="shared" si="6"/>
        <v>1001.3017600000001</v>
      </c>
      <c r="U25" s="69">
        <f t="shared" si="7"/>
        <v>62.581360000000004</v>
      </c>
      <c r="V25" s="69">
        <f t="shared" si="8"/>
        <v>156.45340000000002</v>
      </c>
      <c r="W25" s="69">
        <f t="shared" si="9"/>
        <v>219.03476000000003</v>
      </c>
      <c r="X25" s="69">
        <f t="shared" si="10"/>
        <v>8140.857280000002</v>
      </c>
      <c r="Y25" s="69">
        <f t="shared" si="11"/>
        <v>4975.21812</v>
      </c>
    </row>
    <row r="26" spans="1:25" ht="12.75" customHeight="1">
      <c r="A26" s="169" t="s">
        <v>612</v>
      </c>
      <c r="B26" s="67" t="s">
        <v>618</v>
      </c>
      <c r="C26" s="69">
        <v>4133.81</v>
      </c>
      <c r="D26" s="69">
        <f t="shared" si="0"/>
        <v>620.0715</v>
      </c>
      <c r="E26" s="69">
        <v>0</v>
      </c>
      <c r="F26" s="69"/>
      <c r="G26" s="69">
        <f>C26*VLOOKUP($C$2,Valores!$I$1:$J$53,2,0)</f>
        <v>0</v>
      </c>
      <c r="H26" s="69">
        <v>2755.88</v>
      </c>
      <c r="I26" s="77">
        <f t="shared" si="1"/>
        <v>7509.7615000000005</v>
      </c>
      <c r="J26" s="69">
        <v>532.01</v>
      </c>
      <c r="K26" s="78">
        <f t="shared" si="2"/>
        <v>532.01</v>
      </c>
      <c r="M26" s="176"/>
      <c r="N26" s="177"/>
      <c r="O26" s="170"/>
      <c r="Q26" s="69">
        <f t="shared" si="3"/>
        <v>1013.8178025000001</v>
      </c>
      <c r="R26" s="69">
        <f t="shared" si="4"/>
        <v>187.74403750000002</v>
      </c>
      <c r="S26" s="69">
        <f t="shared" si="5"/>
        <v>337.9392675</v>
      </c>
      <c r="T26" s="69">
        <f t="shared" si="6"/>
        <v>1201.56184</v>
      </c>
      <c r="U26" s="69">
        <f t="shared" si="7"/>
        <v>75.097615</v>
      </c>
      <c r="V26" s="69">
        <f t="shared" si="8"/>
        <v>187.74403750000002</v>
      </c>
      <c r="W26" s="69">
        <f t="shared" si="9"/>
        <v>262.84165250000007</v>
      </c>
      <c r="X26" s="69">
        <f t="shared" si="10"/>
        <v>9769.016645000002</v>
      </c>
      <c r="Y26" s="69">
        <f t="shared" si="11"/>
        <v>5970.2603925</v>
      </c>
    </row>
    <row r="27" spans="1:25" ht="12.75" customHeight="1">
      <c r="A27" s="169" t="s">
        <v>612</v>
      </c>
      <c r="B27" s="67" t="s">
        <v>619</v>
      </c>
      <c r="C27" s="69">
        <v>4822.78</v>
      </c>
      <c r="D27" s="69">
        <f t="shared" si="0"/>
        <v>723.4169999999999</v>
      </c>
      <c r="E27" s="69">
        <v>0</v>
      </c>
      <c r="F27" s="69"/>
      <c r="G27" s="69">
        <f>C27*VLOOKUP($C$2,Valores!$I$1:$J$53,2,0)</f>
        <v>0</v>
      </c>
      <c r="H27" s="69">
        <v>3215.19</v>
      </c>
      <c r="I27" s="77">
        <f t="shared" si="1"/>
        <v>8761.387</v>
      </c>
      <c r="J27" s="69">
        <v>620.68</v>
      </c>
      <c r="K27" s="78">
        <f t="shared" si="2"/>
        <v>620.68</v>
      </c>
      <c r="M27" s="176"/>
      <c r="N27" s="177"/>
      <c r="O27" s="170"/>
      <c r="Q27" s="69">
        <f t="shared" si="3"/>
        <v>1182.7872450000002</v>
      </c>
      <c r="R27" s="69">
        <f t="shared" si="4"/>
        <v>219.03467500000002</v>
      </c>
      <c r="S27" s="69">
        <f t="shared" si="5"/>
        <v>394.26241500000003</v>
      </c>
      <c r="T27" s="69">
        <f t="shared" si="6"/>
        <v>1401.82192</v>
      </c>
      <c r="U27" s="69">
        <f t="shared" si="7"/>
        <v>87.61387</v>
      </c>
      <c r="V27" s="69">
        <f t="shared" si="8"/>
        <v>219.03467500000002</v>
      </c>
      <c r="W27" s="69">
        <f t="shared" si="9"/>
        <v>306.64854500000007</v>
      </c>
      <c r="X27" s="69">
        <f t="shared" si="10"/>
        <v>11397.186010000001</v>
      </c>
      <c r="Y27" s="69">
        <f t="shared" si="11"/>
        <v>6965.302665</v>
      </c>
    </row>
    <row r="28" spans="1:25" ht="12.75" customHeight="1">
      <c r="A28" s="169" t="s">
        <v>612</v>
      </c>
      <c r="B28" s="67" t="s">
        <v>620</v>
      </c>
      <c r="C28" s="69">
        <v>5511.75</v>
      </c>
      <c r="D28" s="69">
        <f t="shared" si="0"/>
        <v>826.7624999999999</v>
      </c>
      <c r="E28" s="69">
        <v>0</v>
      </c>
      <c r="F28" s="69"/>
      <c r="G28" s="69">
        <f>C28*VLOOKUP($C$2,Valores!$I$1:$J$53,2,0)</f>
        <v>0</v>
      </c>
      <c r="H28" s="69">
        <v>3674.5</v>
      </c>
      <c r="I28" s="77">
        <f t="shared" si="1"/>
        <v>10013.0125</v>
      </c>
      <c r="J28" s="69">
        <v>709.35</v>
      </c>
      <c r="K28" s="78">
        <f t="shared" si="2"/>
        <v>709.35</v>
      </c>
      <c r="M28" s="176"/>
      <c r="N28" s="177"/>
      <c r="O28" s="170"/>
      <c r="Q28" s="69">
        <f t="shared" si="3"/>
        <v>1351.7566875000002</v>
      </c>
      <c r="R28" s="69">
        <f t="shared" si="4"/>
        <v>250.32531250000002</v>
      </c>
      <c r="S28" s="69">
        <f t="shared" si="5"/>
        <v>450.58556250000004</v>
      </c>
      <c r="T28" s="69">
        <f t="shared" si="6"/>
        <v>1602.082</v>
      </c>
      <c r="U28" s="69">
        <f t="shared" si="7"/>
        <v>100.130125</v>
      </c>
      <c r="V28" s="69">
        <f t="shared" si="8"/>
        <v>250.32531250000002</v>
      </c>
      <c r="W28" s="69">
        <f t="shared" si="9"/>
        <v>350.4554375000001</v>
      </c>
      <c r="X28" s="69">
        <f t="shared" si="10"/>
        <v>13025.355375000001</v>
      </c>
      <c r="Y28" s="69">
        <f t="shared" si="11"/>
        <v>7960.3449375</v>
      </c>
    </row>
    <row r="29" spans="1:25" ht="12.75" customHeight="1">
      <c r="A29" s="169" t="s">
        <v>612</v>
      </c>
      <c r="B29" s="67" t="s">
        <v>621</v>
      </c>
      <c r="C29" s="69">
        <v>6200.71</v>
      </c>
      <c r="D29" s="69">
        <f t="shared" si="0"/>
        <v>930.1065</v>
      </c>
      <c r="E29" s="69"/>
      <c r="F29" s="69"/>
      <c r="G29" s="69">
        <f>C29*VLOOKUP($C$2,Valores!$I$1:$J$53,2,0)</f>
        <v>0</v>
      </c>
      <c r="H29" s="69">
        <v>4133.82</v>
      </c>
      <c r="I29" s="77">
        <f t="shared" si="1"/>
        <v>11264.6365</v>
      </c>
      <c r="J29" s="69">
        <v>798.02</v>
      </c>
      <c r="K29" s="78">
        <f t="shared" si="2"/>
        <v>798.02</v>
      </c>
      <c r="M29" s="176"/>
      <c r="N29" s="177"/>
      <c r="O29" s="170"/>
      <c r="Q29" s="69"/>
      <c r="R29" s="69"/>
      <c r="S29" s="69"/>
      <c r="T29" s="69"/>
      <c r="U29" s="69"/>
      <c r="V29" s="69"/>
      <c r="W29" s="69"/>
      <c r="X29" s="69"/>
      <c r="Y29" s="69"/>
    </row>
    <row r="30" spans="1:25" ht="12.75" customHeight="1">
      <c r="A30" s="169" t="s">
        <v>612</v>
      </c>
      <c r="B30" s="67" t="s">
        <v>622</v>
      </c>
      <c r="C30" s="69">
        <v>6889.68</v>
      </c>
      <c r="D30" s="69">
        <f t="shared" si="0"/>
        <v>1033.452</v>
      </c>
      <c r="E30" s="69"/>
      <c r="F30" s="69"/>
      <c r="G30" s="69">
        <f>C30*VLOOKUP($C$2,Valores!$I$1:$J$53,2,0)</f>
        <v>0</v>
      </c>
      <c r="H30" s="69">
        <v>4593.13</v>
      </c>
      <c r="I30" s="77">
        <f t="shared" si="1"/>
        <v>12516.262</v>
      </c>
      <c r="J30" s="69">
        <v>886.69</v>
      </c>
      <c r="K30" s="78">
        <f t="shared" si="2"/>
        <v>886.69</v>
      </c>
      <c r="M30" s="176"/>
      <c r="N30" s="177"/>
      <c r="O30" s="170"/>
      <c r="Q30" s="69"/>
      <c r="R30" s="69"/>
      <c r="S30" s="69"/>
      <c r="T30" s="69"/>
      <c r="U30" s="69"/>
      <c r="V30" s="69"/>
      <c r="W30" s="69"/>
      <c r="X30" s="69"/>
      <c r="Y30" s="69"/>
    </row>
    <row r="31" spans="1:25" ht="12.75" customHeight="1">
      <c r="A31" s="169" t="s">
        <v>612</v>
      </c>
      <c r="B31" s="67" t="s">
        <v>623</v>
      </c>
      <c r="C31" s="69">
        <v>7878.65</v>
      </c>
      <c r="D31" s="69">
        <f t="shared" si="0"/>
        <v>1181.7975</v>
      </c>
      <c r="E31" s="69"/>
      <c r="F31" s="69"/>
      <c r="G31" s="69">
        <f>C31*VLOOKUP($C$2,Valores!$I$1:$J$53,2,0)</f>
        <v>0</v>
      </c>
      <c r="H31" s="69">
        <v>5052.44</v>
      </c>
      <c r="I31" s="77">
        <f t="shared" si="1"/>
        <v>14112.8875</v>
      </c>
      <c r="J31" s="69">
        <v>975.36</v>
      </c>
      <c r="K31" s="78">
        <f t="shared" si="2"/>
        <v>975.36</v>
      </c>
      <c r="M31" s="176"/>
      <c r="N31" s="177"/>
      <c r="O31" s="170"/>
      <c r="Q31" s="69"/>
      <c r="R31" s="69"/>
      <c r="S31" s="69"/>
      <c r="T31" s="69"/>
      <c r="U31" s="69"/>
      <c r="V31" s="69"/>
      <c r="W31" s="69"/>
      <c r="X31" s="69"/>
      <c r="Y31" s="69"/>
    </row>
    <row r="32" spans="1:25" ht="12.75" customHeight="1">
      <c r="A32" s="169" t="s">
        <v>612</v>
      </c>
      <c r="B32" s="67" t="s">
        <v>624</v>
      </c>
      <c r="C32" s="69">
        <v>8567.62</v>
      </c>
      <c r="D32" s="69">
        <f t="shared" si="0"/>
        <v>1285.143</v>
      </c>
      <c r="E32" s="69"/>
      <c r="F32" s="69"/>
      <c r="G32" s="69">
        <f>C32*VLOOKUP($C$2,Valores!$I$1:$J$53,2,0)</f>
        <v>0</v>
      </c>
      <c r="H32" s="69">
        <v>5511.75</v>
      </c>
      <c r="I32" s="77">
        <f t="shared" si="1"/>
        <v>15364.513</v>
      </c>
      <c r="J32" s="69">
        <v>1064.03</v>
      </c>
      <c r="K32" s="78">
        <f t="shared" si="2"/>
        <v>1064.03</v>
      </c>
      <c r="M32" s="176"/>
      <c r="N32" s="177"/>
      <c r="O32" s="170"/>
      <c r="Q32" s="69"/>
      <c r="R32" s="69"/>
      <c r="S32" s="69"/>
      <c r="T32" s="69"/>
      <c r="U32" s="69"/>
      <c r="V32" s="69"/>
      <c r="W32" s="69"/>
      <c r="X32" s="69"/>
      <c r="Y32" s="69"/>
    </row>
    <row r="33" spans="1:25" ht="12.75" customHeight="1">
      <c r="A33" s="169"/>
      <c r="B33" s="67"/>
      <c r="C33" s="69"/>
      <c r="D33" s="69"/>
      <c r="E33" s="69"/>
      <c r="F33" s="69"/>
      <c r="G33" s="69"/>
      <c r="H33" s="69"/>
      <c r="I33" s="77"/>
      <c r="J33" s="69"/>
      <c r="K33" s="78"/>
      <c r="M33" s="176"/>
      <c r="N33" s="177"/>
      <c r="O33" s="170"/>
      <c r="Q33" s="69"/>
      <c r="R33" s="69"/>
      <c r="S33" s="69"/>
      <c r="T33" s="69"/>
      <c r="U33" s="69"/>
      <c r="V33" s="69"/>
      <c r="W33" s="69"/>
      <c r="X33" s="69">
        <f>I33+K33+T33+U33+V33+W33</f>
        <v>0</v>
      </c>
      <c r="Y33" s="69">
        <f>+I33-SUM(Q33:S33)</f>
        <v>0</v>
      </c>
    </row>
    <row r="34" spans="1:25" ht="12.75" customHeight="1">
      <c r="A34" s="178"/>
      <c r="B34" s="179"/>
      <c r="C34" s="180"/>
      <c r="D34" s="180"/>
      <c r="E34" s="180"/>
      <c r="F34" s="180"/>
      <c r="G34" s="180"/>
      <c r="H34" s="180"/>
      <c r="I34" s="181"/>
      <c r="J34" s="180"/>
      <c r="K34" s="182"/>
      <c r="M34" s="176"/>
      <c r="N34" s="177"/>
      <c r="O34" s="170"/>
      <c r="Q34" s="183">
        <v>0.11</v>
      </c>
      <c r="R34" s="183">
        <v>0.05</v>
      </c>
      <c r="S34" s="184">
        <v>0.045</v>
      </c>
      <c r="T34" s="185">
        <v>0.16</v>
      </c>
      <c r="U34" s="186">
        <v>0</v>
      </c>
      <c r="V34" s="187">
        <v>0</v>
      </c>
      <c r="W34" s="187">
        <v>0.035</v>
      </c>
      <c r="X34" s="69" t="s">
        <v>625</v>
      </c>
      <c r="Y34" s="69"/>
    </row>
    <row r="35" spans="1:25" ht="12.75" customHeight="1">
      <c r="A35" s="169" t="s">
        <v>626</v>
      </c>
      <c r="B35" s="67" t="s">
        <v>627</v>
      </c>
      <c r="C35" s="69">
        <v>51328.46</v>
      </c>
      <c r="D35" s="69">
        <v>0</v>
      </c>
      <c r="E35" s="69">
        <v>574.89</v>
      </c>
      <c r="F35" s="69">
        <v>4043.48</v>
      </c>
      <c r="G35" s="69">
        <f>C35*0.0225*$C$2</f>
        <v>0</v>
      </c>
      <c r="H35" s="69">
        <v>0</v>
      </c>
      <c r="I35" s="77">
        <f aca="true" t="shared" si="12" ref="I35:I47">SUM(C35:H35)</f>
        <v>55946.83</v>
      </c>
      <c r="J35" s="69">
        <v>0</v>
      </c>
      <c r="K35" s="69">
        <f>SUM(J35)</f>
        <v>0</v>
      </c>
      <c r="L35" s="188" t="s">
        <v>628</v>
      </c>
      <c r="Q35" s="69">
        <f>I35*$Q$5</f>
        <v>7552.822050000001</v>
      </c>
      <c r="R35" s="69">
        <f>I35*$R$5</f>
        <v>1398.6707500000002</v>
      </c>
      <c r="S35" s="69">
        <f aca="true" t="shared" si="13" ref="S35:S47">I35*$S$5</f>
        <v>2517.6073499999998</v>
      </c>
      <c r="T35" s="69">
        <f aca="true" t="shared" si="14" ref="T35:T47">I35*$T$34</f>
        <v>8951.4928</v>
      </c>
      <c r="U35" s="69">
        <f aca="true" t="shared" si="15" ref="U35:U47">I35*$U$34</f>
        <v>0</v>
      </c>
      <c r="V35" s="69">
        <f aca="true" t="shared" si="16" ref="V35:V47">I35*$V$34</f>
        <v>0</v>
      </c>
      <c r="W35" s="69">
        <f aca="true" t="shared" si="17" ref="W35:W47">I35*$W$34</f>
        <v>1958.1390500000002</v>
      </c>
      <c r="X35" s="69">
        <f aca="true" t="shared" si="18" ref="X35:X47">I35+K35+T35+U35+V35+W35</f>
        <v>66856.46185</v>
      </c>
      <c r="Y35" s="69">
        <f aca="true" t="shared" si="19" ref="Y35:Y47">+I35-SUM(Q35:S35)</f>
        <v>44477.72985</v>
      </c>
    </row>
    <row r="36" spans="1:25" ht="12.75" customHeight="1">
      <c r="A36" s="169" t="s">
        <v>629</v>
      </c>
      <c r="B36" s="67" t="s">
        <v>630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77">
        <f t="shared" si="12"/>
        <v>0</v>
      </c>
      <c r="J36" s="69">
        <v>0</v>
      </c>
      <c r="K36" s="69">
        <f>SUM(J36)</f>
        <v>0</v>
      </c>
      <c r="L36" s="188" t="s">
        <v>631</v>
      </c>
      <c r="M36" s="67" t="s">
        <v>632</v>
      </c>
      <c r="N36" s="170">
        <v>5314.29</v>
      </c>
      <c r="O36" s="170">
        <v>3542.86</v>
      </c>
      <c r="Q36" s="69">
        <f>I36*$Q$5</f>
        <v>0</v>
      </c>
      <c r="R36" s="69">
        <f>I36*$R$5</f>
        <v>0</v>
      </c>
      <c r="S36" s="69">
        <f t="shared" si="13"/>
        <v>0</v>
      </c>
      <c r="T36" s="69">
        <f t="shared" si="14"/>
        <v>0</v>
      </c>
      <c r="U36" s="69">
        <f t="shared" si="15"/>
        <v>0</v>
      </c>
      <c r="V36" s="69">
        <f t="shared" si="16"/>
        <v>0</v>
      </c>
      <c r="W36" s="69">
        <f t="shared" si="17"/>
        <v>0</v>
      </c>
      <c r="X36" s="69">
        <f t="shared" si="18"/>
        <v>0</v>
      </c>
      <c r="Y36" s="69">
        <f t="shared" si="19"/>
        <v>0</v>
      </c>
    </row>
    <row r="37" spans="1:25" ht="12.75" customHeight="1">
      <c r="A37" s="169" t="s">
        <v>633</v>
      </c>
      <c r="B37" s="67" t="s">
        <v>634</v>
      </c>
      <c r="C37" s="69">
        <v>140966.51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77">
        <f t="shared" si="12"/>
        <v>140966.51</v>
      </c>
      <c r="J37" s="69">
        <v>0</v>
      </c>
      <c r="K37" s="69">
        <f>SUM(J37)</f>
        <v>0</v>
      </c>
      <c r="L37" s="188" t="s">
        <v>635</v>
      </c>
      <c r="M37" s="67" t="s">
        <v>636</v>
      </c>
      <c r="N37" s="170">
        <v>10628.58</v>
      </c>
      <c r="O37" s="170">
        <v>7085.72</v>
      </c>
      <c r="Q37" s="69">
        <f>I37*0.088</f>
        <v>12405.05288</v>
      </c>
      <c r="R37" s="69">
        <f>I37*0.07203875</f>
        <v>10155.0511722625</v>
      </c>
      <c r="S37" s="69">
        <f t="shared" si="13"/>
        <v>6343.49295</v>
      </c>
      <c r="T37" s="69">
        <f t="shared" si="14"/>
        <v>22554.641600000003</v>
      </c>
      <c r="U37" s="69">
        <f t="shared" si="15"/>
        <v>0</v>
      </c>
      <c r="V37" s="69">
        <f t="shared" si="16"/>
        <v>0</v>
      </c>
      <c r="W37" s="69">
        <f t="shared" si="17"/>
        <v>4933.827850000001</v>
      </c>
      <c r="X37" s="69">
        <f t="shared" si="18"/>
        <v>168454.97945</v>
      </c>
      <c r="Y37" s="69">
        <f t="shared" si="19"/>
        <v>112062.91299773751</v>
      </c>
    </row>
    <row r="38" spans="1:25" ht="12.75" customHeight="1">
      <c r="A38" s="169" t="s">
        <v>637</v>
      </c>
      <c r="B38" s="67" t="s">
        <v>638</v>
      </c>
      <c r="C38" s="69">
        <v>122846.6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77">
        <f t="shared" si="12"/>
        <v>122846.6</v>
      </c>
      <c r="J38" s="69"/>
      <c r="K38" s="69"/>
      <c r="L38" s="188"/>
      <c r="Q38" s="69">
        <f>I38*0.0826645</f>
        <v>10155.0527657</v>
      </c>
      <c r="R38" s="69">
        <f>I38*0.0773355</f>
        <v>9500.4032343</v>
      </c>
      <c r="S38" s="69">
        <f t="shared" si="13"/>
        <v>5528.097</v>
      </c>
      <c r="T38" s="69">
        <f t="shared" si="14"/>
        <v>19655.456000000002</v>
      </c>
      <c r="U38" s="69">
        <f t="shared" si="15"/>
        <v>0</v>
      </c>
      <c r="V38" s="69">
        <f t="shared" si="16"/>
        <v>0</v>
      </c>
      <c r="W38" s="69">
        <f t="shared" si="17"/>
        <v>4299.631</v>
      </c>
      <c r="X38" s="69">
        <f t="shared" si="18"/>
        <v>146801.687</v>
      </c>
      <c r="Y38" s="69">
        <f t="shared" si="19"/>
        <v>97663.047</v>
      </c>
    </row>
    <row r="39" spans="1:25" ht="12.75" customHeight="1">
      <c r="A39" s="169" t="s">
        <v>639</v>
      </c>
      <c r="B39" s="67" t="s">
        <v>640</v>
      </c>
      <c r="C39" s="69">
        <v>91295.03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77">
        <f t="shared" si="12"/>
        <v>91295.03</v>
      </c>
      <c r="J39" s="69">
        <v>0</v>
      </c>
      <c r="K39" s="69">
        <f aca="true" t="shared" si="20" ref="K39:K47">SUM(J39)</f>
        <v>0</v>
      </c>
      <c r="L39" s="188" t="s">
        <v>628</v>
      </c>
      <c r="Q39" s="69">
        <f>I39*$Q$34</f>
        <v>10042.4533</v>
      </c>
      <c r="R39" s="69">
        <f>I39*$R$34</f>
        <v>4564.7515</v>
      </c>
      <c r="S39" s="69">
        <f t="shared" si="13"/>
        <v>4108.27635</v>
      </c>
      <c r="T39" s="69">
        <f t="shared" si="14"/>
        <v>14607.2048</v>
      </c>
      <c r="U39" s="69">
        <f t="shared" si="15"/>
        <v>0</v>
      </c>
      <c r="V39" s="69">
        <f t="shared" si="16"/>
        <v>0</v>
      </c>
      <c r="W39" s="69">
        <f t="shared" si="17"/>
        <v>3195.32605</v>
      </c>
      <c r="X39" s="69">
        <f t="shared" si="18"/>
        <v>109097.56085000001</v>
      </c>
      <c r="Y39" s="69">
        <f t="shared" si="19"/>
        <v>72579.54884999999</v>
      </c>
    </row>
    <row r="40" spans="1:25" ht="12.75" customHeight="1">
      <c r="A40" s="169" t="s">
        <v>641</v>
      </c>
      <c r="B40" s="67" t="s">
        <v>642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77">
        <f t="shared" si="12"/>
        <v>0</v>
      </c>
      <c r="J40" s="69">
        <v>0</v>
      </c>
      <c r="K40" s="69">
        <f t="shared" si="20"/>
        <v>0</v>
      </c>
      <c r="L40" s="188" t="s">
        <v>628</v>
      </c>
      <c r="Q40" s="69">
        <f>I40*$Q$5</f>
        <v>0</v>
      </c>
      <c r="R40" s="69">
        <f>I40*$R$5</f>
        <v>0</v>
      </c>
      <c r="S40" s="69">
        <f t="shared" si="13"/>
        <v>0</v>
      </c>
      <c r="T40" s="69">
        <f t="shared" si="14"/>
        <v>0</v>
      </c>
      <c r="U40" s="69">
        <f t="shared" si="15"/>
        <v>0</v>
      </c>
      <c r="V40" s="69">
        <f t="shared" si="16"/>
        <v>0</v>
      </c>
      <c r="W40" s="69">
        <f t="shared" si="17"/>
        <v>0</v>
      </c>
      <c r="X40" s="69">
        <f t="shared" si="18"/>
        <v>0</v>
      </c>
      <c r="Y40" s="69">
        <f t="shared" si="19"/>
        <v>0</v>
      </c>
    </row>
    <row r="41" spans="1:25" ht="12.75">
      <c r="A41" s="169" t="s">
        <v>643</v>
      </c>
      <c r="B41" s="67" t="s">
        <v>644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77">
        <f t="shared" si="12"/>
        <v>0</v>
      </c>
      <c r="J41" s="69">
        <v>0</v>
      </c>
      <c r="K41" s="69">
        <f t="shared" si="20"/>
        <v>0</v>
      </c>
      <c r="L41" s="188" t="s">
        <v>628</v>
      </c>
      <c r="Q41" s="69">
        <f>I41*$Q$5</f>
        <v>0</v>
      </c>
      <c r="R41" s="69">
        <f>I41*$R$5</f>
        <v>0</v>
      </c>
      <c r="S41" s="69">
        <f t="shared" si="13"/>
        <v>0</v>
      </c>
      <c r="T41" s="69">
        <f t="shared" si="14"/>
        <v>0</v>
      </c>
      <c r="U41" s="69">
        <f t="shared" si="15"/>
        <v>0</v>
      </c>
      <c r="V41" s="69">
        <f t="shared" si="16"/>
        <v>0</v>
      </c>
      <c r="W41" s="69">
        <f t="shared" si="17"/>
        <v>0</v>
      </c>
      <c r="X41" s="69">
        <f t="shared" si="18"/>
        <v>0</v>
      </c>
      <c r="Y41" s="69">
        <f t="shared" si="19"/>
        <v>0</v>
      </c>
    </row>
    <row r="42" spans="1:25" ht="12.75">
      <c r="A42" s="169" t="s">
        <v>645</v>
      </c>
      <c r="B42" s="67" t="s">
        <v>646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77">
        <f t="shared" si="12"/>
        <v>0</v>
      </c>
      <c r="J42" s="69">
        <v>0</v>
      </c>
      <c r="K42" s="69">
        <f t="shared" si="20"/>
        <v>0</v>
      </c>
      <c r="L42" s="188" t="s">
        <v>628</v>
      </c>
      <c r="Q42" s="69">
        <f>I42*$Q$5</f>
        <v>0</v>
      </c>
      <c r="R42" s="69">
        <f>I42*$R$5</f>
        <v>0</v>
      </c>
      <c r="S42" s="69">
        <f t="shared" si="13"/>
        <v>0</v>
      </c>
      <c r="T42" s="69">
        <f t="shared" si="14"/>
        <v>0</v>
      </c>
      <c r="U42" s="69">
        <f t="shared" si="15"/>
        <v>0</v>
      </c>
      <c r="V42" s="69">
        <f t="shared" si="16"/>
        <v>0</v>
      </c>
      <c r="W42" s="69">
        <f t="shared" si="17"/>
        <v>0</v>
      </c>
      <c r="X42" s="69">
        <f t="shared" si="18"/>
        <v>0</v>
      </c>
      <c r="Y42" s="69">
        <f t="shared" si="19"/>
        <v>0</v>
      </c>
    </row>
    <row r="43" spans="1:25" ht="12.75">
      <c r="A43" s="169" t="s">
        <v>647</v>
      </c>
      <c r="B43" s="67" t="s">
        <v>648</v>
      </c>
      <c r="C43" s="69">
        <v>51328.46</v>
      </c>
      <c r="D43" s="69">
        <v>0</v>
      </c>
      <c r="E43" s="69">
        <v>574.89</v>
      </c>
      <c r="F43" s="69">
        <v>4043.48</v>
      </c>
      <c r="G43" s="69">
        <f>C43*0.0225*$C$2</f>
        <v>0</v>
      </c>
      <c r="H43" s="69">
        <v>0</v>
      </c>
      <c r="I43" s="77">
        <f t="shared" si="12"/>
        <v>55946.83</v>
      </c>
      <c r="J43" s="69">
        <v>0</v>
      </c>
      <c r="K43" s="69">
        <f t="shared" si="20"/>
        <v>0</v>
      </c>
      <c r="L43" s="188"/>
      <c r="Q43" s="69">
        <f>I43*$Q$34</f>
        <v>6154.1513</v>
      </c>
      <c r="R43" s="69">
        <f>I43*$R$34</f>
        <v>2797.3415000000005</v>
      </c>
      <c r="S43" s="69">
        <f t="shared" si="13"/>
        <v>2517.6073499999998</v>
      </c>
      <c r="T43" s="69">
        <f t="shared" si="14"/>
        <v>8951.4928</v>
      </c>
      <c r="U43" s="69">
        <f t="shared" si="15"/>
        <v>0</v>
      </c>
      <c r="V43" s="69">
        <f t="shared" si="16"/>
        <v>0</v>
      </c>
      <c r="W43" s="69">
        <f t="shared" si="17"/>
        <v>1958.1390500000002</v>
      </c>
      <c r="X43" s="69">
        <f t="shared" si="18"/>
        <v>66856.46185</v>
      </c>
      <c r="Y43" s="69">
        <f t="shared" si="19"/>
        <v>44477.72985</v>
      </c>
    </row>
    <row r="44" spans="1:25" ht="12.75" customHeight="1">
      <c r="A44" s="169" t="s">
        <v>649</v>
      </c>
      <c r="B44" s="67" t="s">
        <v>650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77">
        <f t="shared" si="12"/>
        <v>0</v>
      </c>
      <c r="J44" s="69">
        <v>0</v>
      </c>
      <c r="K44" s="69">
        <f t="shared" si="20"/>
        <v>0</v>
      </c>
      <c r="L44" s="188" t="s">
        <v>631</v>
      </c>
      <c r="Q44" s="69">
        <f>I44*$Q$5</f>
        <v>0</v>
      </c>
      <c r="R44" s="69">
        <f>I44*$R$5</f>
        <v>0</v>
      </c>
      <c r="S44" s="69">
        <f t="shared" si="13"/>
        <v>0</v>
      </c>
      <c r="T44" s="69">
        <f t="shared" si="14"/>
        <v>0</v>
      </c>
      <c r="U44" s="69">
        <f t="shared" si="15"/>
        <v>0</v>
      </c>
      <c r="V44" s="69">
        <f t="shared" si="16"/>
        <v>0</v>
      </c>
      <c r="W44" s="69">
        <f t="shared" si="17"/>
        <v>0</v>
      </c>
      <c r="X44" s="69">
        <f t="shared" si="18"/>
        <v>0</v>
      </c>
      <c r="Y44" s="69">
        <f t="shared" si="19"/>
        <v>0</v>
      </c>
    </row>
    <row r="45" spans="1:25" ht="12.75" customHeight="1">
      <c r="A45" s="169" t="s">
        <v>651</v>
      </c>
      <c r="B45" s="67" t="s">
        <v>652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77">
        <f t="shared" si="12"/>
        <v>0</v>
      </c>
      <c r="J45" s="69">
        <v>0</v>
      </c>
      <c r="K45" s="69">
        <f t="shared" si="20"/>
        <v>0</v>
      </c>
      <c r="L45" s="188" t="s">
        <v>631</v>
      </c>
      <c r="Q45" s="69">
        <f>I45*$Q$5</f>
        <v>0</v>
      </c>
      <c r="R45" s="69">
        <f>I45*$R$5</f>
        <v>0</v>
      </c>
      <c r="S45" s="69">
        <f t="shared" si="13"/>
        <v>0</v>
      </c>
      <c r="T45" s="69">
        <f t="shared" si="14"/>
        <v>0</v>
      </c>
      <c r="U45" s="69">
        <f t="shared" si="15"/>
        <v>0</v>
      </c>
      <c r="V45" s="69">
        <f t="shared" si="16"/>
        <v>0</v>
      </c>
      <c r="W45" s="69">
        <f t="shared" si="17"/>
        <v>0</v>
      </c>
      <c r="X45" s="69">
        <f t="shared" si="18"/>
        <v>0</v>
      </c>
      <c r="Y45" s="69">
        <f t="shared" si="19"/>
        <v>0</v>
      </c>
    </row>
    <row r="46" spans="1:25" ht="12.75" customHeight="1">
      <c r="A46" s="169" t="s">
        <v>653</v>
      </c>
      <c r="B46" s="67" t="s">
        <v>654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77">
        <f t="shared" si="12"/>
        <v>0</v>
      </c>
      <c r="J46" s="69">
        <v>0</v>
      </c>
      <c r="K46" s="69">
        <f t="shared" si="20"/>
        <v>0</v>
      </c>
      <c r="L46" s="188" t="s">
        <v>631</v>
      </c>
      <c r="Q46" s="69">
        <f>I46*$Q$5</f>
        <v>0</v>
      </c>
      <c r="R46" s="69">
        <f>I46*$R$5</f>
        <v>0</v>
      </c>
      <c r="S46" s="69">
        <f t="shared" si="13"/>
        <v>0</v>
      </c>
      <c r="T46" s="69">
        <f t="shared" si="14"/>
        <v>0</v>
      </c>
      <c r="U46" s="69">
        <f t="shared" si="15"/>
        <v>0</v>
      </c>
      <c r="V46" s="69">
        <f t="shared" si="16"/>
        <v>0</v>
      </c>
      <c r="W46" s="69">
        <f t="shared" si="17"/>
        <v>0</v>
      </c>
      <c r="X46" s="69">
        <f t="shared" si="18"/>
        <v>0</v>
      </c>
      <c r="Y46" s="69">
        <f t="shared" si="19"/>
        <v>0</v>
      </c>
    </row>
    <row r="47" spans="1:25" ht="12.75" customHeight="1">
      <c r="A47" s="169" t="s">
        <v>655</v>
      </c>
      <c r="B47" s="67" t="s">
        <v>656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77">
        <f t="shared" si="12"/>
        <v>0</v>
      </c>
      <c r="J47" s="69">
        <v>0</v>
      </c>
      <c r="K47" s="69">
        <f t="shared" si="20"/>
        <v>0</v>
      </c>
      <c r="L47" s="188" t="s">
        <v>631</v>
      </c>
      <c r="Q47" s="69">
        <f>I47*$Q$5</f>
        <v>0</v>
      </c>
      <c r="R47" s="69">
        <f>I47*$R$5</f>
        <v>0</v>
      </c>
      <c r="S47" s="69">
        <f t="shared" si="13"/>
        <v>0</v>
      </c>
      <c r="T47" s="69">
        <f t="shared" si="14"/>
        <v>0</v>
      </c>
      <c r="U47" s="69">
        <f t="shared" si="15"/>
        <v>0</v>
      </c>
      <c r="V47" s="69">
        <f t="shared" si="16"/>
        <v>0</v>
      </c>
      <c r="W47" s="69">
        <f t="shared" si="17"/>
        <v>0</v>
      </c>
      <c r="X47" s="69">
        <f t="shared" si="18"/>
        <v>0</v>
      </c>
      <c r="Y47" s="69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Carolina Contreras Roque</cp:lastModifiedBy>
  <cp:lastPrinted>2019-05-28T12:56:59Z</cp:lastPrinted>
  <dcterms:created xsi:type="dcterms:W3CDTF">2005-08-10T23:49:01Z</dcterms:created>
  <dcterms:modified xsi:type="dcterms:W3CDTF">2019-09-27T14:09:54Z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