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371" yWindow="65506" windowWidth="16380" windowHeight="571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Docente'!$A$7:$AR$328</definedName>
    <definedName name="_xlnm._FilterDatabase" localSheetId="2" hidden="1">'UPC'!$A$5:$K$37</definedName>
    <definedName name="_xlnm._FilterDatabase" localSheetId="0" hidden="1">'Valores'!$A$1:$J$84</definedName>
    <definedName name="_xlnm.Print_Area" localSheetId="1">'Escala Docente'!$C$1:$AM$328</definedName>
    <definedName name="_xlnm.Print_Area" localSheetId="2">'UPC'!$A$2:$J$37</definedName>
    <definedName name="_xlnm.Print_Area" localSheetId="0">'Valores'!$A$1:$G$84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Docente'!$6:$7</definedName>
  </definedNames>
  <calcPr calcId="145621"/>
</workbook>
</file>

<file path=xl/sharedStrings.xml><?xml version="1.0" encoding="utf-8"?>
<sst xmlns="http://schemas.openxmlformats.org/spreadsheetml/2006/main" count="953" uniqueCount="653">
  <si>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</si>
  <si>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</si>
  <si>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</si>
  <si>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</si>
  <si>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</si>
  <si>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</si>
  <si>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</si>
  <si>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</si>
  <si>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</si>
  <si>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</si>
  <si>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</si>
  <si>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</si>
  <si>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</si>
  <si>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</si>
  <si>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</si>
  <si>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</si>
  <si>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</si>
  <si>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</si>
  <si>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</si>
  <si>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</si>
  <si>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</si>
  <si>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</si>
  <si>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</si>
  <si>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</si>
  <si>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</si>
  <si>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</si>
  <si>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</si>
  <si>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</si>
  <si>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</si>
  <si>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</si>
  <si>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</si>
  <si>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</si>
  <si>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</si>
  <si>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</si>
  <si>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</si>
  <si>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</si>
  <si>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</si>
  <si>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</si>
  <si>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</si>
  <si>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</si>
  <si>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</si>
  <si>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</si>
  <si>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</si>
  <si>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</si>
  <si>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</si>
  <si>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</si>
  <si>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</si>
  <si>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</si>
  <si>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</si>
  <si>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</si>
  <si>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</si>
  <si>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</si>
  <si>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</si>
  <si>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</si>
  <si>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</si>
  <si>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</si>
  <si>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</si>
  <si>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</si>
  <si>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</si>
  <si>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</si>
  <si>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</si>
  <si>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</si>
  <si>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</si>
  <si>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</si>
  <si>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</si>
  <si>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</si>
  <si>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</si>
  <si>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</si>
  <si>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</si>
  <si>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</si>
  <si>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</si>
  <si>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</si>
  <si>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</si>
  <si>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</si>
  <si>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</si>
  <si>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</si>
  <si>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</si>
  <si>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</si>
  <si>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</si>
  <si>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</si>
  <si>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</si>
  <si>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</si>
  <si>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</si>
  <si>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</si>
  <si>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</si>
  <si>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</si>
  <si>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</si>
  <si>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</si>
  <si>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</si>
  <si>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</si>
  <si>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APROSS</t>
  </si>
  <si>
    <t>LIQUIDO C/ OS APROSS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</si>
  <si>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</si>
  <si>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</si>
  <si>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</si>
  <si>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</si>
  <si>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</si>
  <si>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</si>
  <si>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</si>
  <si>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</si>
  <si>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</si>
  <si>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</si>
  <si>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</si>
  <si>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</si>
  <si>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</si>
  <si>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</si>
  <si>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</si>
  <si>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</si>
  <si>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</si>
  <si>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</si>
  <si>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</si>
  <si>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</si>
  <si>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</si>
  <si>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</si>
  <si>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</si>
  <si>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</si>
  <si>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</si>
  <si>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</si>
  <si>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</si>
  <si>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</si>
  <si>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</si>
  <si>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</si>
  <si>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</si>
  <si>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C130030</t>
  </si>
  <si>
    <t>TNR</t>
  </si>
  <si>
    <t>C660060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</si>
  <si>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</si>
  <si>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</si>
  <si>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</si>
  <si>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</si>
  <si>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</si>
  <si>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</si>
  <si>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</si>
  <si>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</si>
  <si>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</si>
  <si>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</si>
  <si>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</si>
  <si>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</si>
  <si>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</si>
  <si>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</si>
  <si>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</si>
  <si>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</si>
  <si>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</si>
  <si>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</si>
  <si>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</si>
  <si>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</si>
  <si>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</si>
  <si>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</si>
  <si>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</si>
  <si>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</si>
  <si>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</si>
  <si>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</si>
  <si>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</si>
  <si>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</si>
  <si>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</si>
  <si>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</si>
  <si>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</si>
  <si>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</si>
  <si>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</si>
  <si>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</si>
  <si>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</si>
  <si>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</si>
  <si>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</si>
  <si>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</si>
  <si>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</si>
  <si>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</si>
  <si>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</si>
  <si>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</si>
  <si>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</si>
  <si>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</si>
  <si>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</si>
  <si>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</si>
  <si>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</si>
  <si>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</si>
  <si>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</si>
  <si>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</si>
  <si>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</si>
  <si>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</si>
  <si>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</si>
  <si>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</si>
  <si>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</si>
  <si>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</si>
  <si>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</si>
  <si>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</si>
  <si>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</si>
  <si>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</si>
  <si>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</si>
  <si>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</si>
  <si>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</si>
  <si>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</si>
  <si>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</si>
  <si>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</si>
  <si>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</si>
  <si>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</si>
  <si>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</si>
  <si>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</si>
  <si>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</si>
  <si>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</si>
  <si>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</si>
  <si>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</si>
  <si>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</si>
  <si>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</si>
  <si>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</si>
  <si>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</si>
  <si>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</si>
  <si>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</si>
  <si>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</si>
  <si>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</si>
  <si>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</si>
  <si>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</si>
  <si>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</si>
  <si>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</si>
  <si>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</si>
  <si>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</si>
  <si>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</si>
  <si>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</si>
  <si>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</si>
  <si>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</si>
  <si>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</si>
  <si>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</si>
  <si>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</si>
  <si>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</si>
  <si>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</si>
  <si>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</si>
  <si>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</si>
  <si>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</si>
  <si>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</si>
  <si>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</si>
  <si>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</si>
  <si>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</si>
  <si>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</si>
  <si>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</si>
  <si>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</si>
  <si>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</si>
  <si>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</si>
  <si>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</si>
  <si>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</si>
  <si>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</si>
  <si>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</si>
  <si>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</si>
  <si>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</si>
  <si>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</si>
  <si>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</si>
  <si>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</si>
  <si>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</si>
  <si>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</si>
  <si>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</si>
  <si>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</si>
  <si>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</si>
  <si>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</si>
  <si>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</si>
  <si>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</si>
  <si>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</si>
  <si>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</si>
  <si>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</si>
  <si>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</si>
  <si>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</si>
  <si>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</si>
  <si>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</si>
  <si>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</si>
  <si>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</si>
  <si>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</si>
  <si>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</si>
  <si>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</si>
  <si>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</si>
  <si>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</si>
  <si>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</si>
  <si>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</si>
  <si>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</si>
  <si>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</si>
  <si>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</si>
  <si>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</si>
  <si>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</si>
  <si>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</si>
  <si>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</si>
  <si>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</si>
  <si>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</si>
  <si>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</si>
  <si>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</si>
  <si>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</si>
  <si>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</si>
  <si>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</si>
  <si>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</si>
  <si>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</si>
  <si>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</si>
  <si>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</si>
  <si>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</si>
  <si>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</si>
  <si>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</si>
  <si>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</si>
  <si>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</si>
  <si>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</si>
  <si>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</si>
  <si>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</si>
  <si>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</si>
  <si>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</si>
  <si>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</si>
  <si>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</si>
  <si>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</si>
  <si>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</si>
  <si>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</si>
  <si>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</si>
  <si>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</si>
  <si>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</si>
  <si>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</si>
  <si>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</si>
  <si>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</si>
  <si>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</si>
  <si>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</si>
  <si>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</si>
  <si>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</si>
  <si>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</si>
  <si>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</si>
  <si>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</si>
  <si>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</si>
  <si>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</si>
  <si>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</si>
  <si>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</si>
  <si>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</si>
  <si>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</si>
  <si>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</si>
  <si>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</si>
  <si>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</si>
  <si>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</si>
  <si>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</si>
  <si>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</si>
  <si>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</si>
  <si>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</si>
  <si>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</si>
  <si>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</si>
  <si>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</si>
  <si>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</si>
  <si>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</si>
  <si>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</si>
  <si>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</si>
  <si>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</si>
  <si>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</si>
  <si>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</si>
  <si>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</si>
  <si>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</si>
  <si>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</si>
  <si>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</si>
  <si>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</si>
  <si>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</si>
  <si>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</si>
  <si>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</si>
  <si>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</si>
  <si>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</si>
  <si>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</si>
  <si>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</si>
  <si>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</si>
  <si>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</si>
  <si>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</si>
  <si>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</si>
  <si>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</si>
  <si>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</si>
  <si>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</si>
  <si>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</si>
  <si>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</si>
  <si>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</si>
  <si>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</si>
  <si>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</si>
  <si>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</si>
  <si>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</si>
  <si>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</si>
  <si>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</si>
  <si>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</si>
  <si>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</si>
  <si>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</si>
  <si>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</si>
  <si>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</si>
  <si>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</si>
  <si>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</si>
  <si>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</si>
  <si>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</si>
  <si>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</si>
  <si>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</si>
  <si>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</si>
  <si>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</si>
  <si>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</si>
  <si>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</si>
  <si>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</si>
  <si>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</si>
  <si>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</si>
  <si>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</si>
  <si>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</si>
  <si>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</si>
  <si>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</si>
  <si>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</si>
  <si>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</si>
  <si>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</si>
  <si>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</si>
  <si>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</si>
  <si>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</si>
  <si>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</si>
  <si>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</si>
  <si>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</si>
  <si>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</si>
  <si>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</si>
  <si>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</si>
  <si>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</si>
  <si>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</si>
  <si>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</si>
  <si>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</si>
  <si>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</si>
  <si>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</si>
  <si>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</si>
  <si>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</si>
  <si>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</si>
  <si>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</si>
  <si>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</si>
  <si>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</si>
  <si>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</si>
  <si>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</si>
  <si>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</si>
  <si>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</si>
  <si>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</si>
  <si>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</si>
  <si>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</si>
  <si>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</si>
  <si>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</si>
  <si>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</si>
  <si>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</si>
  <si>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</si>
  <si>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</si>
  <si>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</si>
  <si>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</si>
  <si>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</si>
  <si>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</si>
  <si>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</si>
  <si>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</si>
  <si>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Maestro Mat. Esp. - Ex. Cons. Menor Jubilado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</si>
  <si>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</si>
  <si>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</si>
  <si>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</si>
  <si>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</si>
  <si>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</si>
  <si>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</si>
  <si>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</si>
  <si>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</si>
  <si>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</si>
  <si>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</si>
  <si>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</si>
  <si>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</si>
  <si>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</si>
  <si>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</si>
  <si>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</si>
  <si>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</si>
  <si>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</si>
  <si>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</si>
  <si>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</si>
  <si>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</si>
  <si>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</si>
  <si>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</si>
  <si>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</si>
  <si>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</si>
  <si>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</si>
  <si>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</si>
  <si>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</si>
  <si>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</si>
  <si>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</si>
  <si>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</si>
  <si>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</si>
  <si>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</si>
  <si>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</si>
  <si>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</si>
  <si>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</si>
  <si>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</si>
  <si>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</si>
  <si>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</si>
  <si>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</si>
  <si>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</si>
  <si>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</si>
  <si>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</si>
  <si>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</si>
  <si>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</si>
  <si>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</si>
  <si>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</si>
  <si>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</si>
  <si>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</si>
  <si>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</si>
  <si>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</si>
  <si>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</si>
  <si>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</si>
  <si>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</si>
  <si>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</si>
  <si>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</si>
  <si>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</si>
  <si>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</si>
  <si>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</si>
  <si>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</si>
  <si>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</si>
  <si>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</si>
  <si>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</si>
  <si>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</si>
  <si>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</si>
  <si>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</si>
  <si>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</si>
  <si>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</si>
  <si>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</si>
  <si>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</si>
  <si>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</si>
  <si>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</si>
  <si>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</si>
  <si>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</si>
  <si>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</si>
  <si>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</si>
  <si>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</si>
  <si>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</si>
  <si>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</si>
  <si>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</si>
  <si>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</si>
  <si>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</si>
  <si>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</si>
  <si>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</si>
  <si>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</si>
  <si>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</si>
  <si>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</si>
  <si>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</si>
  <si>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</si>
  <si>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</si>
  <si>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</si>
  <si>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</si>
  <si>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</si>
  <si>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</si>
  <si>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</si>
  <si>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</si>
  <si>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</si>
  <si>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</si>
  <si>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</si>
  <si>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</si>
  <si>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</si>
  <si>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</si>
  <si>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</si>
  <si>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</si>
  <si>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</si>
  <si>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</si>
  <si>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</si>
  <si>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</si>
  <si>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</si>
  <si>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</si>
  <si>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</si>
  <si>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</si>
  <si>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</si>
  <si>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</si>
  <si>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</si>
  <si>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</si>
  <si>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</si>
  <si>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</si>
  <si>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</si>
  <si>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</si>
  <si>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</si>
  <si>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</si>
  <si>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</si>
  <si>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</si>
  <si>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</si>
  <si>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</si>
  <si>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</si>
  <si>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</si>
  <si>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</si>
  <si>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</si>
  <si>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</si>
  <si>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</si>
  <si>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</si>
  <si>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</si>
  <si>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</si>
  <si>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</si>
  <si>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</si>
  <si>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</si>
  <si>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</si>
  <si>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</si>
  <si>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</si>
  <si>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</si>
  <si>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</si>
  <si>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</si>
  <si>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</si>
  <si>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</si>
  <si>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</si>
  <si>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</si>
  <si>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</si>
  <si>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</si>
  <si>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</si>
  <si>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</si>
  <si>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</si>
  <si>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</si>
  <si>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</si>
  <si>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</si>
  <si>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</si>
  <si>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</si>
  <si>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</si>
  <si>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</si>
  <si>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</si>
  <si>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</si>
  <si>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</si>
  <si>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</si>
  <si>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</si>
  <si>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</si>
  <si>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</si>
  <si>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</si>
  <si>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</si>
  <si>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</si>
  <si>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</si>
  <si>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</si>
  <si>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</si>
  <si>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</si>
  <si>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</si>
  <si>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</si>
  <si>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</si>
  <si>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</si>
  <si>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</si>
  <si>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</si>
  <si>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</si>
  <si>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</si>
  <si>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</si>
  <si>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</si>
  <si>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</si>
  <si>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</si>
  <si>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</si>
  <si>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</si>
  <si>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</si>
  <si>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</si>
  <si>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</si>
  <si>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</si>
  <si>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</si>
  <si>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</si>
  <si>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</si>
  <si>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</si>
  <si>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</si>
  <si>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</si>
  <si>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</si>
  <si>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</si>
  <si>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</si>
  <si>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</si>
  <si>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</si>
  <si>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C102190</t>
  </si>
  <si>
    <t>X</t>
  </si>
  <si>
    <t>AUMENTO</t>
  </si>
  <si>
    <t>FEBRERO - 2020</t>
  </si>
  <si>
    <t>Gtos. Inh. Lab. Doc. (tope $2354,69)</t>
  </si>
  <si>
    <t>Ad R Doc (tope $299,79)</t>
  </si>
  <si>
    <t>Nuevo  A.R.D. (tope $199,86)</t>
  </si>
  <si>
    <t>Ap Mat Did Rem. (tope $813,06)</t>
  </si>
  <si>
    <t>Ap Mat Did Rem. Compl (tope $232,3)</t>
  </si>
  <si>
    <t>Corrección Pauta Salarial sobre FONID (tope $2093,66)</t>
  </si>
  <si>
    <t>Bonificación Compensatoria (tope $6500)</t>
  </si>
  <si>
    <t>Adel Inc Docente (tope $327,6)</t>
  </si>
  <si>
    <t>Seguro de vida obligatorio</t>
  </si>
  <si>
    <t>Fondo de Enfermedades Catastróficas</t>
  </si>
  <si>
    <t>Est. Doc (tope $4313,91)</t>
  </si>
  <si>
    <t>“2020 - Año del Bicentenario del Paso a la Inmortalidad del General Manuel Belgrano”</t>
  </si>
  <si>
    <t>C672600</t>
  </si>
  <si>
    <t>C660330</t>
  </si>
  <si>
    <t>AFILIADOS APROSS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</si>
</sst>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0.00000000"/>
    <numFmt numFmtId="177" formatCode="#,##0.00000000_ ;\-#,##0.00000000\ "/>
    <numFmt numFmtId="178" formatCode="0.0000_ ;\-0.0000\ "/>
    <numFmt numFmtId="179" formatCode="#,##0.0000_ ;\-#,##0.0000\ "/>
  </numFmts>
  <fonts count="31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sz val="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1" fillId="0" borderId="0">
      <alignment/>
      <protection/>
    </xf>
  </cellStyleXfs>
  <cellXfs count="191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5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5" fontId="4" fillId="0" borderId="0" xfId="23" applyNumberFormat="1" applyFont="1" applyBorder="1" applyAlignment="1" applyProtection="1">
      <alignment/>
      <protection/>
    </xf>
    <xf numFmtId="165" fontId="7" fillId="0" borderId="0" xfId="23" applyNumberFormat="1" applyFont="1" applyBorder="1" applyAlignment="1">
      <alignment horizontal="right" wrapText="1"/>
      <protection/>
    </xf>
    <xf numFmtId="165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4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5" fontId="3" fillId="0" borderId="10" xfId="23" applyNumberFormat="1" applyFont="1" applyBorder="1" applyAlignment="1">
      <alignment horizontal="center" wrapText="1"/>
      <protection/>
    </xf>
    <xf numFmtId="165" fontId="3" fillId="0" borderId="8" xfId="23" applyNumberFormat="1" applyFont="1" applyBorder="1" applyAlignment="1">
      <alignment horizontal="center"/>
      <protection/>
    </xf>
    <xf numFmtId="165" fontId="3" fillId="0" borderId="2" xfId="23" applyNumberFormat="1" applyFont="1" applyBorder="1" applyAlignment="1">
      <alignment horizontal="center" wrapText="1"/>
      <protection/>
    </xf>
    <xf numFmtId="165" fontId="7" fillId="0" borderId="11" xfId="23" applyNumberFormat="1" applyFont="1" applyBorder="1" applyAlignment="1">
      <alignment horizontal="center" vertical="center" wrapText="1"/>
      <protection/>
    </xf>
    <xf numFmtId="165" fontId="3" fillId="0" borderId="8" xfId="23" applyNumberFormat="1" applyFont="1" applyBorder="1" applyAlignment="1">
      <alignment horizontal="center" wrapText="1"/>
      <protection/>
    </xf>
    <xf numFmtId="165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5" fontId="4" fillId="0" borderId="10" xfId="23" applyNumberFormat="1" applyFont="1" applyBorder="1" applyAlignment="1" applyProtection="1">
      <alignment horizontal="center"/>
      <protection/>
    </xf>
    <xf numFmtId="165" fontId="4" fillId="0" borderId="10" xfId="23" applyNumberFormat="1" applyFont="1" applyBorder="1" applyAlignment="1">
      <alignment horizontal="center"/>
      <protection/>
    </xf>
    <xf numFmtId="165" fontId="4" fillId="0" borderId="2" xfId="23" applyNumberFormat="1" applyFont="1" applyBorder="1" applyAlignment="1">
      <alignment horizontal="center"/>
      <protection/>
    </xf>
    <xf numFmtId="165" fontId="7" fillId="0" borderId="2" xfId="23" applyNumberFormat="1" applyFont="1" applyBorder="1" applyAlignment="1">
      <alignment horizontal="center"/>
      <protection/>
    </xf>
    <xf numFmtId="165" fontId="4" fillId="0" borderId="8" xfId="23" applyNumberFormat="1" applyFont="1" applyBorder="1" applyAlignment="1">
      <alignment horizontal="center"/>
      <protection/>
    </xf>
    <xf numFmtId="165" fontId="4" fillId="0" borderId="12" xfId="23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3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5" fontId="4" fillId="4" borderId="0" xfId="23" applyNumberFormat="1" applyFont="1" applyFill="1" applyBorder="1" applyAlignment="1" applyProtection="1">
      <alignment/>
      <protection/>
    </xf>
    <xf numFmtId="165" fontId="7" fillId="4" borderId="0" xfId="23" applyNumberFormat="1" applyFont="1" applyFill="1" applyBorder="1" applyAlignment="1">
      <alignment horizontal="right" wrapText="1"/>
      <protection/>
    </xf>
    <xf numFmtId="165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5" fontId="4" fillId="5" borderId="0" xfId="23" applyNumberFormat="1" applyFont="1" applyFill="1" applyBorder="1" applyAlignment="1" applyProtection="1">
      <alignment/>
      <protection/>
    </xf>
    <xf numFmtId="165" fontId="7" fillId="5" borderId="0" xfId="23" applyNumberFormat="1" applyFont="1" applyFill="1" applyBorder="1" applyAlignment="1">
      <alignment horizontal="right" wrapText="1"/>
      <protection/>
    </xf>
    <xf numFmtId="165" fontId="7" fillId="5" borderId="0" xfId="23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3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177" fontId="0" fillId="0" borderId="0" xfId="0" applyNumberFormat="1"/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176" fontId="0" fillId="0" borderId="0" xfId="0" applyNumberFormat="1" applyBorder="1"/>
    <xf numFmtId="43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179" fontId="0" fillId="0" borderId="0" xfId="0" applyNumberFormat="1" applyBorder="1"/>
    <xf numFmtId="0" fontId="9" fillId="0" borderId="0" xfId="0" applyFont="1" applyFill="1"/>
    <xf numFmtId="4" fontId="9" fillId="0" borderId="0" xfId="20" applyNumberFormat="1" applyFont="1" applyFill="1" applyBorder="1" applyAlignment="1" applyProtection="1">
      <alignment/>
      <protection/>
    </xf>
    <xf numFmtId="165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ont="1" applyFill="1" applyBorder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5" fontId="10" fillId="0" borderId="0" xfId="23" applyNumberFormat="1" applyFont="1" applyBorder="1">
      <alignment/>
      <protection/>
    </xf>
    <xf numFmtId="165" fontId="12" fillId="0" borderId="0" xfId="23" applyNumberFormat="1" applyFont="1" applyBorder="1">
      <alignment/>
      <protection/>
    </xf>
    <xf numFmtId="0" fontId="10" fillId="0" borderId="0" xfId="23" applyFont="1" applyBorder="1">
      <alignment/>
      <protection/>
    </xf>
    <xf numFmtId="0" fontId="13" fillId="0" borderId="0" xfId="0" applyFont="1"/>
    <xf numFmtId="0" fontId="14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right"/>
      <protection/>
    </xf>
    <xf numFmtId="174" fontId="15" fillId="0" borderId="10" xfId="23" applyNumberFormat="1" applyFont="1" applyBorder="1" applyAlignment="1" applyProtection="1">
      <alignment horizontal="center"/>
      <protection/>
    </xf>
    <xf numFmtId="171" fontId="10" fillId="0" borderId="0" xfId="23" applyNumberFormat="1" applyFont="1" applyBorder="1" applyAlignment="1">
      <alignment horizontal="right" wrapText="1"/>
      <protection/>
    </xf>
    <xf numFmtId="173" fontId="10" fillId="0" borderId="0" xfId="21" applyNumberFormat="1" applyFont="1" applyBorder="1" applyAlignment="1" applyProtection="1">
      <alignment horizontal="right"/>
      <protection/>
    </xf>
    <xf numFmtId="173" fontId="10" fillId="0" borderId="0" xfId="23" applyNumberFormat="1" applyFont="1" applyBorder="1" applyAlignment="1">
      <alignment horizontal="right"/>
      <protection/>
    </xf>
    <xf numFmtId="165" fontId="16" fillId="0" borderId="0" xfId="23" applyNumberFormat="1" applyFont="1" applyBorder="1">
      <alignment/>
      <protection/>
    </xf>
    <xf numFmtId="165" fontId="10" fillId="0" borderId="0" xfId="23" applyNumberFormat="1" applyFont="1" applyBorder="1" applyAlignment="1">
      <alignment/>
      <protection/>
    </xf>
    <xf numFmtId="171" fontId="10" fillId="0" borderId="0" xfId="23" applyNumberFormat="1" applyFont="1" applyBorder="1" applyAlignment="1">
      <alignment horizontal="right"/>
      <protection/>
    </xf>
    <xf numFmtId="165" fontId="10" fillId="0" borderId="0" xfId="20" applyFont="1" applyBorder="1" applyAlignment="1" applyProtection="1">
      <alignment/>
      <protection/>
    </xf>
    <xf numFmtId="175" fontId="20" fillId="0" borderId="0" xfId="21" applyNumberFormat="1" applyFont="1" applyBorder="1" applyAlignment="1" applyProtection="1">
      <alignment vertical="center"/>
      <protection/>
    </xf>
    <xf numFmtId="175" fontId="21" fillId="0" borderId="0" xfId="21" applyNumberFormat="1" applyFont="1" applyBorder="1" applyAlignment="1" applyProtection="1">
      <alignment vertical="center"/>
      <protection/>
    </xf>
    <xf numFmtId="175" fontId="21" fillId="0" borderId="0" xfId="21" applyNumberFormat="1" applyFont="1" applyBorder="1" applyAlignment="1" applyProtection="1">
      <alignment horizontal="center"/>
      <protection/>
    </xf>
    <xf numFmtId="175" fontId="22" fillId="0" borderId="0" xfId="21" applyNumberFormat="1" applyFont="1" applyBorder="1" applyAlignment="1" applyProtection="1">
      <alignment horizontal="center"/>
      <protection/>
    </xf>
    <xf numFmtId="0" fontId="14" fillId="0" borderId="0" xfId="23" applyFont="1" applyAlignment="1">
      <alignment horizontal="center"/>
      <protection/>
    </xf>
    <xf numFmtId="165" fontId="10" fillId="0" borderId="0" xfId="20" applyFont="1" applyBorder="1" applyAlignment="1" applyProtection="1">
      <alignment horizontal="center"/>
      <protection/>
    </xf>
    <xf numFmtId="165" fontId="12" fillId="0" borderId="1" xfId="23" applyNumberFormat="1" applyFont="1" applyBorder="1" applyAlignment="1">
      <alignment horizontal="center" vertical="center" wrapText="1"/>
      <protection/>
    </xf>
    <xf numFmtId="165" fontId="12" fillId="0" borderId="1" xfId="23" applyNumberFormat="1" applyFont="1" applyBorder="1" applyAlignment="1">
      <alignment horizontal="center" vertical="center"/>
      <protection/>
    </xf>
    <xf numFmtId="165" fontId="23" fillId="0" borderId="1" xfId="23" applyNumberFormat="1" applyFont="1" applyBorder="1" applyAlignment="1">
      <alignment horizontal="center" vertical="center" wrapText="1"/>
      <protection/>
    </xf>
    <xf numFmtId="165" fontId="24" fillId="0" borderId="1" xfId="23" applyNumberFormat="1" applyFont="1" applyBorder="1" applyAlignment="1">
      <alignment horizontal="center" vertical="center" wrapText="1"/>
      <protection/>
    </xf>
    <xf numFmtId="0" fontId="24" fillId="0" borderId="0" xfId="23" applyFont="1" applyBorder="1" applyAlignment="1">
      <alignment/>
      <protection/>
    </xf>
    <xf numFmtId="0" fontId="24" fillId="0" borderId="0" xfId="23" applyFont="1" applyBorder="1">
      <alignment/>
      <protection/>
    </xf>
    <xf numFmtId="165" fontId="10" fillId="0" borderId="0" xfId="23" applyNumberFormat="1" applyFont="1" applyBorder="1" applyAlignment="1" applyProtection="1">
      <alignment/>
      <protection/>
    </xf>
    <xf numFmtId="171" fontId="10" fillId="0" borderId="0" xfId="23" applyNumberFormat="1" applyFont="1" applyBorder="1" applyAlignment="1" applyProtection="1">
      <alignment/>
      <protection/>
    </xf>
    <xf numFmtId="165" fontId="18" fillId="0" borderId="0" xfId="23" applyNumberFormat="1" applyFont="1" applyBorder="1">
      <alignment/>
      <protection/>
    </xf>
    <xf numFmtId="165" fontId="15" fillId="0" borderId="0" xfId="23" applyNumberFormat="1" applyFont="1" applyBorder="1">
      <alignment/>
      <protection/>
    </xf>
    <xf numFmtId="165" fontId="24" fillId="0" borderId="10" xfId="23" applyNumberFormat="1" applyFont="1" applyBorder="1" applyAlignment="1">
      <alignment horizontal="center" vertical="center"/>
      <protection/>
    </xf>
    <xf numFmtId="165" fontId="10" fillId="0" borderId="1" xfId="20" applyFont="1" applyBorder="1" applyAlignment="1" applyProtection="1">
      <alignment horizontal="center"/>
      <protection/>
    </xf>
    <xf numFmtId="2" fontId="27" fillId="0" borderId="10" xfId="23" applyNumberFormat="1" applyFont="1" applyFill="1" applyBorder="1" applyAlignment="1">
      <alignment horizontal="center" vertical="center"/>
      <protection/>
    </xf>
    <xf numFmtId="0" fontId="27" fillId="0" borderId="10" xfId="23" applyFont="1" applyFill="1" applyBorder="1" applyAlignment="1">
      <alignment horizontal="center" vertical="center"/>
      <protection/>
    </xf>
    <xf numFmtId="165" fontId="25" fillId="0" borderId="10" xfId="23" applyNumberFormat="1" applyFont="1" applyFill="1" applyBorder="1" applyAlignment="1">
      <alignment horizontal="center" vertical="center" wrapText="1"/>
      <protection/>
    </xf>
    <xf numFmtId="0" fontId="25" fillId="0" borderId="10" xfId="23" applyFont="1" applyFill="1" applyBorder="1" applyAlignment="1">
      <alignment horizontal="center" vertical="center"/>
      <protection/>
    </xf>
    <xf numFmtId="165" fontId="25" fillId="0" borderId="10" xfId="23" applyNumberFormat="1" applyFont="1" applyFill="1" applyBorder="1" applyAlignment="1">
      <alignment horizontal="center" vertical="center"/>
      <protection/>
    </xf>
    <xf numFmtId="165" fontId="25" fillId="0" borderId="10" xfId="23" applyNumberFormat="1" applyFont="1" applyFill="1" applyBorder="1" applyAlignment="1" applyProtection="1">
      <alignment horizontal="center" vertical="center"/>
      <protection/>
    </xf>
    <xf numFmtId="171" fontId="25" fillId="0" borderId="10" xfId="23" applyNumberFormat="1" applyFont="1" applyFill="1" applyBorder="1" applyAlignment="1">
      <alignment horizontal="center" vertical="center" wrapText="1"/>
      <protection/>
    </xf>
    <xf numFmtId="173" fontId="25" fillId="0" borderId="10" xfId="21" applyNumberFormat="1" applyFont="1" applyFill="1" applyBorder="1" applyAlignment="1" applyProtection="1">
      <alignment horizontal="center" vertical="center"/>
      <protection/>
    </xf>
    <xf numFmtId="173" fontId="25" fillId="0" borderId="10" xfId="23" applyNumberFormat="1" applyFont="1" applyFill="1" applyBorder="1" applyAlignment="1">
      <alignment horizontal="center" vertical="center"/>
      <protection/>
    </xf>
    <xf numFmtId="171" fontId="25" fillId="0" borderId="10" xfId="23" applyNumberFormat="1" applyFont="1" applyFill="1" applyBorder="1" applyAlignment="1">
      <alignment horizontal="center" vertical="center"/>
      <protection/>
    </xf>
    <xf numFmtId="165" fontId="25" fillId="0" borderId="10" xfId="20" applyFont="1" applyFill="1" applyBorder="1" applyAlignment="1" applyProtection="1">
      <alignment horizontal="center" vertical="center"/>
      <protection/>
    </xf>
    <xf numFmtId="0" fontId="25" fillId="0" borderId="10" xfId="23" applyFont="1" applyFill="1" applyBorder="1" applyAlignment="1">
      <alignment horizontal="center" vertical="center" wrapText="1"/>
      <protection/>
    </xf>
    <xf numFmtId="173" fontId="25" fillId="0" borderId="10" xfId="21" applyNumberFormat="1" applyFont="1" applyFill="1" applyBorder="1" applyAlignment="1" applyProtection="1">
      <alignment horizontal="center" vertical="center" wrapText="1"/>
      <protection/>
    </xf>
    <xf numFmtId="171" fontId="25" fillId="0" borderId="10" xfId="23" applyNumberFormat="1" applyFont="1" applyFill="1" applyBorder="1" applyAlignment="1" applyProtection="1">
      <alignment horizontal="center" vertical="center"/>
      <protection/>
    </xf>
    <xf numFmtId="173" fontId="25" fillId="0" borderId="10" xfId="23" applyNumberFormat="1" applyFont="1" applyFill="1" applyBorder="1" applyAlignment="1" applyProtection="1">
      <alignment horizontal="center" vertical="center"/>
      <protection/>
    </xf>
    <xf numFmtId="171" fontId="25" fillId="0" borderId="10" xfId="23" applyNumberFormat="1" applyFont="1" applyFill="1" applyBorder="1" applyAlignment="1" applyProtection="1">
      <alignment horizontal="center" vertical="center" wrapText="1"/>
      <protection/>
    </xf>
    <xf numFmtId="173" fontId="25" fillId="0" borderId="10" xfId="2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65" fontId="26" fillId="0" borderId="10" xfId="23" applyNumberFormat="1" applyFont="1" applyFill="1" applyBorder="1" applyAlignment="1">
      <alignment horizontal="center" vertical="center" wrapText="1"/>
      <protection/>
    </xf>
    <xf numFmtId="165" fontId="26" fillId="0" borderId="10" xfId="23" applyNumberFormat="1" applyFont="1" applyFill="1" applyBorder="1" applyAlignment="1">
      <alignment horizontal="center" vertical="center"/>
      <protection/>
    </xf>
    <xf numFmtId="165" fontId="18" fillId="0" borderId="0" xfId="23" applyNumberFormat="1" applyFont="1" applyBorder="1" applyAlignment="1">
      <alignment horizontal="center"/>
      <protection/>
    </xf>
    <xf numFmtId="167" fontId="19" fillId="0" borderId="0" xfId="21" applyNumberFormat="1" applyFont="1" applyBorder="1" applyAlignment="1" applyProtection="1">
      <alignment horizontal="center"/>
      <protection/>
    </xf>
    <xf numFmtId="165" fontId="17" fillId="0" borderId="0" xfId="20" applyFont="1" applyBorder="1" applyAlignment="1" applyProtection="1">
      <alignment horizontal="center" wrapText="1"/>
      <protection/>
    </xf>
    <xf numFmtId="0" fontId="0" fillId="0" borderId="0" xfId="0" applyFill="1" applyBorder="1"/>
    <xf numFmtId="165" fontId="12" fillId="8" borderId="1" xfId="23" applyNumberFormat="1" applyFont="1" applyFill="1" applyBorder="1" applyAlignment="1">
      <alignment horizontal="center" vertical="center" wrapText="1"/>
      <protection/>
    </xf>
    <xf numFmtId="165" fontId="12" fillId="8" borderId="1" xfId="20" applyFont="1" applyFill="1" applyBorder="1" applyAlignment="1" applyProtection="1">
      <alignment horizontal="center" vertical="center" wrapText="1"/>
      <protection/>
    </xf>
    <xf numFmtId="165" fontId="24" fillId="0" borderId="10" xfId="23" applyNumberFormat="1" applyFont="1" applyFill="1" applyBorder="1" applyAlignment="1">
      <alignment horizontal="right" wrapText="1"/>
      <protection/>
    </xf>
    <xf numFmtId="0" fontId="14" fillId="0" borderId="10" xfId="23" applyFont="1" applyBorder="1" applyAlignment="1">
      <alignment/>
      <protection/>
    </xf>
    <xf numFmtId="0" fontId="14" fillId="0" borderId="10" xfId="23" applyFont="1" applyBorder="1" applyAlignment="1">
      <alignment horizontal="center"/>
      <protection/>
    </xf>
    <xf numFmtId="171" fontId="18" fillId="0" borderId="0" xfId="23" applyNumberFormat="1" applyFont="1" applyBorder="1" applyAlignment="1">
      <alignment horizontal="right" wrapText="1"/>
      <protection/>
    </xf>
    <xf numFmtId="168" fontId="30" fillId="0" borderId="0" xfId="22" applyFont="1" applyBorder="1" applyProtection="1">
      <alignment/>
      <protection/>
    </xf>
    <xf numFmtId="173" fontId="18" fillId="0" borderId="0" xfId="21" applyNumberFormat="1" applyFont="1" applyBorder="1" applyAlignment="1" applyProtection="1">
      <alignment horizontal="right"/>
      <protection/>
    </xf>
    <xf numFmtId="49" fontId="28" fillId="0" borderId="0" xfId="23" applyNumberFormat="1" applyFont="1" applyBorder="1" applyAlignment="1">
      <alignment horizontal="left" vertical="center" wrapText="1"/>
      <protection/>
    </xf>
    <xf numFmtId="165" fontId="17" fillId="0" borderId="0" xfId="20" applyFont="1" applyBorder="1" applyAlignment="1" applyProtection="1">
      <alignment horizontal="center" wrapText="1"/>
      <protection/>
    </xf>
    <xf numFmtId="165" fontId="18" fillId="0" borderId="0" xfId="23" applyNumberFormat="1" applyFont="1" applyBorder="1" applyAlignment="1">
      <alignment horizontal="center"/>
      <protection/>
    </xf>
    <xf numFmtId="167" fontId="18" fillId="0" borderId="0" xfId="21" applyNumberFormat="1" applyFont="1" applyBorder="1" applyAlignment="1" applyProtection="1">
      <alignment horizontal="center"/>
      <protection/>
    </xf>
    <xf numFmtId="0" fontId="12" fillId="0" borderId="1" xfId="23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 wrapText="1"/>
      <protection/>
    </xf>
    <xf numFmtId="172" fontId="12" fillId="0" borderId="1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 wrapText="1"/>
      <protection/>
    </xf>
    <xf numFmtId="171" fontId="12" fillId="0" borderId="1" xfId="23" applyNumberFormat="1" applyFont="1" applyBorder="1" applyAlignment="1">
      <alignment horizontal="center" vertical="center" wrapText="1"/>
      <protection/>
    </xf>
    <xf numFmtId="0" fontId="14" fillId="0" borderId="10" xfId="23" applyFont="1" applyBorder="1" applyAlignment="1">
      <alignment horizontal="left"/>
      <protection/>
    </xf>
    <xf numFmtId="0" fontId="29" fillId="0" borderId="0" xfId="0" applyFont="1" applyAlignment="1">
      <alignment horizontal="center" vertical="center"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dxfs count="102"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  <border/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fill>
        <patternFill>
          <bgColor rgb="FFDCE6F2"/>
        </patternFill>
      </fill>
      <border/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19050</xdr:rowOff>
    </xdr:from>
    <xdr:to>
      <xdr:col>22</xdr:col>
      <xdr:colOff>266700</xdr:colOff>
      <xdr:row>0</xdr:row>
      <xdr:rowOff>523875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 topLeftCell="A43">
      <selection activeCell="E52" sqref="E52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5.2812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636</v>
      </c>
      <c r="H1" s="1"/>
      <c r="I1" s="1" t="s">
        <v>2</v>
      </c>
      <c r="J1" s="1" t="s">
        <v>3</v>
      </c>
      <c r="L1">
        <v>0</v>
      </c>
    </row>
    <row r="2" spans="1:12" s="82" customFormat="1" ht="12.75">
      <c r="A2" s="81" t="s">
        <v>4</v>
      </c>
      <c r="B2" s="82" t="s">
        <v>5</v>
      </c>
      <c r="C2" s="83">
        <v>8.4388</v>
      </c>
      <c r="G2" s="84"/>
      <c r="I2" s="82">
        <v>0</v>
      </c>
      <c r="J2" s="85">
        <v>0</v>
      </c>
      <c r="L2" s="82">
        <v>1</v>
      </c>
    </row>
    <row r="3" spans="1:12" s="82" customFormat="1" ht="12.75">
      <c r="A3" s="81" t="s">
        <v>4</v>
      </c>
      <c r="B3" s="82" t="s">
        <v>6</v>
      </c>
      <c r="C3" s="6">
        <v>0.15</v>
      </c>
      <c r="I3" s="82">
        <v>1</v>
      </c>
      <c r="J3" s="85">
        <v>0.15</v>
      </c>
      <c r="L3" s="82">
        <v>2</v>
      </c>
    </row>
    <row r="4" spans="1:12" s="82" customFormat="1" ht="12.75">
      <c r="A4" s="81" t="s">
        <v>4</v>
      </c>
      <c r="B4" s="82" t="s">
        <v>7</v>
      </c>
      <c r="C4" s="6">
        <v>0.4</v>
      </c>
      <c r="D4" s="86">
        <f>INT(('Escala Docente'!H143*0.4*100))/100</f>
        <v>4313.91</v>
      </c>
      <c r="E4" s="86">
        <f>(INT(D4/15*100)/100)+0</f>
        <v>287.59</v>
      </c>
      <c r="F4" s="86"/>
      <c r="G4" s="86"/>
      <c r="H4" s="86"/>
      <c r="I4" s="82">
        <v>2</v>
      </c>
      <c r="J4" s="85">
        <v>0.15</v>
      </c>
      <c r="L4" s="167">
        <v>3</v>
      </c>
    </row>
    <row r="5" spans="1:12" s="82" customFormat="1" ht="12.75">
      <c r="A5" s="87" t="s">
        <v>635</v>
      </c>
      <c r="B5" s="87"/>
      <c r="C5" s="76"/>
      <c r="D5" s="87"/>
      <c r="E5" s="87"/>
      <c r="F5" s="87"/>
      <c r="G5" s="87"/>
      <c r="I5" s="82">
        <v>3</v>
      </c>
      <c r="J5" s="85">
        <v>0.15</v>
      </c>
      <c r="L5" s="167">
        <v>4</v>
      </c>
    </row>
    <row r="6" spans="1:12" s="82" customFormat="1" ht="12.75">
      <c r="A6" s="81" t="s">
        <v>4</v>
      </c>
      <c r="B6" s="82" t="s">
        <v>9</v>
      </c>
      <c r="C6" s="77">
        <v>0</v>
      </c>
      <c r="D6" s="6"/>
      <c r="I6" s="82">
        <v>4</v>
      </c>
      <c r="J6" s="85">
        <v>0.15</v>
      </c>
      <c r="L6" s="167">
        <v>5</v>
      </c>
    </row>
    <row r="7" spans="1:12" s="82" customFormat="1" ht="12.75">
      <c r="A7" s="81" t="s">
        <v>4</v>
      </c>
      <c r="B7" s="82" t="s">
        <v>10</v>
      </c>
      <c r="C7" s="77">
        <v>0</v>
      </c>
      <c r="D7" s="6"/>
      <c r="I7" s="82">
        <v>5</v>
      </c>
      <c r="J7" s="85">
        <v>0.3</v>
      </c>
      <c r="L7" s="167">
        <v>6</v>
      </c>
    </row>
    <row r="8" spans="1:12" s="82" customFormat="1" ht="12.75">
      <c r="A8" s="81" t="s">
        <v>4</v>
      </c>
      <c r="B8" s="82" t="s">
        <v>11</v>
      </c>
      <c r="C8" s="77">
        <v>0</v>
      </c>
      <c r="D8" s="6"/>
      <c r="F8" s="83"/>
      <c r="I8" s="82">
        <v>6</v>
      </c>
      <c r="J8" s="85">
        <v>0.3</v>
      </c>
      <c r="L8" s="167">
        <v>7</v>
      </c>
    </row>
    <row r="9" spans="1:12" s="82" customFormat="1" ht="12.75">
      <c r="A9" s="81" t="s">
        <v>4</v>
      </c>
      <c r="B9" s="82" t="s">
        <v>12</v>
      </c>
      <c r="C9" s="77">
        <v>0</v>
      </c>
      <c r="D9" s="6"/>
      <c r="I9" s="82">
        <v>7</v>
      </c>
      <c r="J9" s="85">
        <v>0.4</v>
      </c>
      <c r="L9" s="167">
        <v>8</v>
      </c>
    </row>
    <row r="10" spans="1:12" s="82" customFormat="1" ht="12.75">
      <c r="A10" s="81" t="s">
        <v>4</v>
      </c>
      <c r="B10" s="82" t="s">
        <v>13</v>
      </c>
      <c r="C10" s="77">
        <v>0</v>
      </c>
      <c r="D10" s="6"/>
      <c r="I10" s="82">
        <v>8</v>
      </c>
      <c r="J10" s="85">
        <v>0.4</v>
      </c>
      <c r="L10" s="167">
        <v>9</v>
      </c>
    </row>
    <row r="11" spans="1:12" s="82" customFormat="1" ht="12.75">
      <c r="A11" s="81" t="s">
        <v>4</v>
      </c>
      <c r="B11" s="82" t="s">
        <v>14</v>
      </c>
      <c r="C11" s="77">
        <v>0</v>
      </c>
      <c r="D11" s="6"/>
      <c r="F11" s="86">
        <f>C9</f>
        <v>0</v>
      </c>
      <c r="I11" s="82">
        <v>9</v>
      </c>
      <c r="J11" s="85">
        <v>0.4</v>
      </c>
      <c r="L11" s="167">
        <v>10</v>
      </c>
    </row>
    <row r="12" spans="1:10" s="82" customFormat="1" ht="12.75">
      <c r="A12" s="81" t="s">
        <v>4</v>
      </c>
      <c r="B12" s="88" t="s">
        <v>15</v>
      </c>
      <c r="C12" s="89">
        <v>0</v>
      </c>
      <c r="D12" s="6"/>
      <c r="I12" s="82">
        <v>10</v>
      </c>
      <c r="J12" s="85">
        <v>0.5</v>
      </c>
    </row>
    <row r="13" spans="1:10" s="82" customFormat="1" ht="12.75">
      <c r="A13" s="87" t="s">
        <v>635</v>
      </c>
      <c r="B13" s="87"/>
      <c r="C13" s="78"/>
      <c r="D13" s="87"/>
      <c r="E13" s="87"/>
      <c r="F13" s="87"/>
      <c r="G13" s="87"/>
      <c r="I13" s="82">
        <v>11</v>
      </c>
      <c r="J13" s="85">
        <v>0.5</v>
      </c>
    </row>
    <row r="14" spans="1:10" s="82" customFormat="1" ht="12.75">
      <c r="A14" s="81" t="s">
        <v>4</v>
      </c>
      <c r="B14" s="82" t="s">
        <v>16</v>
      </c>
      <c r="C14" s="89">
        <v>217.84</v>
      </c>
      <c r="D14" s="101"/>
      <c r="E14" s="91"/>
      <c r="I14" s="82">
        <v>12</v>
      </c>
      <c r="J14" s="85">
        <v>0.6</v>
      </c>
    </row>
    <row r="15" spans="1:10" s="82" customFormat="1" ht="12.75">
      <c r="A15" s="81" t="s">
        <v>4</v>
      </c>
      <c r="B15" s="88" t="s">
        <v>17</v>
      </c>
      <c r="C15" s="89">
        <v>5862.51</v>
      </c>
      <c r="D15" s="101"/>
      <c r="E15" s="91"/>
      <c r="F15" s="92"/>
      <c r="I15" s="82">
        <v>13</v>
      </c>
      <c r="J15" s="85">
        <v>0.6</v>
      </c>
    </row>
    <row r="16" spans="1:10" s="82" customFormat="1" ht="12.75">
      <c r="A16" s="81" t="s">
        <v>4</v>
      </c>
      <c r="B16" s="88" t="s">
        <v>18</v>
      </c>
      <c r="C16" s="77">
        <v>5893.48</v>
      </c>
      <c r="D16" s="101"/>
      <c r="E16" s="91"/>
      <c r="F16" s="92"/>
      <c r="I16" s="82">
        <v>14</v>
      </c>
      <c r="J16" s="85">
        <v>0.6</v>
      </c>
    </row>
    <row r="17" spans="1:10" s="82" customFormat="1" ht="12.75">
      <c r="A17" s="81" t="s">
        <v>4</v>
      </c>
      <c r="B17" s="88" t="s">
        <v>19</v>
      </c>
      <c r="C17" s="77">
        <v>6048.33</v>
      </c>
      <c r="D17" s="101"/>
      <c r="E17" s="91"/>
      <c r="F17" s="92"/>
      <c r="G17" s="86"/>
      <c r="H17" s="86"/>
      <c r="I17" s="82">
        <v>15</v>
      </c>
      <c r="J17" s="85">
        <v>0.7</v>
      </c>
    </row>
    <row r="18" spans="1:10" s="82" customFormat="1" ht="12.75">
      <c r="A18" s="81" t="s">
        <v>4</v>
      </c>
      <c r="B18" s="82" t="s">
        <v>20</v>
      </c>
      <c r="C18" s="77">
        <v>10349.78</v>
      </c>
      <c r="D18" s="101"/>
      <c r="E18" s="91"/>
      <c r="F18" s="92"/>
      <c r="I18" s="82">
        <v>16</v>
      </c>
      <c r="J18" s="85">
        <v>0.7</v>
      </c>
    </row>
    <row r="19" spans="1:10" s="82" customFormat="1" ht="12.75">
      <c r="A19" s="109" t="s">
        <v>4</v>
      </c>
      <c r="B19" s="88" t="s">
        <v>21</v>
      </c>
      <c r="C19" s="77">
        <v>6125.78</v>
      </c>
      <c r="D19" s="101"/>
      <c r="E19" s="91"/>
      <c r="F19" s="92"/>
      <c r="G19" s="86"/>
      <c r="H19" s="86"/>
      <c r="I19" s="82">
        <v>17</v>
      </c>
      <c r="J19" s="85">
        <v>0.8</v>
      </c>
    </row>
    <row r="20" spans="1:10" s="82" customFormat="1" ht="12.75">
      <c r="A20" s="81" t="s">
        <v>4</v>
      </c>
      <c r="B20" s="88" t="s">
        <v>22</v>
      </c>
      <c r="C20" s="89">
        <v>5630.2</v>
      </c>
      <c r="D20" s="101"/>
      <c r="E20" s="91"/>
      <c r="F20" s="93"/>
      <c r="G20" s="86"/>
      <c r="H20" s="86"/>
      <c r="I20" s="82">
        <v>18</v>
      </c>
      <c r="J20" s="85">
        <v>0.8</v>
      </c>
    </row>
    <row r="21" spans="1:10" s="82" customFormat="1" ht="12.75">
      <c r="A21" s="87" t="s">
        <v>635</v>
      </c>
      <c r="B21" s="87"/>
      <c r="C21" s="78"/>
      <c r="D21" s="87"/>
      <c r="E21" s="87"/>
      <c r="F21" s="87"/>
      <c r="G21" s="87"/>
      <c r="H21" s="86"/>
      <c r="I21" s="82">
        <v>19</v>
      </c>
      <c r="J21" s="85">
        <v>0.8</v>
      </c>
    </row>
    <row r="22" spans="1:10" s="82" customFormat="1" ht="12.75">
      <c r="A22" s="81" t="s">
        <v>4</v>
      </c>
      <c r="B22" s="82" t="s">
        <v>23</v>
      </c>
      <c r="C22" s="77">
        <v>75.96</v>
      </c>
      <c r="D22" s="101"/>
      <c r="E22" s="100"/>
      <c r="F22" s="86"/>
      <c r="G22" s="86"/>
      <c r="H22" s="86"/>
      <c r="I22" s="82">
        <v>20</v>
      </c>
      <c r="J22" s="85">
        <v>1</v>
      </c>
    </row>
    <row r="23" spans="1:10" s="82" customFormat="1" ht="12.75">
      <c r="A23" s="81" t="s">
        <v>4</v>
      </c>
      <c r="B23" s="82" t="s">
        <v>24</v>
      </c>
      <c r="C23" s="77">
        <v>3527.01</v>
      </c>
      <c r="D23" s="101"/>
      <c r="E23" s="100"/>
      <c r="F23" s="86"/>
      <c r="G23" s="86"/>
      <c r="H23" s="86"/>
      <c r="I23" s="82">
        <v>21</v>
      </c>
      <c r="J23" s="85">
        <v>1</v>
      </c>
    </row>
    <row r="24" spans="1:10" s="82" customFormat="1" ht="12.75">
      <c r="A24" s="81" t="s">
        <v>4</v>
      </c>
      <c r="B24" s="82" t="s">
        <v>25</v>
      </c>
      <c r="C24" s="77">
        <v>3480.51</v>
      </c>
      <c r="D24" s="101"/>
      <c r="E24" s="100"/>
      <c r="F24" s="86"/>
      <c r="G24" s="86"/>
      <c r="H24" s="86"/>
      <c r="I24" s="82">
        <v>22</v>
      </c>
      <c r="J24" s="85">
        <v>1.1</v>
      </c>
    </row>
    <row r="25" spans="1:10" s="82" customFormat="1" ht="12.75">
      <c r="A25" s="87" t="s">
        <v>635</v>
      </c>
      <c r="B25" s="87"/>
      <c r="C25" s="78"/>
      <c r="D25" s="87"/>
      <c r="E25" s="87"/>
      <c r="F25" s="87"/>
      <c r="G25" s="87"/>
      <c r="H25" s="86"/>
      <c r="I25" s="82">
        <v>23</v>
      </c>
      <c r="J25" s="85">
        <v>1.1</v>
      </c>
    </row>
    <row r="26" spans="1:10" s="82" customFormat="1" ht="12.75">
      <c r="A26" s="81" t="s">
        <v>4</v>
      </c>
      <c r="B26" s="88" t="s">
        <v>26</v>
      </c>
      <c r="C26" s="77">
        <v>3959.57</v>
      </c>
      <c r="D26" s="101"/>
      <c r="I26" s="82">
        <v>24</v>
      </c>
      <c r="J26" s="85">
        <v>1.2</v>
      </c>
    </row>
    <row r="27" spans="1:10" s="82" customFormat="1" ht="12.75">
      <c r="A27" s="81" t="s">
        <v>4</v>
      </c>
      <c r="B27" s="88" t="s">
        <v>27</v>
      </c>
      <c r="C27" s="77">
        <v>3657.61</v>
      </c>
      <c r="D27" s="101"/>
      <c r="I27" s="82">
        <v>25</v>
      </c>
      <c r="J27" s="85">
        <v>1.2</v>
      </c>
    </row>
    <row r="28" spans="1:10" s="82" customFormat="1" ht="12.75">
      <c r="A28" s="87" t="s">
        <v>635</v>
      </c>
      <c r="B28" s="87"/>
      <c r="C28" s="78"/>
      <c r="D28" s="87"/>
      <c r="E28" s="87"/>
      <c r="F28" s="87"/>
      <c r="G28" s="87"/>
      <c r="I28" s="82">
        <v>26</v>
      </c>
      <c r="J28" s="85">
        <v>1.3</v>
      </c>
    </row>
    <row r="29" spans="1:10" s="82" customFormat="1" ht="12.75">
      <c r="A29" s="81" t="s">
        <v>4</v>
      </c>
      <c r="B29" s="88" t="s">
        <v>28</v>
      </c>
      <c r="C29" s="89">
        <v>199.86</v>
      </c>
      <c r="D29" s="101"/>
      <c r="F29" s="89">
        <f>+C29*1.5</f>
        <v>299.79</v>
      </c>
      <c r="I29" s="82">
        <v>27</v>
      </c>
      <c r="J29" s="85">
        <v>1.3</v>
      </c>
    </row>
    <row r="30" spans="1:10" s="82" customFormat="1" ht="12.75">
      <c r="A30" s="81" t="s">
        <v>4</v>
      </c>
      <c r="B30" s="88" t="s">
        <v>29</v>
      </c>
      <c r="C30" s="89">
        <v>199.86</v>
      </c>
      <c r="D30" s="101"/>
      <c r="F30" s="89">
        <f>C30</f>
        <v>199.86</v>
      </c>
      <c r="I30" s="82">
        <v>28</v>
      </c>
      <c r="J30" s="85">
        <v>1.4</v>
      </c>
    </row>
    <row r="31" spans="1:10" s="82" customFormat="1" ht="12.75">
      <c r="A31" s="87" t="s">
        <v>635</v>
      </c>
      <c r="B31" s="87"/>
      <c r="C31" s="78"/>
      <c r="D31" s="87"/>
      <c r="E31" s="87"/>
      <c r="F31" s="87"/>
      <c r="G31" s="87"/>
      <c r="I31" s="82">
        <v>29</v>
      </c>
      <c r="J31" s="85">
        <v>1.4</v>
      </c>
    </row>
    <row r="32" spans="1:13" s="82" customFormat="1" ht="12.75">
      <c r="A32" s="81" t="s">
        <v>4</v>
      </c>
      <c r="B32" s="82" t="s">
        <v>30</v>
      </c>
      <c r="C32" s="77">
        <v>8.00384</v>
      </c>
      <c r="F32" s="89">
        <f>F29</f>
        <v>299.79</v>
      </c>
      <c r="I32" s="82">
        <v>30</v>
      </c>
      <c r="J32" s="85">
        <v>1.5</v>
      </c>
      <c r="M32" s="90"/>
    </row>
    <row r="33" spans="1:10" s="95" customFormat="1" ht="13.5" thickBot="1">
      <c r="A33" s="94" t="s">
        <v>4</v>
      </c>
      <c r="B33" s="95" t="s">
        <v>31</v>
      </c>
      <c r="C33" s="96">
        <v>6.662656000000001</v>
      </c>
      <c r="F33" s="97">
        <f>F30</f>
        <v>199.86</v>
      </c>
      <c r="I33" s="95">
        <v>31</v>
      </c>
      <c r="J33" s="98">
        <v>1.5</v>
      </c>
    </row>
    <row r="34" spans="1:13" ht="13.5" thickTop="1">
      <c r="A34" s="75" t="s">
        <v>635</v>
      </c>
      <c r="B34" s="75"/>
      <c r="C34" s="78"/>
      <c r="D34" s="75"/>
      <c r="E34" s="75"/>
      <c r="F34" s="75"/>
      <c r="G34" s="75"/>
      <c r="I34">
        <v>32</v>
      </c>
      <c r="J34" s="3">
        <v>1.5</v>
      </c>
      <c r="M34" s="7"/>
    </row>
    <row r="35" spans="1:10" ht="12.75">
      <c r="A35" s="102" t="s">
        <v>4</v>
      </c>
      <c r="B35" s="102" t="s">
        <v>32</v>
      </c>
      <c r="C35" s="103">
        <v>1046.83</v>
      </c>
      <c r="D35" s="104">
        <f>C35/C36</f>
        <v>14.99971342599226</v>
      </c>
      <c r="E35" s="105"/>
      <c r="F35" s="104"/>
      <c r="G35" s="105"/>
      <c r="H35" s="5"/>
      <c r="I35">
        <v>33</v>
      </c>
      <c r="J35" s="3">
        <v>1.5</v>
      </c>
    </row>
    <row r="36" spans="1:10" ht="12.75">
      <c r="A36" s="102" t="s">
        <v>4</v>
      </c>
      <c r="B36" s="102" t="s">
        <v>33</v>
      </c>
      <c r="C36" s="103">
        <v>69.79</v>
      </c>
      <c r="D36" s="105"/>
      <c r="E36" s="104"/>
      <c r="F36" s="104">
        <f>C35*2</f>
        <v>2093.66</v>
      </c>
      <c r="G36" s="104"/>
      <c r="H36" s="5"/>
      <c r="I36">
        <v>34</v>
      </c>
      <c r="J36" s="3">
        <v>1.5</v>
      </c>
    </row>
    <row r="37" spans="1:10" ht="12.75">
      <c r="A37" s="75" t="s">
        <v>635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 t="s">
        <v>4</v>
      </c>
      <c r="B38" t="s">
        <v>34</v>
      </c>
      <c r="C38" s="77">
        <v>0</v>
      </c>
      <c r="D38" s="5"/>
      <c r="E38" s="5"/>
      <c r="F38" s="5"/>
      <c r="G38" s="5"/>
      <c r="H38" s="5"/>
      <c r="I38">
        <v>36</v>
      </c>
      <c r="J38" s="3">
        <v>1.5</v>
      </c>
    </row>
    <row r="39" spans="1:10" ht="12.75">
      <c r="A39" s="75" t="s">
        <v>635</v>
      </c>
      <c r="B39" s="75"/>
      <c r="C39" s="78"/>
      <c r="D39" s="75"/>
      <c r="E39" s="75"/>
      <c r="F39" s="75"/>
      <c r="G39" s="75"/>
      <c r="H39" s="5"/>
      <c r="I39">
        <v>39</v>
      </c>
      <c r="J39" s="3">
        <v>1.5</v>
      </c>
    </row>
    <row r="40" spans="1:10" ht="12.75">
      <c r="A40" s="74" t="s">
        <v>4</v>
      </c>
      <c r="B40" s="2" t="s">
        <v>35</v>
      </c>
      <c r="C40" s="8">
        <v>1177.33</v>
      </c>
      <c r="D40" s="6"/>
      <c r="E40" s="79"/>
      <c r="F40" s="5"/>
      <c r="G40" s="5"/>
      <c r="H40" s="5"/>
      <c r="I40">
        <v>40</v>
      </c>
      <c r="J40" s="3">
        <v>1.5</v>
      </c>
    </row>
    <row r="41" spans="1:10" ht="12.75">
      <c r="A41" s="74" t="s">
        <v>4</v>
      </c>
      <c r="B41" s="2" t="s">
        <v>36</v>
      </c>
      <c r="C41" s="77">
        <v>1368.56</v>
      </c>
      <c r="D41" s="6"/>
      <c r="E41" s="79"/>
      <c r="F41" s="5"/>
      <c r="G41" s="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37</v>
      </c>
      <c r="C42" s="77">
        <v>1559.82</v>
      </c>
      <c r="D42" s="6"/>
      <c r="E42" s="79"/>
      <c r="I42">
        <v>42</v>
      </c>
      <c r="J42" s="3">
        <v>1.5</v>
      </c>
    </row>
    <row r="43" spans="1:10" ht="12.75">
      <c r="A43" s="74" t="s">
        <v>4</v>
      </c>
      <c r="B43" s="2" t="s">
        <v>38</v>
      </c>
      <c r="C43" s="77">
        <v>2324.69</v>
      </c>
      <c r="D43" s="6"/>
      <c r="E43" s="79"/>
      <c r="I43">
        <v>43</v>
      </c>
      <c r="J43" s="3">
        <v>1.5</v>
      </c>
    </row>
    <row r="44" spans="1:10" ht="12.75">
      <c r="A44" s="74" t="s">
        <v>4</v>
      </c>
      <c r="B44" t="s">
        <v>39</v>
      </c>
      <c r="C44" s="77">
        <v>0</v>
      </c>
      <c r="D44" s="6"/>
      <c r="E44" s="79"/>
      <c r="F44" s="5"/>
      <c r="G44" s="5"/>
      <c r="H44" s="5"/>
      <c r="I44">
        <v>44</v>
      </c>
      <c r="J44" s="3">
        <v>1.5</v>
      </c>
    </row>
    <row r="45" spans="1:10" ht="12.75">
      <c r="A45" s="74" t="s">
        <v>4</v>
      </c>
      <c r="B45" s="2" t="s">
        <v>40</v>
      </c>
      <c r="C45" s="77">
        <v>65.25</v>
      </c>
      <c r="D45" s="6"/>
      <c r="E45" s="79"/>
      <c r="I45">
        <v>45</v>
      </c>
      <c r="J45" s="3">
        <v>1.5</v>
      </c>
    </row>
    <row r="46" spans="1:10" ht="12.75">
      <c r="A46" s="74" t="s">
        <v>4</v>
      </c>
      <c r="B46" s="2" t="s">
        <v>41</v>
      </c>
      <c r="C46" s="77">
        <v>154.98</v>
      </c>
      <c r="D46" s="6"/>
      <c r="E46" s="79"/>
      <c r="I46">
        <v>46</v>
      </c>
      <c r="J46" s="3">
        <v>1.5</v>
      </c>
    </row>
    <row r="47" spans="1:10" ht="12.75">
      <c r="A47" s="75" t="s">
        <v>635</v>
      </c>
      <c r="B47" s="75"/>
      <c r="C47" s="78"/>
      <c r="D47" s="75"/>
      <c r="E47" s="75"/>
      <c r="F47" s="75"/>
      <c r="G47" s="75"/>
      <c r="I47">
        <v>47</v>
      </c>
      <c r="J47" s="3">
        <v>1.5</v>
      </c>
    </row>
    <row r="48" spans="1:12" ht="12.75">
      <c r="A48" s="74" t="s">
        <v>4</v>
      </c>
      <c r="B48" s="74" t="s">
        <v>42</v>
      </c>
      <c r="C48" s="99">
        <f>INT((D48/15*100)+0.49)/100</f>
        <v>80.67</v>
      </c>
      <c r="D48" s="74">
        <f>D49</f>
        <v>1210</v>
      </c>
      <c r="E48" s="74"/>
      <c r="F48" s="74">
        <v>1210</v>
      </c>
      <c r="G48" s="74"/>
      <c r="I48">
        <v>48</v>
      </c>
      <c r="J48" s="3">
        <v>1.5</v>
      </c>
      <c r="L48">
        <f>267.87+5.37</f>
        <v>273.24</v>
      </c>
    </row>
    <row r="49" spans="1:10" ht="12.75">
      <c r="A49" s="74" t="s">
        <v>4</v>
      </c>
      <c r="B49" s="74" t="s">
        <v>43</v>
      </c>
      <c r="C49" s="99">
        <v>1210</v>
      </c>
      <c r="D49" s="74">
        <v>1210</v>
      </c>
      <c r="E49" s="74"/>
      <c r="F49" s="74"/>
      <c r="G49" s="74"/>
      <c r="I49">
        <v>49</v>
      </c>
      <c r="J49" s="3">
        <v>1.5</v>
      </c>
    </row>
    <row r="50" spans="1:10" ht="12" customHeight="1">
      <c r="A50" s="74" t="s">
        <v>4</v>
      </c>
      <c r="B50" s="2" t="s">
        <v>44</v>
      </c>
      <c r="C50" s="107">
        <v>327.6</v>
      </c>
      <c r="I50">
        <v>50</v>
      </c>
      <c r="J50" s="3">
        <v>1.5</v>
      </c>
    </row>
    <row r="51" spans="1:10" ht="12.75">
      <c r="A51" s="74" t="s">
        <v>4</v>
      </c>
      <c r="B51" s="2" t="s">
        <v>45</v>
      </c>
      <c r="C51" s="107">
        <v>170.34</v>
      </c>
      <c r="I51">
        <v>51</v>
      </c>
      <c r="J51" s="3">
        <v>1.5</v>
      </c>
    </row>
    <row r="52" spans="1:10" ht="12.75">
      <c r="A52" s="74" t="s">
        <v>4</v>
      </c>
      <c r="B52" s="2" t="s">
        <v>46</v>
      </c>
      <c r="C52" s="108">
        <v>327.6</v>
      </c>
      <c r="I52">
        <v>52</v>
      </c>
      <c r="J52" s="3">
        <v>1.5</v>
      </c>
    </row>
    <row r="53" spans="1:10" ht="12.75">
      <c r="A53" s="74" t="s">
        <v>4</v>
      </c>
      <c r="B53" s="2" t="s">
        <v>47</v>
      </c>
      <c r="C53" s="108">
        <v>155.54</v>
      </c>
      <c r="I53">
        <v>53</v>
      </c>
      <c r="J53" s="3">
        <v>1.5</v>
      </c>
    </row>
    <row r="54" spans="1:3" ht="12.75">
      <c r="A54" s="74" t="s">
        <v>4</v>
      </c>
      <c r="B54" s="2" t="s">
        <v>48</v>
      </c>
      <c r="C54" s="108">
        <v>149.55200000000002</v>
      </c>
    </row>
    <row r="55" spans="1:3" ht="12.75">
      <c r="A55" s="74" t="s">
        <v>4</v>
      </c>
      <c r="B55" s="2" t="s">
        <v>49</v>
      </c>
      <c r="C55" s="108">
        <v>252.668</v>
      </c>
    </row>
    <row r="56" spans="1:6" ht="12.75">
      <c r="A56" s="74" t="s">
        <v>4</v>
      </c>
      <c r="B56" s="2" t="s">
        <v>50</v>
      </c>
      <c r="C56" s="108">
        <v>14.2</v>
      </c>
      <c r="E56" s="73">
        <f>F56/C56</f>
        <v>23.07042253521127</v>
      </c>
      <c r="F56" s="5">
        <f>C50</f>
        <v>327.6</v>
      </c>
    </row>
    <row r="57" spans="1:6" ht="12.75">
      <c r="A57" s="74" t="s">
        <v>4</v>
      </c>
      <c r="B57" s="2" t="s">
        <v>51</v>
      </c>
      <c r="C57" s="106">
        <v>11.355</v>
      </c>
      <c r="E57" s="73">
        <f>F57/C57</f>
        <v>28.85072655217966</v>
      </c>
      <c r="F57" s="5">
        <f>C50</f>
        <v>327.6</v>
      </c>
    </row>
    <row r="58" spans="1:6" ht="12.75">
      <c r="A58" s="74" t="s">
        <v>4</v>
      </c>
      <c r="B58" s="2" t="s">
        <v>52</v>
      </c>
      <c r="C58" s="8">
        <v>406.53</v>
      </c>
      <c r="D58" s="3">
        <v>27.1024</v>
      </c>
      <c r="E58" s="80">
        <v>38.47</v>
      </c>
      <c r="F58">
        <f>+C58*2</f>
        <v>813.06</v>
      </c>
    </row>
    <row r="59" spans="1:4" ht="12.75">
      <c r="A59" s="74" t="s">
        <v>4</v>
      </c>
      <c r="B59" s="2" t="s">
        <v>53</v>
      </c>
      <c r="C59" s="8">
        <v>54.2</v>
      </c>
      <c r="D59" s="3"/>
    </row>
    <row r="60" spans="1:6" ht="12.75">
      <c r="A60" s="74" t="s">
        <v>4</v>
      </c>
      <c r="B60" s="2" t="s">
        <v>54</v>
      </c>
      <c r="C60" s="8">
        <v>116.15</v>
      </c>
      <c r="D60" s="8">
        <v>7.7442</v>
      </c>
      <c r="E60" s="80">
        <v>10.99</v>
      </c>
      <c r="F60">
        <f>+C60*2</f>
        <v>232.3</v>
      </c>
    </row>
    <row r="61" spans="1:3" ht="12.75">
      <c r="A61" s="74" t="s">
        <v>4</v>
      </c>
      <c r="B61" s="2" t="s">
        <v>55</v>
      </c>
      <c r="C61" s="8">
        <v>15.49</v>
      </c>
    </row>
    <row r="62" spans="1:7" ht="12.75">
      <c r="A62" s="75" t="s">
        <v>635</v>
      </c>
      <c r="B62" s="75"/>
      <c r="C62" s="76"/>
      <c r="D62" s="75"/>
      <c r="E62" s="75"/>
      <c r="F62" s="75"/>
      <c r="G62" s="75"/>
    </row>
    <row r="63" spans="1:4" ht="12.75">
      <c r="A63" s="74"/>
      <c r="B63" s="2" t="s">
        <v>56</v>
      </c>
      <c r="C63" s="9">
        <v>0</v>
      </c>
      <c r="D63" s="10"/>
    </row>
    <row r="64" spans="1:7" ht="12.75">
      <c r="A64" s="75" t="s">
        <v>635</v>
      </c>
      <c r="B64" s="75"/>
      <c r="C64" s="76"/>
      <c r="D64" s="75"/>
      <c r="E64" s="75"/>
      <c r="F64" s="75"/>
      <c r="G64" s="75"/>
    </row>
    <row r="65" spans="1:3" ht="12.75">
      <c r="A65" s="74" t="s">
        <v>4</v>
      </c>
      <c r="B65" t="s">
        <v>57</v>
      </c>
      <c r="C65" s="11">
        <v>0.115</v>
      </c>
    </row>
    <row r="66" spans="1:3" ht="12.75">
      <c r="A66" s="74" t="s">
        <v>4</v>
      </c>
      <c r="B66" t="s">
        <v>58</v>
      </c>
      <c r="C66" s="11">
        <v>0.045</v>
      </c>
    </row>
    <row r="67" spans="1:3" ht="12.75">
      <c r="A67" s="74" t="s">
        <v>4</v>
      </c>
      <c r="B67" t="s">
        <v>59</v>
      </c>
      <c r="C67" s="11">
        <v>0.027</v>
      </c>
    </row>
    <row r="68" spans="1:3" ht="12.75">
      <c r="A68" s="74" t="s">
        <v>4</v>
      </c>
      <c r="B68" t="s">
        <v>60</v>
      </c>
      <c r="C68" s="11">
        <v>0.003</v>
      </c>
    </row>
    <row r="69" spans="1:7" ht="12.75">
      <c r="A69" s="75" t="s">
        <v>635</v>
      </c>
      <c r="B69" s="75"/>
      <c r="C69" s="76"/>
      <c r="D69" s="75"/>
      <c r="E69" s="75"/>
      <c r="F69" s="75"/>
      <c r="G69" s="75"/>
    </row>
    <row r="70" spans="1:3" ht="12.75">
      <c r="A70" s="74" t="s">
        <v>4</v>
      </c>
      <c r="B70" t="s">
        <v>61</v>
      </c>
      <c r="C70" s="11">
        <v>0.16</v>
      </c>
    </row>
    <row r="71" spans="1:3" ht="12.75">
      <c r="A71" s="74" t="s">
        <v>4</v>
      </c>
      <c r="B71" t="s">
        <v>62</v>
      </c>
      <c r="C71" s="11">
        <v>0.045</v>
      </c>
    </row>
    <row r="72" spans="1:3" ht="12.75">
      <c r="A72" s="74" t="s">
        <v>4</v>
      </c>
      <c r="B72" t="s">
        <v>63</v>
      </c>
      <c r="C72" s="11">
        <v>0.01</v>
      </c>
    </row>
    <row r="73" spans="1:7" ht="12.75">
      <c r="A73" s="75" t="s">
        <v>635</v>
      </c>
      <c r="B73" s="75"/>
      <c r="C73" s="76"/>
      <c r="D73" s="75"/>
      <c r="E73" s="75"/>
      <c r="F73" s="75"/>
      <c r="G73" s="75"/>
    </row>
    <row r="74" spans="1:3" ht="12.75">
      <c r="A74" s="74" t="s">
        <v>4</v>
      </c>
      <c r="B74" t="s">
        <v>64</v>
      </c>
      <c r="C74" s="11">
        <v>0.035</v>
      </c>
    </row>
    <row r="75" spans="1:3" ht="12.75">
      <c r="A75" s="74" t="s">
        <v>4</v>
      </c>
      <c r="B75" t="s">
        <v>65</v>
      </c>
      <c r="C75" s="11">
        <v>0.006</v>
      </c>
    </row>
    <row r="76" spans="1:3" ht="12.75">
      <c r="A76" s="74" t="s">
        <v>4</v>
      </c>
      <c r="B76" t="s">
        <v>66</v>
      </c>
      <c r="C76" s="11">
        <v>0.054</v>
      </c>
    </row>
    <row r="77" spans="1:7" ht="12.75">
      <c r="A77" s="75" t="s">
        <v>635</v>
      </c>
      <c r="B77" s="75"/>
      <c r="C77" s="76"/>
      <c r="D77" s="75"/>
      <c r="E77" s="75"/>
      <c r="F77" s="75"/>
      <c r="G77" s="75"/>
    </row>
    <row r="78" spans="1:3" ht="12.75">
      <c r="A78" s="74" t="s">
        <v>4</v>
      </c>
      <c r="B78" t="s">
        <v>67</v>
      </c>
      <c r="C78" s="4">
        <v>0.5</v>
      </c>
    </row>
    <row r="79" spans="1:7" ht="12.75">
      <c r="A79" s="75" t="s">
        <v>635</v>
      </c>
      <c r="B79" s="75"/>
      <c r="C79" s="76"/>
      <c r="D79" s="75"/>
      <c r="E79" s="75"/>
      <c r="F79" s="75"/>
      <c r="G79" s="75"/>
    </row>
    <row r="80" spans="1:3" ht="12.75">
      <c r="A80" s="74" t="s">
        <v>4</v>
      </c>
      <c r="B80" s="74" t="s">
        <v>629</v>
      </c>
      <c r="C80" s="8">
        <v>3250</v>
      </c>
    </row>
    <row r="81" spans="1:3" ht="12.75">
      <c r="A81" s="74" t="s">
        <v>4</v>
      </c>
      <c r="B81" s="74" t="s">
        <v>630</v>
      </c>
      <c r="C81" s="8">
        <v>3900</v>
      </c>
    </row>
    <row r="82" spans="1:3" ht="12.75">
      <c r="A82" s="74" t="s">
        <v>4</v>
      </c>
      <c r="B82" s="74" t="s">
        <v>631</v>
      </c>
      <c r="C82" s="8">
        <v>6500</v>
      </c>
    </row>
    <row r="83" spans="1:3" ht="12.75">
      <c r="A83" s="74" t="s">
        <v>4</v>
      </c>
      <c r="B83" s="74" t="s">
        <v>632</v>
      </c>
      <c r="C83" s="8">
        <v>162.5</v>
      </c>
    </row>
    <row r="84" spans="1:3" ht="12.75">
      <c r="A84" s="74" t="s">
        <v>4</v>
      </c>
      <c r="B84" s="74" t="s">
        <v>633</v>
      </c>
      <c r="C84" s="8">
        <f>C83*2</f>
        <v>325</v>
      </c>
    </row>
  </sheetData>
  <autoFilter ref="A1:J84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0"/>
  <sheetViews>
    <sheetView showGridLines="0" tabSelected="1" zoomScale="130" zoomScaleNormal="130" workbookViewId="0" topLeftCell="C1">
      <pane ySplit="7" topLeftCell="A8" activePane="bottomLeft" state="frozen"/>
      <selection pane="topLeft" activeCell="C1" sqref="C1"/>
      <selection pane="bottomLeft" activeCell="H9" sqref="H9"/>
    </sheetView>
  </sheetViews>
  <sheetFormatPr defaultColWidth="9.140625" defaultRowHeight="12.75"/>
  <cols>
    <col min="1" max="1" width="6.57421875" style="110" hidden="1" customWidth="1"/>
    <col min="2" max="2" width="8.7109375" style="110" hidden="1" customWidth="1"/>
    <col min="3" max="3" width="4.7109375" style="114" customWidth="1"/>
    <col min="4" max="5" width="3.7109375" style="114" hidden="1" customWidth="1"/>
    <col min="6" max="6" width="34.28125" style="114" customWidth="1"/>
    <col min="7" max="7" width="4.8515625" style="117" hidden="1" customWidth="1"/>
    <col min="8" max="8" width="8.00390625" style="138" customWidth="1"/>
    <col min="9" max="9" width="8.28125" style="119" hidden="1" customWidth="1"/>
    <col min="10" max="10" width="9.140625" style="123" customWidth="1"/>
    <col min="11" max="11" width="5.28125" style="120" hidden="1" customWidth="1"/>
    <col min="12" max="12" width="7.28125" style="112" customWidth="1"/>
    <col min="13" max="13" width="6.28125" style="121" hidden="1" customWidth="1"/>
    <col min="14" max="14" width="6.7109375" style="112" customWidth="1"/>
    <col min="15" max="15" width="7.8515625" style="112" customWidth="1"/>
    <col min="16" max="16" width="8.421875" style="112" customWidth="1"/>
    <col min="17" max="17" width="6.57421875" style="112" customWidth="1"/>
    <col min="18" max="18" width="7.7109375" style="112" customWidth="1"/>
    <col min="19" max="19" width="7.140625" style="112" customWidth="1"/>
    <col min="20" max="20" width="7.7109375" style="112" customWidth="1"/>
    <col min="21" max="21" width="8.7109375" style="123" hidden="1" customWidth="1"/>
    <col min="22" max="22" width="7.140625" style="112" customWidth="1"/>
    <col min="23" max="23" width="7.00390625" style="112" customWidth="1"/>
    <col min="24" max="24" width="7.57421875" style="112" customWidth="1"/>
    <col min="25" max="25" width="4.28125" style="124" hidden="1" customWidth="1"/>
    <col min="26" max="26" width="7.140625" style="112" customWidth="1"/>
    <col min="27" max="27" width="7.421875" style="112" customWidth="1"/>
    <col min="28" max="28" width="7.28125" style="125" customWidth="1"/>
    <col min="29" max="29" width="7.140625" style="112" customWidth="1"/>
    <col min="30" max="30" width="6.28125" style="112" customWidth="1"/>
    <col min="31" max="31" width="4.421875" style="124" hidden="1" customWidth="1"/>
    <col min="32" max="32" width="6.28125" style="112" customWidth="1"/>
    <col min="33" max="33" width="6.00390625" style="112" customWidth="1"/>
    <col min="34" max="34" width="8.140625" style="112" customWidth="1"/>
    <col min="35" max="35" width="7.8515625" style="112" customWidth="1"/>
    <col min="36" max="36" width="10.57421875" style="112" customWidth="1"/>
    <col min="37" max="37" width="10.28125" style="125" customWidth="1"/>
    <col min="38" max="38" width="8.28125" style="125" customWidth="1"/>
    <col min="39" max="39" width="7.28125" style="112" customWidth="1"/>
    <col min="40" max="40" width="8.421875" style="112" customWidth="1"/>
    <col min="41" max="43" width="7.421875" style="112" customWidth="1"/>
    <col min="44" max="44" width="7.8515625" style="113" customWidth="1"/>
    <col min="45" max="45" width="9.8515625" style="114" customWidth="1"/>
    <col min="46" max="1012" width="11.421875" style="114" customWidth="1"/>
    <col min="1013" max="16384" width="9.140625" style="115" customWidth="1"/>
  </cols>
  <sheetData>
    <row r="1" spans="3:40" ht="50.25" customHeight="1">
      <c r="C1" s="176" t="s">
        <v>637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11"/>
      <c r="AN1" s="111"/>
    </row>
    <row r="2" spans="2:38" ht="11.25" customHeight="1">
      <c r="B2" s="116"/>
      <c r="C2" s="171" t="s">
        <v>68</v>
      </c>
      <c r="D2" s="171"/>
      <c r="E2" s="171"/>
      <c r="F2" s="171"/>
      <c r="H2" s="118">
        <v>0</v>
      </c>
      <c r="I2" s="173"/>
      <c r="J2" s="174">
        <f>LOOKUP(H2,Valores!I:I,Valores!J:J)</f>
        <v>0</v>
      </c>
      <c r="K2" s="175"/>
      <c r="L2" s="140"/>
      <c r="O2" s="122">
        <v>0.15</v>
      </c>
      <c r="P2" s="186" t="s">
        <v>649</v>
      </c>
      <c r="Q2" s="186"/>
      <c r="R2" s="186"/>
      <c r="S2" s="186"/>
      <c r="T2" s="186"/>
      <c r="U2" s="186"/>
      <c r="V2" s="186"/>
      <c r="W2" s="186"/>
      <c r="AL2" s="177"/>
    </row>
    <row r="3" spans="2:44" ht="11.25" customHeight="1">
      <c r="B3" s="116"/>
      <c r="C3" s="171" t="s">
        <v>69</v>
      </c>
      <c r="D3" s="171"/>
      <c r="E3" s="171"/>
      <c r="F3" s="171"/>
      <c r="H3" s="118">
        <v>0</v>
      </c>
      <c r="I3" s="178" t="s">
        <v>70</v>
      </c>
      <c r="J3" s="178"/>
      <c r="K3" s="179">
        <f>Valores!C2</f>
        <v>8.4388</v>
      </c>
      <c r="L3" s="179"/>
      <c r="AL3" s="177"/>
      <c r="AM3" s="126" t="s">
        <v>4</v>
      </c>
      <c r="AN3" s="127"/>
      <c r="AO3" s="128"/>
      <c r="AP3" s="128"/>
      <c r="AQ3" s="128"/>
      <c r="AR3" s="129"/>
    </row>
    <row r="4" spans="2:44" ht="11.25" customHeight="1">
      <c r="B4" s="116"/>
      <c r="C4" s="185" t="s">
        <v>652</v>
      </c>
      <c r="D4" s="185"/>
      <c r="E4" s="185"/>
      <c r="F4" s="185"/>
      <c r="H4" s="118">
        <v>0</v>
      </c>
      <c r="I4" s="164"/>
      <c r="J4" s="164"/>
      <c r="K4" s="165"/>
      <c r="L4" s="165"/>
      <c r="AL4" s="166"/>
      <c r="AM4" s="126"/>
      <c r="AN4" s="127"/>
      <c r="AO4" s="128"/>
      <c r="AP4" s="128"/>
      <c r="AQ4" s="128"/>
      <c r="AR4" s="129"/>
    </row>
    <row r="5" spans="1:44" ht="11.25" customHeight="1">
      <c r="A5" s="130"/>
      <c r="B5" s="116"/>
      <c r="C5" s="171" t="s">
        <v>71</v>
      </c>
      <c r="D5" s="172"/>
      <c r="E5" s="172"/>
      <c r="F5" s="172"/>
      <c r="H5" s="143" t="s">
        <v>8</v>
      </c>
      <c r="AL5" s="131"/>
      <c r="AM5" s="126" t="s">
        <v>8</v>
      </c>
      <c r="AN5" s="127"/>
      <c r="AO5" s="128"/>
      <c r="AP5" s="128"/>
      <c r="AQ5" s="128"/>
      <c r="AR5" s="129"/>
    </row>
    <row r="6" spans="1:44" ht="48" customHeight="1">
      <c r="A6" s="144"/>
      <c r="B6" s="144"/>
      <c r="C6" s="145"/>
      <c r="D6" s="145"/>
      <c r="E6" s="145"/>
      <c r="F6" s="145"/>
      <c r="G6" s="180" t="s">
        <v>72</v>
      </c>
      <c r="H6" s="180"/>
      <c r="I6" s="181" t="s">
        <v>73</v>
      </c>
      <c r="J6" s="181"/>
      <c r="K6" s="182" t="s">
        <v>74</v>
      </c>
      <c r="L6" s="182"/>
      <c r="M6" s="183" t="s">
        <v>75</v>
      </c>
      <c r="N6" s="183"/>
      <c r="O6" s="132" t="s">
        <v>76</v>
      </c>
      <c r="P6" s="133" t="s">
        <v>77</v>
      </c>
      <c r="Q6" s="132" t="s">
        <v>78</v>
      </c>
      <c r="R6" s="168" t="s">
        <v>648</v>
      </c>
      <c r="S6" s="132" t="s">
        <v>79</v>
      </c>
      <c r="T6" s="168" t="s">
        <v>638</v>
      </c>
      <c r="U6" s="133" t="s">
        <v>80</v>
      </c>
      <c r="V6" s="132" t="s">
        <v>80</v>
      </c>
      <c r="W6" s="132" t="s">
        <v>81</v>
      </c>
      <c r="X6" s="132" t="s">
        <v>82</v>
      </c>
      <c r="Y6" s="184" t="s">
        <v>83</v>
      </c>
      <c r="Z6" s="184"/>
      <c r="AA6" s="132" t="s">
        <v>84</v>
      </c>
      <c r="AB6" s="169" t="s">
        <v>639</v>
      </c>
      <c r="AC6" s="132" t="s">
        <v>85</v>
      </c>
      <c r="AD6" s="168" t="s">
        <v>640</v>
      </c>
      <c r="AE6" s="183" t="s">
        <v>86</v>
      </c>
      <c r="AF6" s="183"/>
      <c r="AG6" s="168" t="s">
        <v>641</v>
      </c>
      <c r="AH6" s="168" t="s">
        <v>642</v>
      </c>
      <c r="AI6" s="134" t="s">
        <v>87</v>
      </c>
      <c r="AJ6" s="168" t="s">
        <v>643</v>
      </c>
      <c r="AK6" s="169" t="s">
        <v>644</v>
      </c>
      <c r="AL6" s="169" t="s">
        <v>645</v>
      </c>
      <c r="AM6" s="134" t="s">
        <v>88</v>
      </c>
      <c r="AN6" s="135" t="s">
        <v>89</v>
      </c>
      <c r="AO6" s="135" t="s">
        <v>90</v>
      </c>
      <c r="AP6" s="135" t="s">
        <v>646</v>
      </c>
      <c r="AQ6" s="135" t="s">
        <v>647</v>
      </c>
      <c r="AR6" s="134" t="s">
        <v>91</v>
      </c>
    </row>
    <row r="7" spans="1:44" s="136" customFormat="1" ht="11.25" customHeight="1">
      <c r="A7" s="147" t="s">
        <v>92</v>
      </c>
      <c r="B7" s="147"/>
      <c r="C7" s="147" t="s">
        <v>93</v>
      </c>
      <c r="D7" s="147"/>
      <c r="E7" s="147"/>
      <c r="F7" s="148" t="s">
        <v>94</v>
      </c>
      <c r="G7" s="147" t="s">
        <v>95</v>
      </c>
      <c r="H7" s="149" t="s">
        <v>96</v>
      </c>
      <c r="I7" s="150" t="s">
        <v>97</v>
      </c>
      <c r="J7" s="148" t="s">
        <v>98</v>
      </c>
      <c r="K7" s="151" t="s">
        <v>99</v>
      </c>
      <c r="L7" s="148" t="s">
        <v>100</v>
      </c>
      <c r="M7" s="152" t="s">
        <v>101</v>
      </c>
      <c r="N7" s="148" t="s">
        <v>102</v>
      </c>
      <c r="O7" s="148" t="s">
        <v>103</v>
      </c>
      <c r="P7" s="148" t="s">
        <v>104</v>
      </c>
      <c r="Q7" s="148" t="s">
        <v>105</v>
      </c>
      <c r="R7" s="148" t="s">
        <v>106</v>
      </c>
      <c r="S7" s="148" t="s">
        <v>107</v>
      </c>
      <c r="T7" s="148" t="s">
        <v>108</v>
      </c>
      <c r="U7" s="148" t="s">
        <v>109</v>
      </c>
      <c r="V7" s="148" t="s">
        <v>109</v>
      </c>
      <c r="W7" s="148" t="s">
        <v>110</v>
      </c>
      <c r="X7" s="148" t="s">
        <v>111</v>
      </c>
      <c r="Y7" s="153" t="s">
        <v>112</v>
      </c>
      <c r="Z7" s="148" t="s">
        <v>113</v>
      </c>
      <c r="AA7" s="148" t="s">
        <v>114</v>
      </c>
      <c r="AB7" s="154" t="s">
        <v>115</v>
      </c>
      <c r="AC7" s="154" t="s">
        <v>116</v>
      </c>
      <c r="AD7" s="148" t="s">
        <v>117</v>
      </c>
      <c r="AE7" s="153" t="s">
        <v>118</v>
      </c>
      <c r="AF7" s="148" t="s">
        <v>119</v>
      </c>
      <c r="AG7" s="148" t="s">
        <v>120</v>
      </c>
      <c r="AH7" s="148" t="s">
        <v>121</v>
      </c>
      <c r="AI7" s="163" t="s">
        <v>122</v>
      </c>
      <c r="AJ7" s="148" t="s">
        <v>634</v>
      </c>
      <c r="AK7" s="154"/>
      <c r="AL7" s="154" t="s">
        <v>123</v>
      </c>
      <c r="AM7" s="162" t="s">
        <v>124</v>
      </c>
      <c r="AN7" s="146" t="s">
        <v>125</v>
      </c>
      <c r="AO7" s="148" t="s">
        <v>126</v>
      </c>
      <c r="AP7" s="142" t="s">
        <v>650</v>
      </c>
      <c r="AQ7" s="142" t="s">
        <v>651</v>
      </c>
      <c r="AR7" s="148"/>
    </row>
    <row r="8" spans="1:44" s="137" customFormat="1" ht="11.25" customHeight="1">
      <c r="A8" s="147">
        <v>6</v>
      </c>
      <c r="B8" s="147"/>
      <c r="C8" s="147" t="s">
        <v>127</v>
      </c>
      <c r="D8" s="147"/>
      <c r="E8" s="147">
        <f aca="true" t="shared" si="0" ref="E8:E71">LEN(F8)</f>
        <v>19</v>
      </c>
      <c r="F8" s="155" t="s">
        <v>128</v>
      </c>
      <c r="G8" s="152">
        <v>107</v>
      </c>
      <c r="H8" s="149">
        <f>INT((G8*Valores!$C$2*100)+0.5)/100</f>
        <v>902.95</v>
      </c>
      <c r="I8" s="150">
        <v>3779</v>
      </c>
      <c r="J8" s="149">
        <f>INT((I8*Valores!$C$2*100)+0.5)/100</f>
        <v>31890.23</v>
      </c>
      <c r="K8" s="156">
        <v>219</v>
      </c>
      <c r="L8" s="149">
        <f>INT((K8*Valores!$C$2*100)+0.5)/100</f>
        <v>1848.1</v>
      </c>
      <c r="M8" s="152">
        <v>0</v>
      </c>
      <c r="N8" s="149">
        <f>INT((M8*Valores!$C$2*100)+0.5)/100</f>
        <v>0</v>
      </c>
      <c r="O8" s="149">
        <f aca="true" t="shared" si="1" ref="O8:O71">IF($J$2=0,IF(C8&lt;&gt;"13-930",(SUM(H8,J8,L8,N8,Z8,U8,T8)*$O$2),0),0)</f>
        <v>5544.8955</v>
      </c>
      <c r="P8" s="149">
        <f aca="true" t="shared" si="2" ref="P8:P71">SUM(H8,J8,L8,N8,Z8,T8)*$J$2</f>
        <v>0</v>
      </c>
      <c r="Q8" s="146">
        <f>Valores!$C$16</f>
        <v>5893.48</v>
      </c>
      <c r="R8" s="146">
        <f>Valores!$D$4</f>
        <v>4313.91</v>
      </c>
      <c r="S8" s="149">
        <v>0</v>
      </c>
      <c r="T8" s="149">
        <f>Valores!$C$43</f>
        <v>2324.69</v>
      </c>
      <c r="U8" s="149">
        <v>0</v>
      </c>
      <c r="V8" s="149">
        <f aca="true" t="shared" si="3" ref="V8:V45">U8*(1+$J$2)</f>
        <v>0</v>
      </c>
      <c r="W8" s="146">
        <f>SUM(H8,J8,L8)</f>
        <v>34641.28</v>
      </c>
      <c r="X8" s="146">
        <f>INT((SUM(H8,J8,L8)*0.4*100)+0.49)/100</f>
        <v>13856.51</v>
      </c>
      <c r="Y8" s="157">
        <v>0</v>
      </c>
      <c r="Z8" s="149">
        <f>Y8*Valores!$C$2</f>
        <v>0</v>
      </c>
      <c r="AA8" s="149">
        <v>0</v>
      </c>
      <c r="AB8" s="154">
        <f>Valores!$C$29</f>
        <v>199.86</v>
      </c>
      <c r="AC8" s="149">
        <f>SUM(H8,J8,L8,Z8,T8)*$H$3/100</f>
        <v>0</v>
      </c>
      <c r="AD8" s="149">
        <f>Valores!$C$30</f>
        <v>199.86</v>
      </c>
      <c r="AE8" s="157">
        <v>0</v>
      </c>
      <c r="AF8" s="149">
        <f>AE8*Valores!$C$2</f>
        <v>0</v>
      </c>
      <c r="AG8" s="149">
        <f>Valores!$C$58</f>
        <v>406.53</v>
      </c>
      <c r="AH8" s="149">
        <f>Valores!$C$60</f>
        <v>116.15</v>
      </c>
      <c r="AI8" s="162">
        <f>SUM(H8,J8,L8,N8,O8,P8,Q8,R8,S8,V8,W8,X8,Z8,AA8,AB8,AC8,AD8,AF8,T8,AG8,AH8)</f>
        <v>102138.44549999999</v>
      </c>
      <c r="AJ8" s="146">
        <f>Valores!$C$35</f>
        <v>1046.83</v>
      </c>
      <c r="AK8" s="149">
        <f>Valores!$C$80</f>
        <v>3250</v>
      </c>
      <c r="AL8" s="154">
        <f>Valores!$C$50</f>
        <v>327.6</v>
      </c>
      <c r="AM8" s="162">
        <f aca="true" t="shared" si="4" ref="AM8:AM71">IF($H$5="SI",SUM(AJ8:AL8),SUM(AJ8:AK8))</f>
        <v>4296.83</v>
      </c>
      <c r="AN8" s="146">
        <f>AI8*-Valores!$C$65</f>
        <v>-11745.921232499999</v>
      </c>
      <c r="AO8" s="146">
        <f>AI8*-Valores!$C$66</f>
        <v>-4596.230047499999</v>
      </c>
      <c r="AP8" s="170">
        <v>-159.43</v>
      </c>
      <c r="AQ8" s="170">
        <f>IF($H$4=0,-53.83,(-53.83+$H$4*(-53.83)))</f>
        <v>-53.83</v>
      </c>
      <c r="AR8" s="162">
        <f>AI8+AM8+AN8+AO8+AP8+AQ8</f>
        <v>89879.86422</v>
      </c>
    </row>
    <row r="9" spans="1:44" s="137" customFormat="1" ht="11.25" customHeight="1">
      <c r="A9" s="147">
        <v>7</v>
      </c>
      <c r="B9" s="147"/>
      <c r="C9" s="147" t="s">
        <v>129</v>
      </c>
      <c r="D9" s="147"/>
      <c r="E9" s="147">
        <f t="shared" si="0"/>
        <v>20</v>
      </c>
      <c r="F9" s="155" t="s">
        <v>130</v>
      </c>
      <c r="G9" s="152">
        <v>107</v>
      </c>
      <c r="H9" s="149">
        <f>INT((G9*Valores!$C$2*100)+0.5)/100</f>
        <v>902.95</v>
      </c>
      <c r="I9" s="150">
        <v>3779</v>
      </c>
      <c r="J9" s="149">
        <f>INT((I9*Valores!$C$2*100)+0.5)/100</f>
        <v>31890.23</v>
      </c>
      <c r="K9" s="156">
        <v>219</v>
      </c>
      <c r="L9" s="149">
        <f>INT((K9*Valores!$C$2*100)+0.5)/100</f>
        <v>1848.1</v>
      </c>
      <c r="M9" s="152">
        <v>0</v>
      </c>
      <c r="N9" s="149">
        <f>INT((M9*Valores!$C$2*100)+0.5)/100</f>
        <v>0</v>
      </c>
      <c r="O9" s="149">
        <f t="shared" si="1"/>
        <v>5544.8955</v>
      </c>
      <c r="P9" s="149">
        <f t="shared" si="2"/>
        <v>0</v>
      </c>
      <c r="Q9" s="146">
        <f>Valores!$C$16</f>
        <v>5893.48</v>
      </c>
      <c r="R9" s="146">
        <f>Valores!$D$4</f>
        <v>4313.91</v>
      </c>
      <c r="S9" s="149">
        <v>0</v>
      </c>
      <c r="T9" s="149">
        <f>Valores!$C$43</f>
        <v>2324.69</v>
      </c>
      <c r="U9" s="149">
        <v>0</v>
      </c>
      <c r="V9" s="149">
        <f t="shared" si="3"/>
        <v>0</v>
      </c>
      <c r="W9" s="146">
        <f>SUM(H9,J9,L9)</f>
        <v>34641.28</v>
      </c>
      <c r="X9" s="146">
        <f>INT((SUM(H9,J9,L9)*0.4*100)+0.49)/100</f>
        <v>13856.51</v>
      </c>
      <c r="Y9" s="157">
        <v>0</v>
      </c>
      <c r="Z9" s="149">
        <f>Y9*Valores!$C$2</f>
        <v>0</v>
      </c>
      <c r="AA9" s="149">
        <v>0</v>
      </c>
      <c r="AB9" s="154">
        <f>Valores!$C$29</f>
        <v>199.86</v>
      </c>
      <c r="AC9" s="149">
        <f aca="true" t="shared" si="5" ref="AC9:AC72">SUM(H9,J9,L9,Z9,T9)*$H$3/100</f>
        <v>0</v>
      </c>
      <c r="AD9" s="149">
        <f>Valores!$C$30</f>
        <v>199.86</v>
      </c>
      <c r="AE9" s="157">
        <v>0</v>
      </c>
      <c r="AF9" s="149">
        <f>INT(((AE9*Valores!$C$2)*100)+0.5)/100</f>
        <v>0</v>
      </c>
      <c r="AG9" s="149">
        <f>Valores!$C$58</f>
        <v>406.53</v>
      </c>
      <c r="AH9" s="149">
        <f>Valores!$C$60</f>
        <v>116.15</v>
      </c>
      <c r="AI9" s="162">
        <f aca="true" t="shared" si="6" ref="AI9:AI72">SUM(H9,J9,L9,N9,O9,P9,Q9,R9,S9,V9,W9,X9,Z9,AA9,AB9,AC9,AD9,AF9,T9,AG9,AH9)</f>
        <v>102138.44549999999</v>
      </c>
      <c r="AJ9" s="146">
        <f>Valores!$C$35</f>
        <v>1046.83</v>
      </c>
      <c r="AK9" s="149">
        <f>Valores!$C$80</f>
        <v>3250</v>
      </c>
      <c r="AL9" s="154">
        <f>Valores!$C$50</f>
        <v>327.6</v>
      </c>
      <c r="AM9" s="162">
        <f t="shared" si="4"/>
        <v>4296.83</v>
      </c>
      <c r="AN9" s="146">
        <f>AI9*-Valores!$C$65</f>
        <v>-11745.921232499999</v>
      </c>
      <c r="AO9" s="146">
        <f>AI9*-Valores!$C$66</f>
        <v>-4596.230047499999</v>
      </c>
      <c r="AP9" s="170">
        <v>-159.43</v>
      </c>
      <c r="AQ9" s="170">
        <f aca="true" t="shared" si="7" ref="AQ9:AQ72">IF($H$4=0,-53.83,(-53.83+$H$4*(-53.83)))</f>
        <v>-53.83</v>
      </c>
      <c r="AR9" s="162">
        <f aca="true" t="shared" si="8" ref="AR9:AR72">AI9+AM9+AN9+AO9+AP9+AQ9</f>
        <v>89879.86422</v>
      </c>
    </row>
    <row r="10" spans="1:44" s="137" customFormat="1" ht="11.25" customHeight="1">
      <c r="A10" s="147">
        <v>8</v>
      </c>
      <c r="B10" s="147"/>
      <c r="C10" s="147" t="s">
        <v>131</v>
      </c>
      <c r="D10" s="147"/>
      <c r="E10" s="147">
        <f t="shared" si="0"/>
        <v>14</v>
      </c>
      <c r="F10" s="155" t="s">
        <v>132</v>
      </c>
      <c r="G10" s="152">
        <v>107</v>
      </c>
      <c r="H10" s="149">
        <f>INT((G10*Valores!$C$2*100)+0.5)/100</f>
        <v>902.95</v>
      </c>
      <c r="I10" s="150">
        <v>3720</v>
      </c>
      <c r="J10" s="149">
        <f>INT((I10*Valores!$C$2*100)+0.5)/100</f>
        <v>31392.34</v>
      </c>
      <c r="K10" s="156">
        <v>1226</v>
      </c>
      <c r="L10" s="149">
        <f>INT((K10*Valores!$C$2*100)+0.5)/100</f>
        <v>10345.97</v>
      </c>
      <c r="M10" s="152">
        <v>0</v>
      </c>
      <c r="N10" s="149">
        <f>INT((M10*Valores!$C$2*100)+0.5)/100</f>
        <v>0</v>
      </c>
      <c r="O10" s="149">
        <f t="shared" si="1"/>
        <v>7273.944</v>
      </c>
      <c r="P10" s="149">
        <f t="shared" si="2"/>
        <v>0</v>
      </c>
      <c r="Q10" s="146">
        <f>Valores!$C$19</f>
        <v>6125.78</v>
      </c>
      <c r="R10" s="146">
        <f>Valores!$D$4</f>
        <v>4313.91</v>
      </c>
      <c r="S10" s="149">
        <v>0</v>
      </c>
      <c r="T10" s="149">
        <f>Valores!$C$43</f>
        <v>2324.69</v>
      </c>
      <c r="U10" s="149">
        <f>Valores!$C$23</f>
        <v>3527.01</v>
      </c>
      <c r="V10" s="149">
        <f t="shared" si="3"/>
        <v>3527.01</v>
      </c>
      <c r="W10" s="149">
        <v>0</v>
      </c>
      <c r="X10" s="149">
        <v>0</v>
      </c>
      <c r="Y10" s="157">
        <v>0</v>
      </c>
      <c r="Z10" s="149">
        <f>Y10*Valores!$C$2</f>
        <v>0</v>
      </c>
      <c r="AA10" s="149">
        <v>0</v>
      </c>
      <c r="AB10" s="154">
        <f>Valores!$C$29</f>
        <v>199.86</v>
      </c>
      <c r="AC10" s="149">
        <f t="shared" si="5"/>
        <v>0</v>
      </c>
      <c r="AD10" s="149">
        <f>Valores!$C$30</f>
        <v>199.86</v>
      </c>
      <c r="AE10" s="157">
        <v>0</v>
      </c>
      <c r="AF10" s="149">
        <f>INT(((AE10*Valores!$C$2)*100)+0.5)/100</f>
        <v>0</v>
      </c>
      <c r="AG10" s="149">
        <f>Valores!$C$58</f>
        <v>406.53</v>
      </c>
      <c r="AH10" s="149">
        <f>Valores!$C$60</f>
        <v>116.15</v>
      </c>
      <c r="AI10" s="162">
        <f t="shared" si="6"/>
        <v>67128.99399999999</v>
      </c>
      <c r="AJ10" s="146">
        <f>Valores!$C$35</f>
        <v>1046.83</v>
      </c>
      <c r="AK10" s="149">
        <f>Valores!$C$80</f>
        <v>3250</v>
      </c>
      <c r="AL10" s="154">
        <f>Valores!$C$50</f>
        <v>327.6</v>
      </c>
      <c r="AM10" s="162">
        <f t="shared" si="4"/>
        <v>4296.83</v>
      </c>
      <c r="AN10" s="146">
        <f>AI10*-Valores!$C$65</f>
        <v>-7719.834309999999</v>
      </c>
      <c r="AO10" s="146">
        <f>AI10*-Valores!$C$66</f>
        <v>-3020.8047299999994</v>
      </c>
      <c r="AP10" s="170">
        <v>-159.43</v>
      </c>
      <c r="AQ10" s="170">
        <f t="shared" si="7"/>
        <v>-53.83</v>
      </c>
      <c r="AR10" s="162">
        <f t="shared" si="8"/>
        <v>60471.92496</v>
      </c>
    </row>
    <row r="11" spans="1:44" s="137" customFormat="1" ht="11.25" customHeight="1">
      <c r="A11" s="147">
        <v>9</v>
      </c>
      <c r="B11" s="147"/>
      <c r="C11" s="147" t="s">
        <v>133</v>
      </c>
      <c r="D11" s="147"/>
      <c r="E11" s="147">
        <f t="shared" si="0"/>
        <v>17</v>
      </c>
      <c r="F11" s="155" t="s">
        <v>134</v>
      </c>
      <c r="G11" s="152">
        <v>107</v>
      </c>
      <c r="H11" s="149">
        <f>INT((G11*Valores!$C$2*100)+0.5)/100</f>
        <v>902.95</v>
      </c>
      <c r="I11" s="150">
        <v>3779</v>
      </c>
      <c r="J11" s="149">
        <f>INT((I11*Valores!$C$2*100)+0.5)/100</f>
        <v>31890.23</v>
      </c>
      <c r="K11" s="156">
        <v>219</v>
      </c>
      <c r="L11" s="149">
        <f>INT((K11*Valores!$C$2*100)+0.5)/100</f>
        <v>1848.1</v>
      </c>
      <c r="M11" s="152">
        <v>0</v>
      </c>
      <c r="N11" s="149">
        <f>INT((M11*Valores!$C$2*100)+0.5)/100</f>
        <v>0</v>
      </c>
      <c r="O11" s="149">
        <f t="shared" si="1"/>
        <v>5544.8955</v>
      </c>
      <c r="P11" s="149">
        <f t="shared" si="2"/>
        <v>0</v>
      </c>
      <c r="Q11" s="146">
        <f>Valores!$C$16</f>
        <v>5893.48</v>
      </c>
      <c r="R11" s="146">
        <f>Valores!$D$4</f>
        <v>4313.91</v>
      </c>
      <c r="S11" s="149">
        <v>0</v>
      </c>
      <c r="T11" s="149">
        <f>Valores!$C$43</f>
        <v>2324.69</v>
      </c>
      <c r="U11" s="149">
        <v>0</v>
      </c>
      <c r="V11" s="149">
        <f t="shared" si="3"/>
        <v>0</v>
      </c>
      <c r="W11" s="146">
        <f aca="true" t="shared" si="9" ref="W11:W20">SUM(H11,J11,L11)</f>
        <v>34641.28</v>
      </c>
      <c r="X11" s="146">
        <f aca="true" t="shared" si="10" ref="X11:X20">INT((SUM(H11,J11,L11)*0.4*100)+0.49)/100</f>
        <v>13856.51</v>
      </c>
      <c r="Y11" s="157">
        <v>0</v>
      </c>
      <c r="Z11" s="149">
        <f>Y11*Valores!$C$2</f>
        <v>0</v>
      </c>
      <c r="AA11" s="149">
        <v>0</v>
      </c>
      <c r="AB11" s="154">
        <f>Valores!$C$29</f>
        <v>199.86</v>
      </c>
      <c r="AC11" s="149">
        <f t="shared" si="5"/>
        <v>0</v>
      </c>
      <c r="AD11" s="149">
        <f>Valores!$C$30</f>
        <v>199.86</v>
      </c>
      <c r="AE11" s="157">
        <v>0</v>
      </c>
      <c r="AF11" s="149">
        <f>INT(((AE11*Valores!$C$2)*100)+0.5)/100</f>
        <v>0</v>
      </c>
      <c r="AG11" s="149">
        <f>Valores!$C$58</f>
        <v>406.53</v>
      </c>
      <c r="AH11" s="149">
        <f>Valores!$C$60</f>
        <v>116.15</v>
      </c>
      <c r="AI11" s="162">
        <f t="shared" si="6"/>
        <v>102138.44549999999</v>
      </c>
      <c r="AJ11" s="146">
        <f>Valores!$C$35</f>
        <v>1046.83</v>
      </c>
      <c r="AK11" s="149">
        <f>Valores!$C$80</f>
        <v>3250</v>
      </c>
      <c r="AL11" s="154">
        <f>Valores!$C$50</f>
        <v>327.6</v>
      </c>
      <c r="AM11" s="162">
        <f t="shared" si="4"/>
        <v>4296.83</v>
      </c>
      <c r="AN11" s="146">
        <f>AI11*-Valores!$C$65</f>
        <v>-11745.921232499999</v>
      </c>
      <c r="AO11" s="146">
        <f>AI11*-Valores!$C$66</f>
        <v>-4596.230047499999</v>
      </c>
      <c r="AP11" s="170">
        <v>-159.43</v>
      </c>
      <c r="AQ11" s="170">
        <f t="shared" si="7"/>
        <v>-53.83</v>
      </c>
      <c r="AR11" s="162">
        <f t="shared" si="8"/>
        <v>89879.86422</v>
      </c>
    </row>
    <row r="12" spans="1:44" s="137" customFormat="1" ht="11.25" customHeight="1">
      <c r="A12" s="147">
        <v>10</v>
      </c>
      <c r="B12" s="147" t="s">
        <v>135</v>
      </c>
      <c r="C12" s="147" t="s">
        <v>136</v>
      </c>
      <c r="D12" s="147"/>
      <c r="E12" s="147">
        <f t="shared" si="0"/>
        <v>17</v>
      </c>
      <c r="F12" s="155" t="s">
        <v>137</v>
      </c>
      <c r="G12" s="152">
        <v>107</v>
      </c>
      <c r="H12" s="149">
        <f>INT((G12*Valores!$C$2*100)+0.5)/100</f>
        <v>902.95</v>
      </c>
      <c r="I12" s="150">
        <v>3779</v>
      </c>
      <c r="J12" s="149">
        <f>INT((I12*Valores!$C$2*100)+0.5)/100</f>
        <v>31890.23</v>
      </c>
      <c r="K12" s="156">
        <v>219</v>
      </c>
      <c r="L12" s="149">
        <f>INT((K12*Valores!$C$2*100)+0.5)/100</f>
        <v>1848.1</v>
      </c>
      <c r="M12" s="152">
        <v>0</v>
      </c>
      <c r="N12" s="149">
        <f>INT((M12*Valores!$C$2*100)+0.5)/100</f>
        <v>0</v>
      </c>
      <c r="O12" s="149">
        <f t="shared" si="1"/>
        <v>5544.8955</v>
      </c>
      <c r="P12" s="149">
        <f t="shared" si="2"/>
        <v>0</v>
      </c>
      <c r="Q12" s="146">
        <f>Valores!$C$16</f>
        <v>5893.48</v>
      </c>
      <c r="R12" s="146">
        <f>Valores!$D$4</f>
        <v>4313.91</v>
      </c>
      <c r="S12" s="149">
        <v>0</v>
      </c>
      <c r="T12" s="149">
        <f>Valores!$C$43</f>
        <v>2324.69</v>
      </c>
      <c r="U12" s="149">
        <v>0</v>
      </c>
      <c r="V12" s="149">
        <f t="shared" si="3"/>
        <v>0</v>
      </c>
      <c r="W12" s="146">
        <f t="shared" si="9"/>
        <v>34641.28</v>
      </c>
      <c r="X12" s="146">
        <f t="shared" si="10"/>
        <v>13856.51</v>
      </c>
      <c r="Y12" s="157">
        <v>0</v>
      </c>
      <c r="Z12" s="149">
        <f>Y12*Valores!$C$2</f>
        <v>0</v>
      </c>
      <c r="AA12" s="149">
        <v>0</v>
      </c>
      <c r="AB12" s="154">
        <f>Valores!$C$29</f>
        <v>199.86</v>
      </c>
      <c r="AC12" s="149">
        <f t="shared" si="5"/>
        <v>0</v>
      </c>
      <c r="AD12" s="149">
        <f>Valores!$C$30</f>
        <v>199.86</v>
      </c>
      <c r="AE12" s="157">
        <v>0</v>
      </c>
      <c r="AF12" s="149">
        <f>INT(((AE12*Valores!$C$2)*100)+0.5)/100</f>
        <v>0</v>
      </c>
      <c r="AG12" s="149">
        <f>Valores!$C$58</f>
        <v>406.53</v>
      </c>
      <c r="AH12" s="149">
        <f>Valores!$C$60</f>
        <v>116.15</v>
      </c>
      <c r="AI12" s="162">
        <f t="shared" si="6"/>
        <v>102138.44549999999</v>
      </c>
      <c r="AJ12" s="146">
        <f>Valores!$C$35</f>
        <v>1046.83</v>
      </c>
      <c r="AK12" s="149">
        <f>Valores!$C$80</f>
        <v>3250</v>
      </c>
      <c r="AL12" s="154">
        <f>Valores!$C$50</f>
        <v>327.6</v>
      </c>
      <c r="AM12" s="162">
        <f t="shared" si="4"/>
        <v>4296.83</v>
      </c>
      <c r="AN12" s="146">
        <f>AI12*-Valores!$C$65</f>
        <v>-11745.921232499999</v>
      </c>
      <c r="AO12" s="146">
        <f>AI12*-Valores!$C$66</f>
        <v>-4596.230047499999</v>
      </c>
      <c r="AP12" s="170">
        <v>-159.43</v>
      </c>
      <c r="AQ12" s="170">
        <f t="shared" si="7"/>
        <v>-53.83</v>
      </c>
      <c r="AR12" s="162">
        <f t="shared" si="8"/>
        <v>89879.86422</v>
      </c>
    </row>
    <row r="13" spans="1:44" s="137" customFormat="1" ht="11.25" customHeight="1">
      <c r="A13" s="147">
        <v>11</v>
      </c>
      <c r="B13" s="147"/>
      <c r="C13" s="147" t="s">
        <v>138</v>
      </c>
      <c r="D13" s="147"/>
      <c r="E13" s="147">
        <f t="shared" si="0"/>
        <v>17</v>
      </c>
      <c r="F13" s="155" t="s">
        <v>139</v>
      </c>
      <c r="G13" s="152">
        <v>107</v>
      </c>
      <c r="H13" s="149">
        <f>INT((G13*Valores!$C$2*100)+0.5)/100</f>
        <v>902.95</v>
      </c>
      <c r="I13" s="150">
        <v>3779</v>
      </c>
      <c r="J13" s="149">
        <f>INT((I13*Valores!$C$2*100)+0.5)/100</f>
        <v>31890.23</v>
      </c>
      <c r="K13" s="156">
        <v>219</v>
      </c>
      <c r="L13" s="149">
        <f>INT((K13*Valores!$C$2*100)+0.5)/100</f>
        <v>1848.1</v>
      </c>
      <c r="M13" s="152">
        <v>0</v>
      </c>
      <c r="N13" s="149">
        <f>INT((M13*Valores!$C$2*100)+0.5)/100</f>
        <v>0</v>
      </c>
      <c r="O13" s="149">
        <f t="shared" si="1"/>
        <v>5544.8955</v>
      </c>
      <c r="P13" s="149">
        <f t="shared" si="2"/>
        <v>0</v>
      </c>
      <c r="Q13" s="146">
        <f>Valores!$C$16</f>
        <v>5893.48</v>
      </c>
      <c r="R13" s="146">
        <f>Valores!$D$4</f>
        <v>4313.91</v>
      </c>
      <c r="S13" s="149">
        <v>0</v>
      </c>
      <c r="T13" s="149">
        <f>Valores!$C$43</f>
        <v>2324.69</v>
      </c>
      <c r="U13" s="149">
        <v>0</v>
      </c>
      <c r="V13" s="149">
        <f t="shared" si="3"/>
        <v>0</v>
      </c>
      <c r="W13" s="146">
        <f t="shared" si="9"/>
        <v>34641.28</v>
      </c>
      <c r="X13" s="146">
        <f t="shared" si="10"/>
        <v>13856.51</v>
      </c>
      <c r="Y13" s="157">
        <v>0</v>
      </c>
      <c r="Z13" s="149">
        <f>Y13*Valores!$C$2</f>
        <v>0</v>
      </c>
      <c r="AA13" s="149">
        <v>0</v>
      </c>
      <c r="AB13" s="154">
        <f>Valores!$C$29</f>
        <v>199.86</v>
      </c>
      <c r="AC13" s="149">
        <f t="shared" si="5"/>
        <v>0</v>
      </c>
      <c r="AD13" s="149">
        <f>Valores!$C$30</f>
        <v>199.86</v>
      </c>
      <c r="AE13" s="157">
        <v>0</v>
      </c>
      <c r="AF13" s="149">
        <f>INT(((AE13*Valores!$C$2)*100)+0.5)/100</f>
        <v>0</v>
      </c>
      <c r="AG13" s="149">
        <f>Valores!$C$58</f>
        <v>406.53</v>
      </c>
      <c r="AH13" s="149">
        <f>Valores!$C$60</f>
        <v>116.15</v>
      </c>
      <c r="AI13" s="162">
        <f t="shared" si="6"/>
        <v>102138.44549999999</v>
      </c>
      <c r="AJ13" s="146">
        <f>Valores!$C$35</f>
        <v>1046.83</v>
      </c>
      <c r="AK13" s="149">
        <f>Valores!$C$80</f>
        <v>3250</v>
      </c>
      <c r="AL13" s="154">
        <f>Valores!$C$50</f>
        <v>327.6</v>
      </c>
      <c r="AM13" s="162">
        <f t="shared" si="4"/>
        <v>4296.83</v>
      </c>
      <c r="AN13" s="146">
        <f>AI13*-Valores!$C$65</f>
        <v>-11745.921232499999</v>
      </c>
      <c r="AO13" s="146">
        <f>AI13*-Valores!$C$66</f>
        <v>-4596.230047499999</v>
      </c>
      <c r="AP13" s="170">
        <v>-159.43</v>
      </c>
      <c r="AQ13" s="170">
        <f t="shared" si="7"/>
        <v>-53.83</v>
      </c>
      <c r="AR13" s="162">
        <f t="shared" si="8"/>
        <v>89879.86422</v>
      </c>
    </row>
    <row r="14" spans="1:44" s="137" customFormat="1" ht="11.25" customHeight="1">
      <c r="A14" s="147">
        <v>12</v>
      </c>
      <c r="B14" s="147"/>
      <c r="C14" s="147" t="s">
        <v>140</v>
      </c>
      <c r="D14" s="147"/>
      <c r="E14" s="147">
        <f t="shared" si="0"/>
        <v>14</v>
      </c>
      <c r="F14" s="155" t="s">
        <v>141</v>
      </c>
      <c r="G14" s="152">
        <v>107</v>
      </c>
      <c r="H14" s="149">
        <f>INT((G14*Valores!$C$2*100)+0.5)/100</f>
        <v>902.95</v>
      </c>
      <c r="I14" s="150">
        <v>3779</v>
      </c>
      <c r="J14" s="149">
        <f>INT((I14*Valores!$C$2*100)+0.5)/100</f>
        <v>31890.23</v>
      </c>
      <c r="K14" s="156">
        <v>219</v>
      </c>
      <c r="L14" s="149">
        <f>INT((K14*Valores!$C$2*100)+0.5)/100</f>
        <v>1848.1</v>
      </c>
      <c r="M14" s="152">
        <v>0</v>
      </c>
      <c r="N14" s="149">
        <f>INT((M14*Valores!$C$2*100)+0.5)/100</f>
        <v>0</v>
      </c>
      <c r="O14" s="149">
        <f t="shared" si="1"/>
        <v>5544.8955</v>
      </c>
      <c r="P14" s="149">
        <f t="shared" si="2"/>
        <v>0</v>
      </c>
      <c r="Q14" s="146">
        <f>Valores!$C$16</f>
        <v>5893.48</v>
      </c>
      <c r="R14" s="146">
        <f>Valores!$D$4</f>
        <v>4313.91</v>
      </c>
      <c r="S14" s="149">
        <v>0</v>
      </c>
      <c r="T14" s="149">
        <f>Valores!$C$43</f>
        <v>2324.69</v>
      </c>
      <c r="U14" s="149">
        <v>0</v>
      </c>
      <c r="V14" s="149">
        <f t="shared" si="3"/>
        <v>0</v>
      </c>
      <c r="W14" s="146">
        <f t="shared" si="9"/>
        <v>34641.28</v>
      </c>
      <c r="X14" s="146">
        <f t="shared" si="10"/>
        <v>13856.51</v>
      </c>
      <c r="Y14" s="157">
        <v>0</v>
      </c>
      <c r="Z14" s="149">
        <f>Y14*Valores!$C$2</f>
        <v>0</v>
      </c>
      <c r="AA14" s="149">
        <v>0</v>
      </c>
      <c r="AB14" s="154">
        <f>Valores!$C$29</f>
        <v>199.86</v>
      </c>
      <c r="AC14" s="149">
        <f t="shared" si="5"/>
        <v>0</v>
      </c>
      <c r="AD14" s="149">
        <f>Valores!$C$30</f>
        <v>199.86</v>
      </c>
      <c r="AE14" s="157">
        <v>0</v>
      </c>
      <c r="AF14" s="149">
        <f>INT(((AE14*Valores!$C$2)*100)+0.5)/100</f>
        <v>0</v>
      </c>
      <c r="AG14" s="149">
        <f>Valores!$C$58</f>
        <v>406.53</v>
      </c>
      <c r="AH14" s="149">
        <f>Valores!$C$60</f>
        <v>116.15</v>
      </c>
      <c r="AI14" s="162">
        <f t="shared" si="6"/>
        <v>102138.44549999999</v>
      </c>
      <c r="AJ14" s="146">
        <f>Valores!$C$35</f>
        <v>1046.83</v>
      </c>
      <c r="AK14" s="149">
        <f>Valores!$C$80</f>
        <v>3250</v>
      </c>
      <c r="AL14" s="154">
        <f>Valores!$C$50</f>
        <v>327.6</v>
      </c>
      <c r="AM14" s="162">
        <f t="shared" si="4"/>
        <v>4296.83</v>
      </c>
      <c r="AN14" s="146">
        <f>AI14*-Valores!$C$65</f>
        <v>-11745.921232499999</v>
      </c>
      <c r="AO14" s="146">
        <f>AI14*-Valores!$C$66</f>
        <v>-4596.230047499999</v>
      </c>
      <c r="AP14" s="170">
        <v>-159.43</v>
      </c>
      <c r="AQ14" s="170">
        <f t="shared" si="7"/>
        <v>-53.83</v>
      </c>
      <c r="AR14" s="162">
        <f t="shared" si="8"/>
        <v>89879.86422</v>
      </c>
    </row>
    <row r="15" spans="1:44" s="137" customFormat="1" ht="11.25" customHeight="1">
      <c r="A15" s="147">
        <v>13</v>
      </c>
      <c r="B15" s="147"/>
      <c r="C15" s="147" t="s">
        <v>142</v>
      </c>
      <c r="D15" s="147"/>
      <c r="E15" s="147">
        <f t="shared" si="0"/>
        <v>15</v>
      </c>
      <c r="F15" s="155" t="s">
        <v>143</v>
      </c>
      <c r="G15" s="152">
        <v>107</v>
      </c>
      <c r="H15" s="149">
        <f>INT((G15*Valores!$C$2*100)+0.5)/100</f>
        <v>902.95</v>
      </c>
      <c r="I15" s="150">
        <v>3779</v>
      </c>
      <c r="J15" s="149">
        <f>INT((I15*Valores!$C$2*100)+0.5)/100</f>
        <v>31890.23</v>
      </c>
      <c r="K15" s="156">
        <v>219</v>
      </c>
      <c r="L15" s="149">
        <f>INT((K15*Valores!$C$2*100)+0.5)/100</f>
        <v>1848.1</v>
      </c>
      <c r="M15" s="152">
        <v>0</v>
      </c>
      <c r="N15" s="149">
        <f>INT((M15*Valores!$C$2*100)+0.5)/100</f>
        <v>0</v>
      </c>
      <c r="O15" s="149">
        <f t="shared" si="1"/>
        <v>5544.8955</v>
      </c>
      <c r="P15" s="149">
        <f t="shared" si="2"/>
        <v>0</v>
      </c>
      <c r="Q15" s="146">
        <f>Valores!$C$16</f>
        <v>5893.48</v>
      </c>
      <c r="R15" s="146">
        <f>Valores!$D$4</f>
        <v>4313.91</v>
      </c>
      <c r="S15" s="149">
        <v>0</v>
      </c>
      <c r="T15" s="149">
        <f>Valores!$C$43</f>
        <v>2324.69</v>
      </c>
      <c r="U15" s="149">
        <v>0</v>
      </c>
      <c r="V15" s="149">
        <f t="shared" si="3"/>
        <v>0</v>
      </c>
      <c r="W15" s="146">
        <f t="shared" si="9"/>
        <v>34641.28</v>
      </c>
      <c r="X15" s="146">
        <f t="shared" si="10"/>
        <v>13856.51</v>
      </c>
      <c r="Y15" s="157">
        <v>0</v>
      </c>
      <c r="Z15" s="149">
        <f>Y15*Valores!$C$2</f>
        <v>0</v>
      </c>
      <c r="AA15" s="149">
        <v>0</v>
      </c>
      <c r="AB15" s="154">
        <f>Valores!$C$29</f>
        <v>199.86</v>
      </c>
      <c r="AC15" s="149">
        <f t="shared" si="5"/>
        <v>0</v>
      </c>
      <c r="AD15" s="149">
        <f>Valores!$C$30</f>
        <v>199.86</v>
      </c>
      <c r="AE15" s="157">
        <v>0</v>
      </c>
      <c r="AF15" s="149">
        <f>INT(((AE15*Valores!$C$2)*100)+0.5)/100</f>
        <v>0</v>
      </c>
      <c r="AG15" s="149">
        <f>Valores!$C$58</f>
        <v>406.53</v>
      </c>
      <c r="AH15" s="149">
        <f>Valores!$C$60</f>
        <v>116.15</v>
      </c>
      <c r="AI15" s="162">
        <f t="shared" si="6"/>
        <v>102138.44549999999</v>
      </c>
      <c r="AJ15" s="146">
        <f>Valores!$C$35</f>
        <v>1046.83</v>
      </c>
      <c r="AK15" s="149">
        <f>Valores!$C$80</f>
        <v>3250</v>
      </c>
      <c r="AL15" s="154">
        <f>Valores!$C$50</f>
        <v>327.6</v>
      </c>
      <c r="AM15" s="162">
        <f t="shared" si="4"/>
        <v>4296.83</v>
      </c>
      <c r="AN15" s="146">
        <f>AI15*-Valores!$C$65</f>
        <v>-11745.921232499999</v>
      </c>
      <c r="AO15" s="146">
        <f>AI15*-Valores!$C$66</f>
        <v>-4596.230047499999</v>
      </c>
      <c r="AP15" s="170">
        <v>-159.43</v>
      </c>
      <c r="AQ15" s="170">
        <f t="shared" si="7"/>
        <v>-53.83</v>
      </c>
      <c r="AR15" s="162">
        <f t="shared" si="8"/>
        <v>89879.86422</v>
      </c>
    </row>
    <row r="16" spans="1:44" s="137" customFormat="1" ht="11.25" customHeight="1">
      <c r="A16" s="147">
        <v>14</v>
      </c>
      <c r="B16" s="147"/>
      <c r="C16" s="147" t="s">
        <v>144</v>
      </c>
      <c r="D16" s="147"/>
      <c r="E16" s="147">
        <f t="shared" si="0"/>
        <v>20</v>
      </c>
      <c r="F16" s="155" t="s">
        <v>145</v>
      </c>
      <c r="G16" s="152">
        <v>100</v>
      </c>
      <c r="H16" s="149">
        <f>INT((G16*Valores!$C$2*100)+0.5)/100</f>
        <v>843.88</v>
      </c>
      <c r="I16" s="150">
        <v>3727</v>
      </c>
      <c r="J16" s="149">
        <f>INT((I16*Valores!$C$2*100)+0.5)/100</f>
        <v>31451.41</v>
      </c>
      <c r="K16" s="156">
        <v>219</v>
      </c>
      <c r="L16" s="149">
        <f>INT((K16*Valores!$C$2*100)+0.5)/100</f>
        <v>1848.1</v>
      </c>
      <c r="M16" s="152">
        <v>0</v>
      </c>
      <c r="N16" s="149">
        <f>INT((M16*Valores!$C$2*100)+0.5)/100</f>
        <v>0</v>
      </c>
      <c r="O16" s="149">
        <f t="shared" si="1"/>
        <v>5470.212</v>
      </c>
      <c r="P16" s="149">
        <f t="shared" si="2"/>
        <v>0</v>
      </c>
      <c r="Q16" s="146">
        <f>Valores!$C$16</f>
        <v>5893.48</v>
      </c>
      <c r="R16" s="146">
        <f>Valores!$D$4</f>
        <v>4313.91</v>
      </c>
      <c r="S16" s="149">
        <v>0</v>
      </c>
      <c r="T16" s="149">
        <f>Valores!$C$43</f>
        <v>2324.69</v>
      </c>
      <c r="U16" s="149">
        <v>0</v>
      </c>
      <c r="V16" s="149">
        <f t="shared" si="3"/>
        <v>0</v>
      </c>
      <c r="W16" s="146">
        <f t="shared" si="9"/>
        <v>34143.39</v>
      </c>
      <c r="X16" s="146">
        <f t="shared" si="10"/>
        <v>13657.36</v>
      </c>
      <c r="Y16" s="157">
        <v>0</v>
      </c>
      <c r="Z16" s="149">
        <f>Y16*Valores!$C$2</f>
        <v>0</v>
      </c>
      <c r="AA16" s="149">
        <v>0</v>
      </c>
      <c r="AB16" s="154">
        <f>Valores!$C$29</f>
        <v>199.86</v>
      </c>
      <c r="AC16" s="149">
        <f t="shared" si="5"/>
        <v>0</v>
      </c>
      <c r="AD16" s="149">
        <f>Valores!$C$30</f>
        <v>199.86</v>
      </c>
      <c r="AE16" s="157">
        <v>0</v>
      </c>
      <c r="AF16" s="149">
        <f>INT(((AE16*Valores!$C$2)*100)+0.5)/100</f>
        <v>0</v>
      </c>
      <c r="AG16" s="149">
        <f>Valores!$C$58</f>
        <v>406.53</v>
      </c>
      <c r="AH16" s="149">
        <f>Valores!$C$60</f>
        <v>116.15</v>
      </c>
      <c r="AI16" s="162">
        <f t="shared" si="6"/>
        <v>100868.832</v>
      </c>
      <c r="AJ16" s="146">
        <f>Valores!$C$35</f>
        <v>1046.83</v>
      </c>
      <c r="AK16" s="149">
        <f>Valores!$C$80</f>
        <v>3250</v>
      </c>
      <c r="AL16" s="154">
        <f>Valores!$C$50</f>
        <v>327.6</v>
      </c>
      <c r="AM16" s="162">
        <f t="shared" si="4"/>
        <v>4296.83</v>
      </c>
      <c r="AN16" s="146">
        <f>AI16*-Valores!$C$65</f>
        <v>-11599.91568</v>
      </c>
      <c r="AO16" s="146">
        <f>AI16*-Valores!$C$66</f>
        <v>-4539.09744</v>
      </c>
      <c r="AP16" s="170">
        <v>-159.43</v>
      </c>
      <c r="AQ16" s="170">
        <f t="shared" si="7"/>
        <v>-53.83</v>
      </c>
      <c r="AR16" s="162">
        <f t="shared" si="8"/>
        <v>88813.38888</v>
      </c>
    </row>
    <row r="17" spans="1:44" s="137" customFormat="1" ht="11.25" customHeight="1">
      <c r="A17" s="147">
        <v>15</v>
      </c>
      <c r="B17" s="147" t="s">
        <v>135</v>
      </c>
      <c r="C17" s="147" t="s">
        <v>146</v>
      </c>
      <c r="D17" s="147"/>
      <c r="E17" s="147">
        <f t="shared" si="0"/>
        <v>22</v>
      </c>
      <c r="F17" s="155" t="s">
        <v>147</v>
      </c>
      <c r="G17" s="152">
        <v>100</v>
      </c>
      <c r="H17" s="149">
        <f>INT((G17*Valores!$C$2*100)+0.5)/100</f>
        <v>843.88</v>
      </c>
      <c r="I17" s="150">
        <v>3727</v>
      </c>
      <c r="J17" s="149">
        <f>INT((I17*Valores!$C$2*100)+0.5)/100</f>
        <v>31451.41</v>
      </c>
      <c r="K17" s="156">
        <v>219</v>
      </c>
      <c r="L17" s="149">
        <f>INT((K17*Valores!$C$2*100)+0.5)/100</f>
        <v>1848.1</v>
      </c>
      <c r="M17" s="152">
        <v>0</v>
      </c>
      <c r="N17" s="149">
        <f>INT((M17*Valores!$C$2*100)+0.5)/100</f>
        <v>0</v>
      </c>
      <c r="O17" s="149">
        <f t="shared" si="1"/>
        <v>5470.212</v>
      </c>
      <c r="P17" s="149">
        <f t="shared" si="2"/>
        <v>0</v>
      </c>
      <c r="Q17" s="146">
        <f>Valores!$C$16</f>
        <v>5893.48</v>
      </c>
      <c r="R17" s="146">
        <f>Valores!$D$4</f>
        <v>4313.91</v>
      </c>
      <c r="S17" s="149">
        <v>0</v>
      </c>
      <c r="T17" s="149">
        <f>Valores!$C$43</f>
        <v>2324.69</v>
      </c>
      <c r="U17" s="149">
        <v>0</v>
      </c>
      <c r="V17" s="149">
        <f t="shared" si="3"/>
        <v>0</v>
      </c>
      <c r="W17" s="146">
        <f t="shared" si="9"/>
        <v>34143.39</v>
      </c>
      <c r="X17" s="146">
        <f t="shared" si="10"/>
        <v>13657.36</v>
      </c>
      <c r="Y17" s="157">
        <v>0</v>
      </c>
      <c r="Z17" s="149">
        <f>Y17*Valores!$C$2</f>
        <v>0</v>
      </c>
      <c r="AA17" s="149">
        <v>0</v>
      </c>
      <c r="AB17" s="154">
        <f>Valores!$C$29</f>
        <v>199.86</v>
      </c>
      <c r="AC17" s="149">
        <f t="shared" si="5"/>
        <v>0</v>
      </c>
      <c r="AD17" s="149">
        <f>Valores!$C$30</f>
        <v>199.86</v>
      </c>
      <c r="AE17" s="157">
        <v>0</v>
      </c>
      <c r="AF17" s="149">
        <f>INT(((AE17*Valores!$C$2)*100)+0.5)/100</f>
        <v>0</v>
      </c>
      <c r="AG17" s="149">
        <f>Valores!$C$58</f>
        <v>406.53</v>
      </c>
      <c r="AH17" s="149">
        <f>Valores!$C$60</f>
        <v>116.15</v>
      </c>
      <c r="AI17" s="162">
        <f t="shared" si="6"/>
        <v>100868.832</v>
      </c>
      <c r="AJ17" s="146">
        <f>Valores!$C$35</f>
        <v>1046.83</v>
      </c>
      <c r="AK17" s="149">
        <f>Valores!$C$80</f>
        <v>3250</v>
      </c>
      <c r="AL17" s="154">
        <f>Valores!$C$50</f>
        <v>327.6</v>
      </c>
      <c r="AM17" s="162">
        <f t="shared" si="4"/>
        <v>4296.83</v>
      </c>
      <c r="AN17" s="146">
        <f>AI17*-Valores!$C$65</f>
        <v>-11599.91568</v>
      </c>
      <c r="AO17" s="146">
        <f>AI17*-Valores!$C$66</f>
        <v>-4539.09744</v>
      </c>
      <c r="AP17" s="170">
        <v>-159.43</v>
      </c>
      <c r="AQ17" s="170">
        <f t="shared" si="7"/>
        <v>-53.83</v>
      </c>
      <c r="AR17" s="162">
        <f t="shared" si="8"/>
        <v>88813.38888</v>
      </c>
    </row>
    <row r="18" spans="1:44" s="137" customFormat="1" ht="11.25" customHeight="1">
      <c r="A18" s="147">
        <v>16</v>
      </c>
      <c r="B18" s="147"/>
      <c r="C18" s="147" t="s">
        <v>148</v>
      </c>
      <c r="D18" s="147"/>
      <c r="E18" s="147">
        <f t="shared" si="0"/>
        <v>30</v>
      </c>
      <c r="F18" s="155" t="s">
        <v>149</v>
      </c>
      <c r="G18" s="152">
        <v>100</v>
      </c>
      <c r="H18" s="149">
        <f>INT((G18*Valores!$C$2*100)+0.5)/100</f>
        <v>843.88</v>
      </c>
      <c r="I18" s="150">
        <v>3727</v>
      </c>
      <c r="J18" s="149">
        <f>INT((I18*Valores!$C$2*100)+0.5)/100</f>
        <v>31451.41</v>
      </c>
      <c r="K18" s="156">
        <v>219</v>
      </c>
      <c r="L18" s="149">
        <f>INT((K18*Valores!$C$2*100)+0.5)/100</f>
        <v>1848.1</v>
      </c>
      <c r="M18" s="152">
        <v>0</v>
      </c>
      <c r="N18" s="149">
        <f>INT((M18*Valores!$C$2*100)+0.5)/100</f>
        <v>0</v>
      </c>
      <c r="O18" s="149">
        <f t="shared" si="1"/>
        <v>5470.212</v>
      </c>
      <c r="P18" s="149">
        <f t="shared" si="2"/>
        <v>0</v>
      </c>
      <c r="Q18" s="146">
        <f>Valores!$C$16</f>
        <v>5893.48</v>
      </c>
      <c r="R18" s="146">
        <f>Valores!$D$4</f>
        <v>4313.91</v>
      </c>
      <c r="S18" s="149">
        <v>0</v>
      </c>
      <c r="T18" s="149">
        <f>Valores!$C$43</f>
        <v>2324.69</v>
      </c>
      <c r="U18" s="149">
        <v>0</v>
      </c>
      <c r="V18" s="149">
        <f t="shared" si="3"/>
        <v>0</v>
      </c>
      <c r="W18" s="146">
        <f t="shared" si="9"/>
        <v>34143.39</v>
      </c>
      <c r="X18" s="146">
        <f t="shared" si="10"/>
        <v>13657.36</v>
      </c>
      <c r="Y18" s="157">
        <v>0</v>
      </c>
      <c r="Z18" s="149">
        <f>Y18*Valores!$C$2</f>
        <v>0</v>
      </c>
      <c r="AA18" s="149">
        <v>0</v>
      </c>
      <c r="AB18" s="154">
        <f>Valores!$C$29</f>
        <v>199.86</v>
      </c>
      <c r="AC18" s="149">
        <f t="shared" si="5"/>
        <v>0</v>
      </c>
      <c r="AD18" s="149">
        <f>Valores!$C$30</f>
        <v>199.86</v>
      </c>
      <c r="AE18" s="157">
        <v>0</v>
      </c>
      <c r="AF18" s="149">
        <f>INT(((AE18*Valores!$C$2)*100)+0.5)/100</f>
        <v>0</v>
      </c>
      <c r="AG18" s="149">
        <f>Valores!$C$58</f>
        <v>406.53</v>
      </c>
      <c r="AH18" s="149">
        <f>Valores!$C$60</f>
        <v>116.15</v>
      </c>
      <c r="AI18" s="162">
        <f t="shared" si="6"/>
        <v>100868.832</v>
      </c>
      <c r="AJ18" s="146">
        <f>Valores!$C$35</f>
        <v>1046.83</v>
      </c>
      <c r="AK18" s="149">
        <f>Valores!$C$80</f>
        <v>3250</v>
      </c>
      <c r="AL18" s="154">
        <f>Valores!$C$50</f>
        <v>327.6</v>
      </c>
      <c r="AM18" s="162">
        <f t="shared" si="4"/>
        <v>4296.83</v>
      </c>
      <c r="AN18" s="146">
        <f>AI18*-Valores!$C$65</f>
        <v>-11599.91568</v>
      </c>
      <c r="AO18" s="146">
        <f>AI18*-Valores!$C$66</f>
        <v>-4539.09744</v>
      </c>
      <c r="AP18" s="170">
        <v>-159.43</v>
      </c>
      <c r="AQ18" s="170">
        <f t="shared" si="7"/>
        <v>-53.83</v>
      </c>
      <c r="AR18" s="162">
        <f t="shared" si="8"/>
        <v>88813.38888</v>
      </c>
    </row>
    <row r="19" spans="1:44" s="137" customFormat="1" ht="11.25" customHeight="1">
      <c r="A19" s="147">
        <v>17</v>
      </c>
      <c r="B19" s="147"/>
      <c r="C19" s="147" t="s">
        <v>150</v>
      </c>
      <c r="D19" s="147"/>
      <c r="E19" s="147">
        <f t="shared" si="0"/>
        <v>24</v>
      </c>
      <c r="F19" s="155" t="s">
        <v>151</v>
      </c>
      <c r="G19" s="152">
        <v>100</v>
      </c>
      <c r="H19" s="149">
        <f>INT((G19*Valores!$C$2*100)+0.5)/100</f>
        <v>843.88</v>
      </c>
      <c r="I19" s="150">
        <v>3727</v>
      </c>
      <c r="J19" s="149">
        <f>INT((I19*Valores!$C$2*100)+0.5)/100</f>
        <v>31451.41</v>
      </c>
      <c r="K19" s="156">
        <v>219</v>
      </c>
      <c r="L19" s="149">
        <f>INT((K19*Valores!$C$2*100)+0.5)/100</f>
        <v>1848.1</v>
      </c>
      <c r="M19" s="152">
        <v>0</v>
      </c>
      <c r="N19" s="149">
        <f>INT((M19*Valores!$C$2*100)+0.5)/100</f>
        <v>0</v>
      </c>
      <c r="O19" s="149">
        <f t="shared" si="1"/>
        <v>5470.212</v>
      </c>
      <c r="P19" s="149">
        <f t="shared" si="2"/>
        <v>0</v>
      </c>
      <c r="Q19" s="146">
        <f>Valores!$C$16</f>
        <v>5893.48</v>
      </c>
      <c r="R19" s="146">
        <f>Valores!$D$4</f>
        <v>4313.91</v>
      </c>
      <c r="S19" s="149">
        <v>0</v>
      </c>
      <c r="T19" s="149">
        <f>Valores!$C$43</f>
        <v>2324.69</v>
      </c>
      <c r="U19" s="149">
        <v>0</v>
      </c>
      <c r="V19" s="149">
        <f t="shared" si="3"/>
        <v>0</v>
      </c>
      <c r="W19" s="146">
        <f t="shared" si="9"/>
        <v>34143.39</v>
      </c>
      <c r="X19" s="146">
        <f t="shared" si="10"/>
        <v>13657.36</v>
      </c>
      <c r="Y19" s="157">
        <v>0</v>
      </c>
      <c r="Z19" s="149">
        <f>Y19*Valores!$C$2</f>
        <v>0</v>
      </c>
      <c r="AA19" s="149">
        <v>0</v>
      </c>
      <c r="AB19" s="154">
        <f>Valores!$C$29</f>
        <v>199.86</v>
      </c>
      <c r="AC19" s="149">
        <f t="shared" si="5"/>
        <v>0</v>
      </c>
      <c r="AD19" s="149">
        <f>Valores!$C$30</f>
        <v>199.86</v>
      </c>
      <c r="AE19" s="157">
        <v>0</v>
      </c>
      <c r="AF19" s="149">
        <f>INT(((AE19*Valores!$C$2)*100)+0.5)/100</f>
        <v>0</v>
      </c>
      <c r="AG19" s="149">
        <f>Valores!$C$58</f>
        <v>406.53</v>
      </c>
      <c r="AH19" s="149">
        <f>Valores!$C$60</f>
        <v>116.15</v>
      </c>
      <c r="AI19" s="162">
        <f t="shared" si="6"/>
        <v>100868.832</v>
      </c>
      <c r="AJ19" s="146">
        <f>Valores!$C$35</f>
        <v>1046.83</v>
      </c>
      <c r="AK19" s="149">
        <f>Valores!$C$80</f>
        <v>3250</v>
      </c>
      <c r="AL19" s="154">
        <f>Valores!$C$50</f>
        <v>327.6</v>
      </c>
      <c r="AM19" s="162">
        <f t="shared" si="4"/>
        <v>4296.83</v>
      </c>
      <c r="AN19" s="146">
        <f>AI19*-Valores!$C$65</f>
        <v>-11599.91568</v>
      </c>
      <c r="AO19" s="146">
        <f>AI19*-Valores!$C$66</f>
        <v>-4539.09744</v>
      </c>
      <c r="AP19" s="170">
        <v>-159.43</v>
      </c>
      <c r="AQ19" s="170">
        <f t="shared" si="7"/>
        <v>-53.83</v>
      </c>
      <c r="AR19" s="162">
        <f t="shared" si="8"/>
        <v>88813.38888</v>
      </c>
    </row>
    <row r="20" spans="1:44" s="137" customFormat="1" ht="11.25" customHeight="1">
      <c r="A20" s="147">
        <v>18</v>
      </c>
      <c r="B20" s="147"/>
      <c r="C20" s="147" t="s">
        <v>152</v>
      </c>
      <c r="D20" s="147"/>
      <c r="E20" s="147">
        <f t="shared" si="0"/>
        <v>20</v>
      </c>
      <c r="F20" s="155" t="s">
        <v>153</v>
      </c>
      <c r="G20" s="152">
        <v>100</v>
      </c>
      <c r="H20" s="149">
        <f>INT((G20*Valores!$C$2*100)+0.5)/100</f>
        <v>843.88</v>
      </c>
      <c r="I20" s="150">
        <v>3727</v>
      </c>
      <c r="J20" s="149">
        <f>INT((I20*Valores!$C$2*100)+0.5)/100</f>
        <v>31451.41</v>
      </c>
      <c r="K20" s="156">
        <v>219</v>
      </c>
      <c r="L20" s="149">
        <f>INT((K20*Valores!$C$2*100)+0.5)/100</f>
        <v>1848.1</v>
      </c>
      <c r="M20" s="152">
        <v>0</v>
      </c>
      <c r="N20" s="149">
        <f>INT((M20*Valores!$C$2*100)+0.5)/100</f>
        <v>0</v>
      </c>
      <c r="O20" s="149">
        <f t="shared" si="1"/>
        <v>5470.212</v>
      </c>
      <c r="P20" s="149">
        <f t="shared" si="2"/>
        <v>0</v>
      </c>
      <c r="Q20" s="146">
        <f>Valores!$C$16</f>
        <v>5893.48</v>
      </c>
      <c r="R20" s="146">
        <f>Valores!$D$4</f>
        <v>4313.91</v>
      </c>
      <c r="S20" s="149">
        <v>0</v>
      </c>
      <c r="T20" s="149">
        <f>Valores!$C$43</f>
        <v>2324.69</v>
      </c>
      <c r="U20" s="149">
        <v>0</v>
      </c>
      <c r="V20" s="149">
        <f t="shared" si="3"/>
        <v>0</v>
      </c>
      <c r="W20" s="146">
        <f t="shared" si="9"/>
        <v>34143.39</v>
      </c>
      <c r="X20" s="146">
        <f t="shared" si="10"/>
        <v>13657.36</v>
      </c>
      <c r="Y20" s="157">
        <v>0</v>
      </c>
      <c r="Z20" s="149">
        <f>Y20*Valores!$C$2</f>
        <v>0</v>
      </c>
      <c r="AA20" s="149">
        <v>0</v>
      </c>
      <c r="AB20" s="154">
        <f>Valores!$C$29</f>
        <v>199.86</v>
      </c>
      <c r="AC20" s="149">
        <f t="shared" si="5"/>
        <v>0</v>
      </c>
      <c r="AD20" s="149">
        <f>Valores!$C$30</f>
        <v>199.86</v>
      </c>
      <c r="AE20" s="157">
        <v>0</v>
      </c>
      <c r="AF20" s="149">
        <f>INT(((AE20*Valores!$C$2)*100)+0.5)/100</f>
        <v>0</v>
      </c>
      <c r="AG20" s="149">
        <f>Valores!$C$58</f>
        <v>406.53</v>
      </c>
      <c r="AH20" s="149">
        <f>Valores!$C$60</f>
        <v>116.15</v>
      </c>
      <c r="AI20" s="162">
        <f t="shared" si="6"/>
        <v>100868.832</v>
      </c>
      <c r="AJ20" s="146">
        <f>Valores!$C$35</f>
        <v>1046.83</v>
      </c>
      <c r="AK20" s="149">
        <f>Valores!$C$80</f>
        <v>3250</v>
      </c>
      <c r="AL20" s="154">
        <f>Valores!$C$50</f>
        <v>327.6</v>
      </c>
      <c r="AM20" s="162">
        <f t="shared" si="4"/>
        <v>4296.83</v>
      </c>
      <c r="AN20" s="146">
        <f>AI20*-Valores!$C$65</f>
        <v>-11599.91568</v>
      </c>
      <c r="AO20" s="146">
        <f>AI20*-Valores!$C$66</f>
        <v>-4539.09744</v>
      </c>
      <c r="AP20" s="170">
        <v>-159.43</v>
      </c>
      <c r="AQ20" s="170">
        <f t="shared" si="7"/>
        <v>-53.83</v>
      </c>
      <c r="AR20" s="162">
        <f t="shared" si="8"/>
        <v>88813.38888</v>
      </c>
    </row>
    <row r="21" spans="1:44" s="137" customFormat="1" ht="11.25" customHeight="1">
      <c r="A21" s="147">
        <v>19</v>
      </c>
      <c r="B21" s="147"/>
      <c r="C21" s="147" t="s">
        <v>154</v>
      </c>
      <c r="D21" s="147"/>
      <c r="E21" s="147">
        <f t="shared" si="0"/>
        <v>29</v>
      </c>
      <c r="F21" s="155" t="s">
        <v>155</v>
      </c>
      <c r="G21" s="152">
        <v>107</v>
      </c>
      <c r="H21" s="149">
        <f>INT((G21*Valores!$C$2*100)+0.5)/100</f>
        <v>902.95</v>
      </c>
      <c r="I21" s="150">
        <v>3720</v>
      </c>
      <c r="J21" s="149">
        <f>INT((I21*Valores!$C$2*100)+0.5)/100</f>
        <v>31392.34</v>
      </c>
      <c r="K21" s="156">
        <v>1226</v>
      </c>
      <c r="L21" s="149">
        <f>INT((K21*Valores!$C$2*100)+0.5)/100</f>
        <v>10345.97</v>
      </c>
      <c r="M21" s="152">
        <v>0</v>
      </c>
      <c r="N21" s="149">
        <f>INT((M21*Valores!$C$2*100)+0.5)/100</f>
        <v>0</v>
      </c>
      <c r="O21" s="149">
        <f t="shared" si="1"/>
        <v>7273.944</v>
      </c>
      <c r="P21" s="149">
        <f t="shared" si="2"/>
        <v>0</v>
      </c>
      <c r="Q21" s="146">
        <f>Valores!$C$19</f>
        <v>6125.78</v>
      </c>
      <c r="R21" s="146">
        <f>Valores!$D$4</f>
        <v>4313.91</v>
      </c>
      <c r="S21" s="149">
        <v>0</v>
      </c>
      <c r="T21" s="149">
        <f>Valores!$C$43</f>
        <v>2324.69</v>
      </c>
      <c r="U21" s="149">
        <f>Valores!$C$23</f>
        <v>3527.01</v>
      </c>
      <c r="V21" s="149">
        <f t="shared" si="3"/>
        <v>3527.01</v>
      </c>
      <c r="W21" s="149">
        <v>0</v>
      </c>
      <c r="X21" s="149">
        <v>0</v>
      </c>
      <c r="Y21" s="157">
        <v>0</v>
      </c>
      <c r="Z21" s="149">
        <f>Y21*Valores!$C$2</f>
        <v>0</v>
      </c>
      <c r="AA21" s="149">
        <v>0</v>
      </c>
      <c r="AB21" s="154">
        <f>Valores!$C$29</f>
        <v>199.86</v>
      </c>
      <c r="AC21" s="149">
        <f t="shared" si="5"/>
        <v>0</v>
      </c>
      <c r="AD21" s="149">
        <f>Valores!$C$30</f>
        <v>199.86</v>
      </c>
      <c r="AE21" s="157">
        <v>0</v>
      </c>
      <c r="AF21" s="149">
        <f>INT(((AE21*Valores!$C$2)*100)+0.5)/100</f>
        <v>0</v>
      </c>
      <c r="AG21" s="149">
        <f>Valores!$C$58</f>
        <v>406.53</v>
      </c>
      <c r="AH21" s="149">
        <f>Valores!$C$60</f>
        <v>116.15</v>
      </c>
      <c r="AI21" s="162">
        <f t="shared" si="6"/>
        <v>67128.99399999999</v>
      </c>
      <c r="AJ21" s="146">
        <f>Valores!$C$35</f>
        <v>1046.83</v>
      </c>
      <c r="AK21" s="149">
        <f>Valores!$C$80</f>
        <v>3250</v>
      </c>
      <c r="AL21" s="154">
        <f>Valores!$C$50</f>
        <v>327.6</v>
      </c>
      <c r="AM21" s="162">
        <f t="shared" si="4"/>
        <v>4296.83</v>
      </c>
      <c r="AN21" s="146">
        <f>AI21*-Valores!$C$65</f>
        <v>-7719.834309999999</v>
      </c>
      <c r="AO21" s="146">
        <f>AI21*-Valores!$C$66</f>
        <v>-3020.8047299999994</v>
      </c>
      <c r="AP21" s="170">
        <v>-159.43</v>
      </c>
      <c r="AQ21" s="170">
        <f t="shared" si="7"/>
        <v>-53.83</v>
      </c>
      <c r="AR21" s="162">
        <f t="shared" si="8"/>
        <v>60471.92496</v>
      </c>
    </row>
    <row r="22" spans="1:44" s="137" customFormat="1" ht="11.25" customHeight="1">
      <c r="A22" s="147">
        <v>20</v>
      </c>
      <c r="B22" s="147" t="s">
        <v>135</v>
      </c>
      <c r="C22" s="147" t="s">
        <v>156</v>
      </c>
      <c r="D22" s="147"/>
      <c r="E22" s="147">
        <f t="shared" si="0"/>
        <v>20</v>
      </c>
      <c r="F22" s="155" t="s">
        <v>157</v>
      </c>
      <c r="G22" s="152">
        <v>100</v>
      </c>
      <c r="H22" s="149">
        <f>INT((G22*Valores!$C$2*100)+0.5)/100</f>
        <v>843.88</v>
      </c>
      <c r="I22" s="150">
        <v>3727</v>
      </c>
      <c r="J22" s="149">
        <f>INT((I22*Valores!$C$2*100)+0.5)/100</f>
        <v>31451.41</v>
      </c>
      <c r="K22" s="156">
        <v>219</v>
      </c>
      <c r="L22" s="149">
        <f>INT((K22*Valores!$C$2*100)+0.5)/100</f>
        <v>1848.1</v>
      </c>
      <c r="M22" s="152">
        <v>0</v>
      </c>
      <c r="N22" s="149">
        <f>INT((M22*Valores!$C$2*100)+0.5)/100</f>
        <v>0</v>
      </c>
      <c r="O22" s="149">
        <f t="shared" si="1"/>
        <v>5470.212</v>
      </c>
      <c r="P22" s="149">
        <f t="shared" si="2"/>
        <v>0</v>
      </c>
      <c r="Q22" s="146">
        <f>Valores!$C$16</f>
        <v>5893.48</v>
      </c>
      <c r="R22" s="146">
        <f>Valores!$D$4</f>
        <v>4313.91</v>
      </c>
      <c r="S22" s="149">
        <v>0</v>
      </c>
      <c r="T22" s="149">
        <f>Valores!$C$43</f>
        <v>2324.69</v>
      </c>
      <c r="U22" s="149">
        <v>0</v>
      </c>
      <c r="V22" s="149">
        <f t="shared" si="3"/>
        <v>0</v>
      </c>
      <c r="W22" s="146">
        <f>SUM(H22,J22,L22)</f>
        <v>34143.39</v>
      </c>
      <c r="X22" s="146">
        <f>INT((SUM(H22,J22,L22)*0.4*100)+0.49)/100</f>
        <v>13657.36</v>
      </c>
      <c r="Y22" s="157">
        <v>0</v>
      </c>
      <c r="Z22" s="149">
        <f>Y22*Valores!$C$2</f>
        <v>0</v>
      </c>
      <c r="AA22" s="149">
        <v>0</v>
      </c>
      <c r="AB22" s="154">
        <f>Valores!$C$29</f>
        <v>199.86</v>
      </c>
      <c r="AC22" s="149">
        <f t="shared" si="5"/>
        <v>0</v>
      </c>
      <c r="AD22" s="149">
        <f>Valores!$C$30</f>
        <v>199.86</v>
      </c>
      <c r="AE22" s="157">
        <v>0</v>
      </c>
      <c r="AF22" s="149">
        <f>INT(((AE22*Valores!$C$2)*100)+0.5)/100</f>
        <v>0</v>
      </c>
      <c r="AG22" s="149">
        <f>Valores!$C$58</f>
        <v>406.53</v>
      </c>
      <c r="AH22" s="149">
        <f>Valores!$C$60</f>
        <v>116.15</v>
      </c>
      <c r="AI22" s="162">
        <f t="shared" si="6"/>
        <v>100868.832</v>
      </c>
      <c r="AJ22" s="146">
        <f>Valores!$C$35</f>
        <v>1046.83</v>
      </c>
      <c r="AK22" s="149">
        <f>Valores!$C$80</f>
        <v>3250</v>
      </c>
      <c r="AL22" s="154">
        <f>Valores!$C$50</f>
        <v>327.6</v>
      </c>
      <c r="AM22" s="162">
        <f t="shared" si="4"/>
        <v>4296.83</v>
      </c>
      <c r="AN22" s="146">
        <f>AI22*-Valores!$C$65</f>
        <v>-11599.91568</v>
      </c>
      <c r="AO22" s="146">
        <f>AI22*-Valores!$C$66</f>
        <v>-4539.09744</v>
      </c>
      <c r="AP22" s="170">
        <v>-159.43</v>
      </c>
      <c r="AQ22" s="170">
        <f t="shared" si="7"/>
        <v>-53.83</v>
      </c>
      <c r="AR22" s="162">
        <f t="shared" si="8"/>
        <v>88813.38888</v>
      </c>
    </row>
    <row r="23" spans="1:44" s="137" customFormat="1" ht="11.25" customHeight="1">
      <c r="A23" s="147">
        <v>21</v>
      </c>
      <c r="B23" s="147"/>
      <c r="C23" s="147" t="s">
        <v>158</v>
      </c>
      <c r="D23" s="147"/>
      <c r="E23" s="147">
        <f t="shared" si="0"/>
        <v>18</v>
      </c>
      <c r="F23" s="155" t="s">
        <v>159</v>
      </c>
      <c r="G23" s="152">
        <v>100</v>
      </c>
      <c r="H23" s="149">
        <f>INT((G23*Valores!$C$2*100)+0.5)/100</f>
        <v>843.88</v>
      </c>
      <c r="I23" s="150">
        <v>3727</v>
      </c>
      <c r="J23" s="149">
        <f>INT((I23*Valores!$C$2*100)+0.5)/100</f>
        <v>31451.41</v>
      </c>
      <c r="K23" s="156">
        <v>219</v>
      </c>
      <c r="L23" s="149">
        <f>INT((K23*Valores!$C$2*100)+0.5)/100</f>
        <v>1848.1</v>
      </c>
      <c r="M23" s="152">
        <v>0</v>
      </c>
      <c r="N23" s="149">
        <f>INT((M23*Valores!$C$2*100)+0.5)/100</f>
        <v>0</v>
      </c>
      <c r="O23" s="149">
        <f t="shared" si="1"/>
        <v>5470.212</v>
      </c>
      <c r="P23" s="149">
        <f t="shared" si="2"/>
        <v>0</v>
      </c>
      <c r="Q23" s="146">
        <f>Valores!$C$16</f>
        <v>5893.48</v>
      </c>
      <c r="R23" s="146">
        <f>Valores!$D$4</f>
        <v>4313.91</v>
      </c>
      <c r="S23" s="149">
        <v>0</v>
      </c>
      <c r="T23" s="149">
        <f>Valores!$C$43</f>
        <v>2324.69</v>
      </c>
      <c r="U23" s="149">
        <v>0</v>
      </c>
      <c r="V23" s="149">
        <f t="shared" si="3"/>
        <v>0</v>
      </c>
      <c r="W23" s="146">
        <f>SUM(H23,J23,L23)</f>
        <v>34143.39</v>
      </c>
      <c r="X23" s="146">
        <f>INT((SUM(H23,J23,L23)*0.4*100)+0.49)/100</f>
        <v>13657.36</v>
      </c>
      <c r="Y23" s="157">
        <v>0</v>
      </c>
      <c r="Z23" s="149">
        <f>Y23*Valores!$C$2</f>
        <v>0</v>
      </c>
      <c r="AA23" s="149">
        <v>0</v>
      </c>
      <c r="AB23" s="154">
        <f>Valores!$C$29</f>
        <v>199.86</v>
      </c>
      <c r="AC23" s="149">
        <f t="shared" si="5"/>
        <v>0</v>
      </c>
      <c r="AD23" s="149">
        <f>Valores!$C$30</f>
        <v>199.86</v>
      </c>
      <c r="AE23" s="157">
        <v>0</v>
      </c>
      <c r="AF23" s="149">
        <f>INT(((AE23*Valores!$C$2)*100)+0.5)/100</f>
        <v>0</v>
      </c>
      <c r="AG23" s="149">
        <f>Valores!$C$58</f>
        <v>406.53</v>
      </c>
      <c r="AH23" s="149">
        <f>Valores!$C$60</f>
        <v>116.15</v>
      </c>
      <c r="AI23" s="162">
        <f t="shared" si="6"/>
        <v>100868.832</v>
      </c>
      <c r="AJ23" s="146">
        <f>Valores!$C$35</f>
        <v>1046.83</v>
      </c>
      <c r="AK23" s="149">
        <f>Valores!$C$80</f>
        <v>3250</v>
      </c>
      <c r="AL23" s="154">
        <f>Valores!$C$50</f>
        <v>327.6</v>
      </c>
      <c r="AM23" s="162">
        <f t="shared" si="4"/>
        <v>4296.83</v>
      </c>
      <c r="AN23" s="146">
        <f>AI23*-Valores!$C$65</f>
        <v>-11599.91568</v>
      </c>
      <c r="AO23" s="146">
        <f>AI23*-Valores!$C$66</f>
        <v>-4539.09744</v>
      </c>
      <c r="AP23" s="170">
        <v>-159.43</v>
      </c>
      <c r="AQ23" s="170">
        <f t="shared" si="7"/>
        <v>-53.83</v>
      </c>
      <c r="AR23" s="162">
        <f t="shared" si="8"/>
        <v>88813.38888</v>
      </c>
    </row>
    <row r="24" spans="1:44" s="137" customFormat="1" ht="11.25" customHeight="1">
      <c r="A24" s="147">
        <v>22</v>
      </c>
      <c r="B24" s="147"/>
      <c r="C24" s="147" t="s">
        <v>160</v>
      </c>
      <c r="D24" s="147"/>
      <c r="E24" s="147">
        <f t="shared" si="0"/>
        <v>18</v>
      </c>
      <c r="F24" s="155" t="s">
        <v>161</v>
      </c>
      <c r="G24" s="152">
        <v>100</v>
      </c>
      <c r="H24" s="149">
        <f>INT((G24*Valores!$C$2*100)+0.5)/100</f>
        <v>843.88</v>
      </c>
      <c r="I24" s="150">
        <v>3727</v>
      </c>
      <c r="J24" s="149">
        <f>INT((I24*Valores!$C$2*100)+0.5)/100</f>
        <v>31451.41</v>
      </c>
      <c r="K24" s="156">
        <v>219</v>
      </c>
      <c r="L24" s="149">
        <f>INT((K24*Valores!$C$2*100)+0.5)/100</f>
        <v>1848.1</v>
      </c>
      <c r="M24" s="152">
        <v>0</v>
      </c>
      <c r="N24" s="149">
        <f>INT((M24*Valores!$C$2*100)+0.5)/100</f>
        <v>0</v>
      </c>
      <c r="O24" s="149">
        <f t="shared" si="1"/>
        <v>5470.212</v>
      </c>
      <c r="P24" s="149">
        <f t="shared" si="2"/>
        <v>0</v>
      </c>
      <c r="Q24" s="146">
        <f>Valores!$C$16</f>
        <v>5893.48</v>
      </c>
      <c r="R24" s="146">
        <f>Valores!$D$4</f>
        <v>4313.91</v>
      </c>
      <c r="S24" s="149">
        <v>0</v>
      </c>
      <c r="T24" s="149">
        <f>Valores!$C$43</f>
        <v>2324.69</v>
      </c>
      <c r="U24" s="149">
        <v>0</v>
      </c>
      <c r="V24" s="149">
        <f t="shared" si="3"/>
        <v>0</v>
      </c>
      <c r="W24" s="146">
        <f>SUM(H24,J24,L24)</f>
        <v>34143.39</v>
      </c>
      <c r="X24" s="146">
        <f>INT((SUM(H24,J24,L24)*0.4*100)+0.49)/100</f>
        <v>13657.36</v>
      </c>
      <c r="Y24" s="157">
        <v>0</v>
      </c>
      <c r="Z24" s="149">
        <f>Y24*Valores!$C$2</f>
        <v>0</v>
      </c>
      <c r="AA24" s="149">
        <v>0</v>
      </c>
      <c r="AB24" s="154">
        <f>Valores!$C$29</f>
        <v>199.86</v>
      </c>
      <c r="AC24" s="149">
        <f t="shared" si="5"/>
        <v>0</v>
      </c>
      <c r="AD24" s="149">
        <f>Valores!$C$30</f>
        <v>199.86</v>
      </c>
      <c r="AE24" s="157">
        <v>0</v>
      </c>
      <c r="AF24" s="149">
        <f>INT(((AE24*Valores!$C$2)*100)+0.5)/100</f>
        <v>0</v>
      </c>
      <c r="AG24" s="149">
        <f>Valores!$C$58</f>
        <v>406.53</v>
      </c>
      <c r="AH24" s="149">
        <f>Valores!$C$60</f>
        <v>116.15</v>
      </c>
      <c r="AI24" s="162">
        <f t="shared" si="6"/>
        <v>100868.832</v>
      </c>
      <c r="AJ24" s="146">
        <f>Valores!$C$35</f>
        <v>1046.83</v>
      </c>
      <c r="AK24" s="149">
        <f>Valores!$C$80</f>
        <v>3250</v>
      </c>
      <c r="AL24" s="154">
        <f>Valores!$C$50</f>
        <v>327.6</v>
      </c>
      <c r="AM24" s="162">
        <f t="shared" si="4"/>
        <v>4296.83</v>
      </c>
      <c r="AN24" s="146">
        <f>AI24*-Valores!$C$65</f>
        <v>-11599.91568</v>
      </c>
      <c r="AO24" s="146">
        <f>AI24*-Valores!$C$66</f>
        <v>-4539.09744</v>
      </c>
      <c r="AP24" s="170">
        <v>-159.43</v>
      </c>
      <c r="AQ24" s="170">
        <f t="shared" si="7"/>
        <v>-53.83</v>
      </c>
      <c r="AR24" s="162">
        <f t="shared" si="8"/>
        <v>88813.38888</v>
      </c>
    </row>
    <row r="25" spans="1:44" s="137" customFormat="1" ht="11.25" customHeight="1">
      <c r="A25" s="147">
        <v>23</v>
      </c>
      <c r="B25" s="147"/>
      <c r="C25" s="147" t="s">
        <v>162</v>
      </c>
      <c r="D25" s="147"/>
      <c r="E25" s="147">
        <f t="shared" si="0"/>
        <v>25</v>
      </c>
      <c r="F25" s="155" t="s">
        <v>163</v>
      </c>
      <c r="G25" s="152">
        <v>96</v>
      </c>
      <c r="H25" s="149">
        <f>INT((G25*Valores!$C$2*100)+0.5)/100</f>
        <v>810.12</v>
      </c>
      <c r="I25" s="150">
        <v>3737</v>
      </c>
      <c r="J25" s="149">
        <f>INT((I25*Valores!$C$2*100)+0.5)/100</f>
        <v>31535.8</v>
      </c>
      <c r="K25" s="156">
        <v>1220</v>
      </c>
      <c r="L25" s="149">
        <f>INT((K25*Valores!$C$2*100)+0.5)/100</f>
        <v>10295.34</v>
      </c>
      <c r="M25" s="152">
        <v>0</v>
      </c>
      <c r="N25" s="149">
        <f>INT((M25*Valores!$C$2*100)+0.5)/100</f>
        <v>0</v>
      </c>
      <c r="O25" s="149">
        <f t="shared" si="1"/>
        <v>7273.9439999999995</v>
      </c>
      <c r="P25" s="149">
        <f t="shared" si="2"/>
        <v>0</v>
      </c>
      <c r="Q25" s="146">
        <f>Valores!$C$19</f>
        <v>6125.78</v>
      </c>
      <c r="R25" s="146">
        <f>Valores!$D$4</f>
        <v>4313.91</v>
      </c>
      <c r="S25" s="149">
        <v>0</v>
      </c>
      <c r="T25" s="149">
        <f>Valores!$C$43</f>
        <v>2324.69</v>
      </c>
      <c r="U25" s="149">
        <f>Valores!$C$23</f>
        <v>3527.01</v>
      </c>
      <c r="V25" s="149">
        <f t="shared" si="3"/>
        <v>3527.01</v>
      </c>
      <c r="W25" s="149">
        <v>0</v>
      </c>
      <c r="X25" s="149">
        <v>0</v>
      </c>
      <c r="Y25" s="157">
        <v>0</v>
      </c>
      <c r="Z25" s="149">
        <f>Y25*Valores!$C$2</f>
        <v>0</v>
      </c>
      <c r="AA25" s="149">
        <v>0</v>
      </c>
      <c r="AB25" s="154">
        <f>Valores!$C$29</f>
        <v>199.86</v>
      </c>
      <c r="AC25" s="149">
        <f t="shared" si="5"/>
        <v>0</v>
      </c>
      <c r="AD25" s="149">
        <f>Valores!$C$30</f>
        <v>199.86</v>
      </c>
      <c r="AE25" s="157">
        <v>0</v>
      </c>
      <c r="AF25" s="149">
        <f>INT(((AE25*Valores!$C$2)*100)+0.5)/100</f>
        <v>0</v>
      </c>
      <c r="AG25" s="149">
        <f>Valores!$C$58</f>
        <v>406.53</v>
      </c>
      <c r="AH25" s="149">
        <f>Valores!$C$60</f>
        <v>116.15</v>
      </c>
      <c r="AI25" s="162">
        <f t="shared" si="6"/>
        <v>67128.99399999999</v>
      </c>
      <c r="AJ25" s="146">
        <f>Valores!$C$35</f>
        <v>1046.83</v>
      </c>
      <c r="AK25" s="149">
        <f>Valores!$C$80</f>
        <v>3250</v>
      </c>
      <c r="AL25" s="154">
        <f>Valores!$C$50</f>
        <v>327.6</v>
      </c>
      <c r="AM25" s="162">
        <f t="shared" si="4"/>
        <v>4296.83</v>
      </c>
      <c r="AN25" s="146">
        <f>AI25*-Valores!$C$65</f>
        <v>-7719.834309999999</v>
      </c>
      <c r="AO25" s="146">
        <f>AI25*-Valores!$C$66</f>
        <v>-3020.8047299999994</v>
      </c>
      <c r="AP25" s="170">
        <v>-159.43</v>
      </c>
      <c r="AQ25" s="170">
        <f t="shared" si="7"/>
        <v>-53.83</v>
      </c>
      <c r="AR25" s="162">
        <f t="shared" si="8"/>
        <v>60471.92496</v>
      </c>
    </row>
    <row r="26" spans="1:44" s="137" customFormat="1" ht="11.25" customHeight="1">
      <c r="A26" s="147">
        <v>24</v>
      </c>
      <c r="B26" s="147"/>
      <c r="C26" s="147" t="s">
        <v>164</v>
      </c>
      <c r="D26" s="147"/>
      <c r="E26" s="147">
        <f t="shared" si="0"/>
        <v>27</v>
      </c>
      <c r="F26" s="155" t="s">
        <v>165</v>
      </c>
      <c r="G26" s="152">
        <v>96</v>
      </c>
      <c r="H26" s="149">
        <f>INT((G26*Valores!$C$2*100)+0.5)/100</f>
        <v>810.12</v>
      </c>
      <c r="I26" s="150">
        <v>3737</v>
      </c>
      <c r="J26" s="149">
        <f>INT((I26*Valores!$C$2*100)+0.5)/100</f>
        <v>31535.8</v>
      </c>
      <c r="K26" s="156">
        <v>1220</v>
      </c>
      <c r="L26" s="149">
        <f>INT((K26*Valores!$C$2*100)+0.5)/100</f>
        <v>10295.34</v>
      </c>
      <c r="M26" s="152">
        <v>0</v>
      </c>
      <c r="N26" s="149">
        <f>INT((M26*Valores!$C$2*100)+0.5)/100</f>
        <v>0</v>
      </c>
      <c r="O26" s="149">
        <f t="shared" si="1"/>
        <v>7273.9439999999995</v>
      </c>
      <c r="P26" s="149">
        <f t="shared" si="2"/>
        <v>0</v>
      </c>
      <c r="Q26" s="146">
        <f>Valores!$C$19</f>
        <v>6125.78</v>
      </c>
      <c r="R26" s="146">
        <f>Valores!$D$4</f>
        <v>4313.91</v>
      </c>
      <c r="S26" s="149">
        <v>0</v>
      </c>
      <c r="T26" s="149">
        <f>Valores!$C$43</f>
        <v>2324.69</v>
      </c>
      <c r="U26" s="149">
        <f>Valores!$C$23</f>
        <v>3527.01</v>
      </c>
      <c r="V26" s="149">
        <f t="shared" si="3"/>
        <v>3527.01</v>
      </c>
      <c r="W26" s="149">
        <v>0</v>
      </c>
      <c r="X26" s="149">
        <v>0</v>
      </c>
      <c r="Y26" s="157">
        <v>0</v>
      </c>
      <c r="Z26" s="149">
        <f>Y26*Valores!$C$2</f>
        <v>0</v>
      </c>
      <c r="AA26" s="149">
        <v>0</v>
      </c>
      <c r="AB26" s="154">
        <f>Valores!$C$29</f>
        <v>199.86</v>
      </c>
      <c r="AC26" s="149">
        <f t="shared" si="5"/>
        <v>0</v>
      </c>
      <c r="AD26" s="149">
        <f>Valores!$C$30</f>
        <v>199.86</v>
      </c>
      <c r="AE26" s="157">
        <v>0</v>
      </c>
      <c r="AF26" s="149">
        <f>INT(((AE26*Valores!$C$2)*100)+0.5)/100</f>
        <v>0</v>
      </c>
      <c r="AG26" s="149">
        <f>Valores!$C$58</f>
        <v>406.53</v>
      </c>
      <c r="AH26" s="149">
        <f>Valores!$C$60</f>
        <v>116.15</v>
      </c>
      <c r="AI26" s="162">
        <f t="shared" si="6"/>
        <v>67128.99399999999</v>
      </c>
      <c r="AJ26" s="146">
        <f>Valores!$C$35</f>
        <v>1046.83</v>
      </c>
      <c r="AK26" s="149">
        <f>Valores!$C$80</f>
        <v>3250</v>
      </c>
      <c r="AL26" s="154">
        <f>Valores!$C$50</f>
        <v>327.6</v>
      </c>
      <c r="AM26" s="162">
        <f t="shared" si="4"/>
        <v>4296.83</v>
      </c>
      <c r="AN26" s="146">
        <f>AI26*-Valores!$C$65</f>
        <v>-7719.834309999999</v>
      </c>
      <c r="AO26" s="146">
        <f>AI26*-Valores!$C$66</f>
        <v>-3020.8047299999994</v>
      </c>
      <c r="AP26" s="170">
        <v>-159.43</v>
      </c>
      <c r="AQ26" s="170">
        <f t="shared" si="7"/>
        <v>-53.83</v>
      </c>
      <c r="AR26" s="162">
        <f t="shared" si="8"/>
        <v>60471.92496</v>
      </c>
    </row>
    <row r="27" spans="1:44" s="137" customFormat="1" ht="11.25" customHeight="1">
      <c r="A27" s="147">
        <v>25</v>
      </c>
      <c r="B27" s="147" t="s">
        <v>135</v>
      </c>
      <c r="C27" s="147" t="s">
        <v>166</v>
      </c>
      <c r="D27" s="147"/>
      <c r="E27" s="147">
        <f t="shared" si="0"/>
        <v>24</v>
      </c>
      <c r="F27" s="155" t="s">
        <v>167</v>
      </c>
      <c r="G27" s="152">
        <v>96</v>
      </c>
      <c r="H27" s="149">
        <f>INT((G27*Valores!$C$2*100)+0.5)/100</f>
        <v>810.12</v>
      </c>
      <c r="I27" s="150">
        <v>3737</v>
      </c>
      <c r="J27" s="149">
        <f>INT((I27*Valores!$C$2*100)+0.5)/100</f>
        <v>31535.8</v>
      </c>
      <c r="K27" s="156">
        <v>1220</v>
      </c>
      <c r="L27" s="149">
        <f>INT((K27*Valores!$C$2*100)+0.5)/100</f>
        <v>10295.34</v>
      </c>
      <c r="M27" s="152">
        <v>0</v>
      </c>
      <c r="N27" s="149">
        <f>INT((M27*Valores!$C$2*100)+0.5)/100</f>
        <v>0</v>
      </c>
      <c r="O27" s="149">
        <f t="shared" si="1"/>
        <v>7273.9439999999995</v>
      </c>
      <c r="P27" s="149">
        <f t="shared" si="2"/>
        <v>0</v>
      </c>
      <c r="Q27" s="146">
        <f>Valores!$C$19</f>
        <v>6125.78</v>
      </c>
      <c r="R27" s="146">
        <f>Valores!$D$4</f>
        <v>4313.91</v>
      </c>
      <c r="S27" s="149">
        <v>0</v>
      </c>
      <c r="T27" s="149">
        <f>Valores!$C$43</f>
        <v>2324.69</v>
      </c>
      <c r="U27" s="149">
        <f>Valores!$C$23</f>
        <v>3527.01</v>
      </c>
      <c r="V27" s="149">
        <f t="shared" si="3"/>
        <v>3527.01</v>
      </c>
      <c r="W27" s="149">
        <v>0</v>
      </c>
      <c r="X27" s="149">
        <v>0</v>
      </c>
      <c r="Y27" s="157">
        <v>0</v>
      </c>
      <c r="Z27" s="149">
        <f>Y27*Valores!$C$2</f>
        <v>0</v>
      </c>
      <c r="AA27" s="149">
        <v>0</v>
      </c>
      <c r="AB27" s="154">
        <f>Valores!$C$29</f>
        <v>199.86</v>
      </c>
      <c r="AC27" s="149">
        <f t="shared" si="5"/>
        <v>0</v>
      </c>
      <c r="AD27" s="149">
        <f>Valores!$C$30</f>
        <v>199.86</v>
      </c>
      <c r="AE27" s="157">
        <v>0</v>
      </c>
      <c r="AF27" s="149">
        <f>INT(((AE27*Valores!$C$2)*100)+0.5)/100</f>
        <v>0</v>
      </c>
      <c r="AG27" s="149">
        <f>Valores!$C$58</f>
        <v>406.53</v>
      </c>
      <c r="AH27" s="149">
        <f>Valores!$C$60</f>
        <v>116.15</v>
      </c>
      <c r="AI27" s="162">
        <f t="shared" si="6"/>
        <v>67128.99399999999</v>
      </c>
      <c r="AJ27" s="146">
        <f>Valores!$C$35</f>
        <v>1046.83</v>
      </c>
      <c r="AK27" s="149">
        <f>Valores!$C$80</f>
        <v>3250</v>
      </c>
      <c r="AL27" s="154">
        <f>Valores!$C$50</f>
        <v>327.6</v>
      </c>
      <c r="AM27" s="162">
        <f t="shared" si="4"/>
        <v>4296.83</v>
      </c>
      <c r="AN27" s="146">
        <f>AI27*-Valores!$C$65</f>
        <v>-7719.834309999999</v>
      </c>
      <c r="AO27" s="146">
        <f>AI27*-Valores!$C$66</f>
        <v>-3020.8047299999994</v>
      </c>
      <c r="AP27" s="170">
        <v>-159.43</v>
      </c>
      <c r="AQ27" s="170">
        <f t="shared" si="7"/>
        <v>-53.83</v>
      </c>
      <c r="AR27" s="162">
        <f t="shared" si="8"/>
        <v>60471.92496</v>
      </c>
    </row>
    <row r="28" spans="1:44" s="137" customFormat="1" ht="11.25" customHeight="1">
      <c r="A28" s="147">
        <v>26</v>
      </c>
      <c r="B28" s="147"/>
      <c r="C28" s="147" t="s">
        <v>168</v>
      </c>
      <c r="D28" s="147"/>
      <c r="E28" s="147">
        <f t="shared" si="0"/>
        <v>22</v>
      </c>
      <c r="F28" s="155" t="s">
        <v>169</v>
      </c>
      <c r="G28" s="152">
        <v>107</v>
      </c>
      <c r="H28" s="149">
        <f>INT((G28*Valores!$C$2*100)+0.5)/100</f>
        <v>902.95</v>
      </c>
      <c r="I28" s="150">
        <v>3728</v>
      </c>
      <c r="J28" s="149">
        <f>INT((I28*Valores!$C$2*100)+0.5)/100</f>
        <v>31459.85</v>
      </c>
      <c r="K28" s="156">
        <v>1218</v>
      </c>
      <c r="L28" s="149">
        <f>INT((K28*Valores!$C$2*100)+0.5)/100</f>
        <v>10278.46</v>
      </c>
      <c r="M28" s="152">
        <v>0</v>
      </c>
      <c r="N28" s="149">
        <f>INT((M28*Valores!$C$2*100)+0.5)/100</f>
        <v>0</v>
      </c>
      <c r="O28" s="149">
        <f t="shared" si="1"/>
        <v>7273.9439999999995</v>
      </c>
      <c r="P28" s="149">
        <f t="shared" si="2"/>
        <v>0</v>
      </c>
      <c r="Q28" s="146">
        <f>Valores!$C$19</f>
        <v>6125.78</v>
      </c>
      <c r="R28" s="146">
        <f>Valores!$D$4</f>
        <v>4313.91</v>
      </c>
      <c r="S28" s="149">
        <v>0</v>
      </c>
      <c r="T28" s="149">
        <f>Valores!$C$43</f>
        <v>2324.69</v>
      </c>
      <c r="U28" s="149">
        <f>Valores!$C$23</f>
        <v>3527.01</v>
      </c>
      <c r="V28" s="149">
        <f t="shared" si="3"/>
        <v>3527.01</v>
      </c>
      <c r="W28" s="149">
        <v>0</v>
      </c>
      <c r="X28" s="149">
        <v>0</v>
      </c>
      <c r="Y28" s="157">
        <v>0</v>
      </c>
      <c r="Z28" s="149">
        <f>Y28*Valores!$C$2</f>
        <v>0</v>
      </c>
      <c r="AA28" s="149">
        <v>0</v>
      </c>
      <c r="AB28" s="154">
        <f>Valores!$C$29</f>
        <v>199.86</v>
      </c>
      <c r="AC28" s="149">
        <f t="shared" si="5"/>
        <v>0</v>
      </c>
      <c r="AD28" s="149">
        <f>Valores!$C$30</f>
        <v>199.86</v>
      </c>
      <c r="AE28" s="157">
        <v>0</v>
      </c>
      <c r="AF28" s="149">
        <f>INT(((AE28*Valores!$C$2)*100)+0.5)/100</f>
        <v>0</v>
      </c>
      <c r="AG28" s="149">
        <f>Valores!$C$58</f>
        <v>406.53</v>
      </c>
      <c r="AH28" s="149">
        <f>Valores!$C$60</f>
        <v>116.15</v>
      </c>
      <c r="AI28" s="162">
        <f t="shared" si="6"/>
        <v>67128.99399999999</v>
      </c>
      <c r="AJ28" s="146">
        <f>Valores!$C$35</f>
        <v>1046.83</v>
      </c>
      <c r="AK28" s="149">
        <f>Valores!$C$80</f>
        <v>3250</v>
      </c>
      <c r="AL28" s="154">
        <f>Valores!$C$50</f>
        <v>327.6</v>
      </c>
      <c r="AM28" s="162">
        <f t="shared" si="4"/>
        <v>4296.83</v>
      </c>
      <c r="AN28" s="146">
        <f>AI28*-Valores!$C$65</f>
        <v>-7719.834309999999</v>
      </c>
      <c r="AO28" s="146">
        <f>AI28*-Valores!$C$66</f>
        <v>-3020.8047299999994</v>
      </c>
      <c r="AP28" s="170">
        <v>-159.43</v>
      </c>
      <c r="AQ28" s="170">
        <f t="shared" si="7"/>
        <v>-53.83</v>
      </c>
      <c r="AR28" s="162">
        <f t="shared" si="8"/>
        <v>60471.92496</v>
      </c>
    </row>
    <row r="29" spans="1:44" s="137" customFormat="1" ht="11.25" customHeight="1">
      <c r="A29" s="147">
        <v>27</v>
      </c>
      <c r="B29" s="147"/>
      <c r="C29" s="147" t="s">
        <v>170</v>
      </c>
      <c r="D29" s="147"/>
      <c r="E29" s="147">
        <f t="shared" si="0"/>
        <v>29</v>
      </c>
      <c r="F29" s="155" t="s">
        <v>171</v>
      </c>
      <c r="G29" s="152">
        <v>94</v>
      </c>
      <c r="H29" s="149">
        <f>INT((G29*Valores!$C$2*100)+0.5)/100</f>
        <v>793.25</v>
      </c>
      <c r="I29" s="150">
        <v>3624</v>
      </c>
      <c r="J29" s="149">
        <f>INT((I29*Valores!$C$2*100)+0.5)/100</f>
        <v>30582.21</v>
      </c>
      <c r="K29" s="156">
        <v>1219</v>
      </c>
      <c r="L29" s="149">
        <f>INT((K29*Valores!$C$2*100)+0.5)/100</f>
        <v>10286.9</v>
      </c>
      <c r="M29" s="152">
        <v>0</v>
      </c>
      <c r="N29" s="149">
        <f>INT((M29*Valores!$C$2*100)+0.5)/100</f>
        <v>0</v>
      </c>
      <c r="O29" s="149">
        <f t="shared" si="1"/>
        <v>7127.109</v>
      </c>
      <c r="P29" s="149">
        <f t="shared" si="2"/>
        <v>0</v>
      </c>
      <c r="Q29" s="146">
        <f>Valores!$C$17</f>
        <v>6048.33</v>
      </c>
      <c r="R29" s="146">
        <f>Valores!$D$4</f>
        <v>4313.91</v>
      </c>
      <c r="S29" s="149">
        <v>0</v>
      </c>
      <c r="T29" s="149">
        <f>Valores!$C$43</f>
        <v>2324.69</v>
      </c>
      <c r="U29" s="149">
        <f>Valores!$C$23</f>
        <v>3527.01</v>
      </c>
      <c r="V29" s="149">
        <f t="shared" si="3"/>
        <v>3527.01</v>
      </c>
      <c r="W29" s="149">
        <v>0</v>
      </c>
      <c r="X29" s="149">
        <v>0</v>
      </c>
      <c r="Y29" s="157">
        <v>0</v>
      </c>
      <c r="Z29" s="149">
        <f>Y29*Valores!$C$2</f>
        <v>0</v>
      </c>
      <c r="AA29" s="149">
        <v>0</v>
      </c>
      <c r="AB29" s="154">
        <f>Valores!$C$29</f>
        <v>199.86</v>
      </c>
      <c r="AC29" s="149">
        <f t="shared" si="5"/>
        <v>0</v>
      </c>
      <c r="AD29" s="149">
        <f>Valores!$C$30</f>
        <v>199.86</v>
      </c>
      <c r="AE29" s="157">
        <v>0</v>
      </c>
      <c r="AF29" s="149">
        <f>INT(((AE29*Valores!$C$2)*100)+0.5)/100</f>
        <v>0</v>
      </c>
      <c r="AG29" s="149">
        <f>Valores!$C$58</f>
        <v>406.53</v>
      </c>
      <c r="AH29" s="149">
        <f>Valores!$C$60</f>
        <v>116.15</v>
      </c>
      <c r="AI29" s="162">
        <f t="shared" si="6"/>
        <v>65925.80900000001</v>
      </c>
      <c r="AJ29" s="146">
        <f>Valores!$C$35</f>
        <v>1046.83</v>
      </c>
      <c r="AK29" s="149">
        <f>Valores!$C$80</f>
        <v>3250</v>
      </c>
      <c r="AL29" s="154">
        <f>Valores!$C$50</f>
        <v>327.6</v>
      </c>
      <c r="AM29" s="162">
        <f t="shared" si="4"/>
        <v>4296.83</v>
      </c>
      <c r="AN29" s="146">
        <f>AI29*-Valores!$C$65</f>
        <v>-7581.468035000002</v>
      </c>
      <c r="AO29" s="146">
        <f>AI29*-Valores!$C$66</f>
        <v>-2966.6614050000003</v>
      </c>
      <c r="AP29" s="170">
        <v>-159.43</v>
      </c>
      <c r="AQ29" s="170">
        <f t="shared" si="7"/>
        <v>-53.83</v>
      </c>
      <c r="AR29" s="162">
        <f t="shared" si="8"/>
        <v>59461.24956000001</v>
      </c>
    </row>
    <row r="30" spans="1:44" s="137" customFormat="1" ht="11.25" customHeight="1">
      <c r="A30" s="147">
        <v>28</v>
      </c>
      <c r="B30" s="147"/>
      <c r="C30" s="147" t="s">
        <v>172</v>
      </c>
      <c r="D30" s="147"/>
      <c r="E30" s="147">
        <f t="shared" si="0"/>
        <v>25</v>
      </c>
      <c r="F30" s="155" t="s">
        <v>173</v>
      </c>
      <c r="G30" s="152">
        <v>93</v>
      </c>
      <c r="H30" s="149">
        <f>INT((G30*Valores!$C$2*100)+0.5)/100</f>
        <v>784.81</v>
      </c>
      <c r="I30" s="150">
        <v>3627</v>
      </c>
      <c r="J30" s="149">
        <f>INT((I30*Valores!$C$2*100)+0.5)/100</f>
        <v>30607.53</v>
      </c>
      <c r="K30" s="156">
        <v>210</v>
      </c>
      <c r="L30" s="149">
        <f>INT((K30*Valores!$C$2*100)+0.5)/100</f>
        <v>1772.15</v>
      </c>
      <c r="M30" s="152">
        <v>0</v>
      </c>
      <c r="N30" s="149">
        <f>INT((M30*Valores!$C$2*100)+0.5)/100</f>
        <v>0</v>
      </c>
      <c r="O30" s="149">
        <f t="shared" si="1"/>
        <v>5852.4285</v>
      </c>
      <c r="P30" s="149">
        <f t="shared" si="2"/>
        <v>0</v>
      </c>
      <c r="Q30" s="146">
        <f>Valores!$C$17</f>
        <v>6048.33</v>
      </c>
      <c r="R30" s="146">
        <f>Valores!$D$4</f>
        <v>4313.91</v>
      </c>
      <c r="S30" s="149">
        <v>0</v>
      </c>
      <c r="T30" s="149">
        <f>Valores!$C$43</f>
        <v>2324.69</v>
      </c>
      <c r="U30" s="149">
        <f>Valores!$C$23</f>
        <v>3527.01</v>
      </c>
      <c r="V30" s="149">
        <f t="shared" si="3"/>
        <v>3527.01</v>
      </c>
      <c r="W30" s="149">
        <v>0</v>
      </c>
      <c r="X30" s="149">
        <v>0</v>
      </c>
      <c r="Y30" s="157">
        <v>0</v>
      </c>
      <c r="Z30" s="149">
        <f>Y30*Valores!$C$2</f>
        <v>0</v>
      </c>
      <c r="AA30" s="149">
        <v>0</v>
      </c>
      <c r="AB30" s="154">
        <f>Valores!$C$29</f>
        <v>199.86</v>
      </c>
      <c r="AC30" s="149">
        <f t="shared" si="5"/>
        <v>0</v>
      </c>
      <c r="AD30" s="149">
        <f>Valores!$C$30</f>
        <v>199.86</v>
      </c>
      <c r="AE30" s="157">
        <v>0</v>
      </c>
      <c r="AF30" s="149">
        <f>INT(((AE30*Valores!$C$2)*100)+0.5)/100</f>
        <v>0</v>
      </c>
      <c r="AG30" s="149">
        <f>Valores!$C$58</f>
        <v>406.53</v>
      </c>
      <c r="AH30" s="149">
        <f>Valores!$C$60</f>
        <v>116.15</v>
      </c>
      <c r="AI30" s="162">
        <f t="shared" si="6"/>
        <v>56153.25850000001</v>
      </c>
      <c r="AJ30" s="146">
        <f>Valores!$C$35</f>
        <v>1046.83</v>
      </c>
      <c r="AK30" s="149">
        <f>Valores!$C$80</f>
        <v>3250</v>
      </c>
      <c r="AL30" s="154">
        <f>Valores!$C$50</f>
        <v>327.6</v>
      </c>
      <c r="AM30" s="162">
        <f t="shared" si="4"/>
        <v>4296.83</v>
      </c>
      <c r="AN30" s="146">
        <f>AI30*-Valores!$C$65</f>
        <v>-6457.624727500001</v>
      </c>
      <c r="AO30" s="146">
        <f>AI30*-Valores!$C$66</f>
        <v>-2526.8966325000006</v>
      </c>
      <c r="AP30" s="170">
        <v>-159.43</v>
      </c>
      <c r="AQ30" s="170">
        <f t="shared" si="7"/>
        <v>-53.83</v>
      </c>
      <c r="AR30" s="162">
        <f t="shared" si="8"/>
        <v>51252.30714000001</v>
      </c>
    </row>
    <row r="31" spans="1:44" s="137" customFormat="1" ht="11.25" customHeight="1">
      <c r="A31" s="147">
        <v>29</v>
      </c>
      <c r="B31" s="147"/>
      <c r="C31" s="147" t="s">
        <v>174</v>
      </c>
      <c r="D31" s="147"/>
      <c r="E31" s="147">
        <f t="shared" si="0"/>
        <v>32</v>
      </c>
      <c r="F31" s="155" t="s">
        <v>175</v>
      </c>
      <c r="G31" s="152">
        <v>93</v>
      </c>
      <c r="H31" s="149">
        <f>INT((G31*Valores!$C$2*100)+0.5)/100</f>
        <v>784.81</v>
      </c>
      <c r="I31" s="150">
        <v>3630</v>
      </c>
      <c r="J31" s="149">
        <f>INT((I31*Valores!$C$2*100)+0.5)/100</f>
        <v>30632.84</v>
      </c>
      <c r="K31" s="156">
        <v>1214</v>
      </c>
      <c r="L31" s="149">
        <f>INT((K31*Valores!$C$2*100)+0.5)/100</f>
        <v>10244.7</v>
      </c>
      <c r="M31" s="152">
        <v>0</v>
      </c>
      <c r="N31" s="149">
        <f>INT((M31*Valores!$C$2*100)+0.5)/100</f>
        <v>0</v>
      </c>
      <c r="O31" s="149">
        <f t="shared" si="1"/>
        <v>7127.107500000001</v>
      </c>
      <c r="P31" s="149">
        <f t="shared" si="2"/>
        <v>0</v>
      </c>
      <c r="Q31" s="146">
        <f>Valores!$C$17</f>
        <v>6048.33</v>
      </c>
      <c r="R31" s="146">
        <f>Valores!$D$4</f>
        <v>4313.91</v>
      </c>
      <c r="S31" s="149">
        <v>0</v>
      </c>
      <c r="T31" s="149">
        <f>Valores!$C$43</f>
        <v>2324.69</v>
      </c>
      <c r="U31" s="149">
        <f>Valores!$C$23</f>
        <v>3527.01</v>
      </c>
      <c r="V31" s="149">
        <f t="shared" si="3"/>
        <v>3527.01</v>
      </c>
      <c r="W31" s="149">
        <v>0</v>
      </c>
      <c r="X31" s="149">
        <v>0</v>
      </c>
      <c r="Y31" s="157">
        <v>0</v>
      </c>
      <c r="Z31" s="149">
        <f>Y31*Valores!$C$2</f>
        <v>0</v>
      </c>
      <c r="AA31" s="149">
        <v>0</v>
      </c>
      <c r="AB31" s="154">
        <f>Valores!$C$29</f>
        <v>199.86</v>
      </c>
      <c r="AC31" s="149">
        <f t="shared" si="5"/>
        <v>0</v>
      </c>
      <c r="AD31" s="149">
        <f>Valores!$C$30</f>
        <v>199.86</v>
      </c>
      <c r="AE31" s="157">
        <v>0</v>
      </c>
      <c r="AF31" s="149">
        <f>INT(((AE31*Valores!$C$2)*100)+0.5)/100</f>
        <v>0</v>
      </c>
      <c r="AG31" s="149">
        <f>Valores!$C$58</f>
        <v>406.53</v>
      </c>
      <c r="AH31" s="149">
        <f>Valores!$C$60</f>
        <v>116.15</v>
      </c>
      <c r="AI31" s="162">
        <f t="shared" si="6"/>
        <v>65925.79750000002</v>
      </c>
      <c r="AJ31" s="146">
        <f>Valores!$C$35</f>
        <v>1046.83</v>
      </c>
      <c r="AK31" s="149">
        <f>Valores!$C$80</f>
        <v>3250</v>
      </c>
      <c r="AL31" s="154">
        <f>Valores!$C$50</f>
        <v>327.6</v>
      </c>
      <c r="AM31" s="162">
        <f t="shared" si="4"/>
        <v>4296.83</v>
      </c>
      <c r="AN31" s="146">
        <f>AI31*-Valores!$C$65</f>
        <v>-7581.466712500002</v>
      </c>
      <c r="AO31" s="146">
        <f>AI31*-Valores!$C$66</f>
        <v>-2966.6608875000006</v>
      </c>
      <c r="AP31" s="170">
        <v>-159.43</v>
      </c>
      <c r="AQ31" s="170">
        <f t="shared" si="7"/>
        <v>-53.83</v>
      </c>
      <c r="AR31" s="162">
        <f t="shared" si="8"/>
        <v>59461.23990000001</v>
      </c>
    </row>
    <row r="32" spans="1:44" s="137" customFormat="1" ht="11.25" customHeight="1">
      <c r="A32" s="147">
        <v>30</v>
      </c>
      <c r="B32" s="147" t="s">
        <v>135</v>
      </c>
      <c r="C32" s="147" t="s">
        <v>176</v>
      </c>
      <c r="D32" s="147"/>
      <c r="E32" s="147">
        <f t="shared" si="0"/>
        <v>35</v>
      </c>
      <c r="F32" s="155" t="s">
        <v>177</v>
      </c>
      <c r="G32" s="152">
        <v>96</v>
      </c>
      <c r="H32" s="149">
        <f>INT((G32*Valores!$C$2*100)+0.5)/100</f>
        <v>810.12</v>
      </c>
      <c r="I32" s="150">
        <v>3737</v>
      </c>
      <c r="J32" s="149">
        <f>INT((I32*Valores!$C$2*100)+0.5)/100</f>
        <v>31535.8</v>
      </c>
      <c r="K32" s="156">
        <v>1220</v>
      </c>
      <c r="L32" s="149">
        <f>INT((K32*Valores!$C$2*100)+0.5)/100</f>
        <v>10295.34</v>
      </c>
      <c r="M32" s="152">
        <v>0</v>
      </c>
      <c r="N32" s="149">
        <f>INT((M32*Valores!$C$2*100)+0.5)/100</f>
        <v>0</v>
      </c>
      <c r="O32" s="149">
        <f t="shared" si="1"/>
        <v>7273.9439999999995</v>
      </c>
      <c r="P32" s="149">
        <f t="shared" si="2"/>
        <v>0</v>
      </c>
      <c r="Q32" s="146">
        <f>Valores!$C$19</f>
        <v>6125.78</v>
      </c>
      <c r="R32" s="146">
        <f>Valores!$D$4</f>
        <v>4313.91</v>
      </c>
      <c r="S32" s="149">
        <v>0</v>
      </c>
      <c r="T32" s="149">
        <f>Valores!$C$43</f>
        <v>2324.69</v>
      </c>
      <c r="U32" s="149">
        <f>Valores!$C$23</f>
        <v>3527.01</v>
      </c>
      <c r="V32" s="149">
        <f t="shared" si="3"/>
        <v>3527.01</v>
      </c>
      <c r="W32" s="149">
        <v>0</v>
      </c>
      <c r="X32" s="149">
        <v>0</v>
      </c>
      <c r="Y32" s="157">
        <v>0</v>
      </c>
      <c r="Z32" s="149">
        <f>Y32*Valores!$C$2</f>
        <v>0</v>
      </c>
      <c r="AA32" s="149">
        <f>SUM(L32,J32,H32,T32)*Valores!$C$3</f>
        <v>6744.892500000001</v>
      </c>
      <c r="AB32" s="154">
        <f>Valores!$C$29</f>
        <v>199.86</v>
      </c>
      <c r="AC32" s="149">
        <f t="shared" si="5"/>
        <v>0</v>
      </c>
      <c r="AD32" s="149">
        <f>Valores!$C$30</f>
        <v>199.86</v>
      </c>
      <c r="AE32" s="157">
        <v>0</v>
      </c>
      <c r="AF32" s="149">
        <f>INT(((AE32*Valores!$C$2)*100)+0.5)/100</f>
        <v>0</v>
      </c>
      <c r="AG32" s="149">
        <f>Valores!$C$58</f>
        <v>406.53</v>
      </c>
      <c r="AH32" s="149">
        <f>Valores!$C$60</f>
        <v>116.15</v>
      </c>
      <c r="AI32" s="162">
        <f t="shared" si="6"/>
        <v>73873.8865</v>
      </c>
      <c r="AJ32" s="146">
        <f>Valores!$C$35</f>
        <v>1046.83</v>
      </c>
      <c r="AK32" s="149">
        <f>Valores!$C$80</f>
        <v>3250</v>
      </c>
      <c r="AL32" s="154">
        <f>Valores!$C$50</f>
        <v>327.6</v>
      </c>
      <c r="AM32" s="162">
        <f t="shared" si="4"/>
        <v>4296.83</v>
      </c>
      <c r="AN32" s="146">
        <f>AI32*-Valores!$C$65</f>
        <v>-8495.4969475</v>
      </c>
      <c r="AO32" s="146">
        <f>AI32*-Valores!$C$66</f>
        <v>-3324.3248924999994</v>
      </c>
      <c r="AP32" s="170">
        <v>-159.43</v>
      </c>
      <c r="AQ32" s="170">
        <f t="shared" si="7"/>
        <v>-53.83</v>
      </c>
      <c r="AR32" s="162">
        <f t="shared" si="8"/>
        <v>66137.63466000001</v>
      </c>
    </row>
    <row r="33" spans="1:44" s="137" customFormat="1" ht="11.25" customHeight="1">
      <c r="A33" s="147">
        <v>31</v>
      </c>
      <c r="B33" s="147"/>
      <c r="C33" s="147" t="s">
        <v>178</v>
      </c>
      <c r="D33" s="147"/>
      <c r="E33" s="147">
        <f t="shared" si="0"/>
        <v>20</v>
      </c>
      <c r="F33" s="155" t="s">
        <v>179</v>
      </c>
      <c r="G33" s="152">
        <v>92</v>
      </c>
      <c r="H33" s="149">
        <f>INT((G33*Valores!$C$2*100)+0.5)/100</f>
        <v>776.37</v>
      </c>
      <c r="I33" s="150">
        <v>3483</v>
      </c>
      <c r="J33" s="149">
        <f>INT((I33*Valores!$C$2*100)+0.5)/100</f>
        <v>29392.34</v>
      </c>
      <c r="K33" s="156">
        <v>1217</v>
      </c>
      <c r="L33" s="149">
        <f>INT((K33*Valores!$C$2*100)+0.5)/100</f>
        <v>10270.02</v>
      </c>
      <c r="M33" s="152">
        <v>0</v>
      </c>
      <c r="N33" s="149">
        <f>INT((M33*Valores!$C$2*100)+0.5)/100</f>
        <v>0</v>
      </c>
      <c r="O33" s="149">
        <f t="shared" si="1"/>
        <v>6943.5644999999995</v>
      </c>
      <c r="P33" s="149">
        <f t="shared" si="2"/>
        <v>0</v>
      </c>
      <c r="Q33" s="146">
        <f>Valores!$C$18</f>
        <v>10349.78</v>
      </c>
      <c r="R33" s="146">
        <f>Valores!$D$4</f>
        <v>4313.91</v>
      </c>
      <c r="S33" s="149">
        <v>0</v>
      </c>
      <c r="T33" s="149">
        <f>Valores!$C$43</f>
        <v>2324.69</v>
      </c>
      <c r="U33" s="149">
        <f>Valores!$C$23</f>
        <v>3527.01</v>
      </c>
      <c r="V33" s="149">
        <f t="shared" si="3"/>
        <v>3527.01</v>
      </c>
      <c r="W33" s="149">
        <v>0</v>
      </c>
      <c r="X33" s="149">
        <v>0</v>
      </c>
      <c r="Y33" s="157">
        <v>0</v>
      </c>
      <c r="Z33" s="149">
        <f>Y33*Valores!$C$2</f>
        <v>0</v>
      </c>
      <c r="AA33" s="149">
        <v>0</v>
      </c>
      <c r="AB33" s="154">
        <f>Valores!$C$29</f>
        <v>199.86</v>
      </c>
      <c r="AC33" s="149">
        <f t="shared" si="5"/>
        <v>0</v>
      </c>
      <c r="AD33" s="149">
        <f>Valores!$C$30</f>
        <v>199.86</v>
      </c>
      <c r="AE33" s="157">
        <v>0</v>
      </c>
      <c r="AF33" s="149">
        <f>INT(((AE33*Valores!$C$2)*100)+0.5)/100</f>
        <v>0</v>
      </c>
      <c r="AG33" s="149">
        <f>Valores!$C$58</f>
        <v>406.53</v>
      </c>
      <c r="AH33" s="149">
        <f>Valores!$C$60</f>
        <v>116.15</v>
      </c>
      <c r="AI33" s="162">
        <f t="shared" si="6"/>
        <v>68820.08449999998</v>
      </c>
      <c r="AJ33" s="146">
        <f>Valores!$C$35</f>
        <v>1046.83</v>
      </c>
      <c r="AK33" s="149">
        <f>Valores!$C$82</f>
        <v>6500</v>
      </c>
      <c r="AL33" s="154">
        <f>Valores!$C$50</f>
        <v>327.6</v>
      </c>
      <c r="AM33" s="162">
        <f t="shared" si="4"/>
        <v>7546.83</v>
      </c>
      <c r="AN33" s="146">
        <f>AI33*-Valores!$C$65</f>
        <v>-7914.309717499998</v>
      </c>
      <c r="AO33" s="146">
        <f>AI33*-Valores!$C$66</f>
        <v>-3096.903802499999</v>
      </c>
      <c r="AP33" s="170">
        <v>-159.43</v>
      </c>
      <c r="AQ33" s="170">
        <f t="shared" si="7"/>
        <v>-53.83</v>
      </c>
      <c r="AR33" s="162">
        <f t="shared" si="8"/>
        <v>65142.440979999985</v>
      </c>
    </row>
    <row r="34" spans="1:44" s="137" customFormat="1" ht="11.25" customHeight="1">
      <c r="A34" s="147">
        <v>32</v>
      </c>
      <c r="B34" s="147"/>
      <c r="C34" s="147" t="s">
        <v>180</v>
      </c>
      <c r="D34" s="147"/>
      <c r="E34" s="147">
        <f t="shared" si="0"/>
        <v>30</v>
      </c>
      <c r="F34" s="155" t="s">
        <v>181</v>
      </c>
      <c r="G34" s="152">
        <v>85</v>
      </c>
      <c r="H34" s="149">
        <f>INT((G34*Valores!$C$2*100)+0.5)/100</f>
        <v>717.3</v>
      </c>
      <c r="I34" s="150">
        <v>3498</v>
      </c>
      <c r="J34" s="149">
        <f>INT((I34*Valores!$C$2*100)+0.5)/100</f>
        <v>29518.92</v>
      </c>
      <c r="K34" s="156">
        <v>1209</v>
      </c>
      <c r="L34" s="149">
        <f>INT((K34*Valores!$C$2*100)+0.5)/100</f>
        <v>10202.51</v>
      </c>
      <c r="M34" s="152">
        <v>0</v>
      </c>
      <c r="N34" s="149">
        <f>INT((M34*Valores!$C$2*100)+0.5)/100</f>
        <v>0</v>
      </c>
      <c r="O34" s="149">
        <f t="shared" si="1"/>
        <v>6943.5644999999995</v>
      </c>
      <c r="P34" s="149">
        <f t="shared" si="2"/>
        <v>0</v>
      </c>
      <c r="Q34" s="146">
        <f>Valores!$C$18</f>
        <v>10349.78</v>
      </c>
      <c r="R34" s="146">
        <f>Valores!$D$4</f>
        <v>4313.91</v>
      </c>
      <c r="S34" s="149">
        <v>0</v>
      </c>
      <c r="T34" s="149">
        <f>Valores!$C$43</f>
        <v>2324.69</v>
      </c>
      <c r="U34" s="149">
        <f>Valores!$C$23</f>
        <v>3527.01</v>
      </c>
      <c r="V34" s="149">
        <f t="shared" si="3"/>
        <v>3527.01</v>
      </c>
      <c r="W34" s="149">
        <v>0</v>
      </c>
      <c r="X34" s="149">
        <v>0</v>
      </c>
      <c r="Y34" s="157">
        <v>0</v>
      </c>
      <c r="Z34" s="149">
        <f>Y34*Valores!$C$2</f>
        <v>0</v>
      </c>
      <c r="AA34" s="149">
        <v>0</v>
      </c>
      <c r="AB34" s="154">
        <f>Valores!$C$29</f>
        <v>199.86</v>
      </c>
      <c r="AC34" s="149">
        <f t="shared" si="5"/>
        <v>0</v>
      </c>
      <c r="AD34" s="149">
        <f>Valores!$C$30</f>
        <v>199.86</v>
      </c>
      <c r="AE34" s="157">
        <v>0</v>
      </c>
      <c r="AF34" s="149">
        <f>INT(((AE34*Valores!$C$2)*100)+0.5)/100</f>
        <v>0</v>
      </c>
      <c r="AG34" s="149">
        <f>Valores!$C$58</f>
        <v>406.53</v>
      </c>
      <c r="AH34" s="149">
        <f>Valores!$C$60</f>
        <v>116.15</v>
      </c>
      <c r="AI34" s="162">
        <f t="shared" si="6"/>
        <v>68820.08449999998</v>
      </c>
      <c r="AJ34" s="146">
        <f>Valores!$C$35</f>
        <v>1046.83</v>
      </c>
      <c r="AK34" s="149">
        <f>Valores!$C$82</f>
        <v>6500</v>
      </c>
      <c r="AL34" s="154">
        <f>Valores!$C$50</f>
        <v>327.6</v>
      </c>
      <c r="AM34" s="162">
        <f t="shared" si="4"/>
        <v>7546.83</v>
      </c>
      <c r="AN34" s="146">
        <f>AI34*-Valores!$C$65</f>
        <v>-7914.309717499998</v>
      </c>
      <c r="AO34" s="146">
        <f>AI34*-Valores!$C$66</f>
        <v>-3096.903802499999</v>
      </c>
      <c r="AP34" s="170">
        <v>-159.43</v>
      </c>
      <c r="AQ34" s="170">
        <f t="shared" si="7"/>
        <v>-53.83</v>
      </c>
      <c r="AR34" s="162">
        <f t="shared" si="8"/>
        <v>65142.440979999985</v>
      </c>
    </row>
    <row r="35" spans="1:44" s="137" customFormat="1" ht="11.25" customHeight="1">
      <c r="A35" s="147">
        <v>33</v>
      </c>
      <c r="B35" s="147"/>
      <c r="C35" s="147" t="s">
        <v>182</v>
      </c>
      <c r="D35" s="147"/>
      <c r="E35" s="147">
        <f t="shared" si="0"/>
        <v>16</v>
      </c>
      <c r="F35" s="155" t="s">
        <v>183</v>
      </c>
      <c r="G35" s="152">
        <v>92</v>
      </c>
      <c r="H35" s="149">
        <f>INT((G35*Valores!$C$2*100)+0.5)/100</f>
        <v>776.37</v>
      </c>
      <c r="I35" s="150">
        <v>3483</v>
      </c>
      <c r="J35" s="149">
        <f>INT((I35*Valores!$C$2*100)+0.5)/100</f>
        <v>29392.34</v>
      </c>
      <c r="K35" s="156">
        <v>1217</v>
      </c>
      <c r="L35" s="149">
        <f>INT((K35*Valores!$C$2*100)+0.5)/100</f>
        <v>10270.02</v>
      </c>
      <c r="M35" s="152">
        <v>0</v>
      </c>
      <c r="N35" s="149">
        <f>INT((M35*Valores!$C$2*100)+0.5)/100</f>
        <v>0</v>
      </c>
      <c r="O35" s="149">
        <f t="shared" si="1"/>
        <v>6943.5644999999995</v>
      </c>
      <c r="P35" s="149">
        <f t="shared" si="2"/>
        <v>0</v>
      </c>
      <c r="Q35" s="146">
        <f>Valores!$C$18</f>
        <v>10349.78</v>
      </c>
      <c r="R35" s="146">
        <f>Valores!$D$4</f>
        <v>4313.91</v>
      </c>
      <c r="S35" s="149">
        <v>0</v>
      </c>
      <c r="T35" s="149">
        <f>Valores!$C$43</f>
        <v>2324.69</v>
      </c>
      <c r="U35" s="149">
        <f>Valores!$C$23</f>
        <v>3527.01</v>
      </c>
      <c r="V35" s="149">
        <f t="shared" si="3"/>
        <v>3527.01</v>
      </c>
      <c r="W35" s="149">
        <v>0</v>
      </c>
      <c r="X35" s="149">
        <v>0</v>
      </c>
      <c r="Y35" s="157">
        <v>0</v>
      </c>
      <c r="Z35" s="149">
        <f>Y35*Valores!$C$2</f>
        <v>0</v>
      </c>
      <c r="AA35" s="149">
        <v>0</v>
      </c>
      <c r="AB35" s="154">
        <f>Valores!$C$29</f>
        <v>199.86</v>
      </c>
      <c r="AC35" s="149">
        <f t="shared" si="5"/>
        <v>0</v>
      </c>
      <c r="AD35" s="149">
        <f>Valores!$C$30</f>
        <v>199.86</v>
      </c>
      <c r="AE35" s="157">
        <v>0</v>
      </c>
      <c r="AF35" s="149">
        <f>INT(((AE35*Valores!$C$2)*100)+0.5)/100</f>
        <v>0</v>
      </c>
      <c r="AG35" s="149">
        <f>Valores!$C$58</f>
        <v>406.53</v>
      </c>
      <c r="AH35" s="149">
        <f>Valores!$C$60</f>
        <v>116.15</v>
      </c>
      <c r="AI35" s="162">
        <f t="shared" si="6"/>
        <v>68820.08449999998</v>
      </c>
      <c r="AJ35" s="146">
        <f>Valores!$C$35</f>
        <v>1046.83</v>
      </c>
      <c r="AK35" s="149">
        <f>Valores!$C$82</f>
        <v>6500</v>
      </c>
      <c r="AL35" s="154">
        <f>Valores!$C$50</f>
        <v>327.6</v>
      </c>
      <c r="AM35" s="162">
        <f t="shared" si="4"/>
        <v>7546.83</v>
      </c>
      <c r="AN35" s="146">
        <f>AI35*-Valores!$C$65</f>
        <v>-7914.309717499998</v>
      </c>
      <c r="AO35" s="146">
        <f>AI35*-Valores!$C$66</f>
        <v>-3096.903802499999</v>
      </c>
      <c r="AP35" s="170">
        <v>-159.43</v>
      </c>
      <c r="AQ35" s="170">
        <f t="shared" si="7"/>
        <v>-53.83</v>
      </c>
      <c r="AR35" s="162">
        <f t="shared" si="8"/>
        <v>65142.440979999985</v>
      </c>
    </row>
    <row r="36" spans="1:44" s="137" customFormat="1" ht="11.25" customHeight="1">
      <c r="A36" s="147">
        <v>34</v>
      </c>
      <c r="B36" s="147"/>
      <c r="C36" s="147" t="s">
        <v>184</v>
      </c>
      <c r="D36" s="147"/>
      <c r="E36" s="147">
        <f t="shared" si="0"/>
        <v>28</v>
      </c>
      <c r="F36" s="155" t="s">
        <v>185</v>
      </c>
      <c r="G36" s="152">
        <v>85</v>
      </c>
      <c r="H36" s="149">
        <f>INT((G36*Valores!$C$2*100)+0.5)/100</f>
        <v>717.3</v>
      </c>
      <c r="I36" s="150">
        <v>3498</v>
      </c>
      <c r="J36" s="149">
        <f>INT((I36*Valores!$C$2*100)+0.5)/100</f>
        <v>29518.92</v>
      </c>
      <c r="K36" s="156">
        <v>1209</v>
      </c>
      <c r="L36" s="149">
        <f>INT((K36*Valores!$C$2*100)+0.5)/100</f>
        <v>10202.51</v>
      </c>
      <c r="M36" s="152">
        <v>0</v>
      </c>
      <c r="N36" s="149">
        <f>INT((M36*Valores!$C$2*100)+0.5)/100</f>
        <v>0</v>
      </c>
      <c r="O36" s="149">
        <f t="shared" si="1"/>
        <v>6943.5644999999995</v>
      </c>
      <c r="P36" s="149">
        <f t="shared" si="2"/>
        <v>0</v>
      </c>
      <c r="Q36" s="146">
        <f>Valores!$C$18</f>
        <v>10349.78</v>
      </c>
      <c r="R36" s="146">
        <f>Valores!$D$4</f>
        <v>4313.91</v>
      </c>
      <c r="S36" s="149">
        <v>0</v>
      </c>
      <c r="T36" s="149">
        <f>Valores!$C$43</f>
        <v>2324.69</v>
      </c>
      <c r="U36" s="149">
        <f>Valores!$C$23</f>
        <v>3527.01</v>
      </c>
      <c r="V36" s="149">
        <f t="shared" si="3"/>
        <v>3527.01</v>
      </c>
      <c r="W36" s="149">
        <v>0</v>
      </c>
      <c r="X36" s="149">
        <v>0</v>
      </c>
      <c r="Y36" s="157">
        <v>0</v>
      </c>
      <c r="Z36" s="149">
        <f>Y36*Valores!$C$2</f>
        <v>0</v>
      </c>
      <c r="AA36" s="149">
        <v>0</v>
      </c>
      <c r="AB36" s="154">
        <f>Valores!$C$29</f>
        <v>199.86</v>
      </c>
      <c r="AC36" s="149">
        <f t="shared" si="5"/>
        <v>0</v>
      </c>
      <c r="AD36" s="149">
        <f>Valores!$C$30</f>
        <v>199.86</v>
      </c>
      <c r="AE36" s="157">
        <v>0</v>
      </c>
      <c r="AF36" s="149">
        <f>INT(((AE36*Valores!$C$2)*100)+0.5)/100</f>
        <v>0</v>
      </c>
      <c r="AG36" s="149">
        <f>Valores!$C$58</f>
        <v>406.53</v>
      </c>
      <c r="AH36" s="149">
        <f>Valores!$C$60</f>
        <v>116.15</v>
      </c>
      <c r="AI36" s="162">
        <f t="shared" si="6"/>
        <v>68820.08449999998</v>
      </c>
      <c r="AJ36" s="146">
        <f>Valores!$C$35</f>
        <v>1046.83</v>
      </c>
      <c r="AK36" s="149">
        <f>Valores!$C$82</f>
        <v>6500</v>
      </c>
      <c r="AL36" s="154">
        <f>Valores!$C$50</f>
        <v>327.6</v>
      </c>
      <c r="AM36" s="162">
        <f t="shared" si="4"/>
        <v>7546.83</v>
      </c>
      <c r="AN36" s="146">
        <f>AI36*-Valores!$C$65</f>
        <v>-7914.309717499998</v>
      </c>
      <c r="AO36" s="146">
        <f>AI36*-Valores!$C$66</f>
        <v>-3096.903802499999</v>
      </c>
      <c r="AP36" s="170">
        <v>-159.43</v>
      </c>
      <c r="AQ36" s="170">
        <f t="shared" si="7"/>
        <v>-53.83</v>
      </c>
      <c r="AR36" s="162">
        <f t="shared" si="8"/>
        <v>65142.440979999985</v>
      </c>
    </row>
    <row r="37" spans="1:44" s="137" customFormat="1" ht="11.25" customHeight="1">
      <c r="A37" s="147">
        <v>35</v>
      </c>
      <c r="B37" s="147" t="s">
        <v>135</v>
      </c>
      <c r="C37" s="147" t="s">
        <v>186</v>
      </c>
      <c r="D37" s="147"/>
      <c r="E37" s="147">
        <f t="shared" si="0"/>
        <v>29</v>
      </c>
      <c r="F37" s="155" t="s">
        <v>187</v>
      </c>
      <c r="G37" s="152">
        <v>92</v>
      </c>
      <c r="H37" s="149">
        <f>INT((G37*Valores!$C$2*100)+0.5)/100</f>
        <v>776.37</v>
      </c>
      <c r="I37" s="150">
        <v>3483</v>
      </c>
      <c r="J37" s="149">
        <f>INT((I37*Valores!$C$2*100)+0.5)/100</f>
        <v>29392.34</v>
      </c>
      <c r="K37" s="156">
        <v>1217</v>
      </c>
      <c r="L37" s="149">
        <f>INT((K37*Valores!$C$2*100)+0.5)/100</f>
        <v>10270.02</v>
      </c>
      <c r="M37" s="152">
        <v>0</v>
      </c>
      <c r="N37" s="149">
        <f>INT((M37*Valores!$C$2*100)+0.5)/100</f>
        <v>0</v>
      </c>
      <c r="O37" s="149">
        <f t="shared" si="1"/>
        <v>6943.5644999999995</v>
      </c>
      <c r="P37" s="149">
        <f t="shared" si="2"/>
        <v>0</v>
      </c>
      <c r="Q37" s="146">
        <f>Valores!$C$18</f>
        <v>10349.78</v>
      </c>
      <c r="R37" s="146">
        <f>Valores!$D$4</f>
        <v>4313.91</v>
      </c>
      <c r="S37" s="149">
        <v>0</v>
      </c>
      <c r="T37" s="149">
        <f>Valores!$C$43</f>
        <v>2324.69</v>
      </c>
      <c r="U37" s="149">
        <f>Valores!$C$23</f>
        <v>3527.01</v>
      </c>
      <c r="V37" s="149">
        <f t="shared" si="3"/>
        <v>3527.01</v>
      </c>
      <c r="W37" s="149">
        <v>0</v>
      </c>
      <c r="X37" s="149">
        <v>0</v>
      </c>
      <c r="Y37" s="157">
        <v>0</v>
      </c>
      <c r="Z37" s="149">
        <f>Y37*Valores!$C$2</f>
        <v>0</v>
      </c>
      <c r="AA37" s="149">
        <f>SUM(L37,J37,H37,T37)*Valores!$C$3</f>
        <v>6414.513000000001</v>
      </c>
      <c r="AB37" s="154">
        <f>Valores!$C$29</f>
        <v>199.86</v>
      </c>
      <c r="AC37" s="149">
        <f t="shared" si="5"/>
        <v>0</v>
      </c>
      <c r="AD37" s="149">
        <f>Valores!$C$30</f>
        <v>199.86</v>
      </c>
      <c r="AE37" s="157">
        <v>0</v>
      </c>
      <c r="AF37" s="149">
        <f>INT(((AE37*Valores!$C$2)*100)+0.5)/100</f>
        <v>0</v>
      </c>
      <c r="AG37" s="149">
        <f>Valores!$C$58</f>
        <v>406.53</v>
      </c>
      <c r="AH37" s="149">
        <f>Valores!$C$60</f>
        <v>116.15</v>
      </c>
      <c r="AI37" s="162">
        <f t="shared" si="6"/>
        <v>75234.59749999999</v>
      </c>
      <c r="AJ37" s="146">
        <f>Valores!$C$35</f>
        <v>1046.83</v>
      </c>
      <c r="AK37" s="149">
        <f>Valores!$C$82</f>
        <v>6500</v>
      </c>
      <c r="AL37" s="154">
        <f>Valores!$C$50</f>
        <v>327.6</v>
      </c>
      <c r="AM37" s="162">
        <f t="shared" si="4"/>
        <v>7546.83</v>
      </c>
      <c r="AN37" s="146">
        <f>AI37*-Valores!$C$65</f>
        <v>-8651.978712499998</v>
      </c>
      <c r="AO37" s="146">
        <f>AI37*-Valores!$C$66</f>
        <v>-3385.5568874999994</v>
      </c>
      <c r="AP37" s="170">
        <v>-159.43</v>
      </c>
      <c r="AQ37" s="170">
        <f t="shared" si="7"/>
        <v>-53.83</v>
      </c>
      <c r="AR37" s="162">
        <f t="shared" si="8"/>
        <v>70530.6319</v>
      </c>
    </row>
    <row r="38" spans="1:44" s="137" customFormat="1" ht="11.25" customHeight="1">
      <c r="A38" s="147">
        <v>36</v>
      </c>
      <c r="B38" s="147"/>
      <c r="C38" s="147" t="s">
        <v>188</v>
      </c>
      <c r="D38" s="147"/>
      <c r="E38" s="147">
        <f t="shared" si="0"/>
        <v>27</v>
      </c>
      <c r="F38" s="155" t="s">
        <v>189</v>
      </c>
      <c r="G38" s="152">
        <v>85</v>
      </c>
      <c r="H38" s="149">
        <f>INT((G38*Valores!$C$2*100)+0.5)/100</f>
        <v>717.3</v>
      </c>
      <c r="I38" s="150">
        <v>3498</v>
      </c>
      <c r="J38" s="149">
        <f>INT((I38*Valores!$C$2*100)+0.5)/100</f>
        <v>29518.92</v>
      </c>
      <c r="K38" s="156">
        <v>202</v>
      </c>
      <c r="L38" s="149">
        <f>INT((K38*Valores!$C$2*100)+0.5)/100</f>
        <v>1704.64</v>
      </c>
      <c r="M38" s="152">
        <v>0</v>
      </c>
      <c r="N38" s="149">
        <f>INT((M38*Valores!$C$2*100)+0.5)/100</f>
        <v>0</v>
      </c>
      <c r="O38" s="149">
        <f t="shared" si="1"/>
        <v>5668.883999999999</v>
      </c>
      <c r="P38" s="149">
        <f t="shared" si="2"/>
        <v>0</v>
      </c>
      <c r="Q38" s="146">
        <f>Valores!$C$18</f>
        <v>10349.78</v>
      </c>
      <c r="R38" s="146">
        <f>Valores!$D$4</f>
        <v>4313.91</v>
      </c>
      <c r="S38" s="149">
        <v>0</v>
      </c>
      <c r="T38" s="149">
        <f>Valores!$C$43</f>
        <v>2324.69</v>
      </c>
      <c r="U38" s="149">
        <f>Valores!$C$23</f>
        <v>3527.01</v>
      </c>
      <c r="V38" s="149">
        <f t="shared" si="3"/>
        <v>3527.01</v>
      </c>
      <c r="W38" s="149">
        <v>0</v>
      </c>
      <c r="X38" s="149">
        <v>0</v>
      </c>
      <c r="Y38" s="157">
        <v>0</v>
      </c>
      <c r="Z38" s="149">
        <f>Y38*Valores!$C$2</f>
        <v>0</v>
      </c>
      <c r="AA38" s="149">
        <v>0</v>
      </c>
      <c r="AB38" s="154">
        <f>Valores!$C$29</f>
        <v>199.86</v>
      </c>
      <c r="AC38" s="149">
        <f t="shared" si="5"/>
        <v>0</v>
      </c>
      <c r="AD38" s="149">
        <f>Valores!$C$30</f>
        <v>199.86</v>
      </c>
      <c r="AE38" s="157">
        <v>0</v>
      </c>
      <c r="AF38" s="149">
        <f>INT(((AE38*Valores!$C$2)*100)+0.5)/100</f>
        <v>0</v>
      </c>
      <c r="AG38" s="149">
        <f>Valores!$C$58</f>
        <v>406.53</v>
      </c>
      <c r="AH38" s="149">
        <f>Valores!$C$60</f>
        <v>116.15</v>
      </c>
      <c r="AI38" s="162">
        <f t="shared" si="6"/>
        <v>59047.534</v>
      </c>
      <c r="AJ38" s="146">
        <f>Valores!$C$35</f>
        <v>1046.83</v>
      </c>
      <c r="AK38" s="149">
        <f>Valores!$C$82</f>
        <v>6500</v>
      </c>
      <c r="AL38" s="154">
        <f>Valores!$C$50</f>
        <v>327.6</v>
      </c>
      <c r="AM38" s="162">
        <f t="shared" si="4"/>
        <v>7546.83</v>
      </c>
      <c r="AN38" s="146">
        <f>AI38*-Valores!$C$65</f>
        <v>-6790.46641</v>
      </c>
      <c r="AO38" s="146">
        <f>AI38*-Valores!$C$66</f>
        <v>-2657.13903</v>
      </c>
      <c r="AP38" s="170">
        <v>-159.43</v>
      </c>
      <c r="AQ38" s="170">
        <f t="shared" si="7"/>
        <v>-53.83</v>
      </c>
      <c r="AR38" s="162">
        <f t="shared" si="8"/>
        <v>56933.49856</v>
      </c>
    </row>
    <row r="39" spans="1:44" s="137" customFormat="1" ht="11.25" customHeight="1">
      <c r="A39" s="147">
        <v>37</v>
      </c>
      <c r="B39" s="147"/>
      <c r="C39" s="147" t="s">
        <v>190</v>
      </c>
      <c r="D39" s="147"/>
      <c r="E39" s="147">
        <f t="shared" si="0"/>
        <v>22</v>
      </c>
      <c r="F39" s="155" t="s">
        <v>191</v>
      </c>
      <c r="G39" s="152">
        <v>85</v>
      </c>
      <c r="H39" s="149">
        <f>INT((G39*Valores!$C$2*100)+0.5)/100</f>
        <v>717.3</v>
      </c>
      <c r="I39" s="150">
        <v>3498</v>
      </c>
      <c r="J39" s="149">
        <f>INT((I39*Valores!$C$2*100)+0.5)/100</f>
        <v>29518.92</v>
      </c>
      <c r="K39" s="156">
        <v>1209</v>
      </c>
      <c r="L39" s="149">
        <f>INT((K39*Valores!$C$2*100)+0.5)/100</f>
        <v>10202.51</v>
      </c>
      <c r="M39" s="152">
        <v>0</v>
      </c>
      <c r="N39" s="149">
        <f>INT((M39*Valores!$C$2*100)+0.5)/100</f>
        <v>0</v>
      </c>
      <c r="O39" s="149">
        <f t="shared" si="1"/>
        <v>6943.5644999999995</v>
      </c>
      <c r="P39" s="149">
        <f t="shared" si="2"/>
        <v>0</v>
      </c>
      <c r="Q39" s="146">
        <f>Valores!$C$18</f>
        <v>10349.78</v>
      </c>
      <c r="R39" s="146">
        <f>Valores!$D$4</f>
        <v>4313.91</v>
      </c>
      <c r="S39" s="149">
        <v>0</v>
      </c>
      <c r="T39" s="149">
        <f>Valores!$C$43</f>
        <v>2324.69</v>
      </c>
      <c r="U39" s="149">
        <f>Valores!$C$23</f>
        <v>3527.01</v>
      </c>
      <c r="V39" s="149">
        <f t="shared" si="3"/>
        <v>3527.01</v>
      </c>
      <c r="W39" s="149">
        <v>0</v>
      </c>
      <c r="X39" s="149">
        <v>0</v>
      </c>
      <c r="Y39" s="157">
        <v>0</v>
      </c>
      <c r="Z39" s="149">
        <f>Y39*Valores!$C$2</f>
        <v>0</v>
      </c>
      <c r="AA39" s="149">
        <v>0</v>
      </c>
      <c r="AB39" s="154">
        <f>Valores!$C$29</f>
        <v>199.86</v>
      </c>
      <c r="AC39" s="149">
        <f t="shared" si="5"/>
        <v>0</v>
      </c>
      <c r="AD39" s="149">
        <f>Valores!$C$30</f>
        <v>199.86</v>
      </c>
      <c r="AE39" s="157">
        <v>0</v>
      </c>
      <c r="AF39" s="149">
        <f>INT(((AE39*Valores!$C$2)*100)+0.5)/100</f>
        <v>0</v>
      </c>
      <c r="AG39" s="149">
        <f>Valores!$C$58</f>
        <v>406.53</v>
      </c>
      <c r="AH39" s="149">
        <f>Valores!$C$60</f>
        <v>116.15</v>
      </c>
      <c r="AI39" s="162">
        <f t="shared" si="6"/>
        <v>68820.08449999998</v>
      </c>
      <c r="AJ39" s="146">
        <f>Valores!$C$35</f>
        <v>1046.83</v>
      </c>
      <c r="AK39" s="149">
        <f>Valores!$C$82</f>
        <v>6500</v>
      </c>
      <c r="AL39" s="154">
        <f>Valores!$C$50</f>
        <v>327.6</v>
      </c>
      <c r="AM39" s="162">
        <f t="shared" si="4"/>
        <v>7546.83</v>
      </c>
      <c r="AN39" s="146">
        <f>AI39*-Valores!$C$65</f>
        <v>-7914.309717499998</v>
      </c>
      <c r="AO39" s="146">
        <f>AI39*-Valores!$C$66</f>
        <v>-3096.903802499999</v>
      </c>
      <c r="AP39" s="170">
        <v>-159.43</v>
      </c>
      <c r="AQ39" s="170">
        <f t="shared" si="7"/>
        <v>-53.83</v>
      </c>
      <c r="AR39" s="162">
        <f t="shared" si="8"/>
        <v>65142.440979999985</v>
      </c>
    </row>
    <row r="40" spans="1:44" s="137" customFormat="1" ht="11.25" customHeight="1">
      <c r="A40" s="147">
        <v>38</v>
      </c>
      <c r="B40" s="147"/>
      <c r="C40" s="147" t="s">
        <v>192</v>
      </c>
      <c r="D40" s="147"/>
      <c r="E40" s="147">
        <f t="shared" si="0"/>
        <v>30</v>
      </c>
      <c r="F40" s="155" t="s">
        <v>193</v>
      </c>
      <c r="G40" s="152">
        <v>85</v>
      </c>
      <c r="H40" s="149">
        <f>INT((G40*Valores!$C$2*100)+0.5)/100</f>
        <v>717.3</v>
      </c>
      <c r="I40" s="150">
        <v>3498</v>
      </c>
      <c r="J40" s="149">
        <f>INT((I40*Valores!$C$2*100)+0.5)/100</f>
        <v>29518.92</v>
      </c>
      <c r="K40" s="156">
        <v>1209</v>
      </c>
      <c r="L40" s="149">
        <f>INT((K40*Valores!$C$2*100)+0.5)/100</f>
        <v>10202.51</v>
      </c>
      <c r="M40" s="152">
        <v>0</v>
      </c>
      <c r="N40" s="149">
        <f>INT((M40*Valores!$C$2*100)+0.5)/100</f>
        <v>0</v>
      </c>
      <c r="O40" s="149">
        <f t="shared" si="1"/>
        <v>6943.5644999999995</v>
      </c>
      <c r="P40" s="149">
        <f t="shared" si="2"/>
        <v>0</v>
      </c>
      <c r="Q40" s="146">
        <f>Valores!$C$18</f>
        <v>10349.78</v>
      </c>
      <c r="R40" s="146">
        <f>Valores!$D$4</f>
        <v>4313.91</v>
      </c>
      <c r="S40" s="149">
        <v>0</v>
      </c>
      <c r="T40" s="149">
        <f>Valores!$C$43</f>
        <v>2324.69</v>
      </c>
      <c r="U40" s="149">
        <f>Valores!$C$23</f>
        <v>3527.01</v>
      </c>
      <c r="V40" s="149">
        <f t="shared" si="3"/>
        <v>3527.01</v>
      </c>
      <c r="W40" s="149">
        <v>0</v>
      </c>
      <c r="X40" s="149">
        <v>0</v>
      </c>
      <c r="Y40" s="157">
        <v>0</v>
      </c>
      <c r="Z40" s="149">
        <f>Y40*Valores!$C$2</f>
        <v>0</v>
      </c>
      <c r="AA40" s="149">
        <v>0</v>
      </c>
      <c r="AB40" s="154">
        <f>Valores!$C$29</f>
        <v>199.86</v>
      </c>
      <c r="AC40" s="149">
        <f t="shared" si="5"/>
        <v>0</v>
      </c>
      <c r="AD40" s="149">
        <f>Valores!$C$30</f>
        <v>199.86</v>
      </c>
      <c r="AE40" s="157">
        <v>0</v>
      </c>
      <c r="AF40" s="149">
        <f>INT(((AE40*Valores!$C$2)*100)+0.5)/100</f>
        <v>0</v>
      </c>
      <c r="AG40" s="149">
        <f>Valores!$C$58</f>
        <v>406.53</v>
      </c>
      <c r="AH40" s="149">
        <f>Valores!$C$60</f>
        <v>116.15</v>
      </c>
      <c r="AI40" s="162">
        <f t="shared" si="6"/>
        <v>68820.08449999998</v>
      </c>
      <c r="AJ40" s="146">
        <f>Valores!$C$35</f>
        <v>1046.83</v>
      </c>
      <c r="AK40" s="149">
        <f>Valores!$C$80</f>
        <v>3250</v>
      </c>
      <c r="AL40" s="154">
        <f>Valores!$C$50</f>
        <v>327.6</v>
      </c>
      <c r="AM40" s="162">
        <f t="shared" si="4"/>
        <v>4296.83</v>
      </c>
      <c r="AN40" s="146">
        <f>AI40*-Valores!$C$65</f>
        <v>-7914.309717499998</v>
      </c>
      <c r="AO40" s="146">
        <f>AI40*-Valores!$C$66</f>
        <v>-3096.903802499999</v>
      </c>
      <c r="AP40" s="170">
        <v>-159.43</v>
      </c>
      <c r="AQ40" s="170">
        <f t="shared" si="7"/>
        <v>-53.83</v>
      </c>
      <c r="AR40" s="162">
        <f t="shared" si="8"/>
        <v>61892.440979999985</v>
      </c>
    </row>
    <row r="41" spans="1:44" s="137" customFormat="1" ht="11.25" customHeight="1">
      <c r="A41" s="147">
        <v>39</v>
      </c>
      <c r="B41" s="147"/>
      <c r="C41" s="147" t="s">
        <v>194</v>
      </c>
      <c r="D41" s="147"/>
      <c r="E41" s="147">
        <f t="shared" si="0"/>
        <v>30</v>
      </c>
      <c r="F41" s="155" t="s">
        <v>195</v>
      </c>
      <c r="G41" s="152">
        <v>101</v>
      </c>
      <c r="H41" s="149">
        <f>INT((G41*Valores!$C$2*100)+0.5)/100</f>
        <v>852.32</v>
      </c>
      <c r="I41" s="150">
        <v>2548</v>
      </c>
      <c r="J41" s="149">
        <f>INT((I41*Valores!$C$2*100)+0.5)/100</f>
        <v>21502.06</v>
      </c>
      <c r="K41" s="156">
        <v>216</v>
      </c>
      <c r="L41" s="149">
        <f>INT((K41*Valores!$C$2*100)+0.5)/100</f>
        <v>1822.78</v>
      </c>
      <c r="M41" s="152">
        <v>0</v>
      </c>
      <c r="N41" s="149">
        <f>INT((M41*Valores!$C$2*100)+0.5)/100</f>
        <v>0</v>
      </c>
      <c r="O41" s="149">
        <f t="shared" si="1"/>
        <v>4504.329</v>
      </c>
      <c r="P41" s="149">
        <f t="shared" si="2"/>
        <v>0</v>
      </c>
      <c r="Q41" s="146">
        <f>Valores!$C$16</f>
        <v>5893.48</v>
      </c>
      <c r="R41" s="146">
        <f>Valores!$D$4</f>
        <v>4313.91</v>
      </c>
      <c r="S41" s="149">
        <v>0</v>
      </c>
      <c r="T41" s="149">
        <f>Valores!$C$43</f>
        <v>2324.69</v>
      </c>
      <c r="U41" s="149">
        <f>Valores!$C$23</f>
        <v>3527.01</v>
      </c>
      <c r="V41" s="149">
        <f t="shared" si="3"/>
        <v>3527.01</v>
      </c>
      <c r="W41" s="149">
        <v>0</v>
      </c>
      <c r="X41" s="149">
        <v>0</v>
      </c>
      <c r="Y41" s="157">
        <v>0</v>
      </c>
      <c r="Z41" s="149">
        <f>Y41*Valores!$C$2</f>
        <v>0</v>
      </c>
      <c r="AA41" s="149">
        <v>0</v>
      </c>
      <c r="AB41" s="154">
        <f>Valores!$C$29</f>
        <v>199.86</v>
      </c>
      <c r="AC41" s="149">
        <f t="shared" si="5"/>
        <v>0</v>
      </c>
      <c r="AD41" s="149">
        <f>Valores!$C$30</f>
        <v>199.86</v>
      </c>
      <c r="AE41" s="157">
        <v>0</v>
      </c>
      <c r="AF41" s="149">
        <f>INT(((AE41*Valores!$C$2)*100)+0.5)/100</f>
        <v>0</v>
      </c>
      <c r="AG41" s="149">
        <f>Valores!$C$58</f>
        <v>406.53</v>
      </c>
      <c r="AH41" s="149">
        <f>Valores!$C$60</f>
        <v>116.15</v>
      </c>
      <c r="AI41" s="162">
        <f t="shared" si="6"/>
        <v>45662.97900000001</v>
      </c>
      <c r="AJ41" s="146">
        <f>Valores!$C$35</f>
        <v>1046.83</v>
      </c>
      <c r="AK41" s="149">
        <f>Valores!$C$80</f>
        <v>3250</v>
      </c>
      <c r="AL41" s="154">
        <f>Valores!$C$50</f>
        <v>327.6</v>
      </c>
      <c r="AM41" s="162">
        <f t="shared" si="4"/>
        <v>4296.83</v>
      </c>
      <c r="AN41" s="146">
        <f>AI41*-Valores!$C$65</f>
        <v>-5251.242585000001</v>
      </c>
      <c r="AO41" s="146">
        <f>AI41*-Valores!$C$66</f>
        <v>-2054.8340550000003</v>
      </c>
      <c r="AP41" s="170">
        <v>-159.43</v>
      </c>
      <c r="AQ41" s="170">
        <f t="shared" si="7"/>
        <v>-53.83</v>
      </c>
      <c r="AR41" s="162">
        <f t="shared" si="8"/>
        <v>42440.47236000001</v>
      </c>
    </row>
    <row r="42" spans="1:44" s="137" customFormat="1" ht="11.25" customHeight="1">
      <c r="A42" s="147">
        <v>40</v>
      </c>
      <c r="B42" s="147" t="s">
        <v>135</v>
      </c>
      <c r="C42" s="147" t="s">
        <v>196</v>
      </c>
      <c r="D42" s="147"/>
      <c r="E42" s="147">
        <f t="shared" si="0"/>
        <v>30</v>
      </c>
      <c r="F42" s="155" t="s">
        <v>195</v>
      </c>
      <c r="G42" s="152">
        <v>101</v>
      </c>
      <c r="H42" s="149">
        <f>INT((G42*Valores!$C$2*100)+0.5)/100</f>
        <v>852.32</v>
      </c>
      <c r="I42" s="150">
        <v>2548</v>
      </c>
      <c r="J42" s="149">
        <f>INT((I42*Valores!$C$2*100)+0.5)/100</f>
        <v>21502.06</v>
      </c>
      <c r="K42" s="156">
        <v>216</v>
      </c>
      <c r="L42" s="149">
        <f>INT((K42*Valores!$C$2*100)+0.5)/100</f>
        <v>1822.78</v>
      </c>
      <c r="M42" s="152">
        <v>0</v>
      </c>
      <c r="N42" s="149">
        <f>INT((M42*Valores!$C$2*100)+0.5)/100</f>
        <v>0</v>
      </c>
      <c r="O42" s="149">
        <f t="shared" si="1"/>
        <v>4504.329</v>
      </c>
      <c r="P42" s="149">
        <f t="shared" si="2"/>
        <v>0</v>
      </c>
      <c r="Q42" s="146">
        <f>Valores!$C$16</f>
        <v>5893.48</v>
      </c>
      <c r="R42" s="146">
        <f>Valores!$D$4</f>
        <v>4313.91</v>
      </c>
      <c r="S42" s="149">
        <v>0</v>
      </c>
      <c r="T42" s="149">
        <f>Valores!$C$43</f>
        <v>2324.69</v>
      </c>
      <c r="U42" s="149">
        <f>Valores!$C$23</f>
        <v>3527.01</v>
      </c>
      <c r="V42" s="149">
        <f t="shared" si="3"/>
        <v>3527.01</v>
      </c>
      <c r="W42" s="149">
        <v>0</v>
      </c>
      <c r="X42" s="149">
        <v>0</v>
      </c>
      <c r="Y42" s="157">
        <v>0</v>
      </c>
      <c r="Z42" s="149">
        <f>Y42*Valores!$C$2</f>
        <v>0</v>
      </c>
      <c r="AA42" s="149">
        <v>0</v>
      </c>
      <c r="AB42" s="154">
        <f>Valores!$C$29</f>
        <v>199.86</v>
      </c>
      <c r="AC42" s="149">
        <f t="shared" si="5"/>
        <v>0</v>
      </c>
      <c r="AD42" s="149">
        <f>Valores!$C$30</f>
        <v>199.86</v>
      </c>
      <c r="AE42" s="157">
        <v>0</v>
      </c>
      <c r="AF42" s="149">
        <f>INT(((AE42*Valores!$C$2)*100)+0.5)/100</f>
        <v>0</v>
      </c>
      <c r="AG42" s="149">
        <f>Valores!$C$58</f>
        <v>406.53</v>
      </c>
      <c r="AH42" s="149">
        <f>Valores!$C$60</f>
        <v>116.15</v>
      </c>
      <c r="AI42" s="162">
        <f t="shared" si="6"/>
        <v>45662.97900000001</v>
      </c>
      <c r="AJ42" s="146">
        <f>Valores!$C$35</f>
        <v>1046.83</v>
      </c>
      <c r="AK42" s="149">
        <f>Valores!$C$80</f>
        <v>3250</v>
      </c>
      <c r="AL42" s="154">
        <f>Valores!$C$50</f>
        <v>327.6</v>
      </c>
      <c r="AM42" s="162">
        <f t="shared" si="4"/>
        <v>4296.83</v>
      </c>
      <c r="AN42" s="146">
        <f>AI42*-Valores!$C$65</f>
        <v>-5251.242585000001</v>
      </c>
      <c r="AO42" s="146">
        <f>AI42*-Valores!$C$66</f>
        <v>-2054.8340550000003</v>
      </c>
      <c r="AP42" s="170">
        <v>-159.43</v>
      </c>
      <c r="AQ42" s="170">
        <f t="shared" si="7"/>
        <v>-53.83</v>
      </c>
      <c r="AR42" s="162">
        <f t="shared" si="8"/>
        <v>42440.47236000001</v>
      </c>
    </row>
    <row r="43" spans="1:44" s="137" customFormat="1" ht="11.25" customHeight="1">
      <c r="A43" s="147">
        <v>41</v>
      </c>
      <c r="B43" s="147"/>
      <c r="C43" s="147" t="s">
        <v>197</v>
      </c>
      <c r="D43" s="147"/>
      <c r="E43" s="147">
        <f t="shared" si="0"/>
        <v>27</v>
      </c>
      <c r="F43" s="155" t="s">
        <v>198</v>
      </c>
      <c r="G43" s="152">
        <v>96</v>
      </c>
      <c r="H43" s="149">
        <f>INT((G43*Valores!$C$2*100)+0.5)/100</f>
        <v>810.12</v>
      </c>
      <c r="I43" s="150">
        <v>2475</v>
      </c>
      <c r="J43" s="149">
        <f>INT((I43*Valores!$C$2*100)+0.5)/100</f>
        <v>20886.03</v>
      </c>
      <c r="K43" s="156">
        <v>213</v>
      </c>
      <c r="L43" s="149">
        <f>INT((K43*Valores!$C$2*100)+0.5)/100</f>
        <v>1797.46</v>
      </c>
      <c r="M43" s="152">
        <v>0</v>
      </c>
      <c r="N43" s="149">
        <f>INT((M43*Valores!$C$2*100)+0.5)/100</f>
        <v>0</v>
      </c>
      <c r="O43" s="149">
        <f t="shared" si="1"/>
        <v>4287.065999999999</v>
      </c>
      <c r="P43" s="149">
        <f t="shared" si="2"/>
        <v>0</v>
      </c>
      <c r="Q43" s="146">
        <f>Valores!$C$16</f>
        <v>5893.48</v>
      </c>
      <c r="R43" s="146">
        <f>Valores!$D$4</f>
        <v>4313.91</v>
      </c>
      <c r="S43" s="149">
        <v>0</v>
      </c>
      <c r="T43" s="149">
        <f>Valores!$C$42</f>
        <v>1559.82</v>
      </c>
      <c r="U43" s="149">
        <f>Valores!$C$23</f>
        <v>3527.01</v>
      </c>
      <c r="V43" s="149">
        <f t="shared" si="3"/>
        <v>3527.01</v>
      </c>
      <c r="W43" s="149">
        <v>0</v>
      </c>
      <c r="X43" s="149">
        <v>0</v>
      </c>
      <c r="Y43" s="157">
        <v>0</v>
      </c>
      <c r="Z43" s="149">
        <f>Y43*Valores!$C$2</f>
        <v>0</v>
      </c>
      <c r="AA43" s="149">
        <v>0</v>
      </c>
      <c r="AB43" s="154">
        <f>Valores!$C$29</f>
        <v>199.86</v>
      </c>
      <c r="AC43" s="149">
        <f t="shared" si="5"/>
        <v>0</v>
      </c>
      <c r="AD43" s="149">
        <f>Valores!$C$30</f>
        <v>199.86</v>
      </c>
      <c r="AE43" s="157">
        <v>0</v>
      </c>
      <c r="AF43" s="149">
        <f>INT(((AE43*Valores!$C$2)*100)+0.5)/100</f>
        <v>0</v>
      </c>
      <c r="AG43" s="149">
        <f>Valores!$C$58</f>
        <v>406.53</v>
      </c>
      <c r="AH43" s="149">
        <f>Valores!$C$60</f>
        <v>116.15</v>
      </c>
      <c r="AI43" s="162">
        <f t="shared" si="6"/>
        <v>43997.295999999995</v>
      </c>
      <c r="AJ43" s="146">
        <f>Valores!$C$35</f>
        <v>1046.83</v>
      </c>
      <c r="AK43" s="149">
        <f>Valores!$C$80</f>
        <v>3250</v>
      </c>
      <c r="AL43" s="154">
        <f>Valores!$C$51</f>
        <v>170.34</v>
      </c>
      <c r="AM43" s="162">
        <f t="shared" si="4"/>
        <v>4296.83</v>
      </c>
      <c r="AN43" s="146">
        <f>AI43*-Valores!$C$65</f>
        <v>-5059.689039999999</v>
      </c>
      <c r="AO43" s="146">
        <f>AI43*-Valores!$C$66</f>
        <v>-1979.8783199999998</v>
      </c>
      <c r="AP43" s="170">
        <v>-159.43</v>
      </c>
      <c r="AQ43" s="170">
        <f t="shared" si="7"/>
        <v>-53.83</v>
      </c>
      <c r="AR43" s="162">
        <f t="shared" si="8"/>
        <v>41041.29864</v>
      </c>
    </row>
    <row r="44" spans="1:44" s="137" customFormat="1" ht="11.25" customHeight="1">
      <c r="A44" s="147">
        <v>42</v>
      </c>
      <c r="B44" s="147"/>
      <c r="C44" s="147" t="s">
        <v>199</v>
      </c>
      <c r="D44" s="147"/>
      <c r="E44" s="147">
        <f t="shared" si="0"/>
        <v>31</v>
      </c>
      <c r="F44" s="155" t="s">
        <v>200</v>
      </c>
      <c r="G44" s="152">
        <v>72</v>
      </c>
      <c r="H44" s="149">
        <f>INT((G44*Valores!$C$2*100)+0.5)/100</f>
        <v>607.59</v>
      </c>
      <c r="I44" s="150">
        <v>2471</v>
      </c>
      <c r="J44" s="149">
        <f>INT((I44*Valores!$C$2*100)+0.5)/100</f>
        <v>20852.27</v>
      </c>
      <c r="K44" s="156">
        <v>199</v>
      </c>
      <c r="L44" s="149">
        <f>INT((K44*Valores!$C$2*100)+0.5)/100</f>
        <v>1679.32</v>
      </c>
      <c r="M44" s="152">
        <v>0</v>
      </c>
      <c r="N44" s="149">
        <f>INT((M44*Valores!$C$2*100)+0.5)/100</f>
        <v>0</v>
      </c>
      <c r="O44" s="149">
        <f t="shared" si="1"/>
        <v>4233.9015</v>
      </c>
      <c r="P44" s="149">
        <f t="shared" si="2"/>
        <v>0</v>
      </c>
      <c r="Q44" s="146">
        <f>Valores!$C$16</f>
        <v>5893.48</v>
      </c>
      <c r="R44" s="146">
        <f>Valores!$D$4</f>
        <v>4313.91</v>
      </c>
      <c r="S44" s="149">
        <v>0</v>
      </c>
      <c r="T44" s="149">
        <f>Valores!$C$42</f>
        <v>1559.82</v>
      </c>
      <c r="U44" s="149">
        <f>Valores!$C$23</f>
        <v>3527.01</v>
      </c>
      <c r="V44" s="149">
        <f t="shared" si="3"/>
        <v>3527.01</v>
      </c>
      <c r="W44" s="149">
        <v>0</v>
      </c>
      <c r="X44" s="149">
        <v>0</v>
      </c>
      <c r="Y44" s="157">
        <v>0</v>
      </c>
      <c r="Z44" s="149">
        <f>Y44*Valores!$C$2</f>
        <v>0</v>
      </c>
      <c r="AA44" s="149">
        <v>0</v>
      </c>
      <c r="AB44" s="154">
        <f>Valores!$C$29</f>
        <v>199.86</v>
      </c>
      <c r="AC44" s="149">
        <f t="shared" si="5"/>
        <v>0</v>
      </c>
      <c r="AD44" s="149">
        <f>Valores!$C$30</f>
        <v>199.86</v>
      </c>
      <c r="AE44" s="157">
        <v>0</v>
      </c>
      <c r="AF44" s="149">
        <f>INT(((AE44*Valores!$C$2)*100)+0.5)/100</f>
        <v>0</v>
      </c>
      <c r="AG44" s="149">
        <f>Valores!$C$58</f>
        <v>406.53</v>
      </c>
      <c r="AH44" s="149">
        <f>Valores!$C$60</f>
        <v>116.15</v>
      </c>
      <c r="AI44" s="162">
        <f t="shared" si="6"/>
        <v>43589.7015</v>
      </c>
      <c r="AJ44" s="146">
        <f>Valores!$C$35</f>
        <v>1046.83</v>
      </c>
      <c r="AK44" s="149">
        <f>Valores!$C$80</f>
        <v>3250</v>
      </c>
      <c r="AL44" s="154">
        <f>Valores!$C$51</f>
        <v>170.34</v>
      </c>
      <c r="AM44" s="162">
        <f t="shared" si="4"/>
        <v>4296.83</v>
      </c>
      <c r="AN44" s="146">
        <f>AI44*-Valores!$C$65</f>
        <v>-5012.815672500001</v>
      </c>
      <c r="AO44" s="146">
        <f>AI44*-Valores!$C$66</f>
        <v>-1961.5365675</v>
      </c>
      <c r="AP44" s="170">
        <v>-159.43</v>
      </c>
      <c r="AQ44" s="170">
        <f t="shared" si="7"/>
        <v>-53.83</v>
      </c>
      <c r="AR44" s="162">
        <f t="shared" si="8"/>
        <v>40698.91926</v>
      </c>
    </row>
    <row r="45" spans="1:44" s="137" customFormat="1" ht="11.25" customHeight="1">
      <c r="A45" s="147">
        <v>43</v>
      </c>
      <c r="B45" s="147"/>
      <c r="C45" s="147" t="s">
        <v>201</v>
      </c>
      <c r="D45" s="147"/>
      <c r="E45" s="147">
        <f t="shared" si="0"/>
        <v>31</v>
      </c>
      <c r="F45" s="155" t="s">
        <v>202</v>
      </c>
      <c r="G45" s="152">
        <f>G39</f>
        <v>85</v>
      </c>
      <c r="H45" s="149">
        <f>INT((G45*Valores!$C$2*100)+0.5)/100</f>
        <v>717.3</v>
      </c>
      <c r="I45" s="150">
        <f>I39</f>
        <v>3498</v>
      </c>
      <c r="J45" s="149">
        <f>INT((I45*Valores!$C$2*100)+0.5)/100</f>
        <v>29518.92</v>
      </c>
      <c r="K45" s="156">
        <f>K39</f>
        <v>1209</v>
      </c>
      <c r="L45" s="149">
        <f>INT((K45*Valores!$C$2*100)+0.5)/100</f>
        <v>10202.51</v>
      </c>
      <c r="M45" s="158">
        <v>0</v>
      </c>
      <c r="N45" s="149">
        <f>INT((M45*Valores!$C$2*100)+0.5)/100</f>
        <v>0</v>
      </c>
      <c r="O45" s="149">
        <f t="shared" si="1"/>
        <v>6943.5644999999995</v>
      </c>
      <c r="P45" s="149">
        <f t="shared" si="2"/>
        <v>0</v>
      </c>
      <c r="Q45" s="146">
        <f>Q39</f>
        <v>10349.78</v>
      </c>
      <c r="R45" s="146">
        <f>R39</f>
        <v>4313.91</v>
      </c>
      <c r="S45" s="148">
        <v>0</v>
      </c>
      <c r="T45" s="148">
        <f>T39</f>
        <v>2324.69</v>
      </c>
      <c r="U45" s="148">
        <f>U39</f>
        <v>3527.01</v>
      </c>
      <c r="V45" s="149">
        <f t="shared" si="3"/>
        <v>3527.01</v>
      </c>
      <c r="W45" s="149">
        <v>0</v>
      </c>
      <c r="X45" s="149">
        <v>0</v>
      </c>
      <c r="Y45" s="157">
        <v>0</v>
      </c>
      <c r="Z45" s="149">
        <f>Y45*Valores!$C$2</f>
        <v>0</v>
      </c>
      <c r="AA45" s="149">
        <v>0</v>
      </c>
      <c r="AB45" s="148">
        <f>Valores!$C$29</f>
        <v>199.86</v>
      </c>
      <c r="AC45" s="149">
        <f t="shared" si="5"/>
        <v>0</v>
      </c>
      <c r="AD45" s="148">
        <f>Valores!$C$30</f>
        <v>199.86</v>
      </c>
      <c r="AE45" s="157">
        <v>0</v>
      </c>
      <c r="AF45" s="146">
        <f>INT(((AE45*Valores!$C$2)*100)+0.5)/100</f>
        <v>0</v>
      </c>
      <c r="AG45" s="146">
        <f>Valores!$C$58</f>
        <v>406.53</v>
      </c>
      <c r="AH45" s="146">
        <f>Valores!$C$60</f>
        <v>116.15</v>
      </c>
      <c r="AI45" s="162">
        <f t="shared" si="6"/>
        <v>68820.08449999998</v>
      </c>
      <c r="AJ45" s="146">
        <f>Valores!$C$35</f>
        <v>1046.83</v>
      </c>
      <c r="AK45" s="146">
        <f>AK39</f>
        <v>6500</v>
      </c>
      <c r="AL45" s="154">
        <f>AL39</f>
        <v>327.6</v>
      </c>
      <c r="AM45" s="162">
        <f t="shared" si="4"/>
        <v>7546.83</v>
      </c>
      <c r="AN45" s="146">
        <f>AI45*-Valores!$C$65</f>
        <v>-7914.309717499998</v>
      </c>
      <c r="AO45" s="146">
        <f>AI45*-Valores!$C$66</f>
        <v>-3096.903802499999</v>
      </c>
      <c r="AP45" s="170">
        <v>-159.43</v>
      </c>
      <c r="AQ45" s="170">
        <f t="shared" si="7"/>
        <v>-53.83</v>
      </c>
      <c r="AR45" s="162">
        <f t="shared" si="8"/>
        <v>65142.440979999985</v>
      </c>
    </row>
    <row r="46" spans="1:44" s="137" customFormat="1" ht="11.25" customHeight="1">
      <c r="A46" s="147">
        <v>44</v>
      </c>
      <c r="B46" s="147"/>
      <c r="C46" s="147" t="s">
        <v>203</v>
      </c>
      <c r="D46" s="147"/>
      <c r="E46" s="147">
        <f t="shared" si="0"/>
        <v>26</v>
      </c>
      <c r="F46" s="155" t="s">
        <v>204</v>
      </c>
      <c r="G46" s="152">
        <f>G88+G306</f>
        <v>518</v>
      </c>
      <c r="H46" s="149">
        <f>INT((G46*Valores!$C$2*100)+0.5)/100</f>
        <v>4371.3</v>
      </c>
      <c r="I46" s="150">
        <f>I88+I306</f>
        <v>1997</v>
      </c>
      <c r="J46" s="149">
        <f>INT((I46*Valores!$C$2*100)+0.5)/100</f>
        <v>16852.28</v>
      </c>
      <c r="K46" s="151">
        <v>0</v>
      </c>
      <c r="L46" s="149">
        <f>INT((K46*Valores!$C$2*100)+0.5)/100</f>
        <v>0</v>
      </c>
      <c r="M46" s="158">
        <v>0</v>
      </c>
      <c r="N46" s="149">
        <f>INT((M46*Valores!$C$2*100)+0.5)/100</f>
        <v>0</v>
      </c>
      <c r="O46" s="149">
        <f t="shared" si="1"/>
        <v>3995.4989999999993</v>
      </c>
      <c r="P46" s="149">
        <f t="shared" si="2"/>
        <v>0</v>
      </c>
      <c r="Q46" s="146">
        <f aca="true" t="shared" si="11" ref="Q46:V46">Q88+Q306</f>
        <v>5893.48</v>
      </c>
      <c r="R46" s="146">
        <f t="shared" si="11"/>
        <v>4313.91</v>
      </c>
      <c r="S46" s="148">
        <f t="shared" si="11"/>
        <v>3959.57</v>
      </c>
      <c r="T46" s="148">
        <f t="shared" si="11"/>
        <v>1886.07</v>
      </c>
      <c r="U46" s="148">
        <f t="shared" si="11"/>
        <v>3527.01</v>
      </c>
      <c r="V46" s="146">
        <f t="shared" si="11"/>
        <v>3527.01</v>
      </c>
      <c r="W46" s="149">
        <v>0</v>
      </c>
      <c r="X46" s="149">
        <v>0</v>
      </c>
      <c r="Y46" s="157">
        <v>0</v>
      </c>
      <c r="Z46" s="149">
        <f>Y46*Valores!$C$2</f>
        <v>0</v>
      </c>
      <c r="AA46" s="149">
        <v>0</v>
      </c>
      <c r="AB46" s="146">
        <f>Valores!$C$29</f>
        <v>199.86</v>
      </c>
      <c r="AC46" s="149">
        <f t="shared" si="5"/>
        <v>0</v>
      </c>
      <c r="AD46" s="146">
        <f>Valores!$C$30</f>
        <v>199.86</v>
      </c>
      <c r="AE46" s="157">
        <v>0</v>
      </c>
      <c r="AF46" s="149">
        <f>INT(((AE46*Valores!$C$2)*100)+0.5)/100</f>
        <v>0</v>
      </c>
      <c r="AG46" s="149">
        <f>Valores!$C$58</f>
        <v>406.53</v>
      </c>
      <c r="AH46" s="149">
        <f>Valores!$C$60</f>
        <v>116.15</v>
      </c>
      <c r="AI46" s="162">
        <f t="shared" si="6"/>
        <v>45721.519</v>
      </c>
      <c r="AJ46" s="146">
        <f>Valores!$C$35</f>
        <v>1046.83</v>
      </c>
      <c r="AK46" s="146">
        <f>AK88+AK306</f>
        <v>3250</v>
      </c>
      <c r="AL46" s="146">
        <f>AL88+AL306</f>
        <v>170.34</v>
      </c>
      <c r="AM46" s="162">
        <f t="shared" si="4"/>
        <v>4296.83</v>
      </c>
      <c r="AN46" s="146">
        <f>AI46*-Valores!$C$65</f>
        <v>-5257.974685</v>
      </c>
      <c r="AO46" s="146">
        <f>AI46*-Valores!$C$66</f>
        <v>-2057.468355</v>
      </c>
      <c r="AP46" s="170">
        <v>-159.43</v>
      </c>
      <c r="AQ46" s="170">
        <f t="shared" si="7"/>
        <v>-53.83</v>
      </c>
      <c r="AR46" s="162">
        <f t="shared" si="8"/>
        <v>42489.64596</v>
      </c>
    </row>
    <row r="47" spans="1:44" s="137" customFormat="1" ht="11.25" customHeight="1">
      <c r="A47" s="147">
        <v>45</v>
      </c>
      <c r="B47" s="147" t="s">
        <v>135</v>
      </c>
      <c r="C47" s="147" t="s">
        <v>205</v>
      </c>
      <c r="D47" s="147"/>
      <c r="E47" s="147">
        <f t="shared" si="0"/>
        <v>33</v>
      </c>
      <c r="F47" s="155" t="s">
        <v>206</v>
      </c>
      <c r="G47" s="152">
        <f>G55+G240</f>
        <v>572</v>
      </c>
      <c r="H47" s="149">
        <f>INT((G47*Valores!$C$2*100)+0.5)/100</f>
        <v>4826.99</v>
      </c>
      <c r="I47" s="159">
        <f>I55+I240</f>
        <v>2686</v>
      </c>
      <c r="J47" s="149">
        <f>INT((I47*Valores!$C$2*100)+0.5)/100</f>
        <v>22666.62</v>
      </c>
      <c r="K47" s="151">
        <v>0</v>
      </c>
      <c r="L47" s="149">
        <f>INT((K47*Valores!$C$2*100)+0.5)/100</f>
        <v>0</v>
      </c>
      <c r="M47" s="158">
        <v>0</v>
      </c>
      <c r="N47" s="149">
        <f>INT((M47*Valores!$C$2*100)+0.5)/100</f>
        <v>0</v>
      </c>
      <c r="O47" s="149">
        <f t="shared" si="1"/>
        <v>5014.155000000001</v>
      </c>
      <c r="P47" s="149">
        <f t="shared" si="2"/>
        <v>0</v>
      </c>
      <c r="Q47" s="149">
        <f>Q55+Q240</f>
        <v>7200.5199999999995</v>
      </c>
      <c r="R47" s="146">
        <f>Valores!$D$4</f>
        <v>4313.91</v>
      </c>
      <c r="S47" s="149">
        <f>S55+S240</f>
        <v>3959.57</v>
      </c>
      <c r="T47" s="149">
        <f>T55+T240</f>
        <v>1951.32</v>
      </c>
      <c r="U47" s="149">
        <f>U55+U240</f>
        <v>3982.7700000000004</v>
      </c>
      <c r="V47" s="149">
        <f aca="true" t="shared" si="12" ref="V47:V110">U47*(1+$J$2)</f>
        <v>3982.7700000000004</v>
      </c>
      <c r="W47" s="149">
        <v>0</v>
      </c>
      <c r="X47" s="149">
        <v>0</v>
      </c>
      <c r="Y47" s="157">
        <v>0</v>
      </c>
      <c r="Z47" s="149">
        <f>Y47*Valores!$C$2</f>
        <v>0</v>
      </c>
      <c r="AA47" s="149">
        <v>0</v>
      </c>
      <c r="AB47" s="149">
        <f>AB55+AB240</f>
        <v>247.88304000000002</v>
      </c>
      <c r="AC47" s="149">
        <f t="shared" si="5"/>
        <v>0</v>
      </c>
      <c r="AD47" s="149">
        <f>Valores!$C$30</f>
        <v>199.86</v>
      </c>
      <c r="AE47" s="157">
        <v>0</v>
      </c>
      <c r="AF47" s="149">
        <f>INT(((AE47*Valores!$C$2)*100)+0.5)/100</f>
        <v>0</v>
      </c>
      <c r="AG47" s="154">
        <f>AG55+AG240</f>
        <v>569.1443999999999</v>
      </c>
      <c r="AH47" s="154">
        <f>AH55+AH240</f>
        <v>162.61520000000002</v>
      </c>
      <c r="AI47" s="162">
        <f t="shared" si="6"/>
        <v>55095.35763999999</v>
      </c>
      <c r="AJ47" s="154">
        <f>AJ55+AJ240</f>
        <v>1465.57</v>
      </c>
      <c r="AK47" s="149">
        <f>AK55+AK240</f>
        <v>4875</v>
      </c>
      <c r="AL47" s="149">
        <f>AL55+AL240</f>
        <v>238.47</v>
      </c>
      <c r="AM47" s="162">
        <f t="shared" si="4"/>
        <v>6340.57</v>
      </c>
      <c r="AN47" s="146">
        <f>AI47*-Valores!$C$65</f>
        <v>-6335.966128599999</v>
      </c>
      <c r="AO47" s="146">
        <f>AI47*-Valores!$C$66</f>
        <v>-2479.2910937999995</v>
      </c>
      <c r="AP47" s="170">
        <v>-159.43</v>
      </c>
      <c r="AQ47" s="170">
        <f t="shared" si="7"/>
        <v>-53.83</v>
      </c>
      <c r="AR47" s="162">
        <f t="shared" si="8"/>
        <v>52407.41041759999</v>
      </c>
    </row>
    <row r="48" spans="1:44" s="137" customFormat="1" ht="11.25" customHeight="1">
      <c r="A48" s="147">
        <v>46</v>
      </c>
      <c r="B48" s="147"/>
      <c r="C48" s="147" t="s">
        <v>207</v>
      </c>
      <c r="D48" s="147"/>
      <c r="E48" s="147">
        <f t="shared" si="0"/>
        <v>33</v>
      </c>
      <c r="F48" s="155" t="s">
        <v>208</v>
      </c>
      <c r="G48" s="152">
        <v>108</v>
      </c>
      <c r="H48" s="149">
        <f>INT((G48*Valores!$C$2*100)+0.5)/100</f>
        <v>911.39</v>
      </c>
      <c r="I48" s="150">
        <v>2907</v>
      </c>
      <c r="J48" s="149">
        <f>INT((I48*Valores!$C$2*100)+0.5)/100</f>
        <v>24531.59</v>
      </c>
      <c r="K48" s="151">
        <v>0</v>
      </c>
      <c r="L48" s="149">
        <f>INT((K48*Valores!$C$2*100)+0.5)/100</f>
        <v>0</v>
      </c>
      <c r="M48" s="152">
        <v>0</v>
      </c>
      <c r="N48" s="149">
        <f>INT((M48*Valores!$C$2*100)+0.5)/100</f>
        <v>0</v>
      </c>
      <c r="O48" s="149">
        <f t="shared" si="1"/>
        <v>4579.4715</v>
      </c>
      <c r="P48" s="149">
        <f t="shared" si="2"/>
        <v>0</v>
      </c>
      <c r="Q48" s="146">
        <f>Valores!$C$16</f>
        <v>5893.48</v>
      </c>
      <c r="R48" s="146">
        <f>Valores!$D$4</f>
        <v>4313.91</v>
      </c>
      <c r="S48" s="148">
        <f>Valores!$C$26</f>
        <v>3959.57</v>
      </c>
      <c r="T48" s="148">
        <f>Valores!$C$42</f>
        <v>1559.82</v>
      </c>
      <c r="U48" s="149">
        <f>Valores!$C$23</f>
        <v>3527.01</v>
      </c>
      <c r="V48" s="149">
        <f t="shared" si="12"/>
        <v>3527.01</v>
      </c>
      <c r="W48" s="149">
        <v>0</v>
      </c>
      <c r="X48" s="149">
        <v>0</v>
      </c>
      <c r="Y48" s="157">
        <v>0</v>
      </c>
      <c r="Z48" s="149">
        <f>Y48*Valores!$C$2</f>
        <v>0</v>
      </c>
      <c r="AA48" s="149">
        <v>0</v>
      </c>
      <c r="AB48" s="154">
        <f>Valores!$C$29</f>
        <v>199.86</v>
      </c>
      <c r="AC48" s="149">
        <f t="shared" si="5"/>
        <v>0</v>
      </c>
      <c r="AD48" s="149">
        <f>Valores!$C$30</f>
        <v>199.86</v>
      </c>
      <c r="AE48" s="157">
        <v>0</v>
      </c>
      <c r="AF48" s="149">
        <f>INT(((AE48*Valores!$C$2)*100)+0.5)/100</f>
        <v>0</v>
      </c>
      <c r="AG48" s="149">
        <f>Valores!$C$58</f>
        <v>406.53</v>
      </c>
      <c r="AH48" s="149">
        <f>Valores!$C$60</f>
        <v>116.15</v>
      </c>
      <c r="AI48" s="162">
        <f t="shared" si="6"/>
        <v>50198.6415</v>
      </c>
      <c r="AJ48" s="146">
        <f>Valores!$C$35</f>
        <v>1046.83</v>
      </c>
      <c r="AK48" s="149">
        <f>Valores!$C$81</f>
        <v>3900</v>
      </c>
      <c r="AL48" s="154">
        <f>Valores!$C$51</f>
        <v>170.34</v>
      </c>
      <c r="AM48" s="162">
        <f t="shared" si="4"/>
        <v>4946.83</v>
      </c>
      <c r="AN48" s="146">
        <f>AI48*-Valores!$C$65</f>
        <v>-5772.8437725</v>
      </c>
      <c r="AO48" s="146">
        <f>AI48*-Valores!$C$66</f>
        <v>-2258.9388675</v>
      </c>
      <c r="AP48" s="170">
        <v>-159.43</v>
      </c>
      <c r="AQ48" s="170">
        <f t="shared" si="7"/>
        <v>-53.83</v>
      </c>
      <c r="AR48" s="162">
        <f t="shared" si="8"/>
        <v>46900.42886</v>
      </c>
    </row>
    <row r="49" spans="1:44" s="137" customFormat="1" ht="11.25" customHeight="1">
      <c r="A49" s="147">
        <v>47</v>
      </c>
      <c r="B49" s="147"/>
      <c r="C49" s="147" t="s">
        <v>209</v>
      </c>
      <c r="D49" s="147"/>
      <c r="E49" s="147">
        <f t="shared" si="0"/>
        <v>33</v>
      </c>
      <c r="F49" s="155" t="s">
        <v>210</v>
      </c>
      <c r="G49" s="152">
        <v>88</v>
      </c>
      <c r="H49" s="149">
        <f>INT((G49*Valores!$C$2*100)+0.5)/100</f>
        <v>742.61</v>
      </c>
      <c r="I49" s="150">
        <v>2622</v>
      </c>
      <c r="J49" s="149">
        <f>INT((I49*Valores!$C$2*100)+0.5)/100</f>
        <v>22126.53</v>
      </c>
      <c r="K49" s="151">
        <v>0</v>
      </c>
      <c r="L49" s="149">
        <f>INT((K49*Valores!$C$2*100)+0.5)/100</f>
        <v>0</v>
      </c>
      <c r="M49" s="158">
        <v>0</v>
      </c>
      <c r="N49" s="149">
        <f>INT((M49*Valores!$C$2*100)+0.5)/100</f>
        <v>0</v>
      </c>
      <c r="O49" s="149">
        <f t="shared" si="1"/>
        <v>4193.3955</v>
      </c>
      <c r="P49" s="149">
        <f t="shared" si="2"/>
        <v>0</v>
      </c>
      <c r="Q49" s="146">
        <f>Valores!$C$16</f>
        <v>5893.48</v>
      </c>
      <c r="R49" s="146">
        <f>Valores!$D$4</f>
        <v>4313.91</v>
      </c>
      <c r="S49" s="148">
        <f>Valores!$C$26</f>
        <v>3959.57</v>
      </c>
      <c r="T49" s="148">
        <f>Valores!$C$42</f>
        <v>1559.82</v>
      </c>
      <c r="U49" s="149">
        <f>Valores!$C$23</f>
        <v>3527.01</v>
      </c>
      <c r="V49" s="149">
        <f t="shared" si="12"/>
        <v>3527.01</v>
      </c>
      <c r="W49" s="149">
        <v>0</v>
      </c>
      <c r="X49" s="149">
        <v>0</v>
      </c>
      <c r="Y49" s="157">
        <v>0</v>
      </c>
      <c r="Z49" s="149">
        <f>Y49*Valores!$C$2</f>
        <v>0</v>
      </c>
      <c r="AA49" s="149">
        <v>0</v>
      </c>
      <c r="AB49" s="154">
        <f>Valores!$C$29</f>
        <v>199.86</v>
      </c>
      <c r="AC49" s="149">
        <f t="shared" si="5"/>
        <v>0</v>
      </c>
      <c r="AD49" s="149">
        <f>Valores!$C$30</f>
        <v>199.86</v>
      </c>
      <c r="AE49" s="157">
        <v>0</v>
      </c>
      <c r="AF49" s="149">
        <f>INT(((AE49*Valores!$C$2)*100)+0.5)/100</f>
        <v>0</v>
      </c>
      <c r="AG49" s="149">
        <f>Valores!$C$58</f>
        <v>406.53</v>
      </c>
      <c r="AH49" s="149">
        <f>Valores!$C$60</f>
        <v>116.15</v>
      </c>
      <c r="AI49" s="162">
        <f t="shared" si="6"/>
        <v>47238.7255</v>
      </c>
      <c r="AJ49" s="146">
        <f>Valores!$C$35</f>
        <v>1046.83</v>
      </c>
      <c r="AK49" s="149">
        <f>Valores!$C$81</f>
        <v>3900</v>
      </c>
      <c r="AL49" s="154">
        <f>Valores!$C$51</f>
        <v>170.34</v>
      </c>
      <c r="AM49" s="162">
        <f t="shared" si="4"/>
        <v>4946.83</v>
      </c>
      <c r="AN49" s="146">
        <f>AI49*-Valores!$C$65</f>
        <v>-5432.4534325</v>
      </c>
      <c r="AO49" s="146">
        <f>AI49*-Valores!$C$66</f>
        <v>-2125.7426474999997</v>
      </c>
      <c r="AP49" s="170">
        <v>-159.43</v>
      </c>
      <c r="AQ49" s="170">
        <f t="shared" si="7"/>
        <v>-53.83</v>
      </c>
      <c r="AR49" s="162">
        <f t="shared" si="8"/>
        <v>44414.09942</v>
      </c>
    </row>
    <row r="50" spans="1:44" s="137" customFormat="1" ht="11.25" customHeight="1">
      <c r="A50" s="147">
        <v>48</v>
      </c>
      <c r="B50" s="147"/>
      <c r="C50" s="147" t="s">
        <v>211</v>
      </c>
      <c r="D50" s="147"/>
      <c r="E50" s="147">
        <f t="shared" si="0"/>
        <v>31</v>
      </c>
      <c r="F50" s="155" t="s">
        <v>212</v>
      </c>
      <c r="G50" s="152">
        <v>88</v>
      </c>
      <c r="H50" s="149">
        <f>INT((G50*Valores!$C$2*100)+0.5)/100</f>
        <v>742.61</v>
      </c>
      <c r="I50" s="150">
        <v>2622</v>
      </c>
      <c r="J50" s="149">
        <f>INT((I50*Valores!$C$2*100)+0.5)/100</f>
        <v>22126.53</v>
      </c>
      <c r="K50" s="151">
        <v>0</v>
      </c>
      <c r="L50" s="149">
        <f>INT((K50*Valores!$C$2*100)+0.5)/100</f>
        <v>0</v>
      </c>
      <c r="M50" s="158">
        <v>0</v>
      </c>
      <c r="N50" s="149">
        <f>INT((M50*Valores!$C$2*100)+0.5)/100</f>
        <v>0</v>
      </c>
      <c r="O50" s="149">
        <f t="shared" si="1"/>
        <v>4193.3955</v>
      </c>
      <c r="P50" s="149">
        <f t="shared" si="2"/>
        <v>0</v>
      </c>
      <c r="Q50" s="146">
        <f>Valores!$C$16</f>
        <v>5893.48</v>
      </c>
      <c r="R50" s="146">
        <f>Valores!$D$4</f>
        <v>4313.91</v>
      </c>
      <c r="S50" s="149">
        <f>Valores!$C$26</f>
        <v>3959.57</v>
      </c>
      <c r="T50" s="149">
        <f>Valores!$C$42</f>
        <v>1559.82</v>
      </c>
      <c r="U50" s="149">
        <f>Valores!$C$23</f>
        <v>3527.01</v>
      </c>
      <c r="V50" s="149">
        <f t="shared" si="12"/>
        <v>3527.01</v>
      </c>
      <c r="W50" s="149">
        <v>0</v>
      </c>
      <c r="X50" s="149">
        <v>0</v>
      </c>
      <c r="Y50" s="157">
        <v>0</v>
      </c>
      <c r="Z50" s="149">
        <f>Y50*Valores!$C$2</f>
        <v>0</v>
      </c>
      <c r="AA50" s="149">
        <v>0</v>
      </c>
      <c r="AB50" s="154">
        <f>Valores!$C$29</f>
        <v>199.86</v>
      </c>
      <c r="AC50" s="149">
        <f t="shared" si="5"/>
        <v>0</v>
      </c>
      <c r="AD50" s="149">
        <f>Valores!$C$30</f>
        <v>199.86</v>
      </c>
      <c r="AE50" s="157">
        <v>0</v>
      </c>
      <c r="AF50" s="149">
        <f>INT(((AE50*Valores!$C$2)*100)+0.5)/100</f>
        <v>0</v>
      </c>
      <c r="AG50" s="149">
        <f>Valores!$C$58</f>
        <v>406.53</v>
      </c>
      <c r="AH50" s="149">
        <f>Valores!$C$60</f>
        <v>116.15</v>
      </c>
      <c r="AI50" s="162">
        <f t="shared" si="6"/>
        <v>47238.7255</v>
      </c>
      <c r="AJ50" s="146">
        <f>Valores!$C$35</f>
        <v>1046.83</v>
      </c>
      <c r="AK50" s="149">
        <f>Valores!$C$81</f>
        <v>3900</v>
      </c>
      <c r="AL50" s="154">
        <f>Valores!$C$51</f>
        <v>170.34</v>
      </c>
      <c r="AM50" s="162">
        <f t="shared" si="4"/>
        <v>4946.83</v>
      </c>
      <c r="AN50" s="146">
        <f>AI50*-Valores!$C$65</f>
        <v>-5432.4534325</v>
      </c>
      <c r="AO50" s="146">
        <f>AI50*-Valores!$C$66</f>
        <v>-2125.7426474999997</v>
      </c>
      <c r="AP50" s="170">
        <v>-159.43</v>
      </c>
      <c r="AQ50" s="170">
        <f t="shared" si="7"/>
        <v>-53.83</v>
      </c>
      <c r="AR50" s="162">
        <f t="shared" si="8"/>
        <v>44414.09942</v>
      </c>
    </row>
    <row r="51" spans="1:44" s="137" customFormat="1" ht="11.25" customHeight="1">
      <c r="A51" s="147">
        <v>49</v>
      </c>
      <c r="B51" s="147"/>
      <c r="C51" s="147" t="s">
        <v>213</v>
      </c>
      <c r="D51" s="147"/>
      <c r="E51" s="147">
        <f t="shared" si="0"/>
        <v>26</v>
      </c>
      <c r="F51" s="155" t="s">
        <v>214</v>
      </c>
      <c r="G51" s="152">
        <v>80</v>
      </c>
      <c r="H51" s="149">
        <f>INT((G51*Valores!$C$2*100)+0.5)/100</f>
        <v>675.1</v>
      </c>
      <c r="I51" s="150">
        <v>2278</v>
      </c>
      <c r="J51" s="149">
        <f>INT((I51*Valores!$C$2*100)+0.5)/100</f>
        <v>19223.59</v>
      </c>
      <c r="K51" s="151">
        <v>0</v>
      </c>
      <c r="L51" s="149">
        <f>INT((K51*Valores!$C$2*100)+0.5)/100</f>
        <v>0</v>
      </c>
      <c r="M51" s="158">
        <v>0</v>
      </c>
      <c r="N51" s="149">
        <f>INT((M51*Valores!$C$2*100)+0.5)/100</f>
        <v>0</v>
      </c>
      <c r="O51" s="149">
        <f t="shared" si="1"/>
        <v>3747.8279999999995</v>
      </c>
      <c r="P51" s="149">
        <f t="shared" si="2"/>
        <v>0</v>
      </c>
      <c r="Q51" s="146">
        <f>Valores!$C$16</f>
        <v>5893.48</v>
      </c>
      <c r="R51" s="146">
        <f>Valores!$D$4</f>
        <v>4313.91</v>
      </c>
      <c r="S51" s="148">
        <f>Valores!$C$26</f>
        <v>3959.57</v>
      </c>
      <c r="T51" s="148">
        <f>Valores!$C$42</f>
        <v>1559.82</v>
      </c>
      <c r="U51" s="149">
        <f>Valores!$C$23</f>
        <v>3527.01</v>
      </c>
      <c r="V51" s="149">
        <f t="shared" si="12"/>
        <v>3527.01</v>
      </c>
      <c r="W51" s="149">
        <v>0</v>
      </c>
      <c r="X51" s="149">
        <v>0</v>
      </c>
      <c r="Y51" s="157">
        <v>0</v>
      </c>
      <c r="Z51" s="149">
        <f>Y51*Valores!$C$2</f>
        <v>0</v>
      </c>
      <c r="AA51" s="149">
        <v>0</v>
      </c>
      <c r="AB51" s="154">
        <f>Valores!$C$29</f>
        <v>199.86</v>
      </c>
      <c r="AC51" s="149">
        <f t="shared" si="5"/>
        <v>0</v>
      </c>
      <c r="AD51" s="149">
        <f>Valores!$C$30</f>
        <v>199.86</v>
      </c>
      <c r="AE51" s="157">
        <v>0</v>
      </c>
      <c r="AF51" s="149">
        <f>INT(((AE51*Valores!$C$2)*100)+0.5)/100</f>
        <v>0</v>
      </c>
      <c r="AG51" s="149">
        <f>Valores!$C$58</f>
        <v>406.53</v>
      </c>
      <c r="AH51" s="149">
        <f>Valores!$C$60</f>
        <v>116.15</v>
      </c>
      <c r="AI51" s="162">
        <f t="shared" si="6"/>
        <v>43822.708</v>
      </c>
      <c r="AJ51" s="146">
        <f>Valores!$C$35</f>
        <v>1046.83</v>
      </c>
      <c r="AK51" s="149">
        <f>Valores!$C$81</f>
        <v>3900</v>
      </c>
      <c r="AL51" s="154">
        <f>Valores!$C$51</f>
        <v>170.34</v>
      </c>
      <c r="AM51" s="162">
        <f t="shared" si="4"/>
        <v>4946.83</v>
      </c>
      <c r="AN51" s="146">
        <f>AI51*-Valores!$C$65</f>
        <v>-5039.61142</v>
      </c>
      <c r="AO51" s="146">
        <f>AI51*-Valores!$C$66</f>
        <v>-1972.0218599999998</v>
      </c>
      <c r="AP51" s="170">
        <v>-159.43</v>
      </c>
      <c r="AQ51" s="170">
        <f t="shared" si="7"/>
        <v>-53.83</v>
      </c>
      <c r="AR51" s="162">
        <f t="shared" si="8"/>
        <v>41544.64472</v>
      </c>
    </row>
    <row r="52" spans="1:44" s="137" customFormat="1" ht="11.25" customHeight="1">
      <c r="A52" s="147">
        <v>50</v>
      </c>
      <c r="B52" s="147" t="s">
        <v>135</v>
      </c>
      <c r="C52" s="147" t="s">
        <v>215</v>
      </c>
      <c r="D52" s="147"/>
      <c r="E52" s="147">
        <f t="shared" si="0"/>
        <v>33</v>
      </c>
      <c r="F52" s="155" t="s">
        <v>216</v>
      </c>
      <c r="G52" s="152">
        <v>100</v>
      </c>
      <c r="H52" s="149">
        <f>INT((G52*Valores!$C$2*100)+0.5)/100</f>
        <v>843.88</v>
      </c>
      <c r="I52" s="150">
        <v>3620</v>
      </c>
      <c r="J52" s="149">
        <f>INT((I52*Valores!$C$2*100)+0.5)/100</f>
        <v>30548.46</v>
      </c>
      <c r="K52" s="151">
        <v>0</v>
      </c>
      <c r="L52" s="149">
        <f>INT((K52*Valores!$C$2*100)+0.5)/100</f>
        <v>0</v>
      </c>
      <c r="M52" s="158">
        <v>0</v>
      </c>
      <c r="N52" s="149">
        <f>INT((M52*Valores!$C$2*100)+0.5)/100</f>
        <v>0</v>
      </c>
      <c r="O52" s="149">
        <f t="shared" si="1"/>
        <v>5586.606</v>
      </c>
      <c r="P52" s="149">
        <f t="shared" si="2"/>
        <v>0</v>
      </c>
      <c r="Q52" s="146">
        <f>Valores!$C$16</f>
        <v>5893.48</v>
      </c>
      <c r="R52" s="146">
        <f>Valores!$D$4</f>
        <v>4313.91</v>
      </c>
      <c r="S52" s="148">
        <f>Valores!$C$26</f>
        <v>3959.57</v>
      </c>
      <c r="T52" s="148">
        <f>Valores!$C$43</f>
        <v>2324.69</v>
      </c>
      <c r="U52" s="149">
        <f>Valores!$C$23</f>
        <v>3527.01</v>
      </c>
      <c r="V52" s="149">
        <f t="shared" si="12"/>
        <v>3527.01</v>
      </c>
      <c r="W52" s="149">
        <v>0</v>
      </c>
      <c r="X52" s="149">
        <v>0</v>
      </c>
      <c r="Y52" s="157">
        <v>0</v>
      </c>
      <c r="Z52" s="149">
        <f>Y52*Valores!$C$2</f>
        <v>0</v>
      </c>
      <c r="AA52" s="149">
        <v>0</v>
      </c>
      <c r="AB52" s="154">
        <f>Valores!$C$29</f>
        <v>199.86</v>
      </c>
      <c r="AC52" s="149">
        <f t="shared" si="5"/>
        <v>0</v>
      </c>
      <c r="AD52" s="149">
        <f>Valores!$C$30</f>
        <v>199.86</v>
      </c>
      <c r="AE52" s="157">
        <v>0</v>
      </c>
      <c r="AF52" s="149">
        <f>INT(((AE52*Valores!$C$2)*100)+0.5)/100</f>
        <v>0</v>
      </c>
      <c r="AG52" s="149">
        <f>Valores!$C$58</f>
        <v>406.53</v>
      </c>
      <c r="AH52" s="149">
        <f>Valores!$C$60</f>
        <v>116.15</v>
      </c>
      <c r="AI52" s="162">
        <f t="shared" si="6"/>
        <v>57920.006</v>
      </c>
      <c r="AJ52" s="146">
        <f>Valores!$C$35</f>
        <v>1046.83</v>
      </c>
      <c r="AK52" s="149">
        <f>Valores!$C$82</f>
        <v>6500</v>
      </c>
      <c r="AL52" s="154">
        <f>Valores!$C$51</f>
        <v>170.34</v>
      </c>
      <c r="AM52" s="162">
        <f t="shared" si="4"/>
        <v>7546.83</v>
      </c>
      <c r="AN52" s="146">
        <f>AI52*-Valores!$C$65</f>
        <v>-6660.80069</v>
      </c>
      <c r="AO52" s="146">
        <f>AI52*-Valores!$C$66</f>
        <v>-2606.40027</v>
      </c>
      <c r="AP52" s="170">
        <v>-159.43</v>
      </c>
      <c r="AQ52" s="170">
        <f t="shared" si="7"/>
        <v>-53.83</v>
      </c>
      <c r="AR52" s="162">
        <f t="shared" si="8"/>
        <v>55986.375040000006</v>
      </c>
    </row>
    <row r="53" spans="1:44" s="137" customFormat="1" ht="11.25" customHeight="1">
      <c r="A53" s="147">
        <v>51</v>
      </c>
      <c r="B53" s="147"/>
      <c r="C53" s="147" t="s">
        <v>217</v>
      </c>
      <c r="D53" s="147"/>
      <c r="E53" s="147">
        <f t="shared" si="0"/>
        <v>33</v>
      </c>
      <c r="F53" s="155" t="s">
        <v>218</v>
      </c>
      <c r="G53" s="152">
        <v>100</v>
      </c>
      <c r="H53" s="149">
        <f>INT((G53*Valores!$C$2*100)+0.5)/100</f>
        <v>843.88</v>
      </c>
      <c r="I53" s="150">
        <v>3560</v>
      </c>
      <c r="J53" s="149">
        <f>INT((I53*Valores!$C$2*100)+0.5)/100</f>
        <v>30042.13</v>
      </c>
      <c r="K53" s="151">
        <v>0</v>
      </c>
      <c r="L53" s="149">
        <f>INT((K53*Valores!$C$2*100)+0.5)/100</f>
        <v>0</v>
      </c>
      <c r="M53" s="158">
        <v>0</v>
      </c>
      <c r="N53" s="149">
        <f>INT((M53*Valores!$C$2*100)+0.5)/100</f>
        <v>0</v>
      </c>
      <c r="O53" s="149">
        <f t="shared" si="1"/>
        <v>5510.656500000001</v>
      </c>
      <c r="P53" s="149">
        <f t="shared" si="2"/>
        <v>0</v>
      </c>
      <c r="Q53" s="146">
        <f>Valores!$C$16</f>
        <v>5893.48</v>
      </c>
      <c r="R53" s="146">
        <f>Valores!$D$4</f>
        <v>4313.91</v>
      </c>
      <c r="S53" s="149">
        <v>0</v>
      </c>
      <c r="T53" s="149">
        <f>Valores!$C$43</f>
        <v>2324.69</v>
      </c>
      <c r="U53" s="149">
        <f>Valores!$C$23</f>
        <v>3527.01</v>
      </c>
      <c r="V53" s="149">
        <f t="shared" si="12"/>
        <v>3527.01</v>
      </c>
      <c r="W53" s="149">
        <v>0</v>
      </c>
      <c r="X53" s="149">
        <v>0</v>
      </c>
      <c r="Y53" s="157">
        <v>0</v>
      </c>
      <c r="Z53" s="149">
        <f>Y53*Valores!$C$2</f>
        <v>0</v>
      </c>
      <c r="AA53" s="149">
        <v>0</v>
      </c>
      <c r="AB53" s="154">
        <f>Valores!$C$29</f>
        <v>199.86</v>
      </c>
      <c r="AC53" s="149">
        <f t="shared" si="5"/>
        <v>0</v>
      </c>
      <c r="AD53" s="149">
        <f>Valores!$C$30</f>
        <v>199.86</v>
      </c>
      <c r="AE53" s="157">
        <v>0</v>
      </c>
      <c r="AF53" s="149">
        <f>INT(((AE53*Valores!$C$2)*100)+0.5)/100</f>
        <v>0</v>
      </c>
      <c r="AG53" s="149">
        <f>Valores!$C$58</f>
        <v>406.53</v>
      </c>
      <c r="AH53" s="149">
        <f>Valores!$C$60</f>
        <v>116.15</v>
      </c>
      <c r="AI53" s="162">
        <f t="shared" si="6"/>
        <v>53378.15650000001</v>
      </c>
      <c r="AJ53" s="146">
        <f>Valores!$C$35</f>
        <v>1046.83</v>
      </c>
      <c r="AK53" s="149">
        <f>Valores!$C$82</f>
        <v>6500</v>
      </c>
      <c r="AL53" s="154">
        <f>Valores!$C$51</f>
        <v>170.34</v>
      </c>
      <c r="AM53" s="162">
        <f t="shared" si="4"/>
        <v>7546.83</v>
      </c>
      <c r="AN53" s="146">
        <f>AI53*-Valores!$C$65</f>
        <v>-6138.487997500001</v>
      </c>
      <c r="AO53" s="146">
        <f>AI53*-Valores!$C$66</f>
        <v>-2402.0170425000006</v>
      </c>
      <c r="AP53" s="170">
        <v>-159.43</v>
      </c>
      <c r="AQ53" s="170">
        <f t="shared" si="7"/>
        <v>-53.83</v>
      </c>
      <c r="AR53" s="162">
        <f t="shared" si="8"/>
        <v>52171.22146000001</v>
      </c>
    </row>
    <row r="54" spans="1:44" s="137" customFormat="1" ht="11.25" customHeight="1">
      <c r="A54" s="147">
        <v>52</v>
      </c>
      <c r="B54" s="147"/>
      <c r="C54" s="147" t="s">
        <v>219</v>
      </c>
      <c r="D54" s="147"/>
      <c r="E54" s="147">
        <f t="shared" si="0"/>
        <v>33</v>
      </c>
      <c r="F54" s="155" t="s">
        <v>220</v>
      </c>
      <c r="G54" s="152">
        <v>100</v>
      </c>
      <c r="H54" s="149">
        <f>INT((G54*Valores!$C$2*100)+0.5)/100</f>
        <v>843.88</v>
      </c>
      <c r="I54" s="150">
        <v>3360</v>
      </c>
      <c r="J54" s="149">
        <f>INT((I54*Valores!$C$2*100)+0.5)/100</f>
        <v>28354.37</v>
      </c>
      <c r="K54" s="151">
        <v>0</v>
      </c>
      <c r="L54" s="149">
        <f>INT((K54*Valores!$C$2*100)+0.5)/100</f>
        <v>0</v>
      </c>
      <c r="M54" s="158">
        <v>0</v>
      </c>
      <c r="N54" s="149">
        <f>INT((M54*Valores!$C$2*100)+0.5)/100</f>
        <v>0</v>
      </c>
      <c r="O54" s="149">
        <f t="shared" si="1"/>
        <v>5257.4925</v>
      </c>
      <c r="P54" s="149">
        <f t="shared" si="2"/>
        <v>0</v>
      </c>
      <c r="Q54" s="146">
        <f>Valores!$C$16</f>
        <v>5893.48</v>
      </c>
      <c r="R54" s="146">
        <f>Valores!$D$4</f>
        <v>4313.91</v>
      </c>
      <c r="S54" s="148">
        <f>Valores!$C$26</f>
        <v>3959.57</v>
      </c>
      <c r="T54" s="148">
        <f>Valores!$C$43</f>
        <v>2324.69</v>
      </c>
      <c r="U54" s="149">
        <f>Valores!$C$23</f>
        <v>3527.01</v>
      </c>
      <c r="V54" s="149">
        <f t="shared" si="12"/>
        <v>3527.01</v>
      </c>
      <c r="W54" s="149">
        <v>0</v>
      </c>
      <c r="X54" s="149">
        <v>0</v>
      </c>
      <c r="Y54" s="157">
        <v>0</v>
      </c>
      <c r="Z54" s="149">
        <f>Y54*Valores!$C$2</f>
        <v>0</v>
      </c>
      <c r="AA54" s="149">
        <v>0</v>
      </c>
      <c r="AB54" s="154">
        <f>Valores!$C$29</f>
        <v>199.86</v>
      </c>
      <c r="AC54" s="149">
        <f t="shared" si="5"/>
        <v>0</v>
      </c>
      <c r="AD54" s="149">
        <f>Valores!$C$30</f>
        <v>199.86</v>
      </c>
      <c r="AE54" s="157">
        <v>0</v>
      </c>
      <c r="AF54" s="149">
        <f>INT(((AE54*Valores!$C$2)*100)+0.5)/100</f>
        <v>0</v>
      </c>
      <c r="AG54" s="149">
        <f>Valores!$C$58</f>
        <v>406.53</v>
      </c>
      <c r="AH54" s="149">
        <f>Valores!$C$60</f>
        <v>116.15</v>
      </c>
      <c r="AI54" s="162">
        <f t="shared" si="6"/>
        <v>55396.80250000001</v>
      </c>
      <c r="AJ54" s="146">
        <f>Valores!$C$35</f>
        <v>1046.83</v>
      </c>
      <c r="AK54" s="149">
        <f>Valores!$C$82</f>
        <v>6500</v>
      </c>
      <c r="AL54" s="154">
        <f>Valores!$C$51</f>
        <v>170.34</v>
      </c>
      <c r="AM54" s="162">
        <f t="shared" si="4"/>
        <v>7546.83</v>
      </c>
      <c r="AN54" s="146">
        <f>AI54*-Valores!$C$65</f>
        <v>-6370.632287500001</v>
      </c>
      <c r="AO54" s="146">
        <f>AI54*-Valores!$C$66</f>
        <v>-2492.8561125000006</v>
      </c>
      <c r="AP54" s="170">
        <v>-159.43</v>
      </c>
      <c r="AQ54" s="170">
        <f t="shared" si="7"/>
        <v>-53.83</v>
      </c>
      <c r="AR54" s="162">
        <f t="shared" si="8"/>
        <v>53866.88410000001</v>
      </c>
    </row>
    <row r="55" spans="1:44" s="137" customFormat="1" ht="11.25" customHeight="1">
      <c r="A55" s="147">
        <v>53</v>
      </c>
      <c r="B55" s="147"/>
      <c r="C55" s="147" t="s">
        <v>221</v>
      </c>
      <c r="D55" s="147"/>
      <c r="E55" s="147">
        <f t="shared" si="0"/>
        <v>25</v>
      </c>
      <c r="F55" s="155" t="s">
        <v>222</v>
      </c>
      <c r="G55" s="152">
        <v>98</v>
      </c>
      <c r="H55" s="149">
        <f>INT((G55*Valores!$C$2*100)+0.5)/100</f>
        <v>827</v>
      </c>
      <c r="I55" s="150">
        <v>2686</v>
      </c>
      <c r="J55" s="149">
        <f>INT((I55*Valores!$C$2*100)+0.5)/100</f>
        <v>22666.62</v>
      </c>
      <c r="K55" s="151">
        <v>0</v>
      </c>
      <c r="L55" s="149">
        <f>INT((K55*Valores!$C$2*100)+0.5)/100</f>
        <v>0</v>
      </c>
      <c r="M55" s="158">
        <v>0</v>
      </c>
      <c r="N55" s="149">
        <f>INT((M55*Valores!$C$2*100)+0.5)/100</f>
        <v>0</v>
      </c>
      <c r="O55" s="149">
        <f t="shared" si="1"/>
        <v>4287.067499999999</v>
      </c>
      <c r="P55" s="149">
        <f t="shared" si="2"/>
        <v>0</v>
      </c>
      <c r="Q55" s="146">
        <f>Valores!$C$16</f>
        <v>5893.48</v>
      </c>
      <c r="R55" s="146">
        <f>Valores!$D$4</f>
        <v>4313.91</v>
      </c>
      <c r="S55" s="149">
        <f>Valores!$C$26</f>
        <v>3959.57</v>
      </c>
      <c r="T55" s="149">
        <f>Valores!$C$42</f>
        <v>1559.82</v>
      </c>
      <c r="U55" s="149">
        <f>Valores!$C$23</f>
        <v>3527.01</v>
      </c>
      <c r="V55" s="149">
        <f t="shared" si="12"/>
        <v>3527.01</v>
      </c>
      <c r="W55" s="149">
        <v>0</v>
      </c>
      <c r="X55" s="149">
        <v>0</v>
      </c>
      <c r="Y55" s="157">
        <v>0</v>
      </c>
      <c r="Z55" s="149">
        <f>Y55*Valores!$C$2</f>
        <v>0</v>
      </c>
      <c r="AA55" s="149">
        <v>0</v>
      </c>
      <c r="AB55" s="154">
        <f>Valores!$C$29</f>
        <v>199.86</v>
      </c>
      <c r="AC55" s="149">
        <f t="shared" si="5"/>
        <v>0</v>
      </c>
      <c r="AD55" s="149">
        <f>Valores!$C$30</f>
        <v>199.86</v>
      </c>
      <c r="AE55" s="157">
        <v>0</v>
      </c>
      <c r="AF55" s="149">
        <f>INT(((AE55*Valores!$C$2)*100)+0.5)/100</f>
        <v>0</v>
      </c>
      <c r="AG55" s="149">
        <f>Valores!$C$58</f>
        <v>406.53</v>
      </c>
      <c r="AH55" s="149">
        <f>Valores!$C$60</f>
        <v>116.15</v>
      </c>
      <c r="AI55" s="162">
        <f t="shared" si="6"/>
        <v>47956.8775</v>
      </c>
      <c r="AJ55" s="146">
        <f>Valores!$C$35</f>
        <v>1046.83</v>
      </c>
      <c r="AK55" s="149">
        <f>Valores!$C$81</f>
        <v>3900</v>
      </c>
      <c r="AL55" s="154">
        <f>Valores!$C$51</f>
        <v>170.34</v>
      </c>
      <c r="AM55" s="162">
        <f t="shared" si="4"/>
        <v>4946.83</v>
      </c>
      <c r="AN55" s="146">
        <f>AI55*-Valores!$C$65</f>
        <v>-5515.040912500001</v>
      </c>
      <c r="AO55" s="146">
        <f>AI55*-Valores!$C$66</f>
        <v>-2158.0594875</v>
      </c>
      <c r="AP55" s="170">
        <v>-159.43</v>
      </c>
      <c r="AQ55" s="170">
        <f t="shared" si="7"/>
        <v>-53.83</v>
      </c>
      <c r="AR55" s="162">
        <f t="shared" si="8"/>
        <v>45017.3471</v>
      </c>
    </row>
    <row r="56" spans="1:44" s="137" customFormat="1" ht="11.25" customHeight="1">
      <c r="A56" s="147">
        <v>54</v>
      </c>
      <c r="B56" s="147"/>
      <c r="C56" s="147" t="s">
        <v>223</v>
      </c>
      <c r="D56" s="147"/>
      <c r="E56" s="147">
        <f t="shared" si="0"/>
        <v>28</v>
      </c>
      <c r="F56" s="155" t="s">
        <v>224</v>
      </c>
      <c r="G56" s="152">
        <v>94</v>
      </c>
      <c r="H56" s="149">
        <f>INT((G56*Valores!$C$2*100)+0.5)/100</f>
        <v>793.25</v>
      </c>
      <c r="I56" s="150">
        <v>2690</v>
      </c>
      <c r="J56" s="149">
        <f>INT((I56*Valores!$C$2*100)+0.5)/100</f>
        <v>22700.37</v>
      </c>
      <c r="K56" s="151">
        <v>0</v>
      </c>
      <c r="L56" s="149">
        <f>INT((K56*Valores!$C$2*100)+0.5)/100</f>
        <v>0</v>
      </c>
      <c r="M56" s="158">
        <v>0</v>
      </c>
      <c r="N56" s="149">
        <f>INT((M56*Valores!$C$2*100)+0.5)/100</f>
        <v>0</v>
      </c>
      <c r="O56" s="149">
        <f t="shared" si="1"/>
        <v>4287.067499999999</v>
      </c>
      <c r="P56" s="149">
        <f t="shared" si="2"/>
        <v>0</v>
      </c>
      <c r="Q56" s="146">
        <f>Valores!$C$16</f>
        <v>5893.48</v>
      </c>
      <c r="R56" s="146">
        <f>Valores!$D$4</f>
        <v>4313.91</v>
      </c>
      <c r="S56" s="148">
        <f>Valores!$C$26</f>
        <v>3959.57</v>
      </c>
      <c r="T56" s="148">
        <f>Valores!$C$42</f>
        <v>1559.82</v>
      </c>
      <c r="U56" s="149">
        <f>Valores!$C$23</f>
        <v>3527.01</v>
      </c>
      <c r="V56" s="149">
        <f t="shared" si="12"/>
        <v>3527.01</v>
      </c>
      <c r="W56" s="149">
        <v>0</v>
      </c>
      <c r="X56" s="149">
        <v>0</v>
      </c>
      <c r="Y56" s="157">
        <v>0</v>
      </c>
      <c r="Z56" s="149">
        <f>Y56*Valores!$C$2</f>
        <v>0</v>
      </c>
      <c r="AA56" s="149">
        <v>0</v>
      </c>
      <c r="AB56" s="154">
        <f>Valores!$C$29</f>
        <v>199.86</v>
      </c>
      <c r="AC56" s="149">
        <f t="shared" si="5"/>
        <v>0</v>
      </c>
      <c r="AD56" s="149">
        <f>Valores!$C$30</f>
        <v>199.86</v>
      </c>
      <c r="AE56" s="157">
        <v>94</v>
      </c>
      <c r="AF56" s="149">
        <f>INT(((AE56*Valores!$C$2)*100)+0.5)/100</f>
        <v>793.25</v>
      </c>
      <c r="AG56" s="149">
        <f>Valores!$C$58</f>
        <v>406.53</v>
      </c>
      <c r="AH56" s="149">
        <f>Valores!$C$60</f>
        <v>116.15</v>
      </c>
      <c r="AI56" s="162">
        <f t="shared" si="6"/>
        <v>48750.1275</v>
      </c>
      <c r="AJ56" s="146">
        <f>Valores!$C$35</f>
        <v>1046.83</v>
      </c>
      <c r="AK56" s="149">
        <f>Valores!$C$81</f>
        <v>3900</v>
      </c>
      <c r="AL56" s="154">
        <f>Valores!$C$51</f>
        <v>170.34</v>
      </c>
      <c r="AM56" s="162">
        <f t="shared" si="4"/>
        <v>4946.83</v>
      </c>
      <c r="AN56" s="146">
        <f>AI56*-Valores!$C$65</f>
        <v>-5606.264662500001</v>
      </c>
      <c r="AO56" s="146">
        <f>AI56*-Valores!$C$66</f>
        <v>-2193.7557375</v>
      </c>
      <c r="AP56" s="170">
        <v>-159.43</v>
      </c>
      <c r="AQ56" s="170">
        <f t="shared" si="7"/>
        <v>-53.83</v>
      </c>
      <c r="AR56" s="162">
        <f t="shared" si="8"/>
        <v>45683.6771</v>
      </c>
    </row>
    <row r="57" spans="1:44" s="137" customFormat="1" ht="11.25" customHeight="1">
      <c r="A57" s="147">
        <v>55</v>
      </c>
      <c r="B57" s="147" t="s">
        <v>135</v>
      </c>
      <c r="C57" s="147" t="s">
        <v>225</v>
      </c>
      <c r="D57" s="147"/>
      <c r="E57" s="147">
        <f t="shared" si="0"/>
        <v>25</v>
      </c>
      <c r="F57" s="155" t="s">
        <v>226</v>
      </c>
      <c r="G57" s="152">
        <v>93</v>
      </c>
      <c r="H57" s="149">
        <f>INT((G57*Valores!$C$2*100)+0.5)/100</f>
        <v>784.81</v>
      </c>
      <c r="I57" s="150">
        <v>2547</v>
      </c>
      <c r="J57" s="149">
        <f>INT((I57*Valores!$C$2*100)+0.5)/100</f>
        <v>21493.62</v>
      </c>
      <c r="K57" s="151">
        <v>0</v>
      </c>
      <c r="L57" s="149">
        <f>INT((K57*Valores!$C$2*100)+0.5)/100</f>
        <v>0</v>
      </c>
      <c r="M57" s="158">
        <v>0</v>
      </c>
      <c r="N57" s="149">
        <f>INT((M57*Valores!$C$2*100)+0.5)/100</f>
        <v>0</v>
      </c>
      <c r="O57" s="149">
        <f t="shared" si="1"/>
        <v>4104.789</v>
      </c>
      <c r="P57" s="149">
        <f t="shared" si="2"/>
        <v>0</v>
      </c>
      <c r="Q57" s="146">
        <f>Valores!$C$16</f>
        <v>5893.48</v>
      </c>
      <c r="R57" s="146">
        <f>Valores!$D$4</f>
        <v>4313.91</v>
      </c>
      <c r="S57" s="148">
        <f>Valores!$C$26</f>
        <v>3959.57</v>
      </c>
      <c r="T57" s="148">
        <f>Valores!$C$42</f>
        <v>1559.82</v>
      </c>
      <c r="U57" s="149">
        <f>Valores!$C$23</f>
        <v>3527.01</v>
      </c>
      <c r="V57" s="149">
        <f t="shared" si="12"/>
        <v>3527.01</v>
      </c>
      <c r="W57" s="149">
        <v>0</v>
      </c>
      <c r="X57" s="149">
        <v>0</v>
      </c>
      <c r="Y57" s="157">
        <v>0</v>
      </c>
      <c r="Z57" s="149">
        <f>Y57*Valores!$C$2</f>
        <v>0</v>
      </c>
      <c r="AA57" s="149">
        <v>0</v>
      </c>
      <c r="AB57" s="154">
        <f>Valores!$C$29</f>
        <v>199.86</v>
      </c>
      <c r="AC57" s="149">
        <f t="shared" si="5"/>
        <v>0</v>
      </c>
      <c r="AD57" s="149">
        <f>Valores!$C$30</f>
        <v>199.86</v>
      </c>
      <c r="AE57" s="157">
        <v>0</v>
      </c>
      <c r="AF57" s="149">
        <f>INT(((AE57*Valores!$C$2)*100)+0.5)/100</f>
        <v>0</v>
      </c>
      <c r="AG57" s="149">
        <f>Valores!$C$58</f>
        <v>406.53</v>
      </c>
      <c r="AH57" s="149">
        <f>Valores!$C$60</f>
        <v>116.15</v>
      </c>
      <c r="AI57" s="162">
        <f t="shared" si="6"/>
        <v>46559.409</v>
      </c>
      <c r="AJ57" s="146">
        <f>Valores!$C$35</f>
        <v>1046.83</v>
      </c>
      <c r="AK57" s="149">
        <f>Valores!$C$81</f>
        <v>3900</v>
      </c>
      <c r="AL57" s="154">
        <f>Valores!$C$51</f>
        <v>170.34</v>
      </c>
      <c r="AM57" s="162">
        <f t="shared" si="4"/>
        <v>4946.83</v>
      </c>
      <c r="AN57" s="146">
        <f>AI57*-Valores!$C$65</f>
        <v>-5354.332035</v>
      </c>
      <c r="AO57" s="146">
        <f>AI57*-Valores!$C$66</f>
        <v>-2095.173405</v>
      </c>
      <c r="AP57" s="170">
        <v>-159.43</v>
      </c>
      <c r="AQ57" s="170">
        <f t="shared" si="7"/>
        <v>-53.83</v>
      </c>
      <c r="AR57" s="162">
        <f t="shared" si="8"/>
        <v>43843.47356</v>
      </c>
    </row>
    <row r="58" spans="1:44" s="137" customFormat="1" ht="11.25" customHeight="1">
      <c r="A58" s="147">
        <v>56</v>
      </c>
      <c r="B58" s="147"/>
      <c r="C58" s="147" t="s">
        <v>227</v>
      </c>
      <c r="D58" s="147"/>
      <c r="E58" s="147">
        <f t="shared" si="0"/>
        <v>28</v>
      </c>
      <c r="F58" s="155" t="s">
        <v>228</v>
      </c>
      <c r="G58" s="152">
        <v>89</v>
      </c>
      <c r="H58" s="149">
        <f>INT((G58*Valores!$C$2*100)+0.5)/100</f>
        <v>751.05</v>
      </c>
      <c r="I58" s="150">
        <v>2551</v>
      </c>
      <c r="J58" s="149">
        <f>INT((I58*Valores!$C$2*100)+0.5)/100</f>
        <v>21527.38</v>
      </c>
      <c r="K58" s="151">
        <v>0</v>
      </c>
      <c r="L58" s="149">
        <f>INT((K58*Valores!$C$2*100)+0.5)/100</f>
        <v>0</v>
      </c>
      <c r="M58" s="158">
        <v>0</v>
      </c>
      <c r="N58" s="149">
        <f>INT((M58*Valores!$C$2*100)+0.5)/100</f>
        <v>0</v>
      </c>
      <c r="O58" s="149">
        <f t="shared" si="1"/>
        <v>4104.789</v>
      </c>
      <c r="P58" s="149">
        <f t="shared" si="2"/>
        <v>0</v>
      </c>
      <c r="Q58" s="146">
        <f>Valores!$C$16</f>
        <v>5893.48</v>
      </c>
      <c r="R58" s="146">
        <f>Valores!$D$4</f>
        <v>4313.91</v>
      </c>
      <c r="S58" s="148">
        <f>Valores!$C$26</f>
        <v>3959.57</v>
      </c>
      <c r="T58" s="148">
        <f>Valores!$C$42</f>
        <v>1559.82</v>
      </c>
      <c r="U58" s="149">
        <f>Valores!$C$23</f>
        <v>3527.01</v>
      </c>
      <c r="V58" s="149">
        <f t="shared" si="12"/>
        <v>3527.01</v>
      </c>
      <c r="W58" s="149">
        <v>0</v>
      </c>
      <c r="X58" s="149">
        <v>0</v>
      </c>
      <c r="Y58" s="157">
        <v>0</v>
      </c>
      <c r="Z58" s="149">
        <f>Y58*Valores!$C$2</f>
        <v>0</v>
      </c>
      <c r="AA58" s="149">
        <v>0</v>
      </c>
      <c r="AB58" s="154">
        <f>Valores!$C$29</f>
        <v>199.86</v>
      </c>
      <c r="AC58" s="149">
        <f t="shared" si="5"/>
        <v>0</v>
      </c>
      <c r="AD58" s="149">
        <f>Valores!$C$30</f>
        <v>199.86</v>
      </c>
      <c r="AE58" s="157">
        <v>94</v>
      </c>
      <c r="AF58" s="149">
        <f>INT(((AE58*Valores!$C$2)*100)+0.5)/100</f>
        <v>793.25</v>
      </c>
      <c r="AG58" s="149">
        <f>Valores!$C$58</f>
        <v>406.53</v>
      </c>
      <c r="AH58" s="149">
        <f>Valores!$C$60</f>
        <v>116.15</v>
      </c>
      <c r="AI58" s="162">
        <f t="shared" si="6"/>
        <v>47352.659</v>
      </c>
      <c r="AJ58" s="146">
        <f>Valores!$C$35</f>
        <v>1046.83</v>
      </c>
      <c r="AK58" s="149">
        <f>Valores!$C$81</f>
        <v>3900</v>
      </c>
      <c r="AL58" s="154">
        <f>Valores!$C$51</f>
        <v>170.34</v>
      </c>
      <c r="AM58" s="162">
        <f t="shared" si="4"/>
        <v>4946.83</v>
      </c>
      <c r="AN58" s="146">
        <f>AI58*-Valores!$C$65</f>
        <v>-5445.5557850000005</v>
      </c>
      <c r="AO58" s="146">
        <f>AI58*-Valores!$C$66</f>
        <v>-2130.869655</v>
      </c>
      <c r="AP58" s="170">
        <v>-159.43</v>
      </c>
      <c r="AQ58" s="170">
        <f t="shared" si="7"/>
        <v>-53.83</v>
      </c>
      <c r="AR58" s="162">
        <f t="shared" si="8"/>
        <v>44509.80355999999</v>
      </c>
    </row>
    <row r="59" spans="1:44" s="137" customFormat="1" ht="11.25" customHeight="1">
      <c r="A59" s="147">
        <v>57</v>
      </c>
      <c r="B59" s="147"/>
      <c r="C59" s="147" t="s">
        <v>229</v>
      </c>
      <c r="D59" s="147"/>
      <c r="E59" s="147">
        <f t="shared" si="0"/>
        <v>25</v>
      </c>
      <c r="F59" s="155" t="s">
        <v>230</v>
      </c>
      <c r="G59" s="152">
        <v>89</v>
      </c>
      <c r="H59" s="149">
        <f>INT((G59*Valores!$C$2*100)+0.5)/100</f>
        <v>751.05</v>
      </c>
      <c r="I59" s="150">
        <v>2251</v>
      </c>
      <c r="J59" s="149">
        <f>INT((I59*Valores!$C$2*100)+0.5)/100</f>
        <v>18995.74</v>
      </c>
      <c r="K59" s="151">
        <v>0</v>
      </c>
      <c r="L59" s="149">
        <f>INT((K59*Valores!$C$2*100)+0.5)/100</f>
        <v>0</v>
      </c>
      <c r="M59" s="158">
        <v>0</v>
      </c>
      <c r="N59" s="149">
        <f>INT((M59*Valores!$C$2*100)+0.5)/100</f>
        <v>0</v>
      </c>
      <c r="O59" s="149">
        <f t="shared" si="1"/>
        <v>3725.043</v>
      </c>
      <c r="P59" s="149">
        <f t="shared" si="2"/>
        <v>0</v>
      </c>
      <c r="Q59" s="146">
        <f>Valores!$C$16</f>
        <v>5893.48</v>
      </c>
      <c r="R59" s="146">
        <f>Valores!$D$4</f>
        <v>4313.91</v>
      </c>
      <c r="S59" s="148">
        <f>Valores!$C$26</f>
        <v>3959.57</v>
      </c>
      <c r="T59" s="148">
        <f>Valores!$C$42</f>
        <v>1559.82</v>
      </c>
      <c r="U59" s="149">
        <f>Valores!$C$23</f>
        <v>3527.01</v>
      </c>
      <c r="V59" s="149">
        <f t="shared" si="12"/>
        <v>3527.01</v>
      </c>
      <c r="W59" s="149">
        <v>0</v>
      </c>
      <c r="X59" s="149">
        <v>0</v>
      </c>
      <c r="Y59" s="157">
        <v>0</v>
      </c>
      <c r="Z59" s="149">
        <f>Y59*Valores!$C$2</f>
        <v>0</v>
      </c>
      <c r="AA59" s="149">
        <v>0</v>
      </c>
      <c r="AB59" s="154">
        <f>Valores!$C$29</f>
        <v>199.86</v>
      </c>
      <c r="AC59" s="149">
        <f t="shared" si="5"/>
        <v>0</v>
      </c>
      <c r="AD59" s="149">
        <f>Valores!$C$30</f>
        <v>199.86</v>
      </c>
      <c r="AE59" s="157">
        <v>0</v>
      </c>
      <c r="AF59" s="149">
        <f>INT(((AE59*Valores!$C$2)*100)+0.5)/100</f>
        <v>0</v>
      </c>
      <c r="AG59" s="149">
        <f>Valores!$C$58</f>
        <v>406.53</v>
      </c>
      <c r="AH59" s="149">
        <f>Valores!$C$60</f>
        <v>116.15</v>
      </c>
      <c r="AI59" s="162">
        <f t="shared" si="6"/>
        <v>43648.023</v>
      </c>
      <c r="AJ59" s="146">
        <f>Valores!$C$35</f>
        <v>1046.83</v>
      </c>
      <c r="AK59" s="149">
        <f>Valores!$C$81</f>
        <v>3900</v>
      </c>
      <c r="AL59" s="154">
        <f>Valores!$C$51</f>
        <v>170.34</v>
      </c>
      <c r="AM59" s="162">
        <f t="shared" si="4"/>
        <v>4946.83</v>
      </c>
      <c r="AN59" s="146">
        <f>AI59*-Valores!$C$65</f>
        <v>-5019.522645</v>
      </c>
      <c r="AO59" s="146">
        <f>AI59*-Valores!$C$66</f>
        <v>-1964.161035</v>
      </c>
      <c r="AP59" s="170">
        <v>-159.43</v>
      </c>
      <c r="AQ59" s="170">
        <f t="shared" si="7"/>
        <v>-53.83</v>
      </c>
      <c r="AR59" s="162">
        <f t="shared" si="8"/>
        <v>41397.909320000006</v>
      </c>
    </row>
    <row r="60" spans="1:44" s="137" customFormat="1" ht="11.25" customHeight="1">
      <c r="A60" s="147">
        <v>58</v>
      </c>
      <c r="B60" s="147"/>
      <c r="C60" s="147" t="s">
        <v>231</v>
      </c>
      <c r="D60" s="147"/>
      <c r="E60" s="147">
        <f t="shared" si="0"/>
        <v>28</v>
      </c>
      <c r="F60" s="155" t="s">
        <v>232</v>
      </c>
      <c r="G60" s="152">
        <v>85</v>
      </c>
      <c r="H60" s="149">
        <f>INT((G60*Valores!$C$2*100)+0.5)/100</f>
        <v>717.3</v>
      </c>
      <c r="I60" s="150">
        <v>2255</v>
      </c>
      <c r="J60" s="149">
        <f>INT((I60*Valores!$C$2*100)+0.5)/100</f>
        <v>19029.49</v>
      </c>
      <c r="K60" s="151">
        <v>0</v>
      </c>
      <c r="L60" s="149">
        <f>INT((K60*Valores!$C$2*100)+0.5)/100</f>
        <v>0</v>
      </c>
      <c r="M60" s="158">
        <v>0</v>
      </c>
      <c r="N60" s="149">
        <f>INT((M60*Valores!$C$2*100)+0.5)/100</f>
        <v>0</v>
      </c>
      <c r="O60" s="149">
        <f t="shared" si="1"/>
        <v>3725.043</v>
      </c>
      <c r="P60" s="149">
        <f t="shared" si="2"/>
        <v>0</v>
      </c>
      <c r="Q60" s="146">
        <f>Valores!$C$16</f>
        <v>5893.48</v>
      </c>
      <c r="R60" s="146">
        <f>Valores!$D$4</f>
        <v>4313.91</v>
      </c>
      <c r="S60" s="149">
        <f>Valores!$C$26</f>
        <v>3959.57</v>
      </c>
      <c r="T60" s="149">
        <f>Valores!$C$42</f>
        <v>1559.82</v>
      </c>
      <c r="U60" s="149">
        <f>Valores!$C$23</f>
        <v>3527.01</v>
      </c>
      <c r="V60" s="149">
        <f t="shared" si="12"/>
        <v>3527.01</v>
      </c>
      <c r="W60" s="149">
        <v>0</v>
      </c>
      <c r="X60" s="149">
        <v>0</v>
      </c>
      <c r="Y60" s="157">
        <v>0</v>
      </c>
      <c r="Z60" s="149">
        <f>Y60*Valores!$C$2</f>
        <v>0</v>
      </c>
      <c r="AA60" s="149">
        <v>0</v>
      </c>
      <c r="AB60" s="154">
        <f>Valores!$C$29</f>
        <v>199.86</v>
      </c>
      <c r="AC60" s="149">
        <f t="shared" si="5"/>
        <v>0</v>
      </c>
      <c r="AD60" s="149">
        <f>Valores!$C$30</f>
        <v>199.86</v>
      </c>
      <c r="AE60" s="157">
        <v>94</v>
      </c>
      <c r="AF60" s="149">
        <f>INT(((AE60*Valores!$C$2)*100)+0.5)/100</f>
        <v>793.25</v>
      </c>
      <c r="AG60" s="149">
        <f>Valores!$C$58</f>
        <v>406.53</v>
      </c>
      <c r="AH60" s="149">
        <f>Valores!$C$60</f>
        <v>116.15</v>
      </c>
      <c r="AI60" s="162">
        <f t="shared" si="6"/>
        <v>44441.273</v>
      </c>
      <c r="AJ60" s="146">
        <f>Valores!$C$35</f>
        <v>1046.83</v>
      </c>
      <c r="AK60" s="149">
        <f>Valores!$C$81</f>
        <v>3900</v>
      </c>
      <c r="AL60" s="154">
        <f>Valores!$C$51</f>
        <v>170.34</v>
      </c>
      <c r="AM60" s="162">
        <f t="shared" si="4"/>
        <v>4946.83</v>
      </c>
      <c r="AN60" s="146">
        <f>AI60*-Valores!$C$65</f>
        <v>-5110.746395</v>
      </c>
      <c r="AO60" s="146">
        <f>AI60*-Valores!$C$66</f>
        <v>-1999.857285</v>
      </c>
      <c r="AP60" s="170">
        <v>-159.43</v>
      </c>
      <c r="AQ60" s="170">
        <f t="shared" si="7"/>
        <v>-53.83</v>
      </c>
      <c r="AR60" s="162">
        <f t="shared" si="8"/>
        <v>42064.23932</v>
      </c>
    </row>
    <row r="61" spans="1:44" s="137" customFormat="1" ht="11.25" customHeight="1">
      <c r="A61" s="147">
        <v>59</v>
      </c>
      <c r="B61" s="147"/>
      <c r="C61" s="147" t="s">
        <v>233</v>
      </c>
      <c r="D61" s="147"/>
      <c r="E61" s="147">
        <f t="shared" si="0"/>
        <v>33</v>
      </c>
      <c r="F61" s="155" t="s">
        <v>234</v>
      </c>
      <c r="G61" s="152">
        <v>100</v>
      </c>
      <c r="H61" s="149">
        <f>INT((G61*Valores!$C$2*100)+0.5)/100</f>
        <v>843.88</v>
      </c>
      <c r="I61" s="150">
        <v>3180</v>
      </c>
      <c r="J61" s="149">
        <f>INT((I61*Valores!$C$2*100)+0.5)/100</f>
        <v>26835.38</v>
      </c>
      <c r="K61" s="151">
        <v>0</v>
      </c>
      <c r="L61" s="149">
        <f>INT((K61*Valores!$C$2*100)+0.5)/100</f>
        <v>0</v>
      </c>
      <c r="M61" s="158">
        <v>0</v>
      </c>
      <c r="N61" s="149">
        <f>INT((M61*Valores!$C$2*100)+0.5)/100</f>
        <v>0</v>
      </c>
      <c r="O61" s="149">
        <f t="shared" si="1"/>
        <v>5029.644000000001</v>
      </c>
      <c r="P61" s="149">
        <f t="shared" si="2"/>
        <v>0</v>
      </c>
      <c r="Q61" s="146">
        <f>Valores!$C$16</f>
        <v>5893.48</v>
      </c>
      <c r="R61" s="146">
        <f>Valores!$D$4</f>
        <v>4313.91</v>
      </c>
      <c r="S61" s="148">
        <f>Valores!$C$26</f>
        <v>3959.57</v>
      </c>
      <c r="T61" s="148">
        <f>Valores!$C$43</f>
        <v>2324.69</v>
      </c>
      <c r="U61" s="149">
        <f>Valores!$C$23</f>
        <v>3527.01</v>
      </c>
      <c r="V61" s="149">
        <f t="shared" si="12"/>
        <v>3527.01</v>
      </c>
      <c r="W61" s="149">
        <v>0</v>
      </c>
      <c r="X61" s="149">
        <v>0</v>
      </c>
      <c r="Y61" s="157">
        <v>0</v>
      </c>
      <c r="Z61" s="149">
        <f>Y61*Valores!$C$2</f>
        <v>0</v>
      </c>
      <c r="AA61" s="149">
        <v>0</v>
      </c>
      <c r="AB61" s="154">
        <f>Valores!$C$29</f>
        <v>199.86</v>
      </c>
      <c r="AC61" s="149">
        <f t="shared" si="5"/>
        <v>0</v>
      </c>
      <c r="AD61" s="149">
        <f>Valores!$C$30</f>
        <v>199.86</v>
      </c>
      <c r="AE61" s="157">
        <v>0</v>
      </c>
      <c r="AF61" s="149">
        <f>INT(((AE61*Valores!$C$2)*100)+0.5)/100</f>
        <v>0</v>
      </c>
      <c r="AG61" s="149">
        <f>Valores!$C$58</f>
        <v>406.53</v>
      </c>
      <c r="AH61" s="149">
        <f>Valores!$C$60</f>
        <v>116.15</v>
      </c>
      <c r="AI61" s="162">
        <f t="shared" si="6"/>
        <v>53649.964000000014</v>
      </c>
      <c r="AJ61" s="146">
        <f>Valores!$C$35</f>
        <v>1046.83</v>
      </c>
      <c r="AK61" s="149">
        <f>Valores!$C$81</f>
        <v>3900</v>
      </c>
      <c r="AL61" s="154">
        <f>Valores!$C$51</f>
        <v>170.34</v>
      </c>
      <c r="AM61" s="162">
        <f t="shared" si="4"/>
        <v>4946.83</v>
      </c>
      <c r="AN61" s="146">
        <f>AI61*-Valores!$C$65</f>
        <v>-6169.745860000002</v>
      </c>
      <c r="AO61" s="146">
        <f>AI61*-Valores!$C$66</f>
        <v>-2414.2483800000005</v>
      </c>
      <c r="AP61" s="170">
        <v>-159.43</v>
      </c>
      <c r="AQ61" s="170">
        <f t="shared" si="7"/>
        <v>-53.83</v>
      </c>
      <c r="AR61" s="162">
        <f t="shared" si="8"/>
        <v>49799.539760000014</v>
      </c>
    </row>
    <row r="62" spans="1:44" s="137" customFormat="1" ht="11.25" customHeight="1">
      <c r="A62" s="147">
        <v>60</v>
      </c>
      <c r="B62" s="147" t="s">
        <v>135</v>
      </c>
      <c r="C62" s="147" t="s">
        <v>235</v>
      </c>
      <c r="D62" s="147"/>
      <c r="E62" s="147">
        <f t="shared" si="0"/>
        <v>30</v>
      </c>
      <c r="F62" s="155" t="s">
        <v>236</v>
      </c>
      <c r="G62" s="152">
        <v>83</v>
      </c>
      <c r="H62" s="149">
        <f>INT((G62*Valores!$C$2*100)+0.5)/100</f>
        <v>700.42</v>
      </c>
      <c r="I62" s="150">
        <v>2352</v>
      </c>
      <c r="J62" s="149">
        <f>INT((I62*Valores!$C$2*100)+0.5)/100</f>
        <v>19848.06</v>
      </c>
      <c r="K62" s="151">
        <v>0</v>
      </c>
      <c r="L62" s="149">
        <f>INT((K62*Valores!$C$2*100)+0.5)/100</f>
        <v>0</v>
      </c>
      <c r="M62" s="158">
        <v>0</v>
      </c>
      <c r="N62" s="149">
        <f>INT((M62*Valores!$C$2*100)+0.5)/100</f>
        <v>0</v>
      </c>
      <c r="O62" s="149">
        <f t="shared" si="1"/>
        <v>3845.2964999999995</v>
      </c>
      <c r="P62" s="149">
        <f t="shared" si="2"/>
        <v>0</v>
      </c>
      <c r="Q62" s="146">
        <f>Valores!$C$16</f>
        <v>5893.48</v>
      </c>
      <c r="R62" s="146">
        <f>Valores!$D$4</f>
        <v>4313.91</v>
      </c>
      <c r="S62" s="148">
        <f>Valores!$C$26</f>
        <v>3959.57</v>
      </c>
      <c r="T62" s="148">
        <f>Valores!$C$42</f>
        <v>1559.82</v>
      </c>
      <c r="U62" s="149">
        <f>Valores!$C$23</f>
        <v>3527.01</v>
      </c>
      <c r="V62" s="149">
        <f t="shared" si="12"/>
        <v>3527.01</v>
      </c>
      <c r="W62" s="149">
        <v>0</v>
      </c>
      <c r="X62" s="149">
        <v>0</v>
      </c>
      <c r="Y62" s="157">
        <v>0</v>
      </c>
      <c r="Z62" s="149">
        <f>Y62*Valores!$C$2</f>
        <v>0</v>
      </c>
      <c r="AA62" s="149">
        <v>0</v>
      </c>
      <c r="AB62" s="154">
        <f>Valores!$C$29</f>
        <v>199.86</v>
      </c>
      <c r="AC62" s="149">
        <f t="shared" si="5"/>
        <v>0</v>
      </c>
      <c r="AD62" s="149">
        <f>Valores!$C$30</f>
        <v>199.86</v>
      </c>
      <c r="AE62" s="157">
        <v>0</v>
      </c>
      <c r="AF62" s="149">
        <f>INT(((AE62*Valores!$C$2)*100)+0.5)/100</f>
        <v>0</v>
      </c>
      <c r="AG62" s="149">
        <f>Valores!$C$58</f>
        <v>406.53</v>
      </c>
      <c r="AH62" s="149">
        <f>Valores!$C$60</f>
        <v>116.15</v>
      </c>
      <c r="AI62" s="162">
        <f t="shared" si="6"/>
        <v>44569.9665</v>
      </c>
      <c r="AJ62" s="146">
        <f>Valores!$C$35</f>
        <v>1046.83</v>
      </c>
      <c r="AK62" s="149">
        <f>Valores!$C$81</f>
        <v>3900</v>
      </c>
      <c r="AL62" s="154">
        <f>Valores!$C$51</f>
        <v>170.34</v>
      </c>
      <c r="AM62" s="162">
        <f t="shared" si="4"/>
        <v>4946.83</v>
      </c>
      <c r="AN62" s="146">
        <f>AI62*-Valores!$C$65</f>
        <v>-5125.5461475</v>
      </c>
      <c r="AO62" s="146">
        <f>AI62*-Valores!$C$66</f>
        <v>-2005.6484925</v>
      </c>
      <c r="AP62" s="170">
        <v>-159.43</v>
      </c>
      <c r="AQ62" s="170">
        <f t="shared" si="7"/>
        <v>-53.83</v>
      </c>
      <c r="AR62" s="162">
        <f t="shared" si="8"/>
        <v>42172.34186000001</v>
      </c>
    </row>
    <row r="63" spans="1:44" s="137" customFormat="1" ht="11.25" customHeight="1">
      <c r="A63" s="147">
        <v>61</v>
      </c>
      <c r="B63" s="147"/>
      <c r="C63" s="147" t="s">
        <v>237</v>
      </c>
      <c r="D63" s="147"/>
      <c r="E63" s="147">
        <f t="shared" si="0"/>
        <v>33</v>
      </c>
      <c r="F63" s="155" t="s">
        <v>238</v>
      </c>
      <c r="G63" s="152">
        <v>81</v>
      </c>
      <c r="H63" s="149">
        <f>INT((G63*Valores!$C$2*100)+0.5)/100</f>
        <v>683.54</v>
      </c>
      <c r="I63" s="150">
        <v>2354</v>
      </c>
      <c r="J63" s="149">
        <f>INT((I63*Valores!$C$2*100)+0.5)/100</f>
        <v>19864.94</v>
      </c>
      <c r="K63" s="151">
        <v>0</v>
      </c>
      <c r="L63" s="149">
        <f>INT((K63*Valores!$C$2*100)+0.5)/100</f>
        <v>0</v>
      </c>
      <c r="M63" s="158">
        <v>0</v>
      </c>
      <c r="N63" s="149">
        <f>INT((M63*Valores!$C$2*100)+0.5)/100</f>
        <v>0</v>
      </c>
      <c r="O63" s="149">
        <f t="shared" si="1"/>
        <v>3845.2964999999995</v>
      </c>
      <c r="P63" s="149">
        <f t="shared" si="2"/>
        <v>0</v>
      </c>
      <c r="Q63" s="146">
        <f>Valores!$C$16</f>
        <v>5893.48</v>
      </c>
      <c r="R63" s="146">
        <f>Valores!$D$4</f>
        <v>4313.91</v>
      </c>
      <c r="S63" s="148">
        <f>Valores!$C$26</f>
        <v>3959.57</v>
      </c>
      <c r="T63" s="148">
        <f>Valores!$C$42</f>
        <v>1559.82</v>
      </c>
      <c r="U63" s="149">
        <f>Valores!$C$23</f>
        <v>3527.01</v>
      </c>
      <c r="V63" s="149">
        <f t="shared" si="12"/>
        <v>3527.01</v>
      </c>
      <c r="W63" s="149">
        <v>0</v>
      </c>
      <c r="X63" s="149">
        <v>0</v>
      </c>
      <c r="Y63" s="157">
        <v>0</v>
      </c>
      <c r="Z63" s="149">
        <f>Y63*Valores!$C$2</f>
        <v>0</v>
      </c>
      <c r="AA63" s="149">
        <v>0</v>
      </c>
      <c r="AB63" s="154">
        <f>Valores!$C$29</f>
        <v>199.86</v>
      </c>
      <c r="AC63" s="149">
        <f t="shared" si="5"/>
        <v>0</v>
      </c>
      <c r="AD63" s="149">
        <f>Valores!$C$30</f>
        <v>199.86</v>
      </c>
      <c r="AE63" s="157">
        <v>94</v>
      </c>
      <c r="AF63" s="149">
        <f>INT(((AE63*Valores!$C$2)*100)+0.5)/100</f>
        <v>793.25</v>
      </c>
      <c r="AG63" s="149">
        <f>Valores!$C$58</f>
        <v>406.53</v>
      </c>
      <c r="AH63" s="149">
        <f>Valores!$C$60</f>
        <v>116.15</v>
      </c>
      <c r="AI63" s="162">
        <f t="shared" si="6"/>
        <v>45363.2165</v>
      </c>
      <c r="AJ63" s="146">
        <f>Valores!$C$35</f>
        <v>1046.83</v>
      </c>
      <c r="AK63" s="149">
        <f>Valores!$C$81</f>
        <v>3900</v>
      </c>
      <c r="AL63" s="154">
        <f>Valores!$C$51</f>
        <v>170.34</v>
      </c>
      <c r="AM63" s="162">
        <f t="shared" si="4"/>
        <v>4946.83</v>
      </c>
      <c r="AN63" s="146">
        <f>AI63*-Valores!$C$65</f>
        <v>-5216.7698975</v>
      </c>
      <c r="AO63" s="146">
        <f>AI63*-Valores!$C$66</f>
        <v>-2041.3447425</v>
      </c>
      <c r="AP63" s="170">
        <v>-159.43</v>
      </c>
      <c r="AQ63" s="170">
        <f t="shared" si="7"/>
        <v>-53.83</v>
      </c>
      <c r="AR63" s="162">
        <f t="shared" si="8"/>
        <v>42838.67186</v>
      </c>
    </row>
    <row r="64" spans="1:44" s="137" customFormat="1" ht="11.25" customHeight="1">
      <c r="A64" s="147">
        <v>62</v>
      </c>
      <c r="B64" s="147"/>
      <c r="C64" s="147" t="s">
        <v>239</v>
      </c>
      <c r="D64" s="147"/>
      <c r="E64" s="147">
        <f t="shared" si="0"/>
        <v>30</v>
      </c>
      <c r="F64" s="155" t="s">
        <v>240</v>
      </c>
      <c r="G64" s="152">
        <v>81</v>
      </c>
      <c r="H64" s="149">
        <f>INT((G64*Valores!$C$2*100)+0.5)/100</f>
        <v>683.54</v>
      </c>
      <c r="I64" s="150">
        <v>2094</v>
      </c>
      <c r="J64" s="149">
        <f>INT((I64*Valores!$C$2*100)+0.5)/100</f>
        <v>17670.85</v>
      </c>
      <c r="K64" s="151">
        <v>0</v>
      </c>
      <c r="L64" s="149">
        <f>INT((K64*Valores!$C$2*100)+0.5)/100</f>
        <v>0</v>
      </c>
      <c r="M64" s="158">
        <v>0</v>
      </c>
      <c r="N64" s="149">
        <f>INT((M64*Valores!$C$2*100)+0.5)/100</f>
        <v>0</v>
      </c>
      <c r="O64" s="149">
        <f t="shared" si="1"/>
        <v>3516.183</v>
      </c>
      <c r="P64" s="149">
        <f t="shared" si="2"/>
        <v>0</v>
      </c>
      <c r="Q64" s="146">
        <f>Valores!$C$16</f>
        <v>5893.48</v>
      </c>
      <c r="R64" s="146">
        <f>Valores!$D$4</f>
        <v>4313.91</v>
      </c>
      <c r="S64" s="148">
        <f>Valores!$C$26</f>
        <v>3959.57</v>
      </c>
      <c r="T64" s="148">
        <f>Valores!$C$42</f>
        <v>1559.82</v>
      </c>
      <c r="U64" s="149">
        <f>Valores!$C$23</f>
        <v>3527.01</v>
      </c>
      <c r="V64" s="149">
        <f t="shared" si="12"/>
        <v>3527.01</v>
      </c>
      <c r="W64" s="149">
        <v>0</v>
      </c>
      <c r="X64" s="149">
        <v>0</v>
      </c>
      <c r="Y64" s="157">
        <v>0</v>
      </c>
      <c r="Z64" s="149">
        <f>Y64*Valores!$C$2</f>
        <v>0</v>
      </c>
      <c r="AA64" s="149">
        <v>0</v>
      </c>
      <c r="AB64" s="154">
        <f>Valores!$C$29</f>
        <v>199.86</v>
      </c>
      <c r="AC64" s="149">
        <f t="shared" si="5"/>
        <v>0</v>
      </c>
      <c r="AD64" s="149">
        <f>Valores!$C$30</f>
        <v>199.86</v>
      </c>
      <c r="AE64" s="157">
        <v>0</v>
      </c>
      <c r="AF64" s="149">
        <f>INT(((AE64*Valores!$C$2)*100)+0.5)/100</f>
        <v>0</v>
      </c>
      <c r="AG64" s="149">
        <f>Valores!$C$58</f>
        <v>406.53</v>
      </c>
      <c r="AH64" s="149">
        <f>Valores!$C$60</f>
        <v>116.15</v>
      </c>
      <c r="AI64" s="162">
        <f t="shared" si="6"/>
        <v>42046.763000000006</v>
      </c>
      <c r="AJ64" s="146">
        <f>Valores!$C$35</f>
        <v>1046.83</v>
      </c>
      <c r="AK64" s="149">
        <f>Valores!$C$81</f>
        <v>3900</v>
      </c>
      <c r="AL64" s="154">
        <f>Valores!$C$51</f>
        <v>170.34</v>
      </c>
      <c r="AM64" s="162">
        <f t="shared" si="4"/>
        <v>4946.83</v>
      </c>
      <c r="AN64" s="146">
        <f>AI64*-Valores!$C$65</f>
        <v>-4835.377745000001</v>
      </c>
      <c r="AO64" s="146">
        <f>AI64*-Valores!$C$66</f>
        <v>-1892.1043350000002</v>
      </c>
      <c r="AP64" s="170">
        <v>-159.43</v>
      </c>
      <c r="AQ64" s="170">
        <f t="shared" si="7"/>
        <v>-53.83</v>
      </c>
      <c r="AR64" s="162">
        <f t="shared" si="8"/>
        <v>40052.850920000004</v>
      </c>
    </row>
    <row r="65" spans="1:44" s="137" customFormat="1" ht="11.25" customHeight="1">
      <c r="A65" s="147">
        <v>63</v>
      </c>
      <c r="B65" s="147"/>
      <c r="C65" s="147" t="s">
        <v>241</v>
      </c>
      <c r="D65" s="147"/>
      <c r="E65" s="147">
        <f t="shared" si="0"/>
        <v>33</v>
      </c>
      <c r="F65" s="155" t="s">
        <v>242</v>
      </c>
      <c r="G65" s="152">
        <v>80</v>
      </c>
      <c r="H65" s="149">
        <f>INT((G65*Valores!$C$2*100)+0.5)/100</f>
        <v>675.1</v>
      </c>
      <c r="I65" s="150">
        <v>2095</v>
      </c>
      <c r="J65" s="149">
        <f>INT((I65*Valores!$C$2*100)+0.5)/100</f>
        <v>17679.29</v>
      </c>
      <c r="K65" s="151">
        <v>0</v>
      </c>
      <c r="L65" s="149">
        <f>INT((K65*Valores!$C$2*100)+0.5)/100</f>
        <v>0</v>
      </c>
      <c r="M65" s="158">
        <v>0</v>
      </c>
      <c r="N65" s="149">
        <f>INT((M65*Valores!$C$2*100)+0.5)/100</f>
        <v>0</v>
      </c>
      <c r="O65" s="149">
        <f t="shared" si="1"/>
        <v>3516.183</v>
      </c>
      <c r="P65" s="149">
        <f t="shared" si="2"/>
        <v>0</v>
      </c>
      <c r="Q65" s="146">
        <f>Valores!$C$16</f>
        <v>5893.48</v>
      </c>
      <c r="R65" s="146">
        <f>Valores!$D$4</f>
        <v>4313.91</v>
      </c>
      <c r="S65" s="149">
        <f>Valores!$C$26</f>
        <v>3959.57</v>
      </c>
      <c r="T65" s="149">
        <f>Valores!$C$42</f>
        <v>1559.82</v>
      </c>
      <c r="U65" s="149">
        <f>Valores!$C$23</f>
        <v>3527.01</v>
      </c>
      <c r="V65" s="149">
        <f t="shared" si="12"/>
        <v>3527.01</v>
      </c>
      <c r="W65" s="149">
        <v>0</v>
      </c>
      <c r="X65" s="149">
        <v>0</v>
      </c>
      <c r="Y65" s="157">
        <v>0</v>
      </c>
      <c r="Z65" s="149">
        <f>Y65*Valores!$C$2</f>
        <v>0</v>
      </c>
      <c r="AA65" s="149">
        <v>0</v>
      </c>
      <c r="AB65" s="154">
        <f>Valores!$C$29</f>
        <v>199.86</v>
      </c>
      <c r="AC65" s="149">
        <f t="shared" si="5"/>
        <v>0</v>
      </c>
      <c r="AD65" s="149">
        <f>Valores!$C$30</f>
        <v>199.86</v>
      </c>
      <c r="AE65" s="157">
        <v>94</v>
      </c>
      <c r="AF65" s="149">
        <f>INT(((AE65*Valores!$C$2)*100)+0.5)/100</f>
        <v>793.25</v>
      </c>
      <c r="AG65" s="149">
        <f>Valores!$C$58</f>
        <v>406.53</v>
      </c>
      <c r="AH65" s="149">
        <f>Valores!$C$60</f>
        <v>116.15</v>
      </c>
      <c r="AI65" s="162">
        <f t="shared" si="6"/>
        <v>42840.013000000006</v>
      </c>
      <c r="AJ65" s="146">
        <f>Valores!$C$35</f>
        <v>1046.83</v>
      </c>
      <c r="AK65" s="149">
        <f>Valores!$C$81</f>
        <v>3900</v>
      </c>
      <c r="AL65" s="154">
        <f>Valores!$C$51</f>
        <v>170.34</v>
      </c>
      <c r="AM65" s="162">
        <f t="shared" si="4"/>
        <v>4946.83</v>
      </c>
      <c r="AN65" s="146">
        <f>AI65*-Valores!$C$65</f>
        <v>-4926.601495000001</v>
      </c>
      <c r="AO65" s="146">
        <f>AI65*-Valores!$C$66</f>
        <v>-1927.8005850000002</v>
      </c>
      <c r="AP65" s="170">
        <v>-159.43</v>
      </c>
      <c r="AQ65" s="170">
        <f t="shared" si="7"/>
        <v>-53.83</v>
      </c>
      <c r="AR65" s="162">
        <f t="shared" si="8"/>
        <v>40719.180920000006</v>
      </c>
    </row>
    <row r="66" spans="1:44" s="137" customFormat="1" ht="11.25" customHeight="1">
      <c r="A66" s="147">
        <v>64</v>
      </c>
      <c r="B66" s="147"/>
      <c r="C66" s="147" t="s">
        <v>243</v>
      </c>
      <c r="D66" s="147"/>
      <c r="E66" s="147">
        <f t="shared" si="0"/>
        <v>30</v>
      </c>
      <c r="F66" s="155" t="s">
        <v>244</v>
      </c>
      <c r="G66" s="152">
        <v>79</v>
      </c>
      <c r="H66" s="149">
        <f>INT((G66*Valores!$C$2*100)+0.5)/100</f>
        <v>666.67</v>
      </c>
      <c r="I66" s="150">
        <v>1944</v>
      </c>
      <c r="J66" s="149">
        <f>INT((I66*Valores!$C$2*100)+0.5)/100</f>
        <v>16405.03</v>
      </c>
      <c r="K66" s="151">
        <v>0</v>
      </c>
      <c r="L66" s="149">
        <f>INT((K66*Valores!$C$2*100)+0.5)/100</f>
        <v>0</v>
      </c>
      <c r="M66" s="158">
        <v>0</v>
      </c>
      <c r="N66" s="149">
        <f>INT((M66*Valores!$C$2*100)+0.5)/100</f>
        <v>0</v>
      </c>
      <c r="O66" s="149">
        <f t="shared" si="1"/>
        <v>3323.7794999999996</v>
      </c>
      <c r="P66" s="149">
        <f t="shared" si="2"/>
        <v>0</v>
      </c>
      <c r="Q66" s="146">
        <f>Valores!$C$16</f>
        <v>5893.48</v>
      </c>
      <c r="R66" s="146">
        <f>Valores!$D$4</f>
        <v>4313.91</v>
      </c>
      <c r="S66" s="148">
        <f>Valores!$C$26</f>
        <v>3959.57</v>
      </c>
      <c r="T66" s="148">
        <f>Valores!$C$42</f>
        <v>1559.82</v>
      </c>
      <c r="U66" s="149">
        <f>Valores!$C$23</f>
        <v>3527.01</v>
      </c>
      <c r="V66" s="149">
        <f t="shared" si="12"/>
        <v>3527.01</v>
      </c>
      <c r="W66" s="149">
        <v>0</v>
      </c>
      <c r="X66" s="149">
        <v>0</v>
      </c>
      <c r="Y66" s="157">
        <v>0</v>
      </c>
      <c r="Z66" s="149">
        <f>Y66*Valores!$C$2</f>
        <v>0</v>
      </c>
      <c r="AA66" s="149">
        <v>0</v>
      </c>
      <c r="AB66" s="154">
        <f>Valores!$C$29</f>
        <v>199.86</v>
      </c>
      <c r="AC66" s="149">
        <f t="shared" si="5"/>
        <v>0</v>
      </c>
      <c r="AD66" s="149">
        <f>Valores!$C$30</f>
        <v>199.86</v>
      </c>
      <c r="AE66" s="157">
        <v>0</v>
      </c>
      <c r="AF66" s="149">
        <f>INT(((AE66*Valores!$C$2)*100)+0.5)/100</f>
        <v>0</v>
      </c>
      <c r="AG66" s="149">
        <f>Valores!$C$58</f>
        <v>406.53</v>
      </c>
      <c r="AH66" s="149">
        <f>Valores!$C$60</f>
        <v>116.15</v>
      </c>
      <c r="AI66" s="162">
        <f t="shared" si="6"/>
        <v>40571.6695</v>
      </c>
      <c r="AJ66" s="146">
        <f>Valores!$C$35</f>
        <v>1046.83</v>
      </c>
      <c r="AK66" s="149">
        <f>Valores!$C$81</f>
        <v>3900</v>
      </c>
      <c r="AL66" s="154">
        <f>Valores!$C$51</f>
        <v>170.34</v>
      </c>
      <c r="AM66" s="162">
        <f t="shared" si="4"/>
        <v>4946.83</v>
      </c>
      <c r="AN66" s="146">
        <f>AI66*-Valores!$C$65</f>
        <v>-4665.7419925</v>
      </c>
      <c r="AO66" s="146">
        <f>AI66*-Valores!$C$66</f>
        <v>-1825.7251275</v>
      </c>
      <c r="AP66" s="170">
        <v>-159.43</v>
      </c>
      <c r="AQ66" s="170">
        <f t="shared" si="7"/>
        <v>-53.83</v>
      </c>
      <c r="AR66" s="162">
        <f t="shared" si="8"/>
        <v>38813.77238</v>
      </c>
    </row>
    <row r="67" spans="1:44" s="137" customFormat="1" ht="11.25" customHeight="1">
      <c r="A67" s="147">
        <v>65</v>
      </c>
      <c r="B67" s="147" t="s">
        <v>135</v>
      </c>
      <c r="C67" s="147" t="s">
        <v>245</v>
      </c>
      <c r="D67" s="147"/>
      <c r="E67" s="147">
        <f t="shared" si="0"/>
        <v>33</v>
      </c>
      <c r="F67" s="155" t="s">
        <v>246</v>
      </c>
      <c r="G67" s="152">
        <v>79</v>
      </c>
      <c r="H67" s="149">
        <f>INT((G67*Valores!$C$2*100)+0.5)/100</f>
        <v>666.67</v>
      </c>
      <c r="I67" s="150">
        <v>1944</v>
      </c>
      <c r="J67" s="149">
        <f>INT((I67*Valores!$C$2*100)+0.5)/100</f>
        <v>16405.03</v>
      </c>
      <c r="K67" s="151">
        <v>0</v>
      </c>
      <c r="L67" s="149">
        <f>INT((K67*Valores!$C$2*100)+0.5)/100</f>
        <v>0</v>
      </c>
      <c r="M67" s="158">
        <v>0</v>
      </c>
      <c r="N67" s="149">
        <f>INT((M67*Valores!$C$2*100)+0.5)/100</f>
        <v>0</v>
      </c>
      <c r="O67" s="149">
        <f t="shared" si="1"/>
        <v>3323.7794999999996</v>
      </c>
      <c r="P67" s="149">
        <f t="shared" si="2"/>
        <v>0</v>
      </c>
      <c r="Q67" s="146">
        <f>Valores!$C$16</f>
        <v>5893.48</v>
      </c>
      <c r="R67" s="146">
        <f>Valores!$D$4</f>
        <v>4313.91</v>
      </c>
      <c r="S67" s="148">
        <f>Valores!$C$26</f>
        <v>3959.57</v>
      </c>
      <c r="T67" s="148">
        <f>Valores!$C$42</f>
        <v>1559.82</v>
      </c>
      <c r="U67" s="149">
        <f>Valores!$C$23</f>
        <v>3527.01</v>
      </c>
      <c r="V67" s="149">
        <f t="shared" si="12"/>
        <v>3527.01</v>
      </c>
      <c r="W67" s="149">
        <v>0</v>
      </c>
      <c r="X67" s="149">
        <v>0</v>
      </c>
      <c r="Y67" s="157">
        <v>0</v>
      </c>
      <c r="Z67" s="149">
        <f>Y67*Valores!$C$2</f>
        <v>0</v>
      </c>
      <c r="AA67" s="149">
        <v>0</v>
      </c>
      <c r="AB67" s="154">
        <f>Valores!$C$29</f>
        <v>199.86</v>
      </c>
      <c r="AC67" s="149">
        <f t="shared" si="5"/>
        <v>0</v>
      </c>
      <c r="AD67" s="149">
        <f>Valores!$C$30</f>
        <v>199.86</v>
      </c>
      <c r="AE67" s="157">
        <v>94</v>
      </c>
      <c r="AF67" s="149">
        <f>INT(((AE67*Valores!$C$2)*100)+0.5)/100</f>
        <v>793.25</v>
      </c>
      <c r="AG67" s="149">
        <f>Valores!$C$58</f>
        <v>406.53</v>
      </c>
      <c r="AH67" s="149">
        <f>Valores!$C$60</f>
        <v>116.15</v>
      </c>
      <c r="AI67" s="162">
        <f t="shared" si="6"/>
        <v>41364.9195</v>
      </c>
      <c r="AJ67" s="146">
        <f>Valores!$C$35</f>
        <v>1046.83</v>
      </c>
      <c r="AK67" s="149">
        <f>Valores!$C$81</f>
        <v>3900</v>
      </c>
      <c r="AL67" s="154">
        <f>Valores!$C$51</f>
        <v>170.34</v>
      </c>
      <c r="AM67" s="162">
        <f t="shared" si="4"/>
        <v>4946.83</v>
      </c>
      <c r="AN67" s="146">
        <f>AI67*-Valores!$C$65</f>
        <v>-4756.9657425000005</v>
      </c>
      <c r="AO67" s="146">
        <f>AI67*-Valores!$C$66</f>
        <v>-1861.4213775</v>
      </c>
      <c r="AP67" s="170">
        <v>-159.43</v>
      </c>
      <c r="AQ67" s="170">
        <f t="shared" si="7"/>
        <v>-53.83</v>
      </c>
      <c r="AR67" s="162">
        <f t="shared" si="8"/>
        <v>39480.10238</v>
      </c>
    </row>
    <row r="68" spans="1:44" s="137" customFormat="1" ht="11.25" customHeight="1">
      <c r="A68" s="147">
        <v>66</v>
      </c>
      <c r="B68" s="147"/>
      <c r="C68" s="147" t="s">
        <v>247</v>
      </c>
      <c r="D68" s="147"/>
      <c r="E68" s="147">
        <f t="shared" si="0"/>
        <v>29</v>
      </c>
      <c r="F68" s="155" t="s">
        <v>248</v>
      </c>
      <c r="G68" s="152">
        <v>100</v>
      </c>
      <c r="H68" s="149">
        <f>INT((G68*Valores!$C$2*100)+0.5)/100</f>
        <v>843.88</v>
      </c>
      <c r="I68" s="150">
        <v>2864</v>
      </c>
      <c r="J68" s="149">
        <f>INT((I68*Valores!$C$2*100)+0.5)/100</f>
        <v>24168.72</v>
      </c>
      <c r="K68" s="151">
        <v>0</v>
      </c>
      <c r="L68" s="149">
        <f>INT((K68*Valores!$C$2*100)+0.5)/100</f>
        <v>0</v>
      </c>
      <c r="M68" s="158">
        <v>0</v>
      </c>
      <c r="N68" s="149">
        <f>INT((M68*Valores!$C$2*100)+0.5)/100</f>
        <v>0</v>
      </c>
      <c r="O68" s="149">
        <f t="shared" si="1"/>
        <v>4514.9145</v>
      </c>
      <c r="P68" s="149">
        <f t="shared" si="2"/>
        <v>0</v>
      </c>
      <c r="Q68" s="146">
        <f>Valores!$C$16</f>
        <v>5893.48</v>
      </c>
      <c r="R68" s="146">
        <f>Valores!$D$4</f>
        <v>4313.91</v>
      </c>
      <c r="S68" s="149">
        <v>0</v>
      </c>
      <c r="T68" s="149">
        <f>Valores!$C$42</f>
        <v>1559.82</v>
      </c>
      <c r="U68" s="149">
        <f>Valores!$C$23</f>
        <v>3527.01</v>
      </c>
      <c r="V68" s="149">
        <f t="shared" si="12"/>
        <v>3527.01</v>
      </c>
      <c r="W68" s="149">
        <v>0</v>
      </c>
      <c r="X68" s="149">
        <v>0</v>
      </c>
      <c r="Y68" s="157">
        <v>0</v>
      </c>
      <c r="Z68" s="149">
        <f>Y68*Valores!$C$2</f>
        <v>0</v>
      </c>
      <c r="AA68" s="149">
        <v>0</v>
      </c>
      <c r="AB68" s="154">
        <f>Valores!$C$29</f>
        <v>199.86</v>
      </c>
      <c r="AC68" s="149">
        <f t="shared" si="5"/>
        <v>0</v>
      </c>
      <c r="AD68" s="149">
        <f>Valores!$C$30</f>
        <v>199.86</v>
      </c>
      <c r="AE68" s="157">
        <v>0</v>
      </c>
      <c r="AF68" s="149">
        <f>INT(((AE68*Valores!$C$2)*100)+0.5)/100</f>
        <v>0</v>
      </c>
      <c r="AG68" s="149">
        <f>Valores!$C$58</f>
        <v>406.53</v>
      </c>
      <c r="AH68" s="149">
        <f>Valores!$C$60</f>
        <v>116.15</v>
      </c>
      <c r="AI68" s="162">
        <f t="shared" si="6"/>
        <v>45744.13450000001</v>
      </c>
      <c r="AJ68" s="146">
        <f>Valores!$C$35</f>
        <v>1046.83</v>
      </c>
      <c r="AK68" s="149">
        <f>Valores!$C$80</f>
        <v>3250</v>
      </c>
      <c r="AL68" s="154">
        <f>Valores!$C$50</f>
        <v>327.6</v>
      </c>
      <c r="AM68" s="162">
        <f t="shared" si="4"/>
        <v>4296.83</v>
      </c>
      <c r="AN68" s="146">
        <f>AI68*-Valores!$C$65</f>
        <v>-5260.575467500001</v>
      </c>
      <c r="AO68" s="146">
        <f>AI68*-Valores!$C$66</f>
        <v>-2058.4860525000004</v>
      </c>
      <c r="AP68" s="170">
        <v>-159.43</v>
      </c>
      <c r="AQ68" s="170">
        <f t="shared" si="7"/>
        <v>-53.83</v>
      </c>
      <c r="AR68" s="162">
        <f t="shared" si="8"/>
        <v>42508.64298000001</v>
      </c>
    </row>
    <row r="69" spans="1:44" s="137" customFormat="1" ht="11.25" customHeight="1">
      <c r="A69" s="147">
        <v>67</v>
      </c>
      <c r="B69" s="147"/>
      <c r="C69" s="147" t="s">
        <v>249</v>
      </c>
      <c r="D69" s="147"/>
      <c r="E69" s="147">
        <f t="shared" si="0"/>
        <v>24</v>
      </c>
      <c r="F69" s="155" t="s">
        <v>250</v>
      </c>
      <c r="G69" s="152">
        <v>79</v>
      </c>
      <c r="H69" s="149">
        <f>INT((G69*Valores!$C$2*100)+0.5)/100</f>
        <v>666.67</v>
      </c>
      <c r="I69" s="150">
        <v>2161</v>
      </c>
      <c r="J69" s="149">
        <f>INT((I69*Valores!$C$2*100)+0.5)/100</f>
        <v>18236.25</v>
      </c>
      <c r="K69" s="151">
        <v>0</v>
      </c>
      <c r="L69" s="149">
        <f>INT((K69*Valores!$C$2*100)+0.5)/100</f>
        <v>0</v>
      </c>
      <c r="M69" s="158">
        <v>0</v>
      </c>
      <c r="N69" s="149">
        <f>INT((M69*Valores!$C$2*100)+0.5)/100</f>
        <v>0</v>
      </c>
      <c r="O69" s="149">
        <f t="shared" si="1"/>
        <v>3598.4625</v>
      </c>
      <c r="P69" s="149">
        <f t="shared" si="2"/>
        <v>0</v>
      </c>
      <c r="Q69" s="146">
        <f>Valores!$C$16</f>
        <v>5893.48</v>
      </c>
      <c r="R69" s="146">
        <f>Valores!$D$4</f>
        <v>4313.91</v>
      </c>
      <c r="S69" s="148">
        <f>Valores!$C$26</f>
        <v>3959.57</v>
      </c>
      <c r="T69" s="148">
        <f>Valores!$C$42</f>
        <v>1559.82</v>
      </c>
      <c r="U69" s="149">
        <f>Valores!$C$23</f>
        <v>3527.01</v>
      </c>
      <c r="V69" s="149">
        <f t="shared" si="12"/>
        <v>3527.01</v>
      </c>
      <c r="W69" s="149">
        <v>0</v>
      </c>
      <c r="X69" s="149">
        <v>0</v>
      </c>
      <c r="Y69" s="157">
        <v>0</v>
      </c>
      <c r="Z69" s="149">
        <f>Y69*Valores!$C$2</f>
        <v>0</v>
      </c>
      <c r="AA69" s="149">
        <v>0</v>
      </c>
      <c r="AB69" s="154">
        <f>Valores!$C$29</f>
        <v>199.86</v>
      </c>
      <c r="AC69" s="149">
        <f t="shared" si="5"/>
        <v>0</v>
      </c>
      <c r="AD69" s="149">
        <f>Valores!$C$30</f>
        <v>199.86</v>
      </c>
      <c r="AE69" s="157">
        <v>0</v>
      </c>
      <c r="AF69" s="149">
        <f>INT(((AE69*Valores!$C$2)*100)+0.5)/100</f>
        <v>0</v>
      </c>
      <c r="AG69" s="149">
        <f>Valores!$C$58</f>
        <v>406.53</v>
      </c>
      <c r="AH69" s="149">
        <f>Valores!$C$60</f>
        <v>116.15</v>
      </c>
      <c r="AI69" s="162">
        <f t="shared" si="6"/>
        <v>42677.5725</v>
      </c>
      <c r="AJ69" s="146">
        <f>Valores!$C$35</f>
        <v>1046.83</v>
      </c>
      <c r="AK69" s="149">
        <f>Valores!$C$81</f>
        <v>3900</v>
      </c>
      <c r="AL69" s="154">
        <f>Valores!$C$51</f>
        <v>170.34</v>
      </c>
      <c r="AM69" s="162">
        <f t="shared" si="4"/>
        <v>4946.83</v>
      </c>
      <c r="AN69" s="146">
        <f>AI69*-Valores!$C$65</f>
        <v>-4907.920837500001</v>
      </c>
      <c r="AO69" s="146">
        <f>AI69*-Valores!$C$66</f>
        <v>-1920.4907625</v>
      </c>
      <c r="AP69" s="170">
        <v>-159.43</v>
      </c>
      <c r="AQ69" s="170">
        <f t="shared" si="7"/>
        <v>-53.83</v>
      </c>
      <c r="AR69" s="162">
        <f t="shared" si="8"/>
        <v>40582.7309</v>
      </c>
    </row>
    <row r="70" spans="1:44" s="137" customFormat="1" ht="11.25" customHeight="1">
      <c r="A70" s="147">
        <v>68</v>
      </c>
      <c r="B70" s="147"/>
      <c r="C70" s="147" t="s">
        <v>251</v>
      </c>
      <c r="D70" s="147"/>
      <c r="E70" s="147">
        <f t="shared" si="0"/>
        <v>32</v>
      </c>
      <c r="F70" s="155" t="s">
        <v>252</v>
      </c>
      <c r="G70" s="152">
        <v>90</v>
      </c>
      <c r="H70" s="149">
        <f>INT((G70*Valores!$C$2*100)+0.5)/100</f>
        <v>759.49</v>
      </c>
      <c r="I70" s="150">
        <v>3010</v>
      </c>
      <c r="J70" s="149">
        <f>INT((I70*Valores!$C$2*100)+0.5)/100</f>
        <v>25400.79</v>
      </c>
      <c r="K70" s="151">
        <v>0</v>
      </c>
      <c r="L70" s="149">
        <f>INT((K70*Valores!$C$2*100)+0.5)/100</f>
        <v>0</v>
      </c>
      <c r="M70" s="158">
        <v>0</v>
      </c>
      <c r="N70" s="149">
        <f>INT((M70*Valores!$C$2*100)+0.5)/100</f>
        <v>0</v>
      </c>
      <c r="O70" s="149">
        <f t="shared" si="1"/>
        <v>4801.797</v>
      </c>
      <c r="P70" s="149">
        <f t="shared" si="2"/>
        <v>0</v>
      </c>
      <c r="Q70" s="146">
        <f>Valores!$C$16</f>
        <v>5893.48</v>
      </c>
      <c r="R70" s="146">
        <f>Valores!$D$4</f>
        <v>4313.91</v>
      </c>
      <c r="S70" s="149">
        <f>Valores!$C$26</f>
        <v>3959.57</v>
      </c>
      <c r="T70" s="149">
        <f>Valores!$C$43</f>
        <v>2324.69</v>
      </c>
      <c r="U70" s="149">
        <f>Valores!$C$23</f>
        <v>3527.01</v>
      </c>
      <c r="V70" s="149">
        <f t="shared" si="12"/>
        <v>3527.01</v>
      </c>
      <c r="W70" s="149">
        <v>0</v>
      </c>
      <c r="X70" s="149">
        <v>0</v>
      </c>
      <c r="Y70" s="157">
        <v>0</v>
      </c>
      <c r="Z70" s="149">
        <f>Y70*Valores!$C$2</f>
        <v>0</v>
      </c>
      <c r="AA70" s="149">
        <v>0</v>
      </c>
      <c r="AB70" s="154">
        <f>Valores!$C$29</f>
        <v>199.86</v>
      </c>
      <c r="AC70" s="149">
        <f t="shared" si="5"/>
        <v>0</v>
      </c>
      <c r="AD70" s="149">
        <f>Valores!$C$30</f>
        <v>199.86</v>
      </c>
      <c r="AE70" s="157">
        <v>0</v>
      </c>
      <c r="AF70" s="149">
        <f>INT(((AE70*Valores!$C$2)*100)+0.5)/100</f>
        <v>0</v>
      </c>
      <c r="AG70" s="149">
        <f>Valores!$C$58</f>
        <v>406.53</v>
      </c>
      <c r="AH70" s="149">
        <f>Valores!$C$60</f>
        <v>116.15</v>
      </c>
      <c r="AI70" s="162">
        <f t="shared" si="6"/>
        <v>51903.13700000001</v>
      </c>
      <c r="AJ70" s="146">
        <f>Valores!$C$35</f>
        <v>1046.83</v>
      </c>
      <c r="AK70" s="149">
        <f>Valores!$C$81</f>
        <v>3900</v>
      </c>
      <c r="AL70" s="154">
        <f>Valores!$C$51</f>
        <v>170.34</v>
      </c>
      <c r="AM70" s="162">
        <f t="shared" si="4"/>
        <v>4946.83</v>
      </c>
      <c r="AN70" s="146">
        <f>AI70*-Valores!$C$65</f>
        <v>-5968.8607550000015</v>
      </c>
      <c r="AO70" s="146">
        <f>AI70*-Valores!$C$66</f>
        <v>-2335.6411650000005</v>
      </c>
      <c r="AP70" s="170">
        <v>-159.43</v>
      </c>
      <c r="AQ70" s="170">
        <f t="shared" si="7"/>
        <v>-53.83</v>
      </c>
      <c r="AR70" s="162">
        <f t="shared" si="8"/>
        <v>48332.20508000001</v>
      </c>
    </row>
    <row r="71" spans="1:44" s="137" customFormat="1" ht="11.25" customHeight="1">
      <c r="A71" s="147">
        <v>69</v>
      </c>
      <c r="B71" s="147"/>
      <c r="C71" s="147" t="s">
        <v>253</v>
      </c>
      <c r="D71" s="147"/>
      <c r="E71" s="147">
        <f t="shared" si="0"/>
        <v>27</v>
      </c>
      <c r="F71" s="155" t="s">
        <v>254</v>
      </c>
      <c r="G71" s="152">
        <v>78</v>
      </c>
      <c r="H71" s="149">
        <f>INT((G71*Valores!$C$2*100)+0.5)/100</f>
        <v>658.23</v>
      </c>
      <c r="I71" s="150">
        <v>2162</v>
      </c>
      <c r="J71" s="149">
        <f>INT((I71*Valores!$C$2*100)+0.5)/100</f>
        <v>18244.69</v>
      </c>
      <c r="K71" s="151">
        <v>0</v>
      </c>
      <c r="L71" s="149">
        <f>INT((K71*Valores!$C$2*100)+0.5)/100</f>
        <v>0</v>
      </c>
      <c r="M71" s="158">
        <v>0</v>
      </c>
      <c r="N71" s="149">
        <f>INT((M71*Valores!$C$2*100)+0.5)/100</f>
        <v>0</v>
      </c>
      <c r="O71" s="149">
        <f t="shared" si="1"/>
        <v>3598.4625</v>
      </c>
      <c r="P71" s="149">
        <f t="shared" si="2"/>
        <v>0</v>
      </c>
      <c r="Q71" s="146">
        <f>Valores!$C$16</f>
        <v>5893.48</v>
      </c>
      <c r="R71" s="146">
        <f>Valores!$D$4</f>
        <v>4313.91</v>
      </c>
      <c r="S71" s="148">
        <f>Valores!$C$26</f>
        <v>3959.57</v>
      </c>
      <c r="T71" s="148">
        <f>Valores!$C$42</f>
        <v>1559.82</v>
      </c>
      <c r="U71" s="149">
        <f>Valores!$C$23</f>
        <v>3527.01</v>
      </c>
      <c r="V71" s="149">
        <f t="shared" si="12"/>
        <v>3527.01</v>
      </c>
      <c r="W71" s="149">
        <v>0</v>
      </c>
      <c r="X71" s="149">
        <v>0</v>
      </c>
      <c r="Y71" s="157">
        <v>0</v>
      </c>
      <c r="Z71" s="149">
        <f>Y71*Valores!$C$2</f>
        <v>0</v>
      </c>
      <c r="AA71" s="149">
        <v>0</v>
      </c>
      <c r="AB71" s="154">
        <f>Valores!$C$29</f>
        <v>199.86</v>
      </c>
      <c r="AC71" s="149">
        <f t="shared" si="5"/>
        <v>0</v>
      </c>
      <c r="AD71" s="149">
        <f>Valores!$C$30</f>
        <v>199.86</v>
      </c>
      <c r="AE71" s="157">
        <v>0</v>
      </c>
      <c r="AF71" s="149">
        <f>INT(((AE71*Valores!$C$2)*100)+0.5)/100</f>
        <v>0</v>
      </c>
      <c r="AG71" s="149">
        <f>Valores!$C$58</f>
        <v>406.53</v>
      </c>
      <c r="AH71" s="149">
        <f>Valores!$C$60</f>
        <v>116.15</v>
      </c>
      <c r="AI71" s="162">
        <f t="shared" si="6"/>
        <v>42677.5725</v>
      </c>
      <c r="AJ71" s="146">
        <f>Valores!$C$35</f>
        <v>1046.83</v>
      </c>
      <c r="AK71" s="149">
        <f>Valores!$C$81</f>
        <v>3900</v>
      </c>
      <c r="AL71" s="154">
        <f>Valores!$C$51</f>
        <v>170.34</v>
      </c>
      <c r="AM71" s="162">
        <f t="shared" si="4"/>
        <v>4946.83</v>
      </c>
      <c r="AN71" s="146">
        <f>AI71*-Valores!$C$65</f>
        <v>-4907.920837500001</v>
      </c>
      <c r="AO71" s="146">
        <f>AI71*-Valores!$C$66</f>
        <v>-1920.4907625</v>
      </c>
      <c r="AP71" s="170">
        <v>-159.43</v>
      </c>
      <c r="AQ71" s="170">
        <f t="shared" si="7"/>
        <v>-53.83</v>
      </c>
      <c r="AR71" s="162">
        <f t="shared" si="8"/>
        <v>40582.7309</v>
      </c>
    </row>
    <row r="72" spans="1:44" s="137" customFormat="1" ht="11.25" customHeight="1">
      <c r="A72" s="147">
        <v>70</v>
      </c>
      <c r="B72" s="147" t="s">
        <v>135</v>
      </c>
      <c r="C72" s="147" t="s">
        <v>255</v>
      </c>
      <c r="D72" s="147"/>
      <c r="E72" s="147">
        <f aca="true" t="shared" si="13" ref="E72:E135">LEN(F72)</f>
        <v>32</v>
      </c>
      <c r="F72" s="155" t="s">
        <v>256</v>
      </c>
      <c r="G72" s="152">
        <v>90</v>
      </c>
      <c r="H72" s="149">
        <f>INT((G72*Valores!$C$2*100)+0.5)/100</f>
        <v>759.49</v>
      </c>
      <c r="I72" s="150">
        <v>2800</v>
      </c>
      <c r="J72" s="149">
        <f>INT((I72*Valores!$C$2*100)+0.5)/100</f>
        <v>23628.64</v>
      </c>
      <c r="K72" s="151">
        <v>0</v>
      </c>
      <c r="L72" s="149">
        <f>INT((K72*Valores!$C$2*100)+0.5)/100</f>
        <v>0</v>
      </c>
      <c r="M72" s="158">
        <v>0</v>
      </c>
      <c r="N72" s="149">
        <f>INT((M72*Valores!$C$2*100)+0.5)/100</f>
        <v>0</v>
      </c>
      <c r="O72" s="149">
        <f aca="true" t="shared" si="14" ref="O72:O135">IF($J$2=0,IF(C72&lt;&gt;"13-930",(SUM(H72,J72,L72,N72,Z72,U72,T72)*$O$2),0),0)</f>
        <v>4535.974499999999</v>
      </c>
      <c r="P72" s="149">
        <f aca="true" t="shared" si="15" ref="P72:P135">SUM(H72,J72,L72,N72,Z72,T72)*$J$2</f>
        <v>0</v>
      </c>
      <c r="Q72" s="146">
        <f>Valores!$C$16</f>
        <v>5893.48</v>
      </c>
      <c r="R72" s="146">
        <f>Valores!$D$4</f>
        <v>4313.91</v>
      </c>
      <c r="S72" s="149">
        <v>0</v>
      </c>
      <c r="T72" s="149">
        <f>Valores!$C$43</f>
        <v>2324.69</v>
      </c>
      <c r="U72" s="149">
        <f>Valores!$C$23</f>
        <v>3527.01</v>
      </c>
      <c r="V72" s="149">
        <f t="shared" si="12"/>
        <v>3527.01</v>
      </c>
      <c r="W72" s="149">
        <v>0</v>
      </c>
      <c r="X72" s="149">
        <v>0</v>
      </c>
      <c r="Y72" s="157">
        <v>0</v>
      </c>
      <c r="Z72" s="149">
        <f>Y72*Valores!$C$2</f>
        <v>0</v>
      </c>
      <c r="AA72" s="149">
        <v>0</v>
      </c>
      <c r="AB72" s="154">
        <f>Valores!$C$29</f>
        <v>199.86</v>
      </c>
      <c r="AC72" s="149">
        <f t="shared" si="5"/>
        <v>0</v>
      </c>
      <c r="AD72" s="149">
        <f>Valores!$C$30</f>
        <v>199.86</v>
      </c>
      <c r="AE72" s="157">
        <v>0</v>
      </c>
      <c r="AF72" s="149">
        <f>INT(((AE72*Valores!$C$2)*100)+0.5)/100</f>
        <v>0</v>
      </c>
      <c r="AG72" s="149">
        <f>Valores!$C$58</f>
        <v>406.53</v>
      </c>
      <c r="AH72" s="149">
        <f>Valores!$C$60</f>
        <v>116.15</v>
      </c>
      <c r="AI72" s="162">
        <f t="shared" si="6"/>
        <v>45905.59450000001</v>
      </c>
      <c r="AJ72" s="146">
        <f>Valores!$C$35</f>
        <v>1046.83</v>
      </c>
      <c r="AK72" s="149">
        <f>Valores!$C$82</f>
        <v>6500</v>
      </c>
      <c r="AL72" s="154">
        <f>Valores!$C$51</f>
        <v>170.34</v>
      </c>
      <c r="AM72" s="162">
        <f aca="true" t="shared" si="16" ref="AM72:AM135">IF($H$5="SI",SUM(AJ72:AL72),SUM(AJ72:AK72))</f>
        <v>7546.83</v>
      </c>
      <c r="AN72" s="146">
        <f>AI72*-Valores!$C$65</f>
        <v>-5279.143367500001</v>
      </c>
      <c r="AO72" s="146">
        <f>AI72*-Valores!$C$66</f>
        <v>-2065.7517525000003</v>
      </c>
      <c r="AP72" s="170">
        <v>-159.43</v>
      </c>
      <c r="AQ72" s="170">
        <f t="shared" si="7"/>
        <v>-53.83</v>
      </c>
      <c r="AR72" s="162">
        <f t="shared" si="8"/>
        <v>45894.269380000005</v>
      </c>
    </row>
    <row r="73" spans="1:44" s="137" customFormat="1" ht="11.25" customHeight="1">
      <c r="A73" s="147">
        <v>71</v>
      </c>
      <c r="B73" s="147"/>
      <c r="C73" s="147" t="s">
        <v>257</v>
      </c>
      <c r="D73" s="147"/>
      <c r="E73" s="147">
        <f t="shared" si="13"/>
        <v>27</v>
      </c>
      <c r="F73" s="155" t="s">
        <v>258</v>
      </c>
      <c r="G73" s="152">
        <v>79</v>
      </c>
      <c r="H73" s="149">
        <f>INT((G73*Valores!$C$2*100)+0.5)/100</f>
        <v>666.67</v>
      </c>
      <c r="I73" s="150">
        <v>2161</v>
      </c>
      <c r="J73" s="149">
        <f>INT((I73*Valores!$C$2*100)+0.5)/100</f>
        <v>18236.25</v>
      </c>
      <c r="K73" s="151">
        <v>0</v>
      </c>
      <c r="L73" s="149">
        <f>INT((K73*Valores!$C$2*100)+0.5)/100</f>
        <v>0</v>
      </c>
      <c r="M73" s="158">
        <v>0</v>
      </c>
      <c r="N73" s="149">
        <f>INT((M73*Valores!$C$2*100)+0.5)/100</f>
        <v>0</v>
      </c>
      <c r="O73" s="149">
        <f t="shared" si="14"/>
        <v>3598.4625</v>
      </c>
      <c r="P73" s="149">
        <f t="shared" si="15"/>
        <v>0</v>
      </c>
      <c r="Q73" s="146">
        <f>Valores!$C$16</f>
        <v>5893.48</v>
      </c>
      <c r="R73" s="146">
        <f>Valores!$D$4</f>
        <v>4313.91</v>
      </c>
      <c r="S73" s="148">
        <f>Valores!$C$26</f>
        <v>3959.57</v>
      </c>
      <c r="T73" s="148">
        <f>Valores!$C$42</f>
        <v>1559.82</v>
      </c>
      <c r="U73" s="149">
        <f>Valores!$C$23</f>
        <v>3527.01</v>
      </c>
      <c r="V73" s="149">
        <f t="shared" si="12"/>
        <v>3527.01</v>
      </c>
      <c r="W73" s="149">
        <v>0</v>
      </c>
      <c r="X73" s="149">
        <v>0</v>
      </c>
      <c r="Y73" s="157">
        <v>0</v>
      </c>
      <c r="Z73" s="149">
        <f>Y73*Valores!$C$2</f>
        <v>0</v>
      </c>
      <c r="AA73" s="149">
        <v>0</v>
      </c>
      <c r="AB73" s="154">
        <f>Valores!$C$29</f>
        <v>199.86</v>
      </c>
      <c r="AC73" s="149">
        <f aca="true" t="shared" si="17" ref="AC73:AC136">SUM(H73,J73,L73,Z73,T73)*$H$3/100</f>
        <v>0</v>
      </c>
      <c r="AD73" s="149">
        <f>Valores!$C$30</f>
        <v>199.86</v>
      </c>
      <c r="AE73" s="157">
        <v>0</v>
      </c>
      <c r="AF73" s="149">
        <f>INT(((AE73*Valores!$C$2)*100)+0.5)/100</f>
        <v>0</v>
      </c>
      <c r="AG73" s="149">
        <f>Valores!$C$58</f>
        <v>406.53</v>
      </c>
      <c r="AH73" s="149">
        <f>Valores!$C$60</f>
        <v>116.15</v>
      </c>
      <c r="AI73" s="162">
        <f aca="true" t="shared" si="18" ref="AI73:AI136">SUM(H73,J73,L73,N73,O73,P73,Q73,R73,S73,V73,W73,X73,Z73,AA73,AB73,AC73,AD73,AF73,T73,AG73,AH73)</f>
        <v>42677.5725</v>
      </c>
      <c r="AJ73" s="146">
        <f>Valores!$C$35</f>
        <v>1046.83</v>
      </c>
      <c r="AK73" s="149">
        <f>Valores!$C$82</f>
        <v>6500</v>
      </c>
      <c r="AL73" s="154">
        <f>Valores!$C$51</f>
        <v>170.34</v>
      </c>
      <c r="AM73" s="162">
        <f t="shared" si="16"/>
        <v>7546.83</v>
      </c>
      <c r="AN73" s="146">
        <f>AI73*-Valores!$C$65</f>
        <v>-4907.920837500001</v>
      </c>
      <c r="AO73" s="146">
        <f>AI73*-Valores!$C$66</f>
        <v>-1920.4907625</v>
      </c>
      <c r="AP73" s="170">
        <v>-159.43</v>
      </c>
      <c r="AQ73" s="170">
        <f aca="true" t="shared" si="19" ref="AQ73:AQ136">IF($H$4=0,-53.83,(-53.83+$H$4*(-53.83)))</f>
        <v>-53.83</v>
      </c>
      <c r="AR73" s="162">
        <f aca="true" t="shared" si="20" ref="AR73:AR136">AI73+AM73+AN73+AO73+AP73+AQ73</f>
        <v>43182.7309</v>
      </c>
    </row>
    <row r="74" spans="1:44" s="137" customFormat="1" ht="11.25" customHeight="1">
      <c r="A74" s="147">
        <v>72</v>
      </c>
      <c r="B74" s="147"/>
      <c r="C74" s="147" t="s">
        <v>259</v>
      </c>
      <c r="D74" s="147"/>
      <c r="E74" s="147">
        <f t="shared" si="13"/>
        <v>32</v>
      </c>
      <c r="F74" s="155" t="s">
        <v>260</v>
      </c>
      <c r="G74" s="152">
        <v>90</v>
      </c>
      <c r="H74" s="149">
        <f>INT((G74*Valores!$C$2*100)+0.5)/100</f>
        <v>759.49</v>
      </c>
      <c r="I74" s="150">
        <v>2720</v>
      </c>
      <c r="J74" s="149">
        <f>INT((I74*Valores!$C$2*100)+0.5)/100</f>
        <v>22953.54</v>
      </c>
      <c r="K74" s="151">
        <v>0</v>
      </c>
      <c r="L74" s="149">
        <f>INT((K74*Valores!$C$2*100)+0.5)/100</f>
        <v>0</v>
      </c>
      <c r="M74" s="158">
        <v>0</v>
      </c>
      <c r="N74" s="149">
        <f>INT((M74*Valores!$C$2*100)+0.5)/100</f>
        <v>0</v>
      </c>
      <c r="O74" s="149">
        <f t="shared" si="14"/>
        <v>4434.7095</v>
      </c>
      <c r="P74" s="149">
        <f t="shared" si="15"/>
        <v>0</v>
      </c>
      <c r="Q74" s="146">
        <f>Valores!$C$16</f>
        <v>5893.48</v>
      </c>
      <c r="R74" s="146">
        <f>Valores!$D$4</f>
        <v>4313.91</v>
      </c>
      <c r="S74" s="149">
        <v>0</v>
      </c>
      <c r="T74" s="149">
        <f>Valores!$C$43</f>
        <v>2324.69</v>
      </c>
      <c r="U74" s="149">
        <f>Valores!$C$23</f>
        <v>3527.01</v>
      </c>
      <c r="V74" s="149">
        <f t="shared" si="12"/>
        <v>3527.01</v>
      </c>
      <c r="W74" s="149">
        <v>0</v>
      </c>
      <c r="X74" s="149">
        <v>0</v>
      </c>
      <c r="Y74" s="157">
        <v>0</v>
      </c>
      <c r="Z74" s="149">
        <f>Y74*Valores!$C$2</f>
        <v>0</v>
      </c>
      <c r="AA74" s="149">
        <v>0</v>
      </c>
      <c r="AB74" s="154">
        <f>Valores!$C$29</f>
        <v>199.86</v>
      </c>
      <c r="AC74" s="149">
        <f t="shared" si="17"/>
        <v>0</v>
      </c>
      <c r="AD74" s="149">
        <f>Valores!$C$30</f>
        <v>199.86</v>
      </c>
      <c r="AE74" s="157">
        <v>0</v>
      </c>
      <c r="AF74" s="149">
        <f>INT(((AE74*Valores!$C$2)*100)+0.5)/100</f>
        <v>0</v>
      </c>
      <c r="AG74" s="149">
        <f>Valores!$C$58</f>
        <v>406.53</v>
      </c>
      <c r="AH74" s="149">
        <f>Valores!$C$60</f>
        <v>116.15</v>
      </c>
      <c r="AI74" s="162">
        <f t="shared" si="18"/>
        <v>45129.229500000016</v>
      </c>
      <c r="AJ74" s="146">
        <f>Valores!$C$35</f>
        <v>1046.83</v>
      </c>
      <c r="AK74" s="149">
        <f>Valores!$C$82</f>
        <v>6500</v>
      </c>
      <c r="AL74" s="154">
        <f>Valores!$C$51</f>
        <v>170.34</v>
      </c>
      <c r="AM74" s="162">
        <f t="shared" si="16"/>
        <v>7546.83</v>
      </c>
      <c r="AN74" s="146">
        <f>AI74*-Valores!$C$65</f>
        <v>-5189.861392500002</v>
      </c>
      <c r="AO74" s="146">
        <f>AI74*-Valores!$C$66</f>
        <v>-2030.8153275000006</v>
      </c>
      <c r="AP74" s="170">
        <v>-159.43</v>
      </c>
      <c r="AQ74" s="170">
        <f t="shared" si="19"/>
        <v>-53.83</v>
      </c>
      <c r="AR74" s="162">
        <f t="shared" si="20"/>
        <v>45242.12278000001</v>
      </c>
    </row>
    <row r="75" spans="1:44" s="137" customFormat="1" ht="11.25" customHeight="1">
      <c r="A75" s="147">
        <v>73</v>
      </c>
      <c r="B75" s="147"/>
      <c r="C75" s="147" t="s">
        <v>261</v>
      </c>
      <c r="D75" s="147"/>
      <c r="E75" s="147">
        <f t="shared" si="13"/>
        <v>16</v>
      </c>
      <c r="F75" s="155" t="s">
        <v>262</v>
      </c>
      <c r="G75" s="152">
        <v>78</v>
      </c>
      <c r="H75" s="149">
        <f>INT((G75*Valores!$C$2*100)+0.5)/100</f>
        <v>658.23</v>
      </c>
      <c r="I75" s="150">
        <v>1284</v>
      </c>
      <c r="J75" s="149">
        <f>INT((I75*Valores!$C$2*100)+0.5)/100</f>
        <v>10835.42</v>
      </c>
      <c r="K75" s="151">
        <v>0</v>
      </c>
      <c r="L75" s="149">
        <f>INT((K75*Valores!$C$2*100)+0.5)/100</f>
        <v>0</v>
      </c>
      <c r="M75" s="158">
        <v>0</v>
      </c>
      <c r="N75" s="149">
        <f>INT((M75*Valores!$C$2*100)+0.5)/100</f>
        <v>0</v>
      </c>
      <c r="O75" s="149">
        <f t="shared" si="14"/>
        <v>2480.0969999999998</v>
      </c>
      <c r="P75" s="149">
        <f t="shared" si="15"/>
        <v>0</v>
      </c>
      <c r="Q75" s="146">
        <f>Valores!$C$15</f>
        <v>5862.51</v>
      </c>
      <c r="R75" s="146">
        <f>Valores!$D$4</f>
        <v>4313.91</v>
      </c>
      <c r="S75" s="149">
        <f>Valores!$C$26</f>
        <v>3959.57</v>
      </c>
      <c r="T75" s="149">
        <f>Valores!$C$42</f>
        <v>1559.82</v>
      </c>
      <c r="U75" s="148">
        <f>Valores!$C$24</f>
        <v>3480.51</v>
      </c>
      <c r="V75" s="149">
        <f t="shared" si="12"/>
        <v>3480.51</v>
      </c>
      <c r="W75" s="149">
        <v>0</v>
      </c>
      <c r="X75" s="149">
        <v>0</v>
      </c>
      <c r="Y75" s="157">
        <v>0</v>
      </c>
      <c r="Z75" s="149">
        <f>Y75*Valores!$C$2</f>
        <v>0</v>
      </c>
      <c r="AA75" s="149">
        <v>0</v>
      </c>
      <c r="AB75" s="154">
        <f>Valores!$C$29</f>
        <v>199.86</v>
      </c>
      <c r="AC75" s="149">
        <f t="shared" si="17"/>
        <v>0</v>
      </c>
      <c r="AD75" s="149">
        <f>Valores!$C$30</f>
        <v>199.86</v>
      </c>
      <c r="AE75" s="157">
        <v>0</v>
      </c>
      <c r="AF75" s="149">
        <f>INT(((AE75*Valores!$C$2)*100)+0.5)/100</f>
        <v>0</v>
      </c>
      <c r="AG75" s="149">
        <f>Valores!$C$58</f>
        <v>406.53</v>
      </c>
      <c r="AH75" s="149">
        <f>Valores!$C$60</f>
        <v>116.15</v>
      </c>
      <c r="AI75" s="162">
        <f t="shared" si="18"/>
        <v>34072.467</v>
      </c>
      <c r="AJ75" s="146">
        <f>Valores!$C$35</f>
        <v>1046.83</v>
      </c>
      <c r="AK75" s="149">
        <f>Valores!$C$80</f>
        <v>3250</v>
      </c>
      <c r="AL75" s="154">
        <f>Valores!$C$51</f>
        <v>170.34</v>
      </c>
      <c r="AM75" s="162">
        <f t="shared" si="16"/>
        <v>4296.83</v>
      </c>
      <c r="AN75" s="146">
        <f>AI75*-Valores!$C$65</f>
        <v>-3918.333705</v>
      </c>
      <c r="AO75" s="146">
        <f>AI75*-Valores!$C$66</f>
        <v>-1533.2610149999998</v>
      </c>
      <c r="AP75" s="170">
        <v>-159.43</v>
      </c>
      <c r="AQ75" s="170">
        <f t="shared" si="19"/>
        <v>-53.83</v>
      </c>
      <c r="AR75" s="162">
        <f t="shared" si="20"/>
        <v>32704.442280000003</v>
      </c>
    </row>
    <row r="76" spans="1:44" s="137" customFormat="1" ht="11.25" customHeight="1">
      <c r="A76" s="147">
        <v>74</v>
      </c>
      <c r="B76" s="147"/>
      <c r="C76" s="147" t="s">
        <v>263</v>
      </c>
      <c r="D76" s="147"/>
      <c r="E76" s="147">
        <f t="shared" si="13"/>
        <v>33</v>
      </c>
      <c r="F76" s="155" t="s">
        <v>264</v>
      </c>
      <c r="G76" s="152">
        <v>78</v>
      </c>
      <c r="H76" s="149">
        <f>INT((G76*Valores!$C$2*100)+0.5)/100</f>
        <v>658.23</v>
      </c>
      <c r="I76" s="150">
        <v>1284</v>
      </c>
      <c r="J76" s="149">
        <f>INT((I76*Valores!$C$2*100)+0.5)/100</f>
        <v>10835.42</v>
      </c>
      <c r="K76" s="151">
        <v>0</v>
      </c>
      <c r="L76" s="149">
        <f>INT((K76*Valores!$C$2*100)+0.5)/100</f>
        <v>0</v>
      </c>
      <c r="M76" s="158">
        <v>0</v>
      </c>
      <c r="N76" s="149">
        <f>INT((M76*Valores!$C$2*100)+0.5)/100</f>
        <v>0</v>
      </c>
      <c r="O76" s="149">
        <f t="shared" si="14"/>
        <v>2480.0969999999998</v>
      </c>
      <c r="P76" s="149">
        <f t="shared" si="15"/>
        <v>0</v>
      </c>
      <c r="Q76" s="146">
        <f>Valores!$C$15</f>
        <v>5862.51</v>
      </c>
      <c r="R76" s="146">
        <f>Valores!$D$4</f>
        <v>4313.91</v>
      </c>
      <c r="S76" s="148">
        <f>Valores!$C$26</f>
        <v>3959.57</v>
      </c>
      <c r="T76" s="148">
        <f>Valores!$C$42</f>
        <v>1559.82</v>
      </c>
      <c r="U76" s="148">
        <f>Valores!$C$24</f>
        <v>3480.51</v>
      </c>
      <c r="V76" s="149">
        <f t="shared" si="12"/>
        <v>3480.51</v>
      </c>
      <c r="W76" s="149">
        <v>0</v>
      </c>
      <c r="X76" s="149">
        <v>0</v>
      </c>
      <c r="Y76" s="157">
        <v>0</v>
      </c>
      <c r="Z76" s="149">
        <f>Y76*Valores!$C$2</f>
        <v>0</v>
      </c>
      <c r="AA76" s="149">
        <v>0</v>
      </c>
      <c r="AB76" s="154">
        <f>Valores!$C$29</f>
        <v>199.86</v>
      </c>
      <c r="AC76" s="149">
        <f t="shared" si="17"/>
        <v>0</v>
      </c>
      <c r="AD76" s="149">
        <f>Valores!$C$30</f>
        <v>199.86</v>
      </c>
      <c r="AE76" s="157">
        <v>0</v>
      </c>
      <c r="AF76" s="149">
        <f>INT(((AE76*Valores!$C$2)*100)+0.5)/100</f>
        <v>0</v>
      </c>
      <c r="AG76" s="149">
        <f>Valores!$C$58</f>
        <v>406.53</v>
      </c>
      <c r="AH76" s="149">
        <f>Valores!$C$60</f>
        <v>116.15</v>
      </c>
      <c r="AI76" s="162">
        <f t="shared" si="18"/>
        <v>34072.467</v>
      </c>
      <c r="AJ76" s="146">
        <f>Valores!$C$35</f>
        <v>1046.83</v>
      </c>
      <c r="AK76" s="149">
        <f>Valores!$C$80</f>
        <v>3250</v>
      </c>
      <c r="AL76" s="154">
        <v>0</v>
      </c>
      <c r="AM76" s="162">
        <f t="shared" si="16"/>
        <v>4296.83</v>
      </c>
      <c r="AN76" s="146">
        <f>AI76*-Valores!$C$65</f>
        <v>-3918.333705</v>
      </c>
      <c r="AO76" s="146">
        <f>AI76*-Valores!$C$66</f>
        <v>-1533.2610149999998</v>
      </c>
      <c r="AP76" s="170">
        <v>-159.43</v>
      </c>
      <c r="AQ76" s="170">
        <f t="shared" si="19"/>
        <v>-53.83</v>
      </c>
      <c r="AR76" s="162">
        <f t="shared" si="20"/>
        <v>32704.442280000003</v>
      </c>
    </row>
    <row r="77" spans="1:44" s="137" customFormat="1" ht="11.25" customHeight="1">
      <c r="A77" s="147">
        <v>75</v>
      </c>
      <c r="B77" s="147" t="s">
        <v>135</v>
      </c>
      <c r="C77" s="147" t="s">
        <v>265</v>
      </c>
      <c r="D77" s="147"/>
      <c r="E77" s="147">
        <f t="shared" si="13"/>
        <v>33</v>
      </c>
      <c r="F77" s="155" t="s">
        <v>266</v>
      </c>
      <c r="G77" s="152">
        <v>78</v>
      </c>
      <c r="H77" s="149">
        <f>INT((G77*Valores!$C$2*100)+0.5)/100</f>
        <v>658.23</v>
      </c>
      <c r="I77" s="150">
        <v>1284</v>
      </c>
      <c r="J77" s="149">
        <f>INT((I77*Valores!$C$2*100)+0.5)/100</f>
        <v>10835.42</v>
      </c>
      <c r="K77" s="151">
        <v>0</v>
      </c>
      <c r="L77" s="149">
        <f>INT((K77*Valores!$C$2*100)+0.5)/100</f>
        <v>0</v>
      </c>
      <c r="M77" s="158">
        <v>0</v>
      </c>
      <c r="N77" s="149">
        <f>INT((M77*Valores!$C$2*100)+0.5)/100</f>
        <v>0</v>
      </c>
      <c r="O77" s="149">
        <f t="shared" si="14"/>
        <v>1958.0204999999999</v>
      </c>
      <c r="P77" s="149">
        <f t="shared" si="15"/>
        <v>0</v>
      </c>
      <c r="Q77" s="146">
        <f>Valores!$C$20</f>
        <v>5630.2</v>
      </c>
      <c r="R77" s="146">
        <f>Valores!$D$4</f>
        <v>4313.91</v>
      </c>
      <c r="S77" s="148">
        <f>Valores!$C$26</f>
        <v>3959.57</v>
      </c>
      <c r="T77" s="148">
        <f>Valores!$C$42</f>
        <v>1559.82</v>
      </c>
      <c r="U77" s="148">
        <v>0</v>
      </c>
      <c r="V77" s="149">
        <f t="shared" si="12"/>
        <v>0</v>
      </c>
      <c r="W77" s="149">
        <v>0</v>
      </c>
      <c r="X77" s="149">
        <v>0</v>
      </c>
      <c r="Y77" s="157">
        <v>0</v>
      </c>
      <c r="Z77" s="149">
        <f>Y77*Valores!$C$2</f>
        <v>0</v>
      </c>
      <c r="AA77" s="149">
        <v>0</v>
      </c>
      <c r="AB77" s="154">
        <f>Valores!$C$29</f>
        <v>199.86</v>
      </c>
      <c r="AC77" s="149">
        <f t="shared" si="17"/>
        <v>0</v>
      </c>
      <c r="AD77" s="149">
        <f>Valores!$C$30</f>
        <v>199.86</v>
      </c>
      <c r="AE77" s="157">
        <v>0</v>
      </c>
      <c r="AF77" s="149">
        <f>INT(((AE77*Valores!$C$2)*100)+0.5)/100</f>
        <v>0</v>
      </c>
      <c r="AG77" s="149">
        <f>Valores!$C$58</f>
        <v>406.53</v>
      </c>
      <c r="AH77" s="149">
        <f>Valores!$C$60</f>
        <v>116.15</v>
      </c>
      <c r="AI77" s="162">
        <f t="shared" si="18"/>
        <v>29837.5705</v>
      </c>
      <c r="AJ77" s="146">
        <f>Valores!$C$35</f>
        <v>1046.83</v>
      </c>
      <c r="AK77" s="149">
        <f>Valores!$C$80</f>
        <v>3250</v>
      </c>
      <c r="AL77" s="154">
        <v>0</v>
      </c>
      <c r="AM77" s="162">
        <f t="shared" si="16"/>
        <v>4296.83</v>
      </c>
      <c r="AN77" s="146">
        <f>AI77*-Valores!$C$65</f>
        <v>-3431.3206075000003</v>
      </c>
      <c r="AO77" s="146">
        <f>AI77*-Valores!$C$66</f>
        <v>-1342.6906725000001</v>
      </c>
      <c r="AP77" s="170">
        <v>-159.43</v>
      </c>
      <c r="AQ77" s="170">
        <f t="shared" si="19"/>
        <v>-53.83</v>
      </c>
      <c r="AR77" s="162">
        <f t="shared" si="20"/>
        <v>29147.12922</v>
      </c>
    </row>
    <row r="78" spans="1:44" s="137" customFormat="1" ht="11.25" customHeight="1">
      <c r="A78" s="147">
        <v>76</v>
      </c>
      <c r="B78" s="147"/>
      <c r="C78" s="147" t="s">
        <v>267</v>
      </c>
      <c r="D78" s="147"/>
      <c r="E78" s="147">
        <f t="shared" si="13"/>
        <v>29</v>
      </c>
      <c r="F78" s="155" t="s">
        <v>268</v>
      </c>
      <c r="G78" s="152">
        <v>82</v>
      </c>
      <c r="H78" s="149">
        <f>INT((G78*Valores!$C$2*100)+0.5)/100</f>
        <v>691.98</v>
      </c>
      <c r="I78" s="150">
        <v>2038</v>
      </c>
      <c r="J78" s="149">
        <f>INT((I78*Valores!$C$2*100)+0.5)/100</f>
        <v>17198.27</v>
      </c>
      <c r="K78" s="151">
        <v>0</v>
      </c>
      <c r="L78" s="149">
        <f>INT((K78*Valores!$C$2*100)+0.5)/100</f>
        <v>0</v>
      </c>
      <c r="M78" s="158">
        <v>0</v>
      </c>
      <c r="N78" s="149">
        <f>INT((M78*Valores!$C$2*100)+0.5)/100</f>
        <v>0</v>
      </c>
      <c r="O78" s="149">
        <f t="shared" si="14"/>
        <v>3446.5620000000004</v>
      </c>
      <c r="P78" s="149">
        <f t="shared" si="15"/>
        <v>0</v>
      </c>
      <c r="Q78" s="146">
        <f>Valores!$C$16</f>
        <v>5893.48</v>
      </c>
      <c r="R78" s="146">
        <f>Valores!$D$4</f>
        <v>4313.91</v>
      </c>
      <c r="S78" s="148">
        <f>Valores!$C$26</f>
        <v>3959.57</v>
      </c>
      <c r="T78" s="148">
        <f>Valores!$C$42</f>
        <v>1559.82</v>
      </c>
      <c r="U78" s="149">
        <f>Valores!$C$23</f>
        <v>3527.01</v>
      </c>
      <c r="V78" s="149">
        <f t="shared" si="12"/>
        <v>3527.01</v>
      </c>
      <c r="W78" s="149">
        <v>0</v>
      </c>
      <c r="X78" s="149">
        <v>0</v>
      </c>
      <c r="Y78" s="157">
        <v>0</v>
      </c>
      <c r="Z78" s="149">
        <f>Y78*Valores!$C$2</f>
        <v>0</v>
      </c>
      <c r="AA78" s="149">
        <v>0</v>
      </c>
      <c r="AB78" s="154">
        <f>Valores!$C$29</f>
        <v>199.86</v>
      </c>
      <c r="AC78" s="149">
        <f t="shared" si="17"/>
        <v>0</v>
      </c>
      <c r="AD78" s="149">
        <f>Valores!$C$30</f>
        <v>199.86</v>
      </c>
      <c r="AE78" s="157">
        <v>0</v>
      </c>
      <c r="AF78" s="149">
        <f>INT(((AE78*Valores!$C$2)*100)+0.5)/100</f>
        <v>0</v>
      </c>
      <c r="AG78" s="149">
        <f>Valores!$C$58</f>
        <v>406.53</v>
      </c>
      <c r="AH78" s="149">
        <f>Valores!$C$60</f>
        <v>116.15</v>
      </c>
      <c r="AI78" s="162">
        <f t="shared" si="18"/>
        <v>41513.00200000001</v>
      </c>
      <c r="AJ78" s="146">
        <f>Valores!$C$35</f>
        <v>1046.83</v>
      </c>
      <c r="AK78" s="149">
        <f>Valores!$C$80</f>
        <v>3250</v>
      </c>
      <c r="AL78" s="154">
        <f>Valores!$C$51</f>
        <v>170.34</v>
      </c>
      <c r="AM78" s="162">
        <f t="shared" si="16"/>
        <v>4296.83</v>
      </c>
      <c r="AN78" s="146">
        <f>AI78*-Valores!$C$65</f>
        <v>-4773.995230000001</v>
      </c>
      <c r="AO78" s="146">
        <f>AI78*-Valores!$C$66</f>
        <v>-1868.0850900000003</v>
      </c>
      <c r="AP78" s="170">
        <v>-159.43</v>
      </c>
      <c r="AQ78" s="170">
        <f t="shared" si="19"/>
        <v>-53.83</v>
      </c>
      <c r="AR78" s="162">
        <f t="shared" si="20"/>
        <v>38954.49168000001</v>
      </c>
    </row>
    <row r="79" spans="1:44" s="137" customFormat="1" ht="11.25" customHeight="1">
      <c r="A79" s="147">
        <v>77</v>
      </c>
      <c r="B79" s="147"/>
      <c r="C79" s="147" t="s">
        <v>269</v>
      </c>
      <c r="D79" s="147"/>
      <c r="E79" s="147">
        <f t="shared" si="13"/>
        <v>24</v>
      </c>
      <c r="F79" s="155" t="s">
        <v>270</v>
      </c>
      <c r="G79" s="152">
        <v>78</v>
      </c>
      <c r="H79" s="149">
        <f>INT((G79*Valores!$C$2*100)+0.5)/100</f>
        <v>658.23</v>
      </c>
      <c r="I79" s="150">
        <v>2072</v>
      </c>
      <c r="J79" s="149">
        <f>INT((I79*Valores!$C$2*100)+0.5)/100</f>
        <v>17485.19</v>
      </c>
      <c r="K79" s="151">
        <v>0</v>
      </c>
      <c r="L79" s="149">
        <f>INT((K79*Valores!$C$2*100)+0.5)/100</f>
        <v>0</v>
      </c>
      <c r="M79" s="158">
        <v>0</v>
      </c>
      <c r="N79" s="149">
        <f>INT((M79*Valores!$C$2*100)+0.5)/100</f>
        <v>0</v>
      </c>
      <c r="O79" s="149">
        <f t="shared" si="14"/>
        <v>3484.5375</v>
      </c>
      <c r="P79" s="149">
        <f t="shared" si="15"/>
        <v>0</v>
      </c>
      <c r="Q79" s="146">
        <f>Valores!$C$16</f>
        <v>5893.48</v>
      </c>
      <c r="R79" s="146">
        <f>Valores!$D$4</f>
        <v>4313.91</v>
      </c>
      <c r="S79" s="148">
        <f>Valores!$C$26</f>
        <v>3959.57</v>
      </c>
      <c r="T79" s="148">
        <f>Valores!$C$42</f>
        <v>1559.82</v>
      </c>
      <c r="U79" s="149">
        <f>Valores!$C$23</f>
        <v>3527.01</v>
      </c>
      <c r="V79" s="149">
        <f t="shared" si="12"/>
        <v>3527.01</v>
      </c>
      <c r="W79" s="149">
        <v>0</v>
      </c>
      <c r="X79" s="149">
        <v>0</v>
      </c>
      <c r="Y79" s="157">
        <v>0</v>
      </c>
      <c r="Z79" s="149">
        <f>Y79*Valores!$C$2</f>
        <v>0</v>
      </c>
      <c r="AA79" s="149">
        <v>0</v>
      </c>
      <c r="AB79" s="154">
        <f>Valores!$C$29</f>
        <v>199.86</v>
      </c>
      <c r="AC79" s="149">
        <f t="shared" si="17"/>
        <v>0</v>
      </c>
      <c r="AD79" s="149">
        <f>Valores!$C$30</f>
        <v>199.86</v>
      </c>
      <c r="AE79" s="157">
        <v>0</v>
      </c>
      <c r="AF79" s="149">
        <f>INT(((AE79*Valores!$C$2)*100)+0.5)/100</f>
        <v>0</v>
      </c>
      <c r="AG79" s="149">
        <f>Valores!$C$58</f>
        <v>406.53</v>
      </c>
      <c r="AH79" s="149">
        <f>Valores!$C$60</f>
        <v>116.15</v>
      </c>
      <c r="AI79" s="162">
        <f t="shared" si="18"/>
        <v>41804.1475</v>
      </c>
      <c r="AJ79" s="146">
        <f>Valores!$C$35</f>
        <v>1046.83</v>
      </c>
      <c r="AK79" s="149">
        <f>Valores!$C$82</f>
        <v>6500</v>
      </c>
      <c r="AL79" s="154">
        <f>Valores!$C$51</f>
        <v>170.34</v>
      </c>
      <c r="AM79" s="162">
        <f t="shared" si="16"/>
        <v>7546.83</v>
      </c>
      <c r="AN79" s="146">
        <f>AI79*-Valores!$C$65</f>
        <v>-4807.4769625</v>
      </c>
      <c r="AO79" s="146">
        <f>AI79*-Valores!$C$66</f>
        <v>-1881.1866375</v>
      </c>
      <c r="AP79" s="170">
        <v>-159.43</v>
      </c>
      <c r="AQ79" s="170">
        <f t="shared" si="19"/>
        <v>-53.83</v>
      </c>
      <c r="AR79" s="162">
        <f t="shared" si="20"/>
        <v>42449.0539</v>
      </c>
    </row>
    <row r="80" spans="1:44" s="137" customFormat="1" ht="11.25" customHeight="1">
      <c r="A80" s="147">
        <v>78</v>
      </c>
      <c r="B80" s="147"/>
      <c r="C80" s="147" t="s">
        <v>271</v>
      </c>
      <c r="D80" s="147"/>
      <c r="E80" s="147">
        <f t="shared" si="13"/>
        <v>24</v>
      </c>
      <c r="F80" s="155" t="s">
        <v>272</v>
      </c>
      <c r="G80" s="152">
        <v>78</v>
      </c>
      <c r="H80" s="149">
        <f>INT((G80*Valores!$C$2*100)+0.5)/100</f>
        <v>658.23</v>
      </c>
      <c r="I80" s="150">
        <v>1770</v>
      </c>
      <c r="J80" s="149">
        <f>INT((I80*Valores!$C$2*100)+0.5)/100</f>
        <v>14936.68</v>
      </c>
      <c r="K80" s="151">
        <v>0</v>
      </c>
      <c r="L80" s="149">
        <f>INT((K80*Valores!$C$2*100)+0.5)/100</f>
        <v>0</v>
      </c>
      <c r="M80" s="158">
        <v>0</v>
      </c>
      <c r="N80" s="149">
        <f>INT((M80*Valores!$C$2*100)+0.5)/100</f>
        <v>0</v>
      </c>
      <c r="O80" s="149">
        <f t="shared" si="14"/>
        <v>3102.2609999999995</v>
      </c>
      <c r="P80" s="149">
        <f t="shared" si="15"/>
        <v>0</v>
      </c>
      <c r="Q80" s="146">
        <f>Valores!$C$16</f>
        <v>5893.48</v>
      </c>
      <c r="R80" s="146">
        <f>Valores!$D$4</f>
        <v>4313.91</v>
      </c>
      <c r="S80" s="149">
        <f>Valores!$C$26</f>
        <v>3959.57</v>
      </c>
      <c r="T80" s="149">
        <f>Valores!$C$42</f>
        <v>1559.82</v>
      </c>
      <c r="U80" s="149">
        <f>Valores!$C$23</f>
        <v>3527.01</v>
      </c>
      <c r="V80" s="149">
        <f t="shared" si="12"/>
        <v>3527.01</v>
      </c>
      <c r="W80" s="149">
        <v>0</v>
      </c>
      <c r="X80" s="149">
        <v>0</v>
      </c>
      <c r="Y80" s="157">
        <v>0</v>
      </c>
      <c r="Z80" s="149">
        <f>Y80*Valores!$C$2</f>
        <v>0</v>
      </c>
      <c r="AA80" s="149">
        <v>0</v>
      </c>
      <c r="AB80" s="154">
        <f>Valores!$C$29</f>
        <v>199.86</v>
      </c>
      <c r="AC80" s="149">
        <f t="shared" si="17"/>
        <v>0</v>
      </c>
      <c r="AD80" s="149">
        <f>Valores!$C$30</f>
        <v>199.86</v>
      </c>
      <c r="AE80" s="157">
        <v>0</v>
      </c>
      <c r="AF80" s="149">
        <f>INT(((AE80*Valores!$C$2)*100)+0.5)/100</f>
        <v>0</v>
      </c>
      <c r="AG80" s="149">
        <f>Valores!$C$58</f>
        <v>406.53</v>
      </c>
      <c r="AH80" s="149">
        <f>Valores!$C$60</f>
        <v>116.15</v>
      </c>
      <c r="AI80" s="162">
        <f t="shared" si="18"/>
        <v>38873.361000000004</v>
      </c>
      <c r="AJ80" s="146">
        <f>Valores!$C$35</f>
        <v>1046.83</v>
      </c>
      <c r="AK80" s="149">
        <f>Valores!$C$82</f>
        <v>6500</v>
      </c>
      <c r="AL80" s="154">
        <f>Valores!$C$51</f>
        <v>170.34</v>
      </c>
      <c r="AM80" s="162">
        <f t="shared" si="16"/>
        <v>7546.83</v>
      </c>
      <c r="AN80" s="146">
        <f>AI80*-Valores!$C$65</f>
        <v>-4470.436515</v>
      </c>
      <c r="AO80" s="146">
        <f>AI80*-Valores!$C$66</f>
        <v>-1749.301245</v>
      </c>
      <c r="AP80" s="170">
        <v>-159.43</v>
      </c>
      <c r="AQ80" s="170">
        <f t="shared" si="19"/>
        <v>-53.83</v>
      </c>
      <c r="AR80" s="162">
        <f t="shared" si="20"/>
        <v>39987.19324</v>
      </c>
    </row>
    <row r="81" spans="1:44" s="137" customFormat="1" ht="11.25" customHeight="1">
      <c r="A81" s="147">
        <v>79</v>
      </c>
      <c r="B81" s="147"/>
      <c r="C81" s="147" t="s">
        <v>273</v>
      </c>
      <c r="D81" s="147"/>
      <c r="E81" s="147">
        <f t="shared" si="13"/>
        <v>27</v>
      </c>
      <c r="F81" s="155" t="s">
        <v>274</v>
      </c>
      <c r="G81" s="152">
        <v>77</v>
      </c>
      <c r="H81" s="149">
        <f>INT((G81*Valores!$C$2*100)+0.5)/100</f>
        <v>649.79</v>
      </c>
      <c r="I81" s="150">
        <v>2073</v>
      </c>
      <c r="J81" s="149">
        <f>INT((I81*Valores!$C$2*100)+0.5)/100</f>
        <v>17493.63</v>
      </c>
      <c r="K81" s="151">
        <v>0</v>
      </c>
      <c r="L81" s="149">
        <f>INT((K81*Valores!$C$2*100)+0.5)/100</f>
        <v>0</v>
      </c>
      <c r="M81" s="158">
        <v>0</v>
      </c>
      <c r="N81" s="149">
        <f>INT((M81*Valores!$C$2*100)+0.5)/100</f>
        <v>0</v>
      </c>
      <c r="O81" s="149">
        <f t="shared" si="14"/>
        <v>3484.5375</v>
      </c>
      <c r="P81" s="149">
        <f t="shared" si="15"/>
        <v>0</v>
      </c>
      <c r="Q81" s="146">
        <f>Valores!$C$16</f>
        <v>5893.48</v>
      </c>
      <c r="R81" s="146">
        <f>Valores!$D$4</f>
        <v>4313.91</v>
      </c>
      <c r="S81" s="148">
        <f>Valores!$C$26</f>
        <v>3959.57</v>
      </c>
      <c r="T81" s="148">
        <f>Valores!$C$42</f>
        <v>1559.82</v>
      </c>
      <c r="U81" s="149">
        <f>Valores!$C$23</f>
        <v>3527.01</v>
      </c>
      <c r="V81" s="149">
        <f t="shared" si="12"/>
        <v>3527.01</v>
      </c>
      <c r="W81" s="149">
        <v>0</v>
      </c>
      <c r="X81" s="149">
        <v>0</v>
      </c>
      <c r="Y81" s="157">
        <v>0</v>
      </c>
      <c r="Z81" s="149">
        <f>Y81*Valores!$C$2</f>
        <v>0</v>
      </c>
      <c r="AA81" s="149">
        <v>0</v>
      </c>
      <c r="AB81" s="154">
        <f>Valores!$C$29</f>
        <v>199.86</v>
      </c>
      <c r="AC81" s="149">
        <f t="shared" si="17"/>
        <v>0</v>
      </c>
      <c r="AD81" s="149">
        <f>Valores!$C$30</f>
        <v>199.86</v>
      </c>
      <c r="AE81" s="157">
        <v>0</v>
      </c>
      <c r="AF81" s="149">
        <f>INT(((AE81*Valores!$C$2)*100)+0.5)/100</f>
        <v>0</v>
      </c>
      <c r="AG81" s="149">
        <f>Valores!$C$58</f>
        <v>406.53</v>
      </c>
      <c r="AH81" s="149">
        <f>Valores!$C$60</f>
        <v>116.15</v>
      </c>
      <c r="AI81" s="162">
        <f t="shared" si="18"/>
        <v>41804.14750000001</v>
      </c>
      <c r="AJ81" s="146">
        <f>Valores!$C$35</f>
        <v>1046.83</v>
      </c>
      <c r="AK81" s="149">
        <f>Valores!$C$80</f>
        <v>3250</v>
      </c>
      <c r="AL81" s="154">
        <f>Valores!$C$51</f>
        <v>170.34</v>
      </c>
      <c r="AM81" s="162">
        <f t="shared" si="16"/>
        <v>4296.83</v>
      </c>
      <c r="AN81" s="146">
        <f>AI81*-Valores!$C$65</f>
        <v>-4807.476962500001</v>
      </c>
      <c r="AO81" s="146">
        <f>AI81*-Valores!$C$66</f>
        <v>-1881.1866375000002</v>
      </c>
      <c r="AP81" s="170">
        <v>-159.43</v>
      </c>
      <c r="AQ81" s="170">
        <f t="shared" si="19"/>
        <v>-53.83</v>
      </c>
      <c r="AR81" s="162">
        <f t="shared" si="20"/>
        <v>39199.0539</v>
      </c>
    </row>
    <row r="82" spans="1:44" s="137" customFormat="1" ht="11.25" customHeight="1">
      <c r="A82" s="147">
        <v>80</v>
      </c>
      <c r="B82" s="147" t="s">
        <v>135</v>
      </c>
      <c r="C82" s="147" t="s">
        <v>275</v>
      </c>
      <c r="D82" s="147"/>
      <c r="E82" s="147">
        <f t="shared" si="13"/>
        <v>27</v>
      </c>
      <c r="F82" s="155" t="s">
        <v>276</v>
      </c>
      <c r="G82" s="152">
        <v>76</v>
      </c>
      <c r="H82" s="149">
        <f>INT((G82*Valores!$C$2*100)+0.5)/100</f>
        <v>641.35</v>
      </c>
      <c r="I82" s="150">
        <v>1872</v>
      </c>
      <c r="J82" s="149">
        <f>INT((I82*Valores!$C$2*100)+0.5)/100</f>
        <v>15797.43</v>
      </c>
      <c r="K82" s="151">
        <v>0</v>
      </c>
      <c r="L82" s="149">
        <f>INT((K82*Valores!$C$2*100)+0.5)/100</f>
        <v>0</v>
      </c>
      <c r="M82" s="158">
        <v>0</v>
      </c>
      <c r="N82" s="149">
        <f>INT((M82*Valores!$C$2*100)+0.5)/100</f>
        <v>0</v>
      </c>
      <c r="O82" s="149">
        <f t="shared" si="14"/>
        <v>3228.8415</v>
      </c>
      <c r="P82" s="149">
        <f t="shared" si="15"/>
        <v>0</v>
      </c>
      <c r="Q82" s="146">
        <f>Valores!$C$16</f>
        <v>5893.48</v>
      </c>
      <c r="R82" s="146">
        <f>Valores!$D$4</f>
        <v>4313.91</v>
      </c>
      <c r="S82" s="149">
        <v>0</v>
      </c>
      <c r="T82" s="149">
        <f>Valores!$C$42</f>
        <v>1559.82</v>
      </c>
      <c r="U82" s="149">
        <f>Valores!$C$23</f>
        <v>3527.01</v>
      </c>
      <c r="V82" s="149">
        <f t="shared" si="12"/>
        <v>3527.01</v>
      </c>
      <c r="W82" s="149">
        <v>0</v>
      </c>
      <c r="X82" s="149">
        <v>0</v>
      </c>
      <c r="Y82" s="157">
        <v>0</v>
      </c>
      <c r="Z82" s="149">
        <f>Y82*Valores!$C$2</f>
        <v>0</v>
      </c>
      <c r="AA82" s="149">
        <v>0</v>
      </c>
      <c r="AB82" s="154">
        <f>Valores!$C$29</f>
        <v>199.86</v>
      </c>
      <c r="AC82" s="149">
        <f t="shared" si="17"/>
        <v>0</v>
      </c>
      <c r="AD82" s="149">
        <f>Valores!$C$30</f>
        <v>199.86</v>
      </c>
      <c r="AE82" s="157">
        <v>0</v>
      </c>
      <c r="AF82" s="149">
        <f>INT(((AE82*Valores!$C$2)*100)+0.5)/100</f>
        <v>0</v>
      </c>
      <c r="AG82" s="149">
        <f>Valores!$C$58</f>
        <v>406.53</v>
      </c>
      <c r="AH82" s="149">
        <f>Valores!$C$60</f>
        <v>116.15</v>
      </c>
      <c r="AI82" s="162">
        <f t="shared" si="18"/>
        <v>35884.2415</v>
      </c>
      <c r="AJ82" s="146">
        <f>Valores!$C$35</f>
        <v>1046.83</v>
      </c>
      <c r="AK82" s="149">
        <f>Valores!$C$80</f>
        <v>3250</v>
      </c>
      <c r="AL82" s="154">
        <f>Valores!$C$51</f>
        <v>170.34</v>
      </c>
      <c r="AM82" s="162">
        <f t="shared" si="16"/>
        <v>4296.83</v>
      </c>
      <c r="AN82" s="146">
        <f>AI82*-Valores!$C$65</f>
        <v>-4126.6877724999995</v>
      </c>
      <c r="AO82" s="146">
        <f>AI82*-Valores!$C$66</f>
        <v>-1614.7908674999999</v>
      </c>
      <c r="AP82" s="170">
        <v>-159.43</v>
      </c>
      <c r="AQ82" s="170">
        <f t="shared" si="19"/>
        <v>-53.83</v>
      </c>
      <c r="AR82" s="162">
        <f t="shared" si="20"/>
        <v>34226.332859999995</v>
      </c>
    </row>
    <row r="83" spans="1:44" s="137" customFormat="1" ht="11.25" customHeight="1">
      <c r="A83" s="147">
        <v>81</v>
      </c>
      <c r="B83" s="147"/>
      <c r="C83" s="147" t="s">
        <v>277</v>
      </c>
      <c r="D83" s="147"/>
      <c r="E83" s="147">
        <f t="shared" si="13"/>
        <v>30</v>
      </c>
      <c r="F83" s="155" t="s">
        <v>278</v>
      </c>
      <c r="G83" s="152">
        <v>75</v>
      </c>
      <c r="H83" s="149">
        <f>INT((G83*Valores!$C$2*100)+0.5)/100</f>
        <v>632.91</v>
      </c>
      <c r="I83" s="150">
        <v>1873</v>
      </c>
      <c r="J83" s="149">
        <f>INT((I83*Valores!$C$2*100)+0.5)/100</f>
        <v>15805.87</v>
      </c>
      <c r="K83" s="151">
        <v>0</v>
      </c>
      <c r="L83" s="149">
        <f>INT((K83*Valores!$C$2*100)+0.5)/100</f>
        <v>0</v>
      </c>
      <c r="M83" s="158">
        <v>0</v>
      </c>
      <c r="N83" s="149">
        <f>INT((M83*Valores!$C$2*100)+0.5)/100</f>
        <v>0</v>
      </c>
      <c r="O83" s="149">
        <f t="shared" si="14"/>
        <v>3228.8415</v>
      </c>
      <c r="P83" s="149">
        <f t="shared" si="15"/>
        <v>0</v>
      </c>
      <c r="Q83" s="146">
        <f>Valores!$C$16</f>
        <v>5893.48</v>
      </c>
      <c r="R83" s="146">
        <f>Valores!$D$4</f>
        <v>4313.91</v>
      </c>
      <c r="S83" s="148">
        <f>Valores!$C$26</f>
        <v>3959.57</v>
      </c>
      <c r="T83" s="148">
        <f>Valores!$C$42</f>
        <v>1559.82</v>
      </c>
      <c r="U83" s="149">
        <f>Valores!$C$23</f>
        <v>3527.01</v>
      </c>
      <c r="V83" s="149">
        <f t="shared" si="12"/>
        <v>3527.01</v>
      </c>
      <c r="W83" s="149">
        <v>0</v>
      </c>
      <c r="X83" s="149">
        <v>0</v>
      </c>
      <c r="Y83" s="157">
        <v>0</v>
      </c>
      <c r="Z83" s="149">
        <f>Y83*Valores!$C$2</f>
        <v>0</v>
      </c>
      <c r="AA83" s="149">
        <v>0</v>
      </c>
      <c r="AB83" s="154">
        <f>Valores!$C$29</f>
        <v>199.86</v>
      </c>
      <c r="AC83" s="149">
        <f t="shared" si="17"/>
        <v>0</v>
      </c>
      <c r="AD83" s="149">
        <f>Valores!$C$30</f>
        <v>199.86</v>
      </c>
      <c r="AE83" s="157">
        <v>0</v>
      </c>
      <c r="AF83" s="149">
        <f>INT(((AE83*Valores!$C$2)*100)+0.5)/100</f>
        <v>0</v>
      </c>
      <c r="AG83" s="149">
        <f>Valores!$C$58</f>
        <v>406.53</v>
      </c>
      <c r="AH83" s="149">
        <f>Valores!$C$60</f>
        <v>116.15</v>
      </c>
      <c r="AI83" s="162">
        <f t="shared" si="18"/>
        <v>39843.8115</v>
      </c>
      <c r="AJ83" s="146">
        <f>Valores!$C$35</f>
        <v>1046.83</v>
      </c>
      <c r="AK83" s="149">
        <f>Valores!$C$81</f>
        <v>3900</v>
      </c>
      <c r="AL83" s="154">
        <f>Valores!$C$51</f>
        <v>170.34</v>
      </c>
      <c r="AM83" s="162">
        <f t="shared" si="16"/>
        <v>4946.83</v>
      </c>
      <c r="AN83" s="146">
        <f>AI83*-Valores!$C$65</f>
        <v>-4582.0383225000005</v>
      </c>
      <c r="AO83" s="146">
        <f>AI83*-Valores!$C$66</f>
        <v>-1792.9715175000001</v>
      </c>
      <c r="AP83" s="170">
        <v>-159.43</v>
      </c>
      <c r="AQ83" s="170">
        <f t="shared" si="19"/>
        <v>-53.83</v>
      </c>
      <c r="AR83" s="162">
        <f t="shared" si="20"/>
        <v>38202.37166</v>
      </c>
    </row>
    <row r="84" spans="1:44" s="137" customFormat="1" ht="11.25" customHeight="1">
      <c r="A84" s="147">
        <v>82</v>
      </c>
      <c r="B84" s="147"/>
      <c r="C84" s="147" t="s">
        <v>279</v>
      </c>
      <c r="D84" s="147"/>
      <c r="E84" s="147">
        <f t="shared" si="13"/>
        <v>27</v>
      </c>
      <c r="F84" s="155" t="s">
        <v>280</v>
      </c>
      <c r="G84" s="152">
        <v>76</v>
      </c>
      <c r="H84" s="149">
        <f>INT((G84*Valores!$C$2*100)+0.5)/100</f>
        <v>641.35</v>
      </c>
      <c r="I84" s="150">
        <v>1752</v>
      </c>
      <c r="J84" s="149">
        <f>INT((I84*Valores!$C$2*100)+0.5)/100</f>
        <v>14784.78</v>
      </c>
      <c r="K84" s="151">
        <v>0</v>
      </c>
      <c r="L84" s="149">
        <f>INT((K84*Valores!$C$2*100)+0.5)/100</f>
        <v>0</v>
      </c>
      <c r="M84" s="158">
        <v>0</v>
      </c>
      <c r="N84" s="149">
        <f>INT((M84*Valores!$C$2*100)+0.5)/100</f>
        <v>0</v>
      </c>
      <c r="O84" s="149">
        <f t="shared" si="14"/>
        <v>3076.944</v>
      </c>
      <c r="P84" s="149">
        <f t="shared" si="15"/>
        <v>0</v>
      </c>
      <c r="Q84" s="146">
        <f>Valores!$C$15</f>
        <v>5862.51</v>
      </c>
      <c r="R84" s="146">
        <f>Valores!$D$4</f>
        <v>4313.91</v>
      </c>
      <c r="S84" s="148">
        <f>Valores!$C$26</f>
        <v>3959.57</v>
      </c>
      <c r="T84" s="148">
        <f>Valores!$C$42</f>
        <v>1559.82</v>
      </c>
      <c r="U84" s="149">
        <f>Valores!$C$23</f>
        <v>3527.01</v>
      </c>
      <c r="V84" s="149">
        <f t="shared" si="12"/>
        <v>3527.01</v>
      </c>
      <c r="W84" s="149">
        <v>0</v>
      </c>
      <c r="X84" s="149">
        <v>0</v>
      </c>
      <c r="Y84" s="157">
        <v>0</v>
      </c>
      <c r="Z84" s="149">
        <f>Y84*Valores!$C$2</f>
        <v>0</v>
      </c>
      <c r="AA84" s="149">
        <v>0</v>
      </c>
      <c r="AB84" s="154">
        <f>Valores!$C$29</f>
        <v>199.86</v>
      </c>
      <c r="AC84" s="149">
        <f t="shared" si="17"/>
        <v>0</v>
      </c>
      <c r="AD84" s="149">
        <f>Valores!$C$30</f>
        <v>199.86</v>
      </c>
      <c r="AE84" s="157">
        <v>0</v>
      </c>
      <c r="AF84" s="149">
        <f>INT(((AE84*Valores!$C$2)*100)+0.5)/100</f>
        <v>0</v>
      </c>
      <c r="AG84" s="149">
        <f>Valores!$C$58</f>
        <v>406.53</v>
      </c>
      <c r="AH84" s="149">
        <f>Valores!$C$60</f>
        <v>116.15</v>
      </c>
      <c r="AI84" s="162">
        <f t="shared" si="18"/>
        <v>38648.294</v>
      </c>
      <c r="AJ84" s="146">
        <f>Valores!$C$35</f>
        <v>1046.83</v>
      </c>
      <c r="AK84" s="149">
        <f>Valores!$C$80</f>
        <v>3250</v>
      </c>
      <c r="AL84" s="154">
        <f>Valores!$C$51</f>
        <v>170.34</v>
      </c>
      <c r="AM84" s="162">
        <f t="shared" si="16"/>
        <v>4296.83</v>
      </c>
      <c r="AN84" s="146">
        <f>AI84*-Valores!$C$65</f>
        <v>-4444.55381</v>
      </c>
      <c r="AO84" s="146">
        <f>AI84*-Valores!$C$66</f>
        <v>-1739.17323</v>
      </c>
      <c r="AP84" s="170">
        <v>-159.43</v>
      </c>
      <c r="AQ84" s="170">
        <f t="shared" si="19"/>
        <v>-53.83</v>
      </c>
      <c r="AR84" s="162">
        <f t="shared" si="20"/>
        <v>36548.13696</v>
      </c>
    </row>
    <row r="85" spans="1:44" s="137" customFormat="1" ht="11.25" customHeight="1">
      <c r="A85" s="147">
        <v>83</v>
      </c>
      <c r="B85" s="147"/>
      <c r="C85" s="147" t="s">
        <v>281</v>
      </c>
      <c r="D85" s="147"/>
      <c r="E85" s="147">
        <f t="shared" si="13"/>
        <v>31</v>
      </c>
      <c r="F85" s="155" t="s">
        <v>282</v>
      </c>
      <c r="G85" s="152">
        <v>78</v>
      </c>
      <c r="H85" s="149">
        <f>INT((G85*Valores!$C$2*100)+0.5)/100</f>
        <v>658.23</v>
      </c>
      <c r="I85" s="150">
        <v>1770</v>
      </c>
      <c r="J85" s="149">
        <f>INT((I85*Valores!$C$2*100)+0.5)/100</f>
        <v>14936.68</v>
      </c>
      <c r="K85" s="151">
        <v>0</v>
      </c>
      <c r="L85" s="149">
        <f>INT((K85*Valores!$C$2*100)+0.5)/100</f>
        <v>0</v>
      </c>
      <c r="M85" s="158">
        <v>0</v>
      </c>
      <c r="N85" s="149">
        <f>INT((M85*Valores!$C$2*100)+0.5)/100</f>
        <v>0</v>
      </c>
      <c r="O85" s="149">
        <f t="shared" si="14"/>
        <v>3073.5719999999997</v>
      </c>
      <c r="P85" s="149">
        <f t="shared" si="15"/>
        <v>0</v>
      </c>
      <c r="Q85" s="146">
        <f>Valores!$C$16</f>
        <v>5893.48</v>
      </c>
      <c r="R85" s="146">
        <f>Valores!$D$4</f>
        <v>4313.91</v>
      </c>
      <c r="S85" s="149">
        <f>Valores!$C$26</f>
        <v>3959.57</v>
      </c>
      <c r="T85" s="149">
        <f>Valores!$C$41</f>
        <v>1368.56</v>
      </c>
      <c r="U85" s="148">
        <f>Valores!$C$23</f>
        <v>3527.01</v>
      </c>
      <c r="V85" s="149">
        <f t="shared" si="12"/>
        <v>3527.01</v>
      </c>
      <c r="W85" s="149">
        <v>0</v>
      </c>
      <c r="X85" s="149">
        <v>0</v>
      </c>
      <c r="Y85" s="157">
        <v>0</v>
      </c>
      <c r="Z85" s="149">
        <f>Y85*Valores!$C$2</f>
        <v>0</v>
      </c>
      <c r="AA85" s="149">
        <v>0</v>
      </c>
      <c r="AB85" s="154">
        <f>Valores!$C$29</f>
        <v>199.86</v>
      </c>
      <c r="AC85" s="149">
        <f t="shared" si="17"/>
        <v>0</v>
      </c>
      <c r="AD85" s="149">
        <f>Valores!$C$30</f>
        <v>199.86</v>
      </c>
      <c r="AE85" s="157">
        <v>0</v>
      </c>
      <c r="AF85" s="149">
        <f>INT(((AE85*Valores!$C$2)*100)+0.5)/100</f>
        <v>0</v>
      </c>
      <c r="AG85" s="149">
        <f>Valores!$C$58</f>
        <v>406.53</v>
      </c>
      <c r="AH85" s="149">
        <f>Valores!$C$60</f>
        <v>116.15</v>
      </c>
      <c r="AI85" s="162">
        <f t="shared" si="18"/>
        <v>38653.412000000004</v>
      </c>
      <c r="AJ85" s="146">
        <f>Valores!$C$35</f>
        <v>1046.83</v>
      </c>
      <c r="AK85" s="149">
        <f>Valores!$C$80</f>
        <v>3250</v>
      </c>
      <c r="AL85" s="154">
        <f>Valores!$C$51</f>
        <v>170.34</v>
      </c>
      <c r="AM85" s="162">
        <f t="shared" si="16"/>
        <v>4296.83</v>
      </c>
      <c r="AN85" s="146">
        <f>AI85*-Valores!$C$65</f>
        <v>-4445.14238</v>
      </c>
      <c r="AO85" s="146">
        <f>AI85*-Valores!$C$66</f>
        <v>-1739.40354</v>
      </c>
      <c r="AP85" s="170">
        <v>-159.43</v>
      </c>
      <c r="AQ85" s="170">
        <f t="shared" si="19"/>
        <v>-53.83</v>
      </c>
      <c r="AR85" s="162">
        <f t="shared" si="20"/>
        <v>36552.43608000001</v>
      </c>
    </row>
    <row r="86" spans="1:44" s="137" customFormat="1" ht="11.25" customHeight="1">
      <c r="A86" s="147">
        <v>84</v>
      </c>
      <c r="B86" s="147"/>
      <c r="C86" s="147" t="s">
        <v>283</v>
      </c>
      <c r="D86" s="147"/>
      <c r="E86" s="147">
        <f t="shared" si="13"/>
        <v>28</v>
      </c>
      <c r="F86" s="155" t="s">
        <v>284</v>
      </c>
      <c r="G86" s="152">
        <v>76</v>
      </c>
      <c r="H86" s="149">
        <f>INT((G86*Valores!$C$2*100)+0.5)/100</f>
        <v>641.35</v>
      </c>
      <c r="I86" s="150">
        <v>1872</v>
      </c>
      <c r="J86" s="149">
        <f>INT((I86*Valores!$C$2*100)+0.5)/100</f>
        <v>15797.43</v>
      </c>
      <c r="K86" s="151">
        <v>0</v>
      </c>
      <c r="L86" s="149">
        <f>INT((K86*Valores!$C$2*100)+0.5)/100</f>
        <v>0</v>
      </c>
      <c r="M86" s="158">
        <v>0</v>
      </c>
      <c r="N86" s="149">
        <f>INT((M86*Valores!$C$2*100)+0.5)/100</f>
        <v>0</v>
      </c>
      <c r="O86" s="149">
        <f t="shared" si="14"/>
        <v>3200.1525</v>
      </c>
      <c r="P86" s="149">
        <f t="shared" si="15"/>
        <v>0</v>
      </c>
      <c r="Q86" s="146">
        <f>Valores!$C$16</f>
        <v>5893.48</v>
      </c>
      <c r="R86" s="146">
        <f>Valores!$D$4</f>
        <v>4313.91</v>
      </c>
      <c r="S86" s="149">
        <v>0</v>
      </c>
      <c r="T86" s="149">
        <f>Valores!$C$41</f>
        <v>1368.56</v>
      </c>
      <c r="U86" s="148">
        <f>Valores!$C$23</f>
        <v>3527.01</v>
      </c>
      <c r="V86" s="149">
        <f t="shared" si="12"/>
        <v>3527.01</v>
      </c>
      <c r="W86" s="149">
        <v>0</v>
      </c>
      <c r="X86" s="149">
        <v>0</v>
      </c>
      <c r="Y86" s="157">
        <v>0</v>
      </c>
      <c r="Z86" s="149">
        <f>Y86*Valores!$C$2</f>
        <v>0</v>
      </c>
      <c r="AA86" s="149">
        <v>0</v>
      </c>
      <c r="AB86" s="154">
        <f>Valores!$C$29</f>
        <v>199.86</v>
      </c>
      <c r="AC86" s="149">
        <f t="shared" si="17"/>
        <v>0</v>
      </c>
      <c r="AD86" s="149">
        <f>Valores!$C$30</f>
        <v>199.86</v>
      </c>
      <c r="AE86" s="157">
        <v>0</v>
      </c>
      <c r="AF86" s="149">
        <f>INT(((AE86*Valores!$C$2)*100)+0.5)/100</f>
        <v>0</v>
      </c>
      <c r="AG86" s="149">
        <f>Valores!$C$58</f>
        <v>406.53</v>
      </c>
      <c r="AH86" s="149">
        <f>Valores!$C$60</f>
        <v>116.15</v>
      </c>
      <c r="AI86" s="162">
        <f t="shared" si="18"/>
        <v>35664.292499999996</v>
      </c>
      <c r="AJ86" s="146">
        <f>Valores!$C$35</f>
        <v>1046.83</v>
      </c>
      <c r="AK86" s="149">
        <f>Valores!$C$80</f>
        <v>3250</v>
      </c>
      <c r="AL86" s="154">
        <f>Valores!$C$51</f>
        <v>170.34</v>
      </c>
      <c r="AM86" s="162">
        <f t="shared" si="16"/>
        <v>4296.83</v>
      </c>
      <c r="AN86" s="146">
        <f>AI86*-Valores!$C$65</f>
        <v>-4101.393637499999</v>
      </c>
      <c r="AO86" s="146">
        <f>AI86*-Valores!$C$66</f>
        <v>-1604.8931624999998</v>
      </c>
      <c r="AP86" s="170">
        <v>-159.43</v>
      </c>
      <c r="AQ86" s="170">
        <f t="shared" si="19"/>
        <v>-53.83</v>
      </c>
      <c r="AR86" s="162">
        <f t="shared" si="20"/>
        <v>34041.5757</v>
      </c>
    </row>
    <row r="87" spans="1:44" s="137" customFormat="1" ht="11.25" customHeight="1">
      <c r="A87" s="147">
        <v>85</v>
      </c>
      <c r="B87" s="147" t="s">
        <v>135</v>
      </c>
      <c r="C87" s="147" t="s">
        <v>285</v>
      </c>
      <c r="D87" s="147"/>
      <c r="E87" s="147">
        <f t="shared" si="13"/>
        <v>21</v>
      </c>
      <c r="F87" s="155" t="s">
        <v>286</v>
      </c>
      <c r="G87" s="152">
        <v>169</v>
      </c>
      <c r="H87" s="149">
        <f>INT((G87*Valores!$C$2*100)+0.5)/100</f>
        <v>1426.16</v>
      </c>
      <c r="I87" s="150">
        <f>1997</f>
        <v>1997</v>
      </c>
      <c r="J87" s="149">
        <f>INT((I87*Valores!$C$2*100)+0.5)/100</f>
        <v>16852.28</v>
      </c>
      <c r="K87" s="151">
        <v>0</v>
      </c>
      <c r="L87" s="149">
        <f>INT((K87*Valores!$C$2*100)+0.5)/100</f>
        <v>0</v>
      </c>
      <c r="M87" s="158">
        <v>0</v>
      </c>
      <c r="N87" s="149">
        <f>INT((M87*Valores!$C$2*100)+0.5)/100</f>
        <v>0</v>
      </c>
      <c r="O87" s="149">
        <f t="shared" si="14"/>
        <v>3504.7904999999996</v>
      </c>
      <c r="P87" s="149">
        <f t="shared" si="15"/>
        <v>0</v>
      </c>
      <c r="Q87" s="146">
        <f>Valores!$C$16</f>
        <v>5893.48</v>
      </c>
      <c r="R87" s="146">
        <f>Valores!$D$4</f>
        <v>4313.91</v>
      </c>
      <c r="S87" s="148">
        <f>Valores!$C$26</f>
        <v>3959.57</v>
      </c>
      <c r="T87" s="148">
        <f>Valores!$C$42</f>
        <v>1559.82</v>
      </c>
      <c r="U87" s="149">
        <f>Valores!$C$23</f>
        <v>3527.01</v>
      </c>
      <c r="V87" s="149">
        <f t="shared" si="12"/>
        <v>3527.01</v>
      </c>
      <c r="W87" s="149">
        <v>0</v>
      </c>
      <c r="X87" s="149">
        <v>0</v>
      </c>
      <c r="Y87" s="157">
        <v>0</v>
      </c>
      <c r="Z87" s="149">
        <f>Y87*Valores!$C$2</f>
        <v>0</v>
      </c>
      <c r="AA87" s="149">
        <v>0</v>
      </c>
      <c r="AB87" s="154">
        <f>Valores!$C$29</f>
        <v>199.86</v>
      </c>
      <c r="AC87" s="149">
        <f t="shared" si="17"/>
        <v>0</v>
      </c>
      <c r="AD87" s="149">
        <f>Valores!$C$30</f>
        <v>199.86</v>
      </c>
      <c r="AE87" s="157">
        <v>0</v>
      </c>
      <c r="AF87" s="149">
        <f>INT(((AE87*Valores!$C$2)*100)+0.5)/100</f>
        <v>0</v>
      </c>
      <c r="AG87" s="149">
        <f>Valores!$C$58</f>
        <v>406.53</v>
      </c>
      <c r="AH87" s="149">
        <f>Valores!$C$60</f>
        <v>116.15</v>
      </c>
      <c r="AI87" s="162">
        <f t="shared" si="18"/>
        <v>41959.4205</v>
      </c>
      <c r="AJ87" s="146">
        <f>Valores!$C$35</f>
        <v>1046.83</v>
      </c>
      <c r="AK87" s="149">
        <f>Valores!$C$80</f>
        <v>3250</v>
      </c>
      <c r="AL87" s="154">
        <f>Valores!$C$51</f>
        <v>170.34</v>
      </c>
      <c r="AM87" s="162">
        <f t="shared" si="16"/>
        <v>4296.83</v>
      </c>
      <c r="AN87" s="146">
        <f>AI87*-Valores!$C$65</f>
        <v>-4825.333357500001</v>
      </c>
      <c r="AO87" s="146">
        <f>AI87*-Valores!$C$66</f>
        <v>-1888.1739225</v>
      </c>
      <c r="AP87" s="170">
        <v>-159.43</v>
      </c>
      <c r="AQ87" s="170">
        <f t="shared" si="19"/>
        <v>-53.83</v>
      </c>
      <c r="AR87" s="162">
        <f t="shared" si="20"/>
        <v>39329.48322</v>
      </c>
    </row>
    <row r="88" spans="1:44" s="137" customFormat="1" ht="11.25" customHeight="1">
      <c r="A88" s="147">
        <v>86</v>
      </c>
      <c r="B88" s="147"/>
      <c r="C88" s="147" t="s">
        <v>287</v>
      </c>
      <c r="D88" s="147"/>
      <c r="E88" s="147">
        <f t="shared" si="13"/>
        <v>28</v>
      </c>
      <c r="F88" s="155" t="s">
        <v>288</v>
      </c>
      <c r="G88" s="152">
        <v>218</v>
      </c>
      <c r="H88" s="149">
        <f>INT((G88*Valores!$C$2*100)+0.5)/100</f>
        <v>1839.66</v>
      </c>
      <c r="I88" s="150">
        <f>1997</f>
        <v>1997</v>
      </c>
      <c r="J88" s="149">
        <f>INT((I88*Valores!$C$2*100)+0.5)/100</f>
        <v>16852.28</v>
      </c>
      <c r="K88" s="151">
        <v>0</v>
      </c>
      <c r="L88" s="149">
        <f>INT((K88*Valores!$C$2*100)+0.5)/100</f>
        <v>0</v>
      </c>
      <c r="M88" s="158">
        <v>0</v>
      </c>
      <c r="N88" s="149">
        <f>INT((M88*Valores!$C$2*100)+0.5)/100</f>
        <v>0</v>
      </c>
      <c r="O88" s="149">
        <f t="shared" si="14"/>
        <v>3566.8154999999992</v>
      </c>
      <c r="P88" s="149">
        <f t="shared" si="15"/>
        <v>0</v>
      </c>
      <c r="Q88" s="146">
        <f>Valores!$C$16</f>
        <v>5893.48</v>
      </c>
      <c r="R88" s="146">
        <f>Valores!$D$4</f>
        <v>4313.91</v>
      </c>
      <c r="S88" s="148">
        <f>Valores!$C$26</f>
        <v>3959.57</v>
      </c>
      <c r="T88" s="148">
        <f>Valores!$C$42</f>
        <v>1559.82</v>
      </c>
      <c r="U88" s="149">
        <f>Valores!$C$23</f>
        <v>3527.01</v>
      </c>
      <c r="V88" s="149">
        <f t="shared" si="12"/>
        <v>3527.01</v>
      </c>
      <c r="W88" s="149">
        <v>0</v>
      </c>
      <c r="X88" s="149">
        <v>0</v>
      </c>
      <c r="Y88" s="157">
        <v>0</v>
      </c>
      <c r="Z88" s="149">
        <f>Y88*Valores!$C$2</f>
        <v>0</v>
      </c>
      <c r="AA88" s="149">
        <v>0</v>
      </c>
      <c r="AB88" s="154">
        <f>Valores!$C$29</f>
        <v>199.86</v>
      </c>
      <c r="AC88" s="149">
        <f t="shared" si="17"/>
        <v>0</v>
      </c>
      <c r="AD88" s="149">
        <f>Valores!$C$30</f>
        <v>199.86</v>
      </c>
      <c r="AE88" s="157">
        <v>0</v>
      </c>
      <c r="AF88" s="149">
        <f>INT(((AE88*Valores!$C$2)*100)+0.5)/100</f>
        <v>0</v>
      </c>
      <c r="AG88" s="149">
        <f>Valores!$C$58</f>
        <v>406.53</v>
      </c>
      <c r="AH88" s="149">
        <f>Valores!$C$60</f>
        <v>116.15</v>
      </c>
      <c r="AI88" s="162">
        <f t="shared" si="18"/>
        <v>42434.9455</v>
      </c>
      <c r="AJ88" s="146">
        <f>Valores!$C$35</f>
        <v>1046.83</v>
      </c>
      <c r="AK88" s="149">
        <f>Valores!$C$80</f>
        <v>3250</v>
      </c>
      <c r="AL88" s="154">
        <f>Valores!$C$51</f>
        <v>170.34</v>
      </c>
      <c r="AM88" s="162">
        <f t="shared" si="16"/>
        <v>4296.83</v>
      </c>
      <c r="AN88" s="146">
        <f>AI88*-Valores!$C$65</f>
        <v>-4880.018732500001</v>
      </c>
      <c r="AO88" s="146">
        <f>AI88*-Valores!$C$66</f>
        <v>-1909.5725475</v>
      </c>
      <c r="AP88" s="170">
        <v>-159.43</v>
      </c>
      <c r="AQ88" s="170">
        <f t="shared" si="19"/>
        <v>-53.83</v>
      </c>
      <c r="AR88" s="162">
        <f t="shared" si="20"/>
        <v>39728.92422</v>
      </c>
    </row>
    <row r="89" spans="1:44" s="137" customFormat="1" ht="11.25" customHeight="1">
      <c r="A89" s="147">
        <v>87</v>
      </c>
      <c r="B89" s="147"/>
      <c r="C89" s="147" t="s">
        <v>287</v>
      </c>
      <c r="D89" s="147"/>
      <c r="E89" s="147">
        <f t="shared" si="13"/>
        <v>41</v>
      </c>
      <c r="F89" s="155" t="s">
        <v>289</v>
      </c>
      <c r="G89" s="152">
        <v>218</v>
      </c>
      <c r="H89" s="149">
        <f>INT((G89*Valores!$C$2*100)+0.5)/100</f>
        <v>1839.66</v>
      </c>
      <c r="I89" s="150">
        <f>1997</f>
        <v>1997</v>
      </c>
      <c r="J89" s="149">
        <f>INT((I89*Valores!$C$2*100)+0.5)/100</f>
        <v>16852.28</v>
      </c>
      <c r="K89" s="151">
        <v>0</v>
      </c>
      <c r="L89" s="149">
        <f>INT((K89*Valores!$C$2*100)+0.5)/100</f>
        <v>0</v>
      </c>
      <c r="M89" s="158">
        <v>0</v>
      </c>
      <c r="N89" s="149">
        <f>INT((M89*Valores!$C$2*100)+0.5)/100</f>
        <v>0</v>
      </c>
      <c r="O89" s="149">
        <f t="shared" si="14"/>
        <v>3566.8154999999992</v>
      </c>
      <c r="P89" s="149">
        <f t="shared" si="15"/>
        <v>0</v>
      </c>
      <c r="Q89" s="146">
        <f>Valores!$C$16</f>
        <v>5893.48</v>
      </c>
      <c r="R89" s="146">
        <f>Valores!$D$4</f>
        <v>4313.91</v>
      </c>
      <c r="S89" s="148">
        <f>Valores!$C$26</f>
        <v>3959.57</v>
      </c>
      <c r="T89" s="148">
        <f>Valores!$C$42</f>
        <v>1559.82</v>
      </c>
      <c r="U89" s="149">
        <f>Valores!$C$23</f>
        <v>3527.01</v>
      </c>
      <c r="V89" s="149">
        <f t="shared" si="12"/>
        <v>3527.01</v>
      </c>
      <c r="W89" s="149">
        <v>0</v>
      </c>
      <c r="X89" s="149">
        <v>0</v>
      </c>
      <c r="Y89" s="157">
        <v>0</v>
      </c>
      <c r="Z89" s="149">
        <f>Y89*Valores!$C$2</f>
        <v>0</v>
      </c>
      <c r="AA89" s="149">
        <v>0</v>
      </c>
      <c r="AB89" s="154">
        <f>Valores!$C$29</f>
        <v>199.86</v>
      </c>
      <c r="AC89" s="149">
        <f t="shared" si="17"/>
        <v>0</v>
      </c>
      <c r="AD89" s="149">
        <f>Valores!$C$30</f>
        <v>199.86</v>
      </c>
      <c r="AE89" s="157">
        <v>19</v>
      </c>
      <c r="AF89" s="149">
        <f>INT(((AE89*Valores!$C$2)*100)+0.5)/100</f>
        <v>160.34</v>
      </c>
      <c r="AG89" s="149">
        <f>Valores!$C$58</f>
        <v>406.53</v>
      </c>
      <c r="AH89" s="149">
        <f>Valores!$C$60</f>
        <v>116.15</v>
      </c>
      <c r="AI89" s="162">
        <f t="shared" si="18"/>
        <v>42595.2855</v>
      </c>
      <c r="AJ89" s="146">
        <f>Valores!$C$35</f>
        <v>1046.83</v>
      </c>
      <c r="AK89" s="149">
        <f>Valores!$C$80</f>
        <v>3250</v>
      </c>
      <c r="AL89" s="154">
        <f>Valores!$C$51</f>
        <v>170.34</v>
      </c>
      <c r="AM89" s="162">
        <f t="shared" si="16"/>
        <v>4296.83</v>
      </c>
      <c r="AN89" s="146">
        <f>AI89*-Valores!$C$65</f>
        <v>-4898.4578325</v>
      </c>
      <c r="AO89" s="146">
        <f>AI89*-Valores!$C$66</f>
        <v>-1916.7878474999998</v>
      </c>
      <c r="AP89" s="170">
        <v>-159.43</v>
      </c>
      <c r="AQ89" s="170">
        <f t="shared" si="19"/>
        <v>-53.83</v>
      </c>
      <c r="AR89" s="162">
        <f t="shared" si="20"/>
        <v>39863.60981999999</v>
      </c>
    </row>
    <row r="90" spans="1:44" s="137" customFormat="1" ht="11.25" customHeight="1">
      <c r="A90" s="147">
        <v>88</v>
      </c>
      <c r="B90" s="147"/>
      <c r="C90" s="147" t="s">
        <v>290</v>
      </c>
      <c r="D90" s="147"/>
      <c r="E90" s="147">
        <f t="shared" si="13"/>
        <v>33</v>
      </c>
      <c r="F90" s="155" t="s">
        <v>291</v>
      </c>
      <c r="G90" s="152">
        <f>75+143</f>
        <v>218</v>
      </c>
      <c r="H90" s="149">
        <f>INT((G90*Valores!$C$2*100)+0.5)/100</f>
        <v>1839.66</v>
      </c>
      <c r="I90" s="150">
        <v>1997</v>
      </c>
      <c r="J90" s="149">
        <f>INT((I90*Valores!$C$2*100)+0.5)/100</f>
        <v>16852.28</v>
      </c>
      <c r="K90" s="151">
        <v>0</v>
      </c>
      <c r="L90" s="149">
        <f>INT((K90*Valores!$C$2*100)+0.5)/100</f>
        <v>0</v>
      </c>
      <c r="M90" s="158">
        <v>0</v>
      </c>
      <c r="N90" s="149">
        <f>INT((M90*Valores!$C$2*100)+0.5)/100</f>
        <v>0</v>
      </c>
      <c r="O90" s="149">
        <f t="shared" si="14"/>
        <v>3449.8289999999993</v>
      </c>
      <c r="P90" s="149">
        <f t="shared" si="15"/>
        <v>0</v>
      </c>
      <c r="Q90" s="146">
        <f>Valores!$C$16</f>
        <v>5893.48</v>
      </c>
      <c r="R90" s="146">
        <f>Valores!$D$4</f>
        <v>4313.91</v>
      </c>
      <c r="S90" s="149">
        <f>Valores!$C$26</f>
        <v>3959.57</v>
      </c>
      <c r="T90" s="149">
        <f>Valores!$C$42/2</f>
        <v>779.91</v>
      </c>
      <c r="U90" s="149">
        <f>Valores!$C$23</f>
        <v>3527.01</v>
      </c>
      <c r="V90" s="149">
        <f t="shared" si="12"/>
        <v>3527.01</v>
      </c>
      <c r="W90" s="149">
        <v>0</v>
      </c>
      <c r="X90" s="149">
        <v>0</v>
      </c>
      <c r="Y90" s="157">
        <v>0</v>
      </c>
      <c r="Z90" s="149">
        <f>Y90*Valores!$C$2</f>
        <v>0</v>
      </c>
      <c r="AA90" s="149">
        <v>0</v>
      </c>
      <c r="AB90" s="154">
        <f>Valores!$C$29</f>
        <v>199.86</v>
      </c>
      <c r="AC90" s="149">
        <f t="shared" si="17"/>
        <v>0</v>
      </c>
      <c r="AD90" s="149">
        <f>Valores!$C$30</f>
        <v>199.86</v>
      </c>
      <c r="AE90" s="157">
        <v>0</v>
      </c>
      <c r="AF90" s="149">
        <f>INT(((AE90*Valores!$C$2)*100)+0.5)/100</f>
        <v>0</v>
      </c>
      <c r="AG90" s="149">
        <f>Valores!$C$58</f>
        <v>406.53</v>
      </c>
      <c r="AH90" s="149">
        <f>Valores!$C$60</f>
        <v>116.15</v>
      </c>
      <c r="AI90" s="162">
        <f t="shared" si="18"/>
        <v>41538.049000000006</v>
      </c>
      <c r="AJ90" s="146">
        <f>Valores!$C$35</f>
        <v>1046.83</v>
      </c>
      <c r="AK90" s="149">
        <f>Valores!$C$80</f>
        <v>3250</v>
      </c>
      <c r="AL90" s="154">
        <f>Valores!$C$51</f>
        <v>170.34</v>
      </c>
      <c r="AM90" s="162">
        <f t="shared" si="16"/>
        <v>4296.83</v>
      </c>
      <c r="AN90" s="146">
        <f>AI90*-Valores!$C$65</f>
        <v>-4776.875635000001</v>
      </c>
      <c r="AO90" s="146">
        <f>AI90*-Valores!$C$66</f>
        <v>-1869.2122050000003</v>
      </c>
      <c r="AP90" s="170">
        <v>-159.43</v>
      </c>
      <c r="AQ90" s="170">
        <f t="shared" si="19"/>
        <v>-53.83</v>
      </c>
      <c r="AR90" s="162">
        <f t="shared" si="20"/>
        <v>38975.53116</v>
      </c>
    </row>
    <row r="91" spans="1:44" s="137" customFormat="1" ht="11.25" customHeight="1">
      <c r="A91" s="147">
        <v>89</v>
      </c>
      <c r="B91" s="147"/>
      <c r="C91" s="147" t="s">
        <v>292</v>
      </c>
      <c r="D91" s="147"/>
      <c r="E91" s="147">
        <f t="shared" si="13"/>
        <v>28</v>
      </c>
      <c r="F91" s="155" t="s">
        <v>293</v>
      </c>
      <c r="G91" s="152">
        <v>187</v>
      </c>
      <c r="H91" s="149">
        <f>INT((G91*Valores!$C$2*100)+0.5)/100</f>
        <v>1578.06</v>
      </c>
      <c r="I91" s="150">
        <v>1704</v>
      </c>
      <c r="J91" s="149">
        <f>INT((I91*Valores!$C$2*100)+0.5)/100</f>
        <v>14379.72</v>
      </c>
      <c r="K91" s="151">
        <v>0</v>
      </c>
      <c r="L91" s="149">
        <f>INT((K91*Valores!$C$2*100)+0.5)/100</f>
        <v>0</v>
      </c>
      <c r="M91" s="158">
        <v>0</v>
      </c>
      <c r="N91" s="149">
        <f>INT((M91*Valores!$C$2*100)+0.5)/100</f>
        <v>0</v>
      </c>
      <c r="O91" s="149">
        <f t="shared" si="14"/>
        <v>3156.6915</v>
      </c>
      <c r="P91" s="149">
        <f t="shared" si="15"/>
        <v>0</v>
      </c>
      <c r="Q91" s="146">
        <f>Valores!$C$16</f>
        <v>5893.48</v>
      </c>
      <c r="R91" s="146">
        <f>Valores!$D$4</f>
        <v>4313.91</v>
      </c>
      <c r="S91" s="149">
        <f>Valores!$C$26</f>
        <v>3959.57</v>
      </c>
      <c r="T91" s="149">
        <f>Valores!$C$42</f>
        <v>1559.82</v>
      </c>
      <c r="U91" s="149">
        <f>Valores!$C$23</f>
        <v>3527.01</v>
      </c>
      <c r="V91" s="149">
        <f t="shared" si="12"/>
        <v>3527.01</v>
      </c>
      <c r="W91" s="149">
        <v>0</v>
      </c>
      <c r="X91" s="149">
        <v>0</v>
      </c>
      <c r="Y91" s="157">
        <v>0</v>
      </c>
      <c r="Z91" s="149">
        <f>Y91*Valores!$C$2</f>
        <v>0</v>
      </c>
      <c r="AA91" s="149">
        <v>0</v>
      </c>
      <c r="AB91" s="154">
        <f>Valores!$C$29</f>
        <v>199.86</v>
      </c>
      <c r="AC91" s="149">
        <f t="shared" si="17"/>
        <v>0</v>
      </c>
      <c r="AD91" s="149">
        <f>Valores!$C$30</f>
        <v>199.86</v>
      </c>
      <c r="AE91" s="157">
        <v>0</v>
      </c>
      <c r="AF91" s="149">
        <f>INT(((AE91*Valores!$C$2)*100)+0.5)/100</f>
        <v>0</v>
      </c>
      <c r="AG91" s="149">
        <f>Valores!$C$58</f>
        <v>406.53</v>
      </c>
      <c r="AH91" s="149">
        <f>Valores!$C$60</f>
        <v>116.15</v>
      </c>
      <c r="AI91" s="162">
        <f t="shared" si="18"/>
        <v>39290.6615</v>
      </c>
      <c r="AJ91" s="146">
        <f>Valores!$C$35</f>
        <v>1046.83</v>
      </c>
      <c r="AK91" s="149">
        <f>Valores!$C$80</f>
        <v>3250</v>
      </c>
      <c r="AL91" s="154">
        <f>Valores!$C$51</f>
        <v>170.34</v>
      </c>
      <c r="AM91" s="162">
        <f t="shared" si="16"/>
        <v>4296.83</v>
      </c>
      <c r="AN91" s="146">
        <f>AI91*-Valores!$C$65</f>
        <v>-4518.4260725</v>
      </c>
      <c r="AO91" s="146">
        <f>AI91*-Valores!$C$66</f>
        <v>-1768.0797675000001</v>
      </c>
      <c r="AP91" s="170">
        <v>-159.43</v>
      </c>
      <c r="AQ91" s="170">
        <f t="shared" si="19"/>
        <v>-53.83</v>
      </c>
      <c r="AR91" s="162">
        <f t="shared" si="20"/>
        <v>37087.725660000004</v>
      </c>
    </row>
    <row r="92" spans="1:44" s="137" customFormat="1" ht="11.25" customHeight="1">
      <c r="A92" s="147">
        <v>90</v>
      </c>
      <c r="B92" s="147" t="s">
        <v>135</v>
      </c>
      <c r="C92" s="147" t="s">
        <v>292</v>
      </c>
      <c r="D92" s="147"/>
      <c r="E92" s="147">
        <f t="shared" si="13"/>
        <v>41</v>
      </c>
      <c r="F92" s="155" t="s">
        <v>294</v>
      </c>
      <c r="G92" s="152">
        <v>187</v>
      </c>
      <c r="H92" s="149">
        <f>INT((G92*Valores!$C$2*100)+0.5)/100</f>
        <v>1578.06</v>
      </c>
      <c r="I92" s="150">
        <v>1704</v>
      </c>
      <c r="J92" s="149">
        <f>INT((I92*Valores!$C$2*100)+0.5)/100</f>
        <v>14379.72</v>
      </c>
      <c r="K92" s="151">
        <v>0</v>
      </c>
      <c r="L92" s="149">
        <f>INT((K92*Valores!$C$2*100)+0.5)/100</f>
        <v>0</v>
      </c>
      <c r="M92" s="158">
        <v>0</v>
      </c>
      <c r="N92" s="149">
        <f>INT((M92*Valores!$C$2*100)+0.5)/100</f>
        <v>0</v>
      </c>
      <c r="O92" s="149">
        <f t="shared" si="14"/>
        <v>3156.6915</v>
      </c>
      <c r="P92" s="149">
        <f t="shared" si="15"/>
        <v>0</v>
      </c>
      <c r="Q92" s="146">
        <f>Valores!$C$16</f>
        <v>5893.48</v>
      </c>
      <c r="R92" s="146">
        <f>Valores!$D$4</f>
        <v>4313.91</v>
      </c>
      <c r="S92" s="149">
        <f>Valores!$C$26</f>
        <v>3959.57</v>
      </c>
      <c r="T92" s="149">
        <f>Valores!$C$42</f>
        <v>1559.82</v>
      </c>
      <c r="U92" s="149">
        <f>Valores!$C$23</f>
        <v>3527.01</v>
      </c>
      <c r="V92" s="149">
        <f t="shared" si="12"/>
        <v>3527.01</v>
      </c>
      <c r="W92" s="149">
        <v>0</v>
      </c>
      <c r="X92" s="149">
        <v>0</v>
      </c>
      <c r="Y92" s="157">
        <v>0</v>
      </c>
      <c r="Z92" s="149">
        <f>Y92*Valores!$C$2</f>
        <v>0</v>
      </c>
      <c r="AA92" s="149">
        <v>0</v>
      </c>
      <c r="AB92" s="154">
        <f>Valores!$C$29</f>
        <v>199.86</v>
      </c>
      <c r="AC92" s="149">
        <f t="shared" si="17"/>
        <v>0</v>
      </c>
      <c r="AD92" s="149">
        <f>Valores!$C$30</f>
        <v>199.86</v>
      </c>
      <c r="AE92" s="157">
        <v>19</v>
      </c>
      <c r="AF92" s="149">
        <f>INT(((AE92*Valores!$C$2)*100)+0.5)/100</f>
        <v>160.34</v>
      </c>
      <c r="AG92" s="149">
        <f>Valores!$C$58</f>
        <v>406.53</v>
      </c>
      <c r="AH92" s="149">
        <f>Valores!$C$60</f>
        <v>116.15</v>
      </c>
      <c r="AI92" s="162">
        <f t="shared" si="18"/>
        <v>39451.0015</v>
      </c>
      <c r="AJ92" s="146">
        <f>Valores!$C$35</f>
        <v>1046.83</v>
      </c>
      <c r="AK92" s="149">
        <f>Valores!$C$80</f>
        <v>3250</v>
      </c>
      <c r="AL92" s="154">
        <f>Valores!$C$51</f>
        <v>170.34</v>
      </c>
      <c r="AM92" s="162">
        <f t="shared" si="16"/>
        <v>4296.83</v>
      </c>
      <c r="AN92" s="146">
        <f>AI92*-Valores!$C$65</f>
        <v>-4536.8651725</v>
      </c>
      <c r="AO92" s="146">
        <f>AI92*-Valores!$C$66</f>
        <v>-1775.2950675</v>
      </c>
      <c r="AP92" s="170">
        <v>-159.43</v>
      </c>
      <c r="AQ92" s="170">
        <f t="shared" si="19"/>
        <v>-53.83</v>
      </c>
      <c r="AR92" s="162">
        <f t="shared" si="20"/>
        <v>37222.41125999999</v>
      </c>
    </row>
    <row r="93" spans="1:44" s="137" customFormat="1" ht="11.25" customHeight="1">
      <c r="A93" s="147">
        <v>91</v>
      </c>
      <c r="B93" s="147"/>
      <c r="C93" s="147" t="s">
        <v>295</v>
      </c>
      <c r="D93" s="147"/>
      <c r="E93" s="147">
        <f t="shared" si="13"/>
        <v>28</v>
      </c>
      <c r="F93" s="155" t="s">
        <v>296</v>
      </c>
      <c r="G93" s="152">
        <v>161</v>
      </c>
      <c r="H93" s="149">
        <f>INT((G93*Valores!$C$2*100)+0.5)/100</f>
        <v>1358.65</v>
      </c>
      <c r="I93" s="150">
        <f>1480</f>
        <v>1480</v>
      </c>
      <c r="J93" s="149">
        <f>INT((I93*Valores!$C$2*100)+0.5)/100</f>
        <v>12489.42</v>
      </c>
      <c r="K93" s="151">
        <v>0</v>
      </c>
      <c r="L93" s="149">
        <f>INT((K93*Valores!$C$2*100)+0.5)/100</f>
        <v>0</v>
      </c>
      <c r="M93" s="158">
        <v>0</v>
      </c>
      <c r="N93" s="149">
        <f>INT((M93*Valores!$C$2*100)+0.5)/100</f>
        <v>0</v>
      </c>
      <c r="O93" s="149">
        <f t="shared" si="14"/>
        <v>2840.235</v>
      </c>
      <c r="P93" s="149">
        <f t="shared" si="15"/>
        <v>0</v>
      </c>
      <c r="Q93" s="146">
        <f>Valores!$C$16</f>
        <v>5893.48</v>
      </c>
      <c r="R93" s="146">
        <f>Valores!$D$4</f>
        <v>4313.91</v>
      </c>
      <c r="S93" s="148">
        <f>Valores!$C$26</f>
        <v>3959.57</v>
      </c>
      <c r="T93" s="148">
        <f>Valores!$C$42</f>
        <v>1559.82</v>
      </c>
      <c r="U93" s="149">
        <f>Valores!$C$23</f>
        <v>3527.01</v>
      </c>
      <c r="V93" s="149">
        <f t="shared" si="12"/>
        <v>3527.01</v>
      </c>
      <c r="W93" s="149">
        <v>0</v>
      </c>
      <c r="X93" s="149">
        <v>0</v>
      </c>
      <c r="Y93" s="157">
        <v>0</v>
      </c>
      <c r="Z93" s="149">
        <f>Y93*Valores!$C$2</f>
        <v>0</v>
      </c>
      <c r="AA93" s="149">
        <v>0</v>
      </c>
      <c r="AB93" s="154">
        <f>Valores!$C$29</f>
        <v>199.86</v>
      </c>
      <c r="AC93" s="149">
        <f t="shared" si="17"/>
        <v>0</v>
      </c>
      <c r="AD93" s="149">
        <f>Valores!$C$30</f>
        <v>199.86</v>
      </c>
      <c r="AE93" s="157">
        <v>0</v>
      </c>
      <c r="AF93" s="149">
        <f>INT(((AE93*Valores!$C$2)*100)+0.5)/100</f>
        <v>0</v>
      </c>
      <c r="AG93" s="149">
        <f>Valores!$C$58</f>
        <v>406.53</v>
      </c>
      <c r="AH93" s="149">
        <f>Valores!$C$60</f>
        <v>116.15</v>
      </c>
      <c r="AI93" s="162">
        <f t="shared" si="18"/>
        <v>36864.495</v>
      </c>
      <c r="AJ93" s="146">
        <f>Valores!$C$35</f>
        <v>1046.83</v>
      </c>
      <c r="AK93" s="149">
        <f>Valores!$C$80</f>
        <v>3250</v>
      </c>
      <c r="AL93" s="154">
        <f>Valores!$C$51</f>
        <v>170.34</v>
      </c>
      <c r="AM93" s="162">
        <f t="shared" si="16"/>
        <v>4296.83</v>
      </c>
      <c r="AN93" s="146">
        <f>AI93*-Valores!$C$65</f>
        <v>-4239.416925</v>
      </c>
      <c r="AO93" s="146">
        <f>AI93*-Valores!$C$66</f>
        <v>-1658.9022750000001</v>
      </c>
      <c r="AP93" s="170">
        <v>-159.43</v>
      </c>
      <c r="AQ93" s="170">
        <f t="shared" si="19"/>
        <v>-53.83</v>
      </c>
      <c r="AR93" s="162">
        <f t="shared" si="20"/>
        <v>35049.745800000004</v>
      </c>
    </row>
    <row r="94" spans="1:44" s="137" customFormat="1" ht="11.25" customHeight="1">
      <c r="A94" s="147">
        <v>92</v>
      </c>
      <c r="B94" s="147"/>
      <c r="C94" s="147" t="s">
        <v>295</v>
      </c>
      <c r="D94" s="147"/>
      <c r="E94" s="147">
        <f t="shared" si="13"/>
        <v>41</v>
      </c>
      <c r="F94" s="155" t="s">
        <v>297</v>
      </c>
      <c r="G94" s="152">
        <v>161</v>
      </c>
      <c r="H94" s="149">
        <f>INT((G94*Valores!$C$2*100)+0.5)/100</f>
        <v>1358.65</v>
      </c>
      <c r="I94" s="150">
        <f>1480</f>
        <v>1480</v>
      </c>
      <c r="J94" s="149">
        <f>INT((I94*Valores!$C$2*100)+0.5)/100</f>
        <v>12489.42</v>
      </c>
      <c r="K94" s="151">
        <v>0</v>
      </c>
      <c r="L94" s="149">
        <f>INT((K94*Valores!$C$2*100)+0.5)/100</f>
        <v>0</v>
      </c>
      <c r="M94" s="158">
        <v>0</v>
      </c>
      <c r="N94" s="149">
        <f>INT((M94*Valores!$C$2*100)+0.5)/100</f>
        <v>0</v>
      </c>
      <c r="O94" s="149">
        <f t="shared" si="14"/>
        <v>2840.235</v>
      </c>
      <c r="P94" s="149">
        <f t="shared" si="15"/>
        <v>0</v>
      </c>
      <c r="Q94" s="146">
        <f>Valores!$C$16</f>
        <v>5893.48</v>
      </c>
      <c r="R94" s="146">
        <f>Valores!$D$4</f>
        <v>4313.91</v>
      </c>
      <c r="S94" s="148">
        <f>Valores!$C$26</f>
        <v>3959.57</v>
      </c>
      <c r="T94" s="148">
        <f>Valores!$C$42</f>
        <v>1559.82</v>
      </c>
      <c r="U94" s="149">
        <f>Valores!$C$23</f>
        <v>3527.01</v>
      </c>
      <c r="V94" s="149">
        <f t="shared" si="12"/>
        <v>3527.01</v>
      </c>
      <c r="W94" s="149">
        <v>0</v>
      </c>
      <c r="X94" s="149">
        <v>0</v>
      </c>
      <c r="Y94" s="157">
        <v>0</v>
      </c>
      <c r="Z94" s="149">
        <f>Y94*Valores!$C$2</f>
        <v>0</v>
      </c>
      <c r="AA94" s="149">
        <v>0</v>
      </c>
      <c r="AB94" s="154">
        <f>Valores!$C$29</f>
        <v>199.86</v>
      </c>
      <c r="AC94" s="149">
        <f t="shared" si="17"/>
        <v>0</v>
      </c>
      <c r="AD94" s="149">
        <f>Valores!$C$30</f>
        <v>199.86</v>
      </c>
      <c r="AE94" s="157">
        <v>19</v>
      </c>
      <c r="AF94" s="149">
        <f>INT(((AE94*Valores!$C$2)*100)+0.5)/100</f>
        <v>160.34</v>
      </c>
      <c r="AG94" s="149">
        <f>Valores!$C$58</f>
        <v>406.53</v>
      </c>
      <c r="AH94" s="149">
        <f>Valores!$C$60</f>
        <v>116.15</v>
      </c>
      <c r="AI94" s="162">
        <f t="shared" si="18"/>
        <v>37024.835</v>
      </c>
      <c r="AJ94" s="146">
        <f>Valores!$C$35</f>
        <v>1046.83</v>
      </c>
      <c r="AK94" s="149">
        <f>Valores!$C$80</f>
        <v>3250</v>
      </c>
      <c r="AL94" s="154">
        <f>Valores!$C$51</f>
        <v>170.34</v>
      </c>
      <c r="AM94" s="162">
        <f t="shared" si="16"/>
        <v>4296.83</v>
      </c>
      <c r="AN94" s="146">
        <f>AI94*-Valores!$C$65</f>
        <v>-4257.856025</v>
      </c>
      <c r="AO94" s="146">
        <f>AI94*-Valores!$C$66</f>
        <v>-1666.117575</v>
      </c>
      <c r="AP94" s="170">
        <v>-159.43</v>
      </c>
      <c r="AQ94" s="170">
        <f t="shared" si="19"/>
        <v>-53.83</v>
      </c>
      <c r="AR94" s="162">
        <f t="shared" si="20"/>
        <v>35184.4314</v>
      </c>
    </row>
    <row r="95" spans="1:44" s="137" customFormat="1" ht="11.25" customHeight="1">
      <c r="A95" s="147">
        <v>93</v>
      </c>
      <c r="B95" s="147"/>
      <c r="C95" s="147" t="s">
        <v>298</v>
      </c>
      <c r="D95" s="147"/>
      <c r="E95" s="147">
        <f t="shared" si="13"/>
        <v>26</v>
      </c>
      <c r="F95" s="155" t="s">
        <v>299</v>
      </c>
      <c r="G95" s="152">
        <v>179</v>
      </c>
      <c r="H95" s="149">
        <f>INT((G95*Valores!$C$2*100)+0.5)/100</f>
        <v>1510.55</v>
      </c>
      <c r="I95" s="150">
        <v>1712</v>
      </c>
      <c r="J95" s="149">
        <f>INT((I95*Valores!$C$2*100)+0.5)/100</f>
        <v>14447.23</v>
      </c>
      <c r="K95" s="151">
        <v>0</v>
      </c>
      <c r="L95" s="149">
        <f>INT((K95*Valores!$C$2*100)+0.5)/100</f>
        <v>0</v>
      </c>
      <c r="M95" s="158">
        <v>0</v>
      </c>
      <c r="N95" s="149">
        <f>INT((M95*Valores!$C$2*100)+0.5)/100</f>
        <v>0</v>
      </c>
      <c r="O95" s="149">
        <f t="shared" si="14"/>
        <v>3156.6915</v>
      </c>
      <c r="P95" s="149">
        <f t="shared" si="15"/>
        <v>0</v>
      </c>
      <c r="Q95" s="146">
        <f>Valores!$C$16</f>
        <v>5893.48</v>
      </c>
      <c r="R95" s="146">
        <f>Valores!$D$4</f>
        <v>4313.91</v>
      </c>
      <c r="S95" s="148">
        <f>Valores!$C$26</f>
        <v>3959.57</v>
      </c>
      <c r="T95" s="148">
        <f>Valores!$C$42</f>
        <v>1559.82</v>
      </c>
      <c r="U95" s="149">
        <f>Valores!$C$23</f>
        <v>3527.01</v>
      </c>
      <c r="V95" s="149">
        <f t="shared" si="12"/>
        <v>3527.01</v>
      </c>
      <c r="W95" s="149">
        <v>0</v>
      </c>
      <c r="X95" s="149">
        <v>0</v>
      </c>
      <c r="Y95" s="157">
        <v>0</v>
      </c>
      <c r="Z95" s="149">
        <f>Y95*Valores!$C$2</f>
        <v>0</v>
      </c>
      <c r="AA95" s="149">
        <v>0</v>
      </c>
      <c r="AB95" s="154">
        <f>Valores!$C$29</f>
        <v>199.86</v>
      </c>
      <c r="AC95" s="149">
        <f t="shared" si="17"/>
        <v>0</v>
      </c>
      <c r="AD95" s="149">
        <f>Valores!$C$30</f>
        <v>199.86</v>
      </c>
      <c r="AE95" s="157">
        <v>0</v>
      </c>
      <c r="AF95" s="149">
        <f>INT(((AE95*Valores!$C$2)*100)+0.5)/100</f>
        <v>0</v>
      </c>
      <c r="AG95" s="149">
        <f>Valores!$C$58</f>
        <v>406.53</v>
      </c>
      <c r="AH95" s="149">
        <f>Valores!$C$60</f>
        <v>116.15</v>
      </c>
      <c r="AI95" s="162">
        <f t="shared" si="18"/>
        <v>39290.6615</v>
      </c>
      <c r="AJ95" s="146">
        <f>Valores!$C$35</f>
        <v>1046.83</v>
      </c>
      <c r="AK95" s="149">
        <f>Valores!$C$80</f>
        <v>3250</v>
      </c>
      <c r="AL95" s="154">
        <f>Valores!$C$51</f>
        <v>170.34</v>
      </c>
      <c r="AM95" s="162">
        <f t="shared" si="16"/>
        <v>4296.83</v>
      </c>
      <c r="AN95" s="146">
        <f>AI95*-Valores!$C$65</f>
        <v>-4518.4260725</v>
      </c>
      <c r="AO95" s="146">
        <f>AI95*-Valores!$C$66</f>
        <v>-1768.0797675000001</v>
      </c>
      <c r="AP95" s="170">
        <v>-159.43</v>
      </c>
      <c r="AQ95" s="170">
        <f t="shared" si="19"/>
        <v>-53.83</v>
      </c>
      <c r="AR95" s="162">
        <f t="shared" si="20"/>
        <v>37087.725660000004</v>
      </c>
    </row>
    <row r="96" spans="1:44" s="137" customFormat="1" ht="11.25" customHeight="1">
      <c r="A96" s="147">
        <v>94</v>
      </c>
      <c r="B96" s="147"/>
      <c r="C96" s="147" t="s">
        <v>300</v>
      </c>
      <c r="D96" s="147"/>
      <c r="E96" s="147">
        <f t="shared" si="13"/>
        <v>30</v>
      </c>
      <c r="F96" s="155" t="s">
        <v>301</v>
      </c>
      <c r="G96" s="152">
        <v>64</v>
      </c>
      <c r="H96" s="149">
        <f>INT((G96*Valores!$C$2*100)+0.5)/100</f>
        <v>540.08</v>
      </c>
      <c r="I96" s="150">
        <v>2086</v>
      </c>
      <c r="J96" s="149">
        <f>INT((I96*Valores!$C$2*100)+0.5)/100</f>
        <v>17603.34</v>
      </c>
      <c r="K96" s="151">
        <v>0</v>
      </c>
      <c r="L96" s="149">
        <f>INT((K96*Valores!$C$2*100)+0.5)/100</f>
        <v>0</v>
      </c>
      <c r="M96" s="158">
        <v>0</v>
      </c>
      <c r="N96" s="149">
        <f>INT((M96*Valores!$C$2*100)+0.5)/100</f>
        <v>0</v>
      </c>
      <c r="O96" s="149">
        <f t="shared" si="14"/>
        <v>3484.5375</v>
      </c>
      <c r="P96" s="149">
        <f t="shared" si="15"/>
        <v>0</v>
      </c>
      <c r="Q96" s="146">
        <f>Valores!$C$16</f>
        <v>5893.48</v>
      </c>
      <c r="R96" s="146">
        <f>Valores!$D$4</f>
        <v>4313.91</v>
      </c>
      <c r="S96" s="148">
        <f>Valores!$C$26</f>
        <v>3959.57</v>
      </c>
      <c r="T96" s="148">
        <f>Valores!$C$42</f>
        <v>1559.82</v>
      </c>
      <c r="U96" s="149">
        <f>Valores!$C$23</f>
        <v>3527.01</v>
      </c>
      <c r="V96" s="149">
        <f t="shared" si="12"/>
        <v>3527.01</v>
      </c>
      <c r="W96" s="149">
        <v>0</v>
      </c>
      <c r="X96" s="149">
        <v>0</v>
      </c>
      <c r="Y96" s="157">
        <v>0</v>
      </c>
      <c r="Z96" s="149">
        <f>Y96*Valores!$C$2</f>
        <v>0</v>
      </c>
      <c r="AA96" s="149">
        <v>0</v>
      </c>
      <c r="AB96" s="154">
        <f>Valores!$C$29</f>
        <v>199.86</v>
      </c>
      <c r="AC96" s="149">
        <f t="shared" si="17"/>
        <v>0</v>
      </c>
      <c r="AD96" s="149">
        <f>Valores!$C$30</f>
        <v>199.86</v>
      </c>
      <c r="AE96" s="157">
        <v>0</v>
      </c>
      <c r="AF96" s="149">
        <f>INT(((AE96*Valores!$C$2)*100)+0.5)/100</f>
        <v>0</v>
      </c>
      <c r="AG96" s="149">
        <f>Valores!$C$58</f>
        <v>406.53</v>
      </c>
      <c r="AH96" s="149">
        <f>Valores!$C$60</f>
        <v>116.15</v>
      </c>
      <c r="AI96" s="162">
        <f t="shared" si="18"/>
        <v>41804.14750000001</v>
      </c>
      <c r="AJ96" s="146">
        <f>Valores!$C$35</f>
        <v>1046.83</v>
      </c>
      <c r="AK96" s="149">
        <f>Valores!$C$81</f>
        <v>3900</v>
      </c>
      <c r="AL96" s="154">
        <f>Valores!$C$51</f>
        <v>170.34</v>
      </c>
      <c r="AM96" s="162">
        <f t="shared" si="16"/>
        <v>4946.83</v>
      </c>
      <c r="AN96" s="146">
        <f>AI96*-Valores!$C$65</f>
        <v>-4807.476962500001</v>
      </c>
      <c r="AO96" s="146">
        <f>AI96*-Valores!$C$66</f>
        <v>-1881.1866375000002</v>
      </c>
      <c r="AP96" s="170">
        <v>-159.43</v>
      </c>
      <c r="AQ96" s="170">
        <f t="shared" si="19"/>
        <v>-53.83</v>
      </c>
      <c r="AR96" s="162">
        <f t="shared" si="20"/>
        <v>39849.0539</v>
      </c>
    </row>
    <row r="97" spans="1:44" s="137" customFormat="1" ht="11.25" customHeight="1">
      <c r="A97" s="147">
        <v>95</v>
      </c>
      <c r="B97" s="147" t="s">
        <v>135</v>
      </c>
      <c r="C97" s="147" t="s">
        <v>302</v>
      </c>
      <c r="D97" s="147"/>
      <c r="E97" s="147">
        <f t="shared" si="13"/>
        <v>31</v>
      </c>
      <c r="F97" s="155" t="s">
        <v>303</v>
      </c>
      <c r="G97" s="152">
        <v>89</v>
      </c>
      <c r="H97" s="149">
        <f>INT((G97*Valores!$C$2*100)+0.5)/100</f>
        <v>751.05</v>
      </c>
      <c r="I97" s="150">
        <v>2481</v>
      </c>
      <c r="J97" s="149">
        <f>INT((I97*Valores!$C$2*100)+0.5)/100</f>
        <v>20936.66</v>
      </c>
      <c r="K97" s="151">
        <v>0</v>
      </c>
      <c r="L97" s="149">
        <f>INT((K97*Valores!$C$2*100)+0.5)/100</f>
        <v>0</v>
      </c>
      <c r="M97" s="158">
        <v>0</v>
      </c>
      <c r="N97" s="149">
        <f>INT((M97*Valores!$C$2*100)+0.5)/100</f>
        <v>0</v>
      </c>
      <c r="O97" s="149">
        <f t="shared" si="14"/>
        <v>4016.181</v>
      </c>
      <c r="P97" s="149">
        <f t="shared" si="15"/>
        <v>0</v>
      </c>
      <c r="Q97" s="146">
        <f>Valores!$C$15</f>
        <v>5862.51</v>
      </c>
      <c r="R97" s="146">
        <f>Valores!$D$4</f>
        <v>4313.91</v>
      </c>
      <c r="S97" s="149">
        <v>0</v>
      </c>
      <c r="T97" s="149">
        <f>Valores!$C$42</f>
        <v>1559.82</v>
      </c>
      <c r="U97" s="149">
        <f>Valores!$C$23</f>
        <v>3527.01</v>
      </c>
      <c r="V97" s="149">
        <f t="shared" si="12"/>
        <v>3527.01</v>
      </c>
      <c r="W97" s="149">
        <v>0</v>
      </c>
      <c r="X97" s="149">
        <v>0</v>
      </c>
      <c r="Y97" s="157">
        <v>0</v>
      </c>
      <c r="Z97" s="149">
        <f>Y97*Valores!$C$2</f>
        <v>0</v>
      </c>
      <c r="AA97" s="149">
        <v>0</v>
      </c>
      <c r="AB97" s="154">
        <f>Valores!$C$29</f>
        <v>199.86</v>
      </c>
      <c r="AC97" s="149">
        <f t="shared" si="17"/>
        <v>0</v>
      </c>
      <c r="AD97" s="149">
        <f>Valores!$C$30</f>
        <v>199.86</v>
      </c>
      <c r="AE97" s="157">
        <v>0</v>
      </c>
      <c r="AF97" s="149">
        <f>INT(((AE97*Valores!$C$2)*100)+0.5)/100</f>
        <v>0</v>
      </c>
      <c r="AG97" s="149">
        <f>Valores!$C$58</f>
        <v>406.53</v>
      </c>
      <c r="AH97" s="149">
        <f>Valores!$C$60</f>
        <v>116.15</v>
      </c>
      <c r="AI97" s="162">
        <f t="shared" si="18"/>
        <v>41889.541000000005</v>
      </c>
      <c r="AJ97" s="146">
        <f>Valores!$C$35</f>
        <v>1046.83</v>
      </c>
      <c r="AK97" s="149">
        <f>Valores!$C$80</f>
        <v>3250</v>
      </c>
      <c r="AL97" s="154">
        <f>Valores!$C$51</f>
        <v>170.34</v>
      </c>
      <c r="AM97" s="162">
        <f t="shared" si="16"/>
        <v>4296.83</v>
      </c>
      <c r="AN97" s="146">
        <f>AI97*-Valores!$C$65</f>
        <v>-4817.2972150000005</v>
      </c>
      <c r="AO97" s="146">
        <f>AI97*-Valores!$C$66</f>
        <v>-1885.0293450000001</v>
      </c>
      <c r="AP97" s="170">
        <v>-159.43</v>
      </c>
      <c r="AQ97" s="170">
        <f t="shared" si="19"/>
        <v>-53.83</v>
      </c>
      <c r="AR97" s="162">
        <f t="shared" si="20"/>
        <v>39270.78444</v>
      </c>
    </row>
    <row r="98" spans="1:44" s="137" customFormat="1" ht="11.25" customHeight="1">
      <c r="A98" s="147">
        <v>96</v>
      </c>
      <c r="B98" s="147"/>
      <c r="C98" s="147" t="s">
        <v>304</v>
      </c>
      <c r="D98" s="147"/>
      <c r="E98" s="147">
        <f t="shared" si="13"/>
        <v>31</v>
      </c>
      <c r="F98" s="155" t="s">
        <v>305</v>
      </c>
      <c r="G98" s="152">
        <v>89</v>
      </c>
      <c r="H98" s="149">
        <f>INT((G98*Valores!$C$2*100)+0.5)/100</f>
        <v>751.05</v>
      </c>
      <c r="I98" s="150">
        <v>2381</v>
      </c>
      <c r="J98" s="149">
        <f>INT((I98*Valores!$C$2*100)+0.5)/100</f>
        <v>20092.78</v>
      </c>
      <c r="K98" s="151">
        <v>0</v>
      </c>
      <c r="L98" s="149">
        <f>INT((K98*Valores!$C$2*100)+0.5)/100</f>
        <v>0</v>
      </c>
      <c r="M98" s="158">
        <v>0</v>
      </c>
      <c r="N98" s="149">
        <f>INT((M98*Valores!$C$2*100)+0.5)/100</f>
        <v>0</v>
      </c>
      <c r="O98" s="149">
        <f t="shared" si="14"/>
        <v>3889.5989999999993</v>
      </c>
      <c r="P98" s="149">
        <f t="shared" si="15"/>
        <v>0</v>
      </c>
      <c r="Q98" s="146">
        <f>Valores!$C$20</f>
        <v>5630.2</v>
      </c>
      <c r="R98" s="146">
        <f>Valores!$D$4</f>
        <v>4313.91</v>
      </c>
      <c r="S98" s="149">
        <f>Valores!$C$26</f>
        <v>3959.57</v>
      </c>
      <c r="T98" s="149">
        <f>Valores!$C$42</f>
        <v>1559.82</v>
      </c>
      <c r="U98" s="149">
        <f>Valores!$C$23</f>
        <v>3527.01</v>
      </c>
      <c r="V98" s="149">
        <f t="shared" si="12"/>
        <v>3527.01</v>
      </c>
      <c r="W98" s="149">
        <v>0</v>
      </c>
      <c r="X98" s="149">
        <v>0</v>
      </c>
      <c r="Y98" s="157">
        <v>0</v>
      </c>
      <c r="Z98" s="149">
        <f>Y98*Valores!$C$2</f>
        <v>0</v>
      </c>
      <c r="AA98" s="149">
        <v>0</v>
      </c>
      <c r="AB98" s="154">
        <f>Valores!$C$29</f>
        <v>199.86</v>
      </c>
      <c r="AC98" s="149">
        <f t="shared" si="17"/>
        <v>0</v>
      </c>
      <c r="AD98" s="149">
        <f>Valores!$C$30</f>
        <v>199.86</v>
      </c>
      <c r="AE98" s="157">
        <v>0</v>
      </c>
      <c r="AF98" s="149">
        <f>INT(((AE98*Valores!$C$2)*100)+0.5)/100</f>
        <v>0</v>
      </c>
      <c r="AG98" s="149">
        <f>Valores!$C$58</f>
        <v>406.53</v>
      </c>
      <c r="AH98" s="149">
        <f>Valores!$C$60</f>
        <v>116.15</v>
      </c>
      <c r="AI98" s="162">
        <f t="shared" si="18"/>
        <v>44646.339</v>
      </c>
      <c r="AJ98" s="146">
        <f>Valores!$C$35</f>
        <v>1046.83</v>
      </c>
      <c r="AK98" s="149">
        <f>Valores!$C$80</f>
        <v>3250</v>
      </c>
      <c r="AL98" s="154">
        <f>Valores!$C$51</f>
        <v>170.34</v>
      </c>
      <c r="AM98" s="162">
        <f t="shared" si="16"/>
        <v>4296.83</v>
      </c>
      <c r="AN98" s="146">
        <f>AI98*-Valores!$C$65</f>
        <v>-5134.328985</v>
      </c>
      <c r="AO98" s="146">
        <f>AI98*-Valores!$C$66</f>
        <v>-2009.085255</v>
      </c>
      <c r="AP98" s="170">
        <v>-159.43</v>
      </c>
      <c r="AQ98" s="170">
        <f t="shared" si="19"/>
        <v>-53.83</v>
      </c>
      <c r="AR98" s="162">
        <f t="shared" si="20"/>
        <v>41586.49476</v>
      </c>
    </row>
    <row r="99" spans="1:44" s="137" customFormat="1" ht="11.25" customHeight="1">
      <c r="A99" s="147">
        <v>97</v>
      </c>
      <c r="B99" s="147"/>
      <c r="C99" s="147" t="s">
        <v>306</v>
      </c>
      <c r="D99" s="147"/>
      <c r="E99" s="147">
        <f t="shared" si="13"/>
        <v>31</v>
      </c>
      <c r="F99" s="155" t="s">
        <v>307</v>
      </c>
      <c r="G99" s="152">
        <v>89</v>
      </c>
      <c r="H99" s="149">
        <f>INT((G99*Valores!$C$2*100)+0.5)/100</f>
        <v>751.05</v>
      </c>
      <c r="I99" s="150">
        <v>1768</v>
      </c>
      <c r="J99" s="149">
        <f>INT((I99*Valores!$C$2*100)+0.5)/100</f>
        <v>14919.8</v>
      </c>
      <c r="K99" s="151">
        <v>0</v>
      </c>
      <c r="L99" s="149">
        <f>INT((K99*Valores!$C$2*100)+0.5)/100</f>
        <v>0</v>
      </c>
      <c r="M99" s="158">
        <v>0</v>
      </c>
      <c r="N99" s="149">
        <f>INT((M99*Valores!$C$2*100)+0.5)/100</f>
        <v>0</v>
      </c>
      <c r="O99" s="149">
        <f t="shared" si="14"/>
        <v>3113.652</v>
      </c>
      <c r="P99" s="149">
        <f t="shared" si="15"/>
        <v>0</v>
      </c>
      <c r="Q99" s="146">
        <f>Valores!$C$20</f>
        <v>5630.2</v>
      </c>
      <c r="R99" s="146">
        <f>Valores!$D$4</f>
        <v>4313.91</v>
      </c>
      <c r="S99" s="148">
        <f>Valores!$C$26</f>
        <v>3959.57</v>
      </c>
      <c r="T99" s="148">
        <f>Valores!$C$42</f>
        <v>1559.82</v>
      </c>
      <c r="U99" s="149">
        <f>Valores!$C$23</f>
        <v>3527.01</v>
      </c>
      <c r="V99" s="149">
        <f t="shared" si="12"/>
        <v>3527.01</v>
      </c>
      <c r="W99" s="149">
        <v>0</v>
      </c>
      <c r="X99" s="149">
        <v>0</v>
      </c>
      <c r="Y99" s="157">
        <v>0</v>
      </c>
      <c r="Z99" s="149">
        <f>Y99*Valores!$C$2</f>
        <v>0</v>
      </c>
      <c r="AA99" s="149">
        <v>0</v>
      </c>
      <c r="AB99" s="154">
        <f>Valores!$C$29</f>
        <v>199.86</v>
      </c>
      <c r="AC99" s="149">
        <f t="shared" si="17"/>
        <v>0</v>
      </c>
      <c r="AD99" s="149">
        <f>Valores!$C$30</f>
        <v>199.86</v>
      </c>
      <c r="AE99" s="157">
        <v>0</v>
      </c>
      <c r="AF99" s="149">
        <f>INT(((AE99*Valores!$C$2)*100)+0.5)/100</f>
        <v>0</v>
      </c>
      <c r="AG99" s="149">
        <f>Valores!$C$58</f>
        <v>406.53</v>
      </c>
      <c r="AH99" s="149">
        <f>Valores!$C$60</f>
        <v>116.15</v>
      </c>
      <c r="AI99" s="162">
        <f t="shared" si="18"/>
        <v>38697.412000000004</v>
      </c>
      <c r="AJ99" s="146">
        <f>Valores!$C$35</f>
        <v>1046.83</v>
      </c>
      <c r="AK99" s="149">
        <f>Valores!$C$80</f>
        <v>3250</v>
      </c>
      <c r="AL99" s="154">
        <f>Valores!$C$51</f>
        <v>170.34</v>
      </c>
      <c r="AM99" s="162">
        <f t="shared" si="16"/>
        <v>4296.83</v>
      </c>
      <c r="AN99" s="146">
        <f>AI99*-Valores!$C$65</f>
        <v>-4450.202380000001</v>
      </c>
      <c r="AO99" s="146">
        <f>AI99*-Valores!$C$66</f>
        <v>-1741.38354</v>
      </c>
      <c r="AP99" s="170">
        <v>-159.43</v>
      </c>
      <c r="AQ99" s="170">
        <f t="shared" si="19"/>
        <v>-53.83</v>
      </c>
      <c r="AR99" s="162">
        <f t="shared" si="20"/>
        <v>36589.39608</v>
      </c>
    </row>
    <row r="100" spans="1:44" s="137" customFormat="1" ht="11.25" customHeight="1">
      <c r="A100" s="147">
        <v>98</v>
      </c>
      <c r="B100" s="147"/>
      <c r="C100" s="147" t="s">
        <v>308</v>
      </c>
      <c r="D100" s="147"/>
      <c r="E100" s="147">
        <f t="shared" si="13"/>
        <v>29</v>
      </c>
      <c r="F100" s="155" t="s">
        <v>309</v>
      </c>
      <c r="G100" s="152">
        <v>89</v>
      </c>
      <c r="H100" s="149">
        <f>INT((G100*Valores!$C$2*100)+0.5)/100</f>
        <v>751.05</v>
      </c>
      <c r="I100" s="150">
        <v>1768</v>
      </c>
      <c r="J100" s="149">
        <f>INT((I100*Valores!$C$2*100)+0.5)/100</f>
        <v>14919.8</v>
      </c>
      <c r="K100" s="151">
        <v>0</v>
      </c>
      <c r="L100" s="149">
        <f>INT((K100*Valores!$C$2*100)+0.5)/100</f>
        <v>0</v>
      </c>
      <c r="M100" s="158">
        <v>0</v>
      </c>
      <c r="N100" s="149">
        <f>INT((M100*Valores!$C$2*100)+0.5)/100</f>
        <v>0</v>
      </c>
      <c r="O100" s="149">
        <f t="shared" si="14"/>
        <v>3113.652</v>
      </c>
      <c r="P100" s="149">
        <f t="shared" si="15"/>
        <v>0</v>
      </c>
      <c r="Q100" s="146">
        <f>Valores!$C$15</f>
        <v>5862.51</v>
      </c>
      <c r="R100" s="146">
        <f>Valores!$D$4</f>
        <v>4313.91</v>
      </c>
      <c r="S100" s="148">
        <f>Valores!$C$26</f>
        <v>3959.57</v>
      </c>
      <c r="T100" s="148">
        <f>Valores!$C$42</f>
        <v>1559.82</v>
      </c>
      <c r="U100" s="149">
        <f>Valores!$C$23</f>
        <v>3527.01</v>
      </c>
      <c r="V100" s="149">
        <f t="shared" si="12"/>
        <v>3527.01</v>
      </c>
      <c r="W100" s="149">
        <v>0</v>
      </c>
      <c r="X100" s="149">
        <v>0</v>
      </c>
      <c r="Y100" s="157">
        <v>0</v>
      </c>
      <c r="Z100" s="149">
        <f>Y100*Valores!$C$2</f>
        <v>0</v>
      </c>
      <c r="AA100" s="149">
        <v>0</v>
      </c>
      <c r="AB100" s="154">
        <f>Valores!$C$29</f>
        <v>199.86</v>
      </c>
      <c r="AC100" s="149">
        <f t="shared" si="17"/>
        <v>0</v>
      </c>
      <c r="AD100" s="149">
        <f>Valores!$C$30</f>
        <v>199.86</v>
      </c>
      <c r="AE100" s="157">
        <v>0</v>
      </c>
      <c r="AF100" s="149">
        <f>INT(((AE100*Valores!$C$2)*100)+0.5)/100</f>
        <v>0</v>
      </c>
      <c r="AG100" s="149">
        <f>Valores!$C$58</f>
        <v>406.53</v>
      </c>
      <c r="AH100" s="149">
        <f>Valores!$C$60</f>
        <v>116.15</v>
      </c>
      <c r="AI100" s="162">
        <f t="shared" si="18"/>
        <v>38929.72200000001</v>
      </c>
      <c r="AJ100" s="146">
        <f>Valores!$C$35</f>
        <v>1046.83</v>
      </c>
      <c r="AK100" s="149">
        <f>Valores!$C$80</f>
        <v>3250</v>
      </c>
      <c r="AL100" s="154">
        <f>Valores!$C$51</f>
        <v>170.34</v>
      </c>
      <c r="AM100" s="162">
        <f t="shared" si="16"/>
        <v>4296.83</v>
      </c>
      <c r="AN100" s="146">
        <f>AI100*-Valores!$C$65</f>
        <v>-4476.918030000002</v>
      </c>
      <c r="AO100" s="146">
        <f>AI100*-Valores!$C$66</f>
        <v>-1751.8374900000003</v>
      </c>
      <c r="AP100" s="170">
        <v>-159.43</v>
      </c>
      <c r="AQ100" s="170">
        <f t="shared" si="19"/>
        <v>-53.83</v>
      </c>
      <c r="AR100" s="162">
        <f t="shared" si="20"/>
        <v>36784.53648000001</v>
      </c>
    </row>
    <row r="101" spans="1:44" s="137" customFormat="1" ht="11.25" customHeight="1">
      <c r="A101" s="147">
        <v>99</v>
      </c>
      <c r="B101" s="147"/>
      <c r="C101" s="147" t="s">
        <v>310</v>
      </c>
      <c r="D101" s="147"/>
      <c r="E101" s="147">
        <f t="shared" si="13"/>
        <v>31</v>
      </c>
      <c r="F101" s="155" t="s">
        <v>311</v>
      </c>
      <c r="G101" s="152">
        <v>89</v>
      </c>
      <c r="H101" s="149">
        <f>INT((G101*Valores!$C$2*100)+0.5)/100</f>
        <v>751.05</v>
      </c>
      <c r="I101" s="150">
        <v>2211</v>
      </c>
      <c r="J101" s="149">
        <f>INT((I101*Valores!$C$2*100)+0.5)/100</f>
        <v>18658.19</v>
      </c>
      <c r="K101" s="151">
        <v>0</v>
      </c>
      <c r="L101" s="149">
        <f>INT((K101*Valores!$C$2*100)+0.5)/100</f>
        <v>0</v>
      </c>
      <c r="M101" s="158">
        <v>0</v>
      </c>
      <c r="N101" s="149">
        <f>INT((M101*Valores!$C$2*100)+0.5)/100</f>
        <v>0</v>
      </c>
      <c r="O101" s="149">
        <f t="shared" si="14"/>
        <v>3674.4105</v>
      </c>
      <c r="P101" s="149">
        <f t="shared" si="15"/>
        <v>0</v>
      </c>
      <c r="Q101" s="146">
        <f>Valores!$C$15</f>
        <v>5862.51</v>
      </c>
      <c r="R101" s="146">
        <f>Valores!$D$4</f>
        <v>4313.91</v>
      </c>
      <c r="S101" s="148">
        <f>Valores!$C$26</f>
        <v>3959.57</v>
      </c>
      <c r="T101" s="148">
        <f>Valores!$C$42</f>
        <v>1559.82</v>
      </c>
      <c r="U101" s="149">
        <f>Valores!$C$23</f>
        <v>3527.01</v>
      </c>
      <c r="V101" s="149">
        <f t="shared" si="12"/>
        <v>3527.01</v>
      </c>
      <c r="W101" s="149">
        <v>0</v>
      </c>
      <c r="X101" s="149">
        <v>0</v>
      </c>
      <c r="Y101" s="157">
        <v>0</v>
      </c>
      <c r="Z101" s="149">
        <f>Y101*Valores!$C$2</f>
        <v>0</v>
      </c>
      <c r="AA101" s="149">
        <v>0</v>
      </c>
      <c r="AB101" s="154">
        <f>Valores!$C$29</f>
        <v>199.86</v>
      </c>
      <c r="AC101" s="149">
        <f t="shared" si="17"/>
        <v>0</v>
      </c>
      <c r="AD101" s="149">
        <f>Valores!$C$30</f>
        <v>199.86</v>
      </c>
      <c r="AE101" s="157">
        <v>0</v>
      </c>
      <c r="AF101" s="149">
        <f>INT(((AE101*Valores!$C$2)*100)+0.5)/100</f>
        <v>0</v>
      </c>
      <c r="AG101" s="149">
        <f>Valores!$C$58</f>
        <v>406.53</v>
      </c>
      <c r="AH101" s="149">
        <f>Valores!$C$60</f>
        <v>116.15</v>
      </c>
      <c r="AI101" s="162">
        <f t="shared" si="18"/>
        <v>43228.870500000005</v>
      </c>
      <c r="AJ101" s="146">
        <f>Valores!$C$35</f>
        <v>1046.83</v>
      </c>
      <c r="AK101" s="149">
        <f>Valores!$C$80</f>
        <v>3250</v>
      </c>
      <c r="AL101" s="154">
        <f>Valores!$C$51</f>
        <v>170.34</v>
      </c>
      <c r="AM101" s="162">
        <f t="shared" si="16"/>
        <v>4296.83</v>
      </c>
      <c r="AN101" s="146">
        <f>AI101*-Valores!$C$65</f>
        <v>-4971.320107500001</v>
      </c>
      <c r="AO101" s="146">
        <f>AI101*-Valores!$C$66</f>
        <v>-1945.2991725000002</v>
      </c>
      <c r="AP101" s="170">
        <v>-159.43</v>
      </c>
      <c r="AQ101" s="170">
        <f t="shared" si="19"/>
        <v>-53.83</v>
      </c>
      <c r="AR101" s="162">
        <f t="shared" si="20"/>
        <v>40395.82122</v>
      </c>
    </row>
    <row r="102" spans="1:44" s="137" customFormat="1" ht="11.25" customHeight="1">
      <c r="A102" s="147">
        <v>100</v>
      </c>
      <c r="B102" s="147" t="s">
        <v>135</v>
      </c>
      <c r="C102" s="147" t="s">
        <v>312</v>
      </c>
      <c r="D102" s="147"/>
      <c r="E102" s="147">
        <f t="shared" si="13"/>
        <v>31</v>
      </c>
      <c r="F102" s="155" t="s">
        <v>313</v>
      </c>
      <c r="G102" s="152">
        <v>89</v>
      </c>
      <c r="H102" s="149">
        <f>INT((G102*Valores!$C$2*100)+0.5)/100</f>
        <v>751.05</v>
      </c>
      <c r="I102" s="150">
        <v>1956</v>
      </c>
      <c r="J102" s="149">
        <f>INT((I102*Valores!$C$2*100)+0.5)/100</f>
        <v>16506.29</v>
      </c>
      <c r="K102" s="151">
        <v>0</v>
      </c>
      <c r="L102" s="149">
        <f>INT((K102*Valores!$C$2*100)+0.5)/100</f>
        <v>0</v>
      </c>
      <c r="M102" s="158">
        <v>0</v>
      </c>
      <c r="N102" s="149">
        <f>INT((M102*Valores!$C$2*100)+0.5)/100</f>
        <v>0</v>
      </c>
      <c r="O102" s="149">
        <f t="shared" si="14"/>
        <v>3351.6254999999996</v>
      </c>
      <c r="P102" s="149">
        <f t="shared" si="15"/>
        <v>0</v>
      </c>
      <c r="Q102" s="146">
        <f>Valores!$C$20</f>
        <v>5630.2</v>
      </c>
      <c r="R102" s="146">
        <f>Valores!$D$4</f>
        <v>4313.91</v>
      </c>
      <c r="S102" s="149">
        <v>0</v>
      </c>
      <c r="T102" s="149">
        <f>Valores!$C$42</f>
        <v>1559.82</v>
      </c>
      <c r="U102" s="149">
        <f>Valores!$C$23</f>
        <v>3527.01</v>
      </c>
      <c r="V102" s="149">
        <f t="shared" si="12"/>
        <v>3527.01</v>
      </c>
      <c r="W102" s="149">
        <v>0</v>
      </c>
      <c r="X102" s="149">
        <v>0</v>
      </c>
      <c r="Y102" s="157">
        <v>0</v>
      </c>
      <c r="Z102" s="149">
        <f>Y102*Valores!$C$2</f>
        <v>0</v>
      </c>
      <c r="AA102" s="149">
        <v>0</v>
      </c>
      <c r="AB102" s="154">
        <f>Valores!$C$29</f>
        <v>199.86</v>
      </c>
      <c r="AC102" s="149">
        <f t="shared" si="17"/>
        <v>0</v>
      </c>
      <c r="AD102" s="149">
        <f>Valores!$C$30</f>
        <v>199.86</v>
      </c>
      <c r="AE102" s="157">
        <v>0</v>
      </c>
      <c r="AF102" s="149">
        <f>INT(((AE102*Valores!$C$2)*100)+0.5)/100</f>
        <v>0</v>
      </c>
      <c r="AG102" s="149">
        <f>Valores!$C$58</f>
        <v>406.53</v>
      </c>
      <c r="AH102" s="149">
        <f>Valores!$C$60</f>
        <v>116.15</v>
      </c>
      <c r="AI102" s="162">
        <f t="shared" si="18"/>
        <v>36562.3055</v>
      </c>
      <c r="AJ102" s="146">
        <f>Valores!$C$35</f>
        <v>1046.83</v>
      </c>
      <c r="AK102" s="149">
        <f>Valores!$C$80</f>
        <v>3250</v>
      </c>
      <c r="AL102" s="154">
        <f>Valores!$C$51</f>
        <v>170.34</v>
      </c>
      <c r="AM102" s="162">
        <f t="shared" si="16"/>
        <v>4296.83</v>
      </c>
      <c r="AN102" s="146">
        <f>AI102*-Valores!$C$65</f>
        <v>-4204.6651325</v>
      </c>
      <c r="AO102" s="146">
        <f>AI102*-Valores!$C$66</f>
        <v>-1645.3037475</v>
      </c>
      <c r="AP102" s="170">
        <v>-159.43</v>
      </c>
      <c r="AQ102" s="170">
        <f t="shared" si="19"/>
        <v>-53.83</v>
      </c>
      <c r="AR102" s="162">
        <f t="shared" si="20"/>
        <v>34795.90662</v>
      </c>
    </row>
    <row r="103" spans="1:44" s="137" customFormat="1" ht="11.25" customHeight="1">
      <c r="A103" s="147">
        <v>101</v>
      </c>
      <c r="B103" s="147"/>
      <c r="C103" s="147" t="s">
        <v>314</v>
      </c>
      <c r="D103" s="147"/>
      <c r="E103" s="147">
        <f t="shared" si="13"/>
        <v>31</v>
      </c>
      <c r="F103" s="155" t="s">
        <v>315</v>
      </c>
      <c r="G103" s="152">
        <v>89</v>
      </c>
      <c r="H103" s="149">
        <f>INT((G103*Valores!$C$2*100)+0.5)/100</f>
        <v>751.05</v>
      </c>
      <c r="I103" s="150">
        <v>1267</v>
      </c>
      <c r="J103" s="149">
        <f>INT((I103*Valores!$C$2*100)+0.5)/100</f>
        <v>10691.96</v>
      </c>
      <c r="K103" s="151">
        <v>0</v>
      </c>
      <c r="L103" s="149">
        <f>INT((K103*Valores!$C$2*100)+0.5)/100</f>
        <v>0</v>
      </c>
      <c r="M103" s="158">
        <v>0</v>
      </c>
      <c r="N103" s="149">
        <f>INT((M103*Valores!$C$2*100)+0.5)/100</f>
        <v>0</v>
      </c>
      <c r="O103" s="149">
        <f t="shared" si="14"/>
        <v>2479.476</v>
      </c>
      <c r="P103" s="149">
        <f t="shared" si="15"/>
        <v>0</v>
      </c>
      <c r="Q103" s="146">
        <f>Valores!$C$20</f>
        <v>5630.2</v>
      </c>
      <c r="R103" s="146">
        <f>Valores!$D$4</f>
        <v>4313.91</v>
      </c>
      <c r="S103" s="149">
        <v>0</v>
      </c>
      <c r="T103" s="149">
        <f>Valores!$C$42</f>
        <v>1559.82</v>
      </c>
      <c r="U103" s="149">
        <f>Valores!$C$23</f>
        <v>3527.01</v>
      </c>
      <c r="V103" s="149">
        <f t="shared" si="12"/>
        <v>3527.01</v>
      </c>
      <c r="W103" s="149">
        <v>0</v>
      </c>
      <c r="X103" s="149">
        <v>0</v>
      </c>
      <c r="Y103" s="157">
        <v>0</v>
      </c>
      <c r="Z103" s="149">
        <f>Y103*Valores!$C$2</f>
        <v>0</v>
      </c>
      <c r="AA103" s="149">
        <v>0</v>
      </c>
      <c r="AB103" s="154">
        <f>Valores!$C$29</f>
        <v>199.86</v>
      </c>
      <c r="AC103" s="149">
        <f t="shared" si="17"/>
        <v>0</v>
      </c>
      <c r="AD103" s="149">
        <f>Valores!$C$30</f>
        <v>199.86</v>
      </c>
      <c r="AE103" s="157">
        <v>0</v>
      </c>
      <c r="AF103" s="149">
        <f>INT(((AE103*Valores!$C$2)*100)+0.5)/100</f>
        <v>0</v>
      </c>
      <c r="AG103" s="149">
        <f>Valores!$C$58</f>
        <v>406.53</v>
      </c>
      <c r="AH103" s="149">
        <f>Valores!$C$60</f>
        <v>116.15</v>
      </c>
      <c r="AI103" s="162">
        <f t="shared" si="18"/>
        <v>29875.826</v>
      </c>
      <c r="AJ103" s="146">
        <f>Valores!$C$35</f>
        <v>1046.83</v>
      </c>
      <c r="AK103" s="149">
        <f>Valores!$C$80</f>
        <v>3250</v>
      </c>
      <c r="AL103" s="154">
        <f>Valores!$C$51</f>
        <v>170.34</v>
      </c>
      <c r="AM103" s="162">
        <f t="shared" si="16"/>
        <v>4296.83</v>
      </c>
      <c r="AN103" s="146">
        <f>AI103*-Valores!$C$65</f>
        <v>-3435.71999</v>
      </c>
      <c r="AO103" s="146">
        <f>AI103*-Valores!$C$66</f>
        <v>-1344.41217</v>
      </c>
      <c r="AP103" s="170">
        <v>-159.43</v>
      </c>
      <c r="AQ103" s="170">
        <f t="shared" si="19"/>
        <v>-53.83</v>
      </c>
      <c r="AR103" s="162">
        <f t="shared" si="20"/>
        <v>29179.26384</v>
      </c>
    </row>
    <row r="104" spans="1:44" s="137" customFormat="1" ht="11.25" customHeight="1">
      <c r="A104" s="147">
        <v>102</v>
      </c>
      <c r="B104" s="147"/>
      <c r="C104" s="147" t="s">
        <v>316</v>
      </c>
      <c r="D104" s="147"/>
      <c r="E104" s="147">
        <f t="shared" si="13"/>
        <v>31</v>
      </c>
      <c r="F104" s="155" t="s">
        <v>317</v>
      </c>
      <c r="G104" s="152">
        <v>67</v>
      </c>
      <c r="H104" s="149">
        <f>INT((G104*Valores!$C$2*100)+0.5)/100</f>
        <v>565.4</v>
      </c>
      <c r="I104" s="150">
        <v>2108</v>
      </c>
      <c r="J104" s="149">
        <f>INT((I104*Valores!$C$2*100)+0.5)/100</f>
        <v>17788.99</v>
      </c>
      <c r="K104" s="151">
        <v>0</v>
      </c>
      <c r="L104" s="149">
        <f>INT((K104*Valores!$C$2*100)+0.5)/100</f>
        <v>0</v>
      </c>
      <c r="M104" s="158">
        <v>0</v>
      </c>
      <c r="N104" s="149">
        <f>INT((M104*Valores!$C$2*100)+0.5)/100</f>
        <v>0</v>
      </c>
      <c r="O104" s="149">
        <f t="shared" si="14"/>
        <v>3451.8345000000004</v>
      </c>
      <c r="P104" s="149">
        <f t="shared" si="15"/>
        <v>0</v>
      </c>
      <c r="Q104" s="146">
        <f>Valores!$C$20</f>
        <v>5630.2</v>
      </c>
      <c r="R104" s="146">
        <f>Valores!$D$4</f>
        <v>4313.91</v>
      </c>
      <c r="S104" s="149">
        <v>0</v>
      </c>
      <c r="T104" s="149">
        <f>Valores!$C$40</f>
        <v>1177.33</v>
      </c>
      <c r="U104" s="148">
        <f>Valores!$C$24</f>
        <v>3480.51</v>
      </c>
      <c r="V104" s="149">
        <f t="shared" si="12"/>
        <v>3480.51</v>
      </c>
      <c r="W104" s="149">
        <v>0</v>
      </c>
      <c r="X104" s="149">
        <v>0</v>
      </c>
      <c r="Y104" s="157">
        <v>0</v>
      </c>
      <c r="Z104" s="149">
        <f>Y104*Valores!$C$2</f>
        <v>0</v>
      </c>
      <c r="AA104" s="149">
        <v>0</v>
      </c>
      <c r="AB104" s="154">
        <f>Valores!$C$29</f>
        <v>199.86</v>
      </c>
      <c r="AC104" s="149">
        <f t="shared" si="17"/>
        <v>0</v>
      </c>
      <c r="AD104" s="149">
        <f>Valores!$C$30</f>
        <v>199.86</v>
      </c>
      <c r="AE104" s="157">
        <v>0</v>
      </c>
      <c r="AF104" s="149">
        <f>INT(((AE104*Valores!$C$2)*100)+0.5)/100</f>
        <v>0</v>
      </c>
      <c r="AG104" s="149">
        <f>Valores!$C$58</f>
        <v>406.53</v>
      </c>
      <c r="AH104" s="149">
        <f>Valores!$C$60</f>
        <v>116.15</v>
      </c>
      <c r="AI104" s="162">
        <f t="shared" si="18"/>
        <v>37330.57450000001</v>
      </c>
      <c r="AJ104" s="146">
        <f>Valores!$C$35</f>
        <v>1046.83</v>
      </c>
      <c r="AK104" s="149">
        <f>Valores!$C$80</f>
        <v>3250</v>
      </c>
      <c r="AL104" s="154">
        <f>Valores!$C$51</f>
        <v>170.34</v>
      </c>
      <c r="AM104" s="162">
        <f t="shared" si="16"/>
        <v>4296.83</v>
      </c>
      <c r="AN104" s="146">
        <f>AI104*-Valores!$C$65</f>
        <v>-4293.016067500002</v>
      </c>
      <c r="AO104" s="146">
        <f>AI104*-Valores!$C$66</f>
        <v>-1679.8758525000003</v>
      </c>
      <c r="AP104" s="170">
        <v>-159.43</v>
      </c>
      <c r="AQ104" s="170">
        <f t="shared" si="19"/>
        <v>-53.83</v>
      </c>
      <c r="AR104" s="162">
        <f t="shared" si="20"/>
        <v>35441.25258000001</v>
      </c>
    </row>
    <row r="105" spans="1:44" s="137" customFormat="1" ht="11.25" customHeight="1">
      <c r="A105" s="147">
        <v>103</v>
      </c>
      <c r="B105" s="147"/>
      <c r="C105" s="147" t="s">
        <v>318</v>
      </c>
      <c r="D105" s="147"/>
      <c r="E105" s="147">
        <f t="shared" si="13"/>
        <v>30</v>
      </c>
      <c r="F105" s="155" t="s">
        <v>319</v>
      </c>
      <c r="G105" s="152">
        <v>45</v>
      </c>
      <c r="H105" s="149">
        <f>INT((G105*Valores!$C$2*100)+0.5)/100</f>
        <v>379.75</v>
      </c>
      <c r="I105" s="150">
        <v>1502</v>
      </c>
      <c r="J105" s="149">
        <f>INT((I105*Valores!$C$2*100)+0.5)/100</f>
        <v>12675.08</v>
      </c>
      <c r="K105" s="151">
        <v>0</v>
      </c>
      <c r="L105" s="149">
        <f>INT((K105*Valores!$C$2*100)+0.5)/100</f>
        <v>0</v>
      </c>
      <c r="M105" s="158">
        <v>0</v>
      </c>
      <c r="N105" s="149">
        <f>INT((M105*Valores!$C$2*100)+0.5)/100</f>
        <v>0</v>
      </c>
      <c r="O105" s="149">
        <f t="shared" si="14"/>
        <v>2656.9004999999997</v>
      </c>
      <c r="P105" s="149">
        <f t="shared" si="15"/>
        <v>0</v>
      </c>
      <c r="Q105" s="146">
        <f>Valores!$C$20</f>
        <v>5630.2</v>
      </c>
      <c r="R105" s="146">
        <f>Valores!$D$4</f>
        <v>4313.91</v>
      </c>
      <c r="S105" s="149">
        <v>0</v>
      </c>
      <c r="T105" s="149">
        <f>Valores!$C$40</f>
        <v>1177.33</v>
      </c>
      <c r="U105" s="148">
        <f>Valores!$C$24</f>
        <v>3480.51</v>
      </c>
      <c r="V105" s="149">
        <f t="shared" si="12"/>
        <v>3480.51</v>
      </c>
      <c r="W105" s="149">
        <v>0</v>
      </c>
      <c r="X105" s="149">
        <v>0</v>
      </c>
      <c r="Y105" s="157">
        <v>0</v>
      </c>
      <c r="Z105" s="149">
        <f>Y105*Valores!$C$2</f>
        <v>0</v>
      </c>
      <c r="AA105" s="149">
        <v>0</v>
      </c>
      <c r="AB105" s="154">
        <f>Valores!$C$29</f>
        <v>199.86</v>
      </c>
      <c r="AC105" s="149">
        <f t="shared" si="17"/>
        <v>0</v>
      </c>
      <c r="AD105" s="149">
        <f>Valores!$C$30</f>
        <v>199.86</v>
      </c>
      <c r="AE105" s="157">
        <v>0</v>
      </c>
      <c r="AF105" s="149">
        <f>INT(((AE105*Valores!$C$2)*100)+0.5)/100</f>
        <v>0</v>
      </c>
      <c r="AG105" s="149">
        <f>Valores!$C$58</f>
        <v>406.53</v>
      </c>
      <c r="AH105" s="149">
        <f>Valores!$C$60</f>
        <v>116.15</v>
      </c>
      <c r="AI105" s="162">
        <f t="shared" si="18"/>
        <v>31236.080500000004</v>
      </c>
      <c r="AJ105" s="146">
        <f>Valores!$C$35</f>
        <v>1046.83</v>
      </c>
      <c r="AK105" s="149">
        <f>Valores!$C$80</f>
        <v>3250</v>
      </c>
      <c r="AL105" s="154">
        <f>Valores!$C$51</f>
        <v>170.34</v>
      </c>
      <c r="AM105" s="162">
        <f t="shared" si="16"/>
        <v>4296.83</v>
      </c>
      <c r="AN105" s="146">
        <f>AI105*-Valores!$C$65</f>
        <v>-3592.1492575000007</v>
      </c>
      <c r="AO105" s="146">
        <f>AI105*-Valores!$C$66</f>
        <v>-1405.6236225</v>
      </c>
      <c r="AP105" s="170">
        <v>-159.43</v>
      </c>
      <c r="AQ105" s="170">
        <f t="shared" si="19"/>
        <v>-53.83</v>
      </c>
      <c r="AR105" s="162">
        <f t="shared" si="20"/>
        <v>30321.877620000003</v>
      </c>
    </row>
    <row r="106" spans="1:44" s="137" customFormat="1" ht="11.25" customHeight="1">
      <c r="A106" s="147">
        <v>104</v>
      </c>
      <c r="B106" s="147"/>
      <c r="C106" s="147" t="s">
        <v>320</v>
      </c>
      <c r="D106" s="147"/>
      <c r="E106" s="147">
        <f t="shared" si="13"/>
        <v>32</v>
      </c>
      <c r="F106" s="155" t="s">
        <v>321</v>
      </c>
      <c r="G106" s="152">
        <v>61</v>
      </c>
      <c r="H106" s="149">
        <f>INT((G106*Valores!$C$2*100)+0.5)/100</f>
        <v>514.77</v>
      </c>
      <c r="I106" s="150">
        <v>2114</v>
      </c>
      <c r="J106" s="149">
        <f>INT((I106*Valores!$C$2*100)+0.5)/100</f>
        <v>17839.62</v>
      </c>
      <c r="K106" s="151">
        <v>0</v>
      </c>
      <c r="L106" s="149">
        <f>INT((K106*Valores!$C$2*100)+0.5)/100</f>
        <v>0</v>
      </c>
      <c r="M106" s="158">
        <v>0</v>
      </c>
      <c r="N106" s="149">
        <f>INT((M106*Valores!$C$2*100)+0.5)/100</f>
        <v>0</v>
      </c>
      <c r="O106" s="149">
        <f t="shared" si="14"/>
        <v>3451.8345000000004</v>
      </c>
      <c r="P106" s="149">
        <f t="shared" si="15"/>
        <v>0</v>
      </c>
      <c r="Q106" s="146">
        <f>Valores!$C$20</f>
        <v>5630.2</v>
      </c>
      <c r="R106" s="146">
        <f>Valores!$D$4</f>
        <v>4313.91</v>
      </c>
      <c r="S106" s="149">
        <v>0</v>
      </c>
      <c r="T106" s="149">
        <f>Valores!$C$40</f>
        <v>1177.33</v>
      </c>
      <c r="U106" s="148">
        <f>Valores!$C$24</f>
        <v>3480.51</v>
      </c>
      <c r="V106" s="149">
        <f t="shared" si="12"/>
        <v>3480.51</v>
      </c>
      <c r="W106" s="149">
        <v>0</v>
      </c>
      <c r="X106" s="149">
        <v>0</v>
      </c>
      <c r="Y106" s="157">
        <v>0</v>
      </c>
      <c r="Z106" s="149">
        <f>Y106*Valores!$C$2</f>
        <v>0</v>
      </c>
      <c r="AA106" s="149">
        <v>0</v>
      </c>
      <c r="AB106" s="154">
        <f>Valores!$C$29</f>
        <v>199.86</v>
      </c>
      <c r="AC106" s="149">
        <f t="shared" si="17"/>
        <v>0</v>
      </c>
      <c r="AD106" s="149">
        <f>Valores!$C$30</f>
        <v>199.86</v>
      </c>
      <c r="AE106" s="157">
        <v>0</v>
      </c>
      <c r="AF106" s="149">
        <f>INT(((AE106*Valores!$C$2)*100)+0.5)/100</f>
        <v>0</v>
      </c>
      <c r="AG106" s="149">
        <f>Valores!$C$58</f>
        <v>406.53</v>
      </c>
      <c r="AH106" s="149">
        <f>Valores!$C$60</f>
        <v>116.15</v>
      </c>
      <c r="AI106" s="162">
        <f t="shared" si="18"/>
        <v>37330.5745</v>
      </c>
      <c r="AJ106" s="146">
        <f>Valores!$C$35</f>
        <v>1046.83</v>
      </c>
      <c r="AK106" s="149">
        <f>Valores!$C$80</f>
        <v>3250</v>
      </c>
      <c r="AL106" s="154">
        <f>Valores!$C$51</f>
        <v>170.34</v>
      </c>
      <c r="AM106" s="162">
        <f t="shared" si="16"/>
        <v>4296.83</v>
      </c>
      <c r="AN106" s="146">
        <f>AI106*-Valores!$C$65</f>
        <v>-4293.016067500001</v>
      </c>
      <c r="AO106" s="146">
        <f>AI106*-Valores!$C$66</f>
        <v>-1679.8758525</v>
      </c>
      <c r="AP106" s="170">
        <v>-159.43</v>
      </c>
      <c r="AQ106" s="170">
        <f t="shared" si="19"/>
        <v>-53.83</v>
      </c>
      <c r="AR106" s="162">
        <f t="shared" si="20"/>
        <v>35441.25258</v>
      </c>
    </row>
    <row r="107" spans="1:44" s="137" customFormat="1" ht="11.25" customHeight="1">
      <c r="A107" s="147">
        <v>105</v>
      </c>
      <c r="B107" s="147" t="s">
        <v>135</v>
      </c>
      <c r="C107" s="147" t="s">
        <v>322</v>
      </c>
      <c r="D107" s="147"/>
      <c r="E107" s="147">
        <f t="shared" si="13"/>
        <v>32</v>
      </c>
      <c r="F107" s="155" t="s">
        <v>323</v>
      </c>
      <c r="G107" s="152">
        <v>59</v>
      </c>
      <c r="H107" s="149">
        <f>INT((G107*Valores!$C$2*100)+0.5)/100</f>
        <v>497.89</v>
      </c>
      <c r="I107" s="150">
        <v>2013</v>
      </c>
      <c r="J107" s="149">
        <f>INT((I107*Valores!$C$2*100)+0.5)/100</f>
        <v>16987.3</v>
      </c>
      <c r="K107" s="151">
        <v>0</v>
      </c>
      <c r="L107" s="149">
        <f>INT((K107*Valores!$C$2*100)+0.5)/100</f>
        <v>0</v>
      </c>
      <c r="M107" s="158">
        <v>0</v>
      </c>
      <c r="N107" s="149">
        <f>INT((M107*Valores!$C$2*100)+0.5)/100</f>
        <v>0</v>
      </c>
      <c r="O107" s="149">
        <f t="shared" si="14"/>
        <v>3321.4545</v>
      </c>
      <c r="P107" s="149">
        <f t="shared" si="15"/>
        <v>0</v>
      </c>
      <c r="Q107" s="146">
        <f>Valores!$C$20</f>
        <v>5630.2</v>
      </c>
      <c r="R107" s="146">
        <f>Valores!$D$4</f>
        <v>4313.91</v>
      </c>
      <c r="S107" s="149">
        <v>0</v>
      </c>
      <c r="T107" s="149">
        <f>Valores!$C$40</f>
        <v>1177.33</v>
      </c>
      <c r="U107" s="148">
        <f>Valores!$C$24</f>
        <v>3480.51</v>
      </c>
      <c r="V107" s="149">
        <f t="shared" si="12"/>
        <v>3480.51</v>
      </c>
      <c r="W107" s="149">
        <v>0</v>
      </c>
      <c r="X107" s="149">
        <v>0</v>
      </c>
      <c r="Y107" s="157">
        <v>0</v>
      </c>
      <c r="Z107" s="149">
        <f>Y107*Valores!$C$2</f>
        <v>0</v>
      </c>
      <c r="AA107" s="149">
        <v>0</v>
      </c>
      <c r="AB107" s="154">
        <f>Valores!$C$29</f>
        <v>199.86</v>
      </c>
      <c r="AC107" s="149">
        <f t="shared" si="17"/>
        <v>0</v>
      </c>
      <c r="AD107" s="149">
        <f>Valores!$C$30</f>
        <v>199.86</v>
      </c>
      <c r="AE107" s="157">
        <v>0</v>
      </c>
      <c r="AF107" s="149">
        <f>INT(((AE107*Valores!$C$2)*100)+0.5)/100</f>
        <v>0</v>
      </c>
      <c r="AG107" s="149">
        <f>Valores!$C$58</f>
        <v>406.53</v>
      </c>
      <c r="AH107" s="149">
        <f>Valores!$C$60</f>
        <v>116.15</v>
      </c>
      <c r="AI107" s="162">
        <f t="shared" si="18"/>
        <v>36330.9945</v>
      </c>
      <c r="AJ107" s="146">
        <f>Valores!$C$35</f>
        <v>1046.83</v>
      </c>
      <c r="AK107" s="149">
        <f>Valores!$C$80</f>
        <v>3250</v>
      </c>
      <c r="AL107" s="154">
        <f>Valores!$C$51</f>
        <v>170.34</v>
      </c>
      <c r="AM107" s="162">
        <f t="shared" si="16"/>
        <v>4296.83</v>
      </c>
      <c r="AN107" s="146">
        <f>AI107*-Valores!$C$65</f>
        <v>-4178.0643675</v>
      </c>
      <c r="AO107" s="146">
        <f>AI107*-Valores!$C$66</f>
        <v>-1634.8947524999999</v>
      </c>
      <c r="AP107" s="170">
        <v>-159.43</v>
      </c>
      <c r="AQ107" s="170">
        <f t="shared" si="19"/>
        <v>-53.83</v>
      </c>
      <c r="AR107" s="162">
        <f t="shared" si="20"/>
        <v>34601.60538</v>
      </c>
    </row>
    <row r="108" spans="1:44" s="137" customFormat="1" ht="11.25" customHeight="1">
      <c r="A108" s="147">
        <v>106</v>
      </c>
      <c r="B108" s="147"/>
      <c r="C108" s="147" t="s">
        <v>324</v>
      </c>
      <c r="D108" s="147"/>
      <c r="E108" s="147">
        <f t="shared" si="13"/>
        <v>32</v>
      </c>
      <c r="F108" s="155" t="s">
        <v>325</v>
      </c>
      <c r="G108" s="152">
        <v>56</v>
      </c>
      <c r="H108" s="149">
        <f>INT((G108*Valores!$C$2*100)+0.5)/100</f>
        <v>472.57</v>
      </c>
      <c r="I108" s="150">
        <v>1720</v>
      </c>
      <c r="J108" s="149">
        <f>INT((I108*Valores!$C$2*100)+0.5)/100</f>
        <v>14514.74</v>
      </c>
      <c r="K108" s="151">
        <v>0</v>
      </c>
      <c r="L108" s="149">
        <f>INT((K108*Valores!$C$2*100)+0.5)/100</f>
        <v>0</v>
      </c>
      <c r="M108" s="158">
        <v>0</v>
      </c>
      <c r="N108" s="149">
        <f>INT((M108*Valores!$C$2*100)+0.5)/100</f>
        <v>0</v>
      </c>
      <c r="O108" s="149">
        <f t="shared" si="14"/>
        <v>2946.7725</v>
      </c>
      <c r="P108" s="149">
        <f t="shared" si="15"/>
        <v>0</v>
      </c>
      <c r="Q108" s="146">
        <f>Valores!$C$20</f>
        <v>5630.2</v>
      </c>
      <c r="R108" s="146">
        <f>Valores!$D$4</f>
        <v>4313.91</v>
      </c>
      <c r="S108" s="149">
        <v>0</v>
      </c>
      <c r="T108" s="149">
        <f>Valores!$C$40</f>
        <v>1177.33</v>
      </c>
      <c r="U108" s="148">
        <f>Valores!$C$24</f>
        <v>3480.51</v>
      </c>
      <c r="V108" s="149">
        <f t="shared" si="12"/>
        <v>3480.51</v>
      </c>
      <c r="W108" s="149">
        <v>0</v>
      </c>
      <c r="X108" s="149">
        <v>0</v>
      </c>
      <c r="Y108" s="157">
        <v>0</v>
      </c>
      <c r="Z108" s="149">
        <f>Y108*Valores!$C$2</f>
        <v>0</v>
      </c>
      <c r="AA108" s="149">
        <v>0</v>
      </c>
      <c r="AB108" s="154">
        <f>Valores!$C$29</f>
        <v>199.86</v>
      </c>
      <c r="AC108" s="149">
        <f t="shared" si="17"/>
        <v>0</v>
      </c>
      <c r="AD108" s="149">
        <f>Valores!$C$30</f>
        <v>199.86</v>
      </c>
      <c r="AE108" s="157">
        <v>0</v>
      </c>
      <c r="AF108" s="149">
        <f>INT(((AE108*Valores!$C$2)*100)+0.5)/100</f>
        <v>0</v>
      </c>
      <c r="AG108" s="149">
        <f>Valores!$C$58</f>
        <v>406.53</v>
      </c>
      <c r="AH108" s="149">
        <f>Valores!$C$60</f>
        <v>116.15</v>
      </c>
      <c r="AI108" s="162">
        <f t="shared" si="18"/>
        <v>33458.4325</v>
      </c>
      <c r="AJ108" s="146">
        <f>Valores!$C$35</f>
        <v>1046.83</v>
      </c>
      <c r="AK108" s="149">
        <f>Valores!$C$80</f>
        <v>3250</v>
      </c>
      <c r="AL108" s="154">
        <f>Valores!$C$51</f>
        <v>170.34</v>
      </c>
      <c r="AM108" s="162">
        <f t="shared" si="16"/>
        <v>4296.83</v>
      </c>
      <c r="AN108" s="146">
        <f>AI108*-Valores!$C$65</f>
        <v>-3847.7197375000005</v>
      </c>
      <c r="AO108" s="146">
        <f>AI108*-Valores!$C$66</f>
        <v>-1505.6294625</v>
      </c>
      <c r="AP108" s="170">
        <v>-159.43</v>
      </c>
      <c r="AQ108" s="170">
        <f t="shared" si="19"/>
        <v>-53.83</v>
      </c>
      <c r="AR108" s="162">
        <f t="shared" si="20"/>
        <v>32188.653299999998</v>
      </c>
    </row>
    <row r="109" spans="1:44" s="137" customFormat="1" ht="11.25" customHeight="1">
      <c r="A109" s="147">
        <v>107</v>
      </c>
      <c r="B109" s="147"/>
      <c r="C109" s="147" t="s">
        <v>326</v>
      </c>
      <c r="D109" s="147"/>
      <c r="E109" s="147">
        <f t="shared" si="13"/>
        <v>30</v>
      </c>
      <c r="F109" s="155" t="s">
        <v>327</v>
      </c>
      <c r="G109" s="152">
        <v>45</v>
      </c>
      <c r="H109" s="149">
        <f>INT((G109*Valores!$C$2*100)+0.5)/100</f>
        <v>379.75</v>
      </c>
      <c r="I109" s="150">
        <v>1502</v>
      </c>
      <c r="J109" s="149">
        <f>INT((I109*Valores!$C$2*100)+0.5)/100</f>
        <v>12675.08</v>
      </c>
      <c r="K109" s="151">
        <v>0</v>
      </c>
      <c r="L109" s="149">
        <f>INT((K109*Valores!$C$2*100)+0.5)/100</f>
        <v>0</v>
      </c>
      <c r="M109" s="158">
        <v>0</v>
      </c>
      <c r="N109" s="149">
        <f>INT((M109*Valores!$C$2*100)+0.5)/100</f>
        <v>0</v>
      </c>
      <c r="O109" s="149">
        <f t="shared" si="14"/>
        <v>2656.9004999999997</v>
      </c>
      <c r="P109" s="149">
        <f t="shared" si="15"/>
        <v>0</v>
      </c>
      <c r="Q109" s="146">
        <f>Valores!$C$20</f>
        <v>5630.2</v>
      </c>
      <c r="R109" s="146">
        <f>Valores!$D$4</f>
        <v>4313.91</v>
      </c>
      <c r="S109" s="149">
        <v>0</v>
      </c>
      <c r="T109" s="149">
        <f>Valores!$C$40</f>
        <v>1177.33</v>
      </c>
      <c r="U109" s="148">
        <f>Valores!$C$24</f>
        <v>3480.51</v>
      </c>
      <c r="V109" s="149">
        <f t="shared" si="12"/>
        <v>3480.51</v>
      </c>
      <c r="W109" s="149">
        <v>0</v>
      </c>
      <c r="X109" s="149">
        <v>0</v>
      </c>
      <c r="Y109" s="157">
        <v>0</v>
      </c>
      <c r="Z109" s="149">
        <f>Y109*Valores!$C$2</f>
        <v>0</v>
      </c>
      <c r="AA109" s="149">
        <v>0</v>
      </c>
      <c r="AB109" s="154">
        <f>Valores!$C$29</f>
        <v>199.86</v>
      </c>
      <c r="AC109" s="149">
        <f t="shared" si="17"/>
        <v>0</v>
      </c>
      <c r="AD109" s="149">
        <f>Valores!$C$30</f>
        <v>199.86</v>
      </c>
      <c r="AE109" s="157">
        <v>0</v>
      </c>
      <c r="AF109" s="149">
        <f>INT(((AE109*Valores!$C$2)*100)+0.5)/100</f>
        <v>0</v>
      </c>
      <c r="AG109" s="149">
        <f>Valores!$C$58</f>
        <v>406.53</v>
      </c>
      <c r="AH109" s="149">
        <f>Valores!$C$60</f>
        <v>116.15</v>
      </c>
      <c r="AI109" s="162">
        <f t="shared" si="18"/>
        <v>31236.080500000004</v>
      </c>
      <c r="AJ109" s="146">
        <f>Valores!$C$35</f>
        <v>1046.83</v>
      </c>
      <c r="AK109" s="149">
        <f>Valores!$C$80</f>
        <v>3250</v>
      </c>
      <c r="AL109" s="154">
        <f>Valores!$C$51</f>
        <v>170.34</v>
      </c>
      <c r="AM109" s="162">
        <f t="shared" si="16"/>
        <v>4296.83</v>
      </c>
      <c r="AN109" s="146">
        <f>AI109*-Valores!$C$65</f>
        <v>-3592.1492575000007</v>
      </c>
      <c r="AO109" s="146">
        <f>AI109*-Valores!$C$66</f>
        <v>-1405.6236225</v>
      </c>
      <c r="AP109" s="170">
        <v>-159.43</v>
      </c>
      <c r="AQ109" s="170">
        <f t="shared" si="19"/>
        <v>-53.83</v>
      </c>
      <c r="AR109" s="162">
        <f t="shared" si="20"/>
        <v>30321.877620000003</v>
      </c>
    </row>
    <row r="110" spans="1:44" s="137" customFormat="1" ht="11.25" customHeight="1">
      <c r="A110" s="147">
        <v>108</v>
      </c>
      <c r="B110" s="147"/>
      <c r="C110" s="147" t="s">
        <v>328</v>
      </c>
      <c r="D110" s="147"/>
      <c r="E110" s="147">
        <f t="shared" si="13"/>
        <v>30</v>
      </c>
      <c r="F110" s="155" t="s">
        <v>329</v>
      </c>
      <c r="G110" s="152">
        <v>45</v>
      </c>
      <c r="H110" s="149">
        <f>INT((G110*Valores!$C$2*100)+0.5)/100</f>
        <v>379.75</v>
      </c>
      <c r="I110" s="150">
        <v>1139</v>
      </c>
      <c r="J110" s="149">
        <f>INT((I110*Valores!$C$2*100)+0.5)/100</f>
        <v>9611.79</v>
      </c>
      <c r="K110" s="151">
        <v>0</v>
      </c>
      <c r="L110" s="149">
        <f>INT((K110*Valores!$C$2*100)+0.5)/100</f>
        <v>0</v>
      </c>
      <c r="M110" s="158">
        <v>0</v>
      </c>
      <c r="N110" s="149">
        <f>INT((M110*Valores!$C$2*100)+0.5)/100</f>
        <v>0</v>
      </c>
      <c r="O110" s="149">
        <f t="shared" si="14"/>
        <v>2197.407</v>
      </c>
      <c r="P110" s="149">
        <f t="shared" si="15"/>
        <v>0</v>
      </c>
      <c r="Q110" s="146">
        <f>Valores!$C$20</f>
        <v>5630.2</v>
      </c>
      <c r="R110" s="146">
        <f>Valores!$D$4</f>
        <v>4313.91</v>
      </c>
      <c r="S110" s="149">
        <v>0</v>
      </c>
      <c r="T110" s="149">
        <f>Valores!$C$40</f>
        <v>1177.33</v>
      </c>
      <c r="U110" s="148">
        <f>Valores!$C$24</f>
        <v>3480.51</v>
      </c>
      <c r="V110" s="149">
        <f t="shared" si="12"/>
        <v>3480.51</v>
      </c>
      <c r="W110" s="149">
        <v>0</v>
      </c>
      <c r="X110" s="149">
        <v>0</v>
      </c>
      <c r="Y110" s="157">
        <v>0</v>
      </c>
      <c r="Z110" s="149">
        <f>Y110*Valores!$C$2</f>
        <v>0</v>
      </c>
      <c r="AA110" s="149">
        <v>0</v>
      </c>
      <c r="AB110" s="154">
        <f>Valores!$C$29</f>
        <v>199.86</v>
      </c>
      <c r="AC110" s="149">
        <f t="shared" si="17"/>
        <v>0</v>
      </c>
      <c r="AD110" s="149">
        <f>Valores!$C$30</f>
        <v>199.86</v>
      </c>
      <c r="AE110" s="157">
        <v>0</v>
      </c>
      <c r="AF110" s="149">
        <f>INT(((AE110*Valores!$C$2)*100)+0.5)/100</f>
        <v>0</v>
      </c>
      <c r="AG110" s="149">
        <f>Valores!$C$58</f>
        <v>406.53</v>
      </c>
      <c r="AH110" s="149">
        <f>Valores!$C$60</f>
        <v>116.15</v>
      </c>
      <c r="AI110" s="162">
        <f t="shared" si="18"/>
        <v>27713.297000000006</v>
      </c>
      <c r="AJ110" s="146">
        <f>Valores!$C$35</f>
        <v>1046.83</v>
      </c>
      <c r="AK110" s="149">
        <f>Valores!$C$80</f>
        <v>3250</v>
      </c>
      <c r="AL110" s="154">
        <f>Valores!$C$51</f>
        <v>170.34</v>
      </c>
      <c r="AM110" s="162">
        <f t="shared" si="16"/>
        <v>4296.83</v>
      </c>
      <c r="AN110" s="146">
        <f>AI110*-Valores!$C$65</f>
        <v>-3187.0291550000006</v>
      </c>
      <c r="AO110" s="146">
        <f>AI110*-Valores!$C$66</f>
        <v>-1247.0983650000003</v>
      </c>
      <c r="AP110" s="170">
        <v>-159.43</v>
      </c>
      <c r="AQ110" s="170">
        <f t="shared" si="19"/>
        <v>-53.83</v>
      </c>
      <c r="AR110" s="162">
        <f t="shared" si="20"/>
        <v>27362.739480000004</v>
      </c>
    </row>
    <row r="111" spans="1:44" s="137" customFormat="1" ht="11.25" customHeight="1">
      <c r="A111" s="147">
        <v>109</v>
      </c>
      <c r="B111" s="147"/>
      <c r="C111" s="147" t="s">
        <v>330</v>
      </c>
      <c r="D111" s="147"/>
      <c r="E111" s="147">
        <f t="shared" si="13"/>
        <v>30</v>
      </c>
      <c r="F111" s="155" t="s">
        <v>331</v>
      </c>
      <c r="G111" s="152">
        <v>46</v>
      </c>
      <c r="H111" s="149">
        <f>INT((G111*Valores!$C$2*100)+0.5)/100</f>
        <v>388.18</v>
      </c>
      <c r="I111" s="150">
        <v>1102</v>
      </c>
      <c r="J111" s="149">
        <f>INT((I111*Valores!$C$2*100)+0.5)/100</f>
        <v>9299.56</v>
      </c>
      <c r="K111" s="151">
        <v>0</v>
      </c>
      <c r="L111" s="149">
        <f>INT((K111*Valores!$C$2*100)+0.5)/100</f>
        <v>0</v>
      </c>
      <c r="M111" s="158">
        <v>0</v>
      </c>
      <c r="N111" s="149">
        <f>INT((M111*Valores!$C$2*100)+0.5)/100</f>
        <v>0</v>
      </c>
      <c r="O111" s="149">
        <f t="shared" si="14"/>
        <v>2151.837</v>
      </c>
      <c r="P111" s="149">
        <f t="shared" si="15"/>
        <v>0</v>
      </c>
      <c r="Q111" s="146">
        <f>Valores!$C$20</f>
        <v>5630.2</v>
      </c>
      <c r="R111" s="146">
        <f>Valores!$D$4</f>
        <v>4313.91</v>
      </c>
      <c r="S111" s="149">
        <v>0</v>
      </c>
      <c r="T111" s="149">
        <f>Valores!$C$40</f>
        <v>1177.33</v>
      </c>
      <c r="U111" s="148">
        <f>Valores!$C$24</f>
        <v>3480.51</v>
      </c>
      <c r="V111" s="149">
        <f aca="true" t="shared" si="21" ref="V111:V174">U111*(1+$J$2)</f>
        <v>3480.51</v>
      </c>
      <c r="W111" s="149">
        <v>0</v>
      </c>
      <c r="X111" s="149">
        <v>0</v>
      </c>
      <c r="Y111" s="157">
        <v>0</v>
      </c>
      <c r="Z111" s="149">
        <f>Y111*Valores!$C$2</f>
        <v>0</v>
      </c>
      <c r="AA111" s="149">
        <v>0</v>
      </c>
      <c r="AB111" s="154">
        <f>Valores!$C$29</f>
        <v>199.86</v>
      </c>
      <c r="AC111" s="149">
        <f t="shared" si="17"/>
        <v>0</v>
      </c>
      <c r="AD111" s="149">
        <f>Valores!$C$30</f>
        <v>199.86</v>
      </c>
      <c r="AE111" s="157">
        <v>0</v>
      </c>
      <c r="AF111" s="149">
        <f>INT(((AE111*Valores!$C$2)*100)+0.5)/100</f>
        <v>0</v>
      </c>
      <c r="AG111" s="149">
        <f>Valores!$C$58</f>
        <v>406.53</v>
      </c>
      <c r="AH111" s="149">
        <f>Valores!$C$60</f>
        <v>116.15</v>
      </c>
      <c r="AI111" s="162">
        <f t="shared" si="18"/>
        <v>27363.927000000003</v>
      </c>
      <c r="AJ111" s="146">
        <f>Valores!$C$35</f>
        <v>1046.83</v>
      </c>
      <c r="AK111" s="149">
        <f>Valores!$C$80</f>
        <v>3250</v>
      </c>
      <c r="AL111" s="154">
        <f>Valores!$C$51</f>
        <v>170.34</v>
      </c>
      <c r="AM111" s="162">
        <f t="shared" si="16"/>
        <v>4296.83</v>
      </c>
      <c r="AN111" s="146">
        <f>AI111*-Valores!$C$65</f>
        <v>-3146.8516050000007</v>
      </c>
      <c r="AO111" s="146">
        <f>AI111*-Valores!$C$66</f>
        <v>-1231.376715</v>
      </c>
      <c r="AP111" s="170">
        <v>-159.43</v>
      </c>
      <c r="AQ111" s="170">
        <f t="shared" si="19"/>
        <v>-53.83</v>
      </c>
      <c r="AR111" s="162">
        <f t="shared" si="20"/>
        <v>27069.268680000005</v>
      </c>
    </row>
    <row r="112" spans="1:44" s="137" customFormat="1" ht="11.25" customHeight="1">
      <c r="A112" s="147">
        <v>110</v>
      </c>
      <c r="B112" s="147" t="s">
        <v>135</v>
      </c>
      <c r="C112" s="147" t="s">
        <v>332</v>
      </c>
      <c r="D112" s="147"/>
      <c r="E112" s="147">
        <f t="shared" si="13"/>
        <v>32</v>
      </c>
      <c r="F112" s="155" t="s">
        <v>333</v>
      </c>
      <c r="G112" s="152">
        <v>66</v>
      </c>
      <c r="H112" s="149">
        <f>INT((G112*Valores!$C$2*100)+0.5)/100</f>
        <v>556.96</v>
      </c>
      <c r="I112" s="150">
        <v>1911</v>
      </c>
      <c r="J112" s="149">
        <f>INT((I112*Valores!$C$2*100)+0.5)/100</f>
        <v>16126.55</v>
      </c>
      <c r="K112" s="151">
        <v>0</v>
      </c>
      <c r="L112" s="149">
        <f>INT((K112*Valores!$C$2*100)+0.5)/100</f>
        <v>0</v>
      </c>
      <c r="M112" s="158">
        <v>0</v>
      </c>
      <c r="N112" s="149">
        <f>INT((M112*Valores!$C$2*100)+0.5)/100</f>
        <v>0</v>
      </c>
      <c r="O112" s="149">
        <f t="shared" si="14"/>
        <v>3201.2025</v>
      </c>
      <c r="P112" s="149">
        <f t="shared" si="15"/>
        <v>0</v>
      </c>
      <c r="Q112" s="146">
        <f>Valores!$C$20</f>
        <v>5630.2</v>
      </c>
      <c r="R112" s="146">
        <f>Valores!$D$4</f>
        <v>4313.91</v>
      </c>
      <c r="S112" s="148">
        <f>Valores!$C$26</f>
        <v>3959.57</v>
      </c>
      <c r="T112" s="148">
        <f>Valores!$C$40</f>
        <v>1177.33</v>
      </c>
      <c r="U112" s="148">
        <f>Valores!$C$24</f>
        <v>3480.51</v>
      </c>
      <c r="V112" s="149">
        <f t="shared" si="21"/>
        <v>3480.51</v>
      </c>
      <c r="W112" s="149">
        <v>0</v>
      </c>
      <c r="X112" s="149">
        <v>0</v>
      </c>
      <c r="Y112" s="157">
        <v>0</v>
      </c>
      <c r="Z112" s="149">
        <f>Y112*Valores!$C$2</f>
        <v>0</v>
      </c>
      <c r="AA112" s="149">
        <v>0</v>
      </c>
      <c r="AB112" s="154">
        <f>Valores!$C$29</f>
        <v>199.86</v>
      </c>
      <c r="AC112" s="149">
        <f t="shared" si="17"/>
        <v>0</v>
      </c>
      <c r="AD112" s="149">
        <f>Valores!$C$30</f>
        <v>199.86</v>
      </c>
      <c r="AE112" s="157">
        <v>94</v>
      </c>
      <c r="AF112" s="149">
        <f>INT(((AE112*Valores!$C$2)*100)+0.5)/100</f>
        <v>793.25</v>
      </c>
      <c r="AG112" s="149">
        <f>Valores!$C$58</f>
        <v>406.53</v>
      </c>
      <c r="AH112" s="149">
        <f>Valores!$C$60</f>
        <v>116.15</v>
      </c>
      <c r="AI112" s="162">
        <f t="shared" si="18"/>
        <v>40161.88250000001</v>
      </c>
      <c r="AJ112" s="146">
        <f>Valores!$C$35</f>
        <v>1046.83</v>
      </c>
      <c r="AK112" s="149">
        <f>Valores!$C$80</f>
        <v>3250</v>
      </c>
      <c r="AL112" s="154">
        <f>Valores!$C$51</f>
        <v>170.34</v>
      </c>
      <c r="AM112" s="162">
        <f t="shared" si="16"/>
        <v>4296.83</v>
      </c>
      <c r="AN112" s="146">
        <f>AI112*-Valores!$C$65</f>
        <v>-4618.616487500001</v>
      </c>
      <c r="AO112" s="146">
        <f>AI112*-Valores!$C$66</f>
        <v>-1807.2847125000003</v>
      </c>
      <c r="AP112" s="170">
        <v>-159.43</v>
      </c>
      <c r="AQ112" s="170">
        <f t="shared" si="19"/>
        <v>-53.83</v>
      </c>
      <c r="AR112" s="162">
        <f t="shared" si="20"/>
        <v>37819.55130000001</v>
      </c>
    </row>
    <row r="113" spans="1:44" s="137" customFormat="1" ht="11.25" customHeight="1">
      <c r="A113" s="147">
        <v>111</v>
      </c>
      <c r="B113" s="147"/>
      <c r="C113" s="147" t="s">
        <v>334</v>
      </c>
      <c r="D113" s="147"/>
      <c r="E113" s="147">
        <f t="shared" si="13"/>
        <v>30</v>
      </c>
      <c r="F113" s="155" t="s">
        <v>335</v>
      </c>
      <c r="G113" s="152">
        <v>61</v>
      </c>
      <c r="H113" s="149">
        <f>INT((G113*Valores!$C$2*100)+0.5)/100</f>
        <v>514.77</v>
      </c>
      <c r="I113" s="150">
        <v>1545</v>
      </c>
      <c r="J113" s="149">
        <f>INT((I113*Valores!$C$2*100)+0.5)/100</f>
        <v>13037.95</v>
      </c>
      <c r="K113" s="151">
        <v>0</v>
      </c>
      <c r="L113" s="149">
        <f>INT((K113*Valores!$C$2*100)+0.5)/100</f>
        <v>0</v>
      </c>
      <c r="M113" s="158">
        <v>0</v>
      </c>
      <c r="N113" s="149">
        <f>INT((M113*Valores!$C$2*100)+0.5)/100</f>
        <v>0</v>
      </c>
      <c r="O113" s="149">
        <f t="shared" si="14"/>
        <v>2731.5840000000007</v>
      </c>
      <c r="P113" s="149">
        <f t="shared" si="15"/>
        <v>0</v>
      </c>
      <c r="Q113" s="146">
        <f>Valores!$C$20</f>
        <v>5630.2</v>
      </c>
      <c r="R113" s="146">
        <f>Valores!$D$4</f>
        <v>4313.91</v>
      </c>
      <c r="S113" s="149">
        <f>Valores!$C$26</f>
        <v>3959.57</v>
      </c>
      <c r="T113" s="149">
        <f>Valores!$C$40</f>
        <v>1177.33</v>
      </c>
      <c r="U113" s="148">
        <f>Valores!$C$24</f>
        <v>3480.51</v>
      </c>
      <c r="V113" s="149">
        <f t="shared" si="21"/>
        <v>3480.51</v>
      </c>
      <c r="W113" s="149">
        <v>0</v>
      </c>
      <c r="X113" s="149">
        <v>0</v>
      </c>
      <c r="Y113" s="157">
        <v>0</v>
      </c>
      <c r="Z113" s="149">
        <f>Y113*Valores!$C$2</f>
        <v>0</v>
      </c>
      <c r="AA113" s="149">
        <v>0</v>
      </c>
      <c r="AB113" s="154">
        <f>Valores!$C$29</f>
        <v>199.86</v>
      </c>
      <c r="AC113" s="149">
        <f t="shared" si="17"/>
        <v>0</v>
      </c>
      <c r="AD113" s="149">
        <f>Valores!$C$30</f>
        <v>199.86</v>
      </c>
      <c r="AE113" s="157">
        <v>94</v>
      </c>
      <c r="AF113" s="149">
        <f>INT(((AE113*Valores!$C$2)*100)+0.5)/100</f>
        <v>793.25</v>
      </c>
      <c r="AG113" s="149">
        <f>Valores!$C$58</f>
        <v>406.53</v>
      </c>
      <c r="AH113" s="149">
        <f>Valores!$C$60</f>
        <v>116.15</v>
      </c>
      <c r="AI113" s="162">
        <f t="shared" si="18"/>
        <v>36561.474</v>
      </c>
      <c r="AJ113" s="146">
        <f>Valores!$C$35</f>
        <v>1046.83</v>
      </c>
      <c r="AK113" s="149">
        <f>Valores!$C$80</f>
        <v>3250</v>
      </c>
      <c r="AL113" s="154">
        <f>Valores!$C$51</f>
        <v>170.34</v>
      </c>
      <c r="AM113" s="162">
        <f t="shared" si="16"/>
        <v>4296.83</v>
      </c>
      <c r="AN113" s="146">
        <f>AI113*-Valores!$C$65</f>
        <v>-4204.56951</v>
      </c>
      <c r="AO113" s="146">
        <f>AI113*-Valores!$C$66</f>
        <v>-1645.26633</v>
      </c>
      <c r="AP113" s="170">
        <v>-159.43</v>
      </c>
      <c r="AQ113" s="170">
        <f t="shared" si="19"/>
        <v>-53.83</v>
      </c>
      <c r="AR113" s="162">
        <f t="shared" si="20"/>
        <v>34795.20816</v>
      </c>
    </row>
    <row r="114" spans="1:44" s="137" customFormat="1" ht="11.25" customHeight="1">
      <c r="A114" s="147">
        <v>112</v>
      </c>
      <c r="B114" s="147"/>
      <c r="C114" s="147" t="s">
        <v>336</v>
      </c>
      <c r="D114" s="147"/>
      <c r="E114" s="147">
        <f t="shared" si="13"/>
        <v>30</v>
      </c>
      <c r="F114" s="155" t="s">
        <v>337</v>
      </c>
      <c r="G114" s="152">
        <f>75+143</f>
        <v>218</v>
      </c>
      <c r="H114" s="149">
        <f>INT((G114*Valores!$C$2*100)+0.5)/100</f>
        <v>1839.66</v>
      </c>
      <c r="I114" s="150">
        <v>2100</v>
      </c>
      <c r="J114" s="149">
        <f>INT((I114*Valores!$C$2*100)+0.5)/100</f>
        <v>17721.48</v>
      </c>
      <c r="K114" s="151">
        <v>0</v>
      </c>
      <c r="L114" s="149">
        <f>INT((K114*Valores!$C$2*100)+0.5)/100</f>
        <v>0</v>
      </c>
      <c r="M114" s="158">
        <v>0</v>
      </c>
      <c r="N114" s="149">
        <f>INT((M114*Valores!$C$2*100)+0.5)/100</f>
        <v>0</v>
      </c>
      <c r="O114" s="149">
        <f t="shared" si="14"/>
        <v>3632.847</v>
      </c>
      <c r="P114" s="149">
        <f t="shared" si="15"/>
        <v>0</v>
      </c>
      <c r="Q114" s="146">
        <f>Valores!$C$20</f>
        <v>5630.2</v>
      </c>
      <c r="R114" s="146">
        <f>Valores!$D$4</f>
        <v>4313.91</v>
      </c>
      <c r="S114" s="148">
        <f>Valores!$C$26</f>
        <v>3959.57</v>
      </c>
      <c r="T114" s="148">
        <f>Valores!$C$40</f>
        <v>1177.33</v>
      </c>
      <c r="U114" s="148">
        <f>Valores!$C$24</f>
        <v>3480.51</v>
      </c>
      <c r="V114" s="149">
        <f t="shared" si="21"/>
        <v>3480.51</v>
      </c>
      <c r="W114" s="149">
        <v>0</v>
      </c>
      <c r="X114" s="149">
        <v>0</v>
      </c>
      <c r="Y114" s="157">
        <v>0</v>
      </c>
      <c r="Z114" s="149">
        <f>Y114*Valores!$C$2</f>
        <v>0</v>
      </c>
      <c r="AA114" s="149">
        <v>0</v>
      </c>
      <c r="AB114" s="154">
        <f>Valores!$C$29</f>
        <v>199.86</v>
      </c>
      <c r="AC114" s="149">
        <f t="shared" si="17"/>
        <v>0</v>
      </c>
      <c r="AD114" s="149">
        <f>Valores!$C$30</f>
        <v>199.86</v>
      </c>
      <c r="AE114" s="157">
        <v>0</v>
      </c>
      <c r="AF114" s="149">
        <f>INT(((AE114*Valores!$C$2)*100)+0.5)/100</f>
        <v>0</v>
      </c>
      <c r="AG114" s="149">
        <f>Valores!$C$58</f>
        <v>406.53</v>
      </c>
      <c r="AH114" s="149">
        <f>Valores!$C$60</f>
        <v>116.15</v>
      </c>
      <c r="AI114" s="162">
        <f t="shared" si="18"/>
        <v>42677.90700000001</v>
      </c>
      <c r="AJ114" s="146">
        <f>Valores!$C$35</f>
        <v>1046.83</v>
      </c>
      <c r="AK114" s="149">
        <f>Valores!$C$80</f>
        <v>3250</v>
      </c>
      <c r="AL114" s="154">
        <f>Valores!$C$51</f>
        <v>170.34</v>
      </c>
      <c r="AM114" s="162">
        <f t="shared" si="16"/>
        <v>4296.83</v>
      </c>
      <c r="AN114" s="146">
        <f>AI114*-Valores!$C$65</f>
        <v>-4907.959305000001</v>
      </c>
      <c r="AO114" s="146">
        <f>AI114*-Valores!$C$66</f>
        <v>-1920.5058150000002</v>
      </c>
      <c r="AP114" s="170">
        <v>-159.43</v>
      </c>
      <c r="AQ114" s="170">
        <f t="shared" si="19"/>
        <v>-53.83</v>
      </c>
      <c r="AR114" s="162">
        <f t="shared" si="20"/>
        <v>39933.011880000005</v>
      </c>
    </row>
    <row r="115" spans="1:44" s="137" customFormat="1" ht="11.25" customHeight="1">
      <c r="A115" s="147">
        <v>113</v>
      </c>
      <c r="B115" s="147"/>
      <c r="C115" s="147" t="s">
        <v>338</v>
      </c>
      <c r="D115" s="147"/>
      <c r="E115" s="147">
        <f t="shared" si="13"/>
        <v>30</v>
      </c>
      <c r="F115" s="155" t="s">
        <v>339</v>
      </c>
      <c r="G115" s="152">
        <f>77+143</f>
        <v>220</v>
      </c>
      <c r="H115" s="149">
        <f>INT((G115*Valores!$C$2*100)+0.5)/100</f>
        <v>1856.54</v>
      </c>
      <c r="I115" s="150">
        <v>1995</v>
      </c>
      <c r="J115" s="149">
        <f>INT((I115*Valores!$C$2*100)+0.5)/100</f>
        <v>16835.41</v>
      </c>
      <c r="K115" s="151">
        <v>0</v>
      </c>
      <c r="L115" s="149">
        <f>INT((K115*Valores!$C$2*100)+0.5)/100</f>
        <v>0</v>
      </c>
      <c r="M115" s="158">
        <v>0</v>
      </c>
      <c r="N115" s="149">
        <f>INT((M115*Valores!$C$2*100)+0.5)/100</f>
        <v>0</v>
      </c>
      <c r="O115" s="149">
        <f t="shared" si="14"/>
        <v>3502.4685</v>
      </c>
      <c r="P115" s="149">
        <f t="shared" si="15"/>
        <v>0</v>
      </c>
      <c r="Q115" s="146">
        <f>Valores!$C$20</f>
        <v>5630.2</v>
      </c>
      <c r="R115" s="146">
        <f>Valores!$D$4</f>
        <v>4313.91</v>
      </c>
      <c r="S115" s="148">
        <f>Valores!$C$26</f>
        <v>3959.57</v>
      </c>
      <c r="T115" s="148">
        <f>Valores!$C$40</f>
        <v>1177.33</v>
      </c>
      <c r="U115" s="148">
        <f>Valores!$C$24</f>
        <v>3480.51</v>
      </c>
      <c r="V115" s="149">
        <f t="shared" si="21"/>
        <v>3480.51</v>
      </c>
      <c r="W115" s="149">
        <v>0</v>
      </c>
      <c r="X115" s="149">
        <v>0</v>
      </c>
      <c r="Y115" s="157">
        <v>0</v>
      </c>
      <c r="Z115" s="149">
        <f>Y115*Valores!$C$2</f>
        <v>0</v>
      </c>
      <c r="AA115" s="149">
        <v>0</v>
      </c>
      <c r="AB115" s="154">
        <f>Valores!$C$29</f>
        <v>199.86</v>
      </c>
      <c r="AC115" s="149">
        <f t="shared" si="17"/>
        <v>0</v>
      </c>
      <c r="AD115" s="149">
        <f>Valores!$C$30</f>
        <v>199.86</v>
      </c>
      <c r="AE115" s="157">
        <v>0</v>
      </c>
      <c r="AF115" s="149">
        <f>INT(((AE115*Valores!$C$2)*100)+0.5)/100</f>
        <v>0</v>
      </c>
      <c r="AG115" s="149">
        <f>Valores!$C$58</f>
        <v>406.53</v>
      </c>
      <c r="AH115" s="149">
        <f>Valores!$C$60</f>
        <v>116.15</v>
      </c>
      <c r="AI115" s="162">
        <f t="shared" si="18"/>
        <v>41678.338500000005</v>
      </c>
      <c r="AJ115" s="146">
        <f>Valores!$C$35</f>
        <v>1046.83</v>
      </c>
      <c r="AK115" s="149">
        <f>Valores!$C$80</f>
        <v>3250</v>
      </c>
      <c r="AL115" s="154">
        <f>Valores!$C$51</f>
        <v>170.34</v>
      </c>
      <c r="AM115" s="162">
        <f t="shared" si="16"/>
        <v>4296.83</v>
      </c>
      <c r="AN115" s="146">
        <f>AI115*-Valores!$C$65</f>
        <v>-4793.008927500001</v>
      </c>
      <c r="AO115" s="146">
        <f>AI115*-Valores!$C$66</f>
        <v>-1875.5252325000001</v>
      </c>
      <c r="AP115" s="170">
        <v>-159.43</v>
      </c>
      <c r="AQ115" s="170">
        <f t="shared" si="19"/>
        <v>-53.83</v>
      </c>
      <c r="AR115" s="162">
        <f t="shared" si="20"/>
        <v>39093.37434</v>
      </c>
    </row>
    <row r="116" spans="1:44" s="137" customFormat="1" ht="11.25" customHeight="1">
      <c r="A116" s="147">
        <v>114</v>
      </c>
      <c r="B116" s="147"/>
      <c r="C116" s="147" t="s">
        <v>340</v>
      </c>
      <c r="D116" s="147"/>
      <c r="E116" s="147">
        <f t="shared" si="13"/>
        <v>30</v>
      </c>
      <c r="F116" s="155" t="s">
        <v>341</v>
      </c>
      <c r="G116" s="152">
        <f>72+115</f>
        <v>187</v>
      </c>
      <c r="H116" s="149">
        <f>INT((G116*Valores!$C$2*100)+0.5)/100</f>
        <v>1578.06</v>
      </c>
      <c r="I116" s="150">
        <v>1704</v>
      </c>
      <c r="J116" s="149">
        <f>INT((I116*Valores!$C$2*100)+0.5)/100</f>
        <v>14379.72</v>
      </c>
      <c r="K116" s="151">
        <v>0</v>
      </c>
      <c r="L116" s="149">
        <f>INT((K116*Valores!$C$2*100)+0.5)/100</f>
        <v>0</v>
      </c>
      <c r="M116" s="158">
        <v>0</v>
      </c>
      <c r="N116" s="149">
        <f>INT((M116*Valores!$C$2*100)+0.5)/100</f>
        <v>0</v>
      </c>
      <c r="O116" s="149">
        <f t="shared" si="14"/>
        <v>3092.3430000000003</v>
      </c>
      <c r="P116" s="149">
        <f t="shared" si="15"/>
        <v>0</v>
      </c>
      <c r="Q116" s="146">
        <f>Valores!$C$20</f>
        <v>5630.2</v>
      </c>
      <c r="R116" s="146">
        <f>Valores!$D$4</f>
        <v>4313.91</v>
      </c>
      <c r="S116" s="148">
        <f>Valores!$C$26</f>
        <v>3959.57</v>
      </c>
      <c r="T116" s="148">
        <f>Valores!$C$40</f>
        <v>1177.33</v>
      </c>
      <c r="U116" s="148">
        <f>Valores!$C$24</f>
        <v>3480.51</v>
      </c>
      <c r="V116" s="149">
        <f t="shared" si="21"/>
        <v>3480.51</v>
      </c>
      <c r="W116" s="149">
        <v>0</v>
      </c>
      <c r="X116" s="149">
        <v>0</v>
      </c>
      <c r="Y116" s="157">
        <v>0</v>
      </c>
      <c r="Z116" s="149">
        <f>Y116*Valores!$C$2</f>
        <v>0</v>
      </c>
      <c r="AA116" s="149">
        <v>0</v>
      </c>
      <c r="AB116" s="154">
        <f>Valores!$C$29</f>
        <v>199.86</v>
      </c>
      <c r="AC116" s="149">
        <f t="shared" si="17"/>
        <v>0</v>
      </c>
      <c r="AD116" s="149">
        <f>Valores!$C$30</f>
        <v>199.86</v>
      </c>
      <c r="AE116" s="157">
        <v>0</v>
      </c>
      <c r="AF116" s="149">
        <f>INT(((AE116*Valores!$C$2)*100)+0.5)/100</f>
        <v>0</v>
      </c>
      <c r="AG116" s="149">
        <f>Valores!$C$58</f>
        <v>406.53</v>
      </c>
      <c r="AH116" s="149">
        <f>Valores!$C$60</f>
        <v>116.15</v>
      </c>
      <c r="AI116" s="162">
        <f t="shared" si="18"/>
        <v>38534.043000000005</v>
      </c>
      <c r="AJ116" s="146">
        <f>Valores!$C$35</f>
        <v>1046.83</v>
      </c>
      <c r="AK116" s="149">
        <f>Valores!$C$80</f>
        <v>3250</v>
      </c>
      <c r="AL116" s="154">
        <f>Valores!$C$51</f>
        <v>170.34</v>
      </c>
      <c r="AM116" s="162">
        <f t="shared" si="16"/>
        <v>4296.83</v>
      </c>
      <c r="AN116" s="146">
        <f>AI116*-Valores!$C$65</f>
        <v>-4431.414945</v>
      </c>
      <c r="AO116" s="146">
        <f>AI116*-Valores!$C$66</f>
        <v>-1734.0319350000002</v>
      </c>
      <c r="AP116" s="170">
        <v>-159.43</v>
      </c>
      <c r="AQ116" s="170">
        <f t="shared" si="19"/>
        <v>-53.83</v>
      </c>
      <c r="AR116" s="162">
        <f t="shared" si="20"/>
        <v>36452.16612000001</v>
      </c>
    </row>
    <row r="117" spans="1:44" s="137" customFormat="1" ht="11.25" customHeight="1">
      <c r="A117" s="147">
        <v>115</v>
      </c>
      <c r="B117" s="147" t="s">
        <v>135</v>
      </c>
      <c r="C117" s="147" t="s">
        <v>342</v>
      </c>
      <c r="D117" s="147"/>
      <c r="E117" s="147">
        <f t="shared" si="13"/>
        <v>30</v>
      </c>
      <c r="F117" s="155" t="s">
        <v>343</v>
      </c>
      <c r="G117" s="152">
        <f>67+94</f>
        <v>161</v>
      </c>
      <c r="H117" s="149">
        <f>INT((G117*Valores!$C$2*100)+0.5)/100</f>
        <v>1358.65</v>
      </c>
      <c r="I117" s="150">
        <v>1480</v>
      </c>
      <c r="J117" s="149">
        <f>INT((I117*Valores!$C$2*100)+0.5)/100</f>
        <v>12489.42</v>
      </c>
      <c r="K117" s="151">
        <v>0</v>
      </c>
      <c r="L117" s="149">
        <f>INT((K117*Valores!$C$2*100)+0.5)/100</f>
        <v>0</v>
      </c>
      <c r="M117" s="158">
        <v>0</v>
      </c>
      <c r="N117" s="149">
        <f>INT((M117*Valores!$C$2*100)+0.5)/100</f>
        <v>0</v>
      </c>
      <c r="O117" s="149">
        <f t="shared" si="14"/>
        <v>2775.8865000000005</v>
      </c>
      <c r="P117" s="149">
        <f t="shared" si="15"/>
        <v>0</v>
      </c>
      <c r="Q117" s="146">
        <f>Valores!$C$20</f>
        <v>5630.2</v>
      </c>
      <c r="R117" s="146">
        <f>Valores!$D$4</f>
        <v>4313.91</v>
      </c>
      <c r="S117" s="148">
        <f>Valores!$C$26</f>
        <v>3959.57</v>
      </c>
      <c r="T117" s="148">
        <f>Valores!$C$40</f>
        <v>1177.33</v>
      </c>
      <c r="U117" s="148">
        <f>Valores!$C$24</f>
        <v>3480.51</v>
      </c>
      <c r="V117" s="149">
        <f t="shared" si="21"/>
        <v>3480.51</v>
      </c>
      <c r="W117" s="149">
        <v>0</v>
      </c>
      <c r="X117" s="149">
        <v>0</v>
      </c>
      <c r="Y117" s="157">
        <v>0</v>
      </c>
      <c r="Z117" s="149">
        <f>Y117*Valores!$C$2</f>
        <v>0</v>
      </c>
      <c r="AA117" s="149">
        <v>0</v>
      </c>
      <c r="AB117" s="154">
        <f>Valores!$C$29</f>
        <v>199.86</v>
      </c>
      <c r="AC117" s="149">
        <f t="shared" si="17"/>
        <v>0</v>
      </c>
      <c r="AD117" s="149">
        <f>Valores!$C$30</f>
        <v>199.86</v>
      </c>
      <c r="AE117" s="157">
        <v>0</v>
      </c>
      <c r="AF117" s="149">
        <f>INT(((AE117*Valores!$C$2)*100)+0.5)/100</f>
        <v>0</v>
      </c>
      <c r="AG117" s="149">
        <f>Valores!$C$58</f>
        <v>406.53</v>
      </c>
      <c r="AH117" s="149">
        <f>Valores!$C$60</f>
        <v>116.15</v>
      </c>
      <c r="AI117" s="162">
        <f t="shared" si="18"/>
        <v>36107.876500000006</v>
      </c>
      <c r="AJ117" s="146">
        <f>Valores!$C$35</f>
        <v>1046.83</v>
      </c>
      <c r="AK117" s="149">
        <f>Valores!$C$80</f>
        <v>3250</v>
      </c>
      <c r="AL117" s="154">
        <f>Valores!$C$51</f>
        <v>170.34</v>
      </c>
      <c r="AM117" s="162">
        <f t="shared" si="16"/>
        <v>4296.83</v>
      </c>
      <c r="AN117" s="146">
        <f>AI117*-Valores!$C$65</f>
        <v>-4152.4057975000005</v>
      </c>
      <c r="AO117" s="146">
        <f>AI117*-Valores!$C$66</f>
        <v>-1624.8544425000002</v>
      </c>
      <c r="AP117" s="170">
        <v>-159.43</v>
      </c>
      <c r="AQ117" s="170">
        <f t="shared" si="19"/>
        <v>-53.83</v>
      </c>
      <c r="AR117" s="162">
        <f t="shared" si="20"/>
        <v>34414.18626</v>
      </c>
    </row>
    <row r="118" spans="1:44" s="137" customFormat="1" ht="11.25" customHeight="1">
      <c r="A118" s="147">
        <v>116</v>
      </c>
      <c r="B118" s="147"/>
      <c r="C118" s="147" t="s">
        <v>344</v>
      </c>
      <c r="D118" s="147"/>
      <c r="E118" s="147">
        <f t="shared" si="13"/>
        <v>30</v>
      </c>
      <c r="F118" s="155" t="s">
        <v>345</v>
      </c>
      <c r="G118" s="152">
        <f>1184+94</f>
        <v>1278</v>
      </c>
      <c r="H118" s="149">
        <f>INT((G118*Valores!$C$2*100)+0.5)/100</f>
        <v>10784.79</v>
      </c>
      <c r="I118" s="159">
        <v>0</v>
      </c>
      <c r="J118" s="149">
        <f>INT((I118*Valores!$C$2*100)+0.5)/100</f>
        <v>0</v>
      </c>
      <c r="K118" s="151">
        <v>0</v>
      </c>
      <c r="L118" s="149">
        <f>INT((K118*Valores!$C$2*100)+0.5)/100</f>
        <v>0</v>
      </c>
      <c r="M118" s="158">
        <v>0</v>
      </c>
      <c r="N118" s="149">
        <f>INT((M118*Valores!$C$2*100)+0.5)/100</f>
        <v>0</v>
      </c>
      <c r="O118" s="149">
        <f t="shared" si="14"/>
        <v>2316.3945</v>
      </c>
      <c r="P118" s="149">
        <f t="shared" si="15"/>
        <v>0</v>
      </c>
      <c r="Q118" s="146">
        <f>Valores!$C$20</f>
        <v>5630.2</v>
      </c>
      <c r="R118" s="146">
        <f>Valores!$D$4</f>
        <v>4313.91</v>
      </c>
      <c r="S118" s="149">
        <f>Valores!$C$26</f>
        <v>3959.57</v>
      </c>
      <c r="T118" s="149">
        <f>Valores!$C$40</f>
        <v>1177.33</v>
      </c>
      <c r="U118" s="148">
        <f>Valores!$C$24</f>
        <v>3480.51</v>
      </c>
      <c r="V118" s="149">
        <f t="shared" si="21"/>
        <v>3480.51</v>
      </c>
      <c r="W118" s="149">
        <v>0</v>
      </c>
      <c r="X118" s="149">
        <v>0</v>
      </c>
      <c r="Y118" s="157">
        <v>0</v>
      </c>
      <c r="Z118" s="149">
        <f>Y118*Valores!$C$2</f>
        <v>0</v>
      </c>
      <c r="AA118" s="149">
        <v>0</v>
      </c>
      <c r="AB118" s="154">
        <f>Valores!$C$29</f>
        <v>199.86</v>
      </c>
      <c r="AC118" s="149">
        <f t="shared" si="17"/>
        <v>0</v>
      </c>
      <c r="AD118" s="149">
        <f>Valores!$C$30</f>
        <v>199.86</v>
      </c>
      <c r="AE118" s="157">
        <v>0</v>
      </c>
      <c r="AF118" s="149">
        <f>INT(((AE118*Valores!$C$2)*100)+0.5)/100</f>
        <v>0</v>
      </c>
      <c r="AG118" s="149">
        <f>Valores!$C$58</f>
        <v>406.53</v>
      </c>
      <c r="AH118" s="149">
        <f>Valores!$C$60</f>
        <v>116.15</v>
      </c>
      <c r="AI118" s="162">
        <f t="shared" si="18"/>
        <v>32585.1045</v>
      </c>
      <c r="AJ118" s="146">
        <f>Valores!$C$35</f>
        <v>1046.83</v>
      </c>
      <c r="AK118" s="149">
        <f>Valores!$C$80</f>
        <v>3250</v>
      </c>
      <c r="AL118" s="154">
        <f>Valores!$C$51</f>
        <v>170.34</v>
      </c>
      <c r="AM118" s="162">
        <f t="shared" si="16"/>
        <v>4296.83</v>
      </c>
      <c r="AN118" s="146">
        <f>AI118*-Valores!$C$65</f>
        <v>-3747.2870175000003</v>
      </c>
      <c r="AO118" s="146">
        <f>AI118*-Valores!$C$66</f>
        <v>-1466.3297025</v>
      </c>
      <c r="AP118" s="170">
        <v>-159.43</v>
      </c>
      <c r="AQ118" s="170">
        <f t="shared" si="19"/>
        <v>-53.83</v>
      </c>
      <c r="AR118" s="162">
        <f t="shared" si="20"/>
        <v>31455.057780000003</v>
      </c>
    </row>
    <row r="119" spans="1:44" s="137" customFormat="1" ht="11.25" customHeight="1">
      <c r="A119" s="147">
        <v>117</v>
      </c>
      <c r="B119" s="147"/>
      <c r="C119" s="147" t="s">
        <v>346</v>
      </c>
      <c r="D119" s="147"/>
      <c r="E119" s="147">
        <f t="shared" si="13"/>
        <v>17</v>
      </c>
      <c r="F119" s="155" t="s">
        <v>347</v>
      </c>
      <c r="G119" s="152">
        <v>77</v>
      </c>
      <c r="H119" s="149">
        <f>INT((G119*Valores!$C$2*100)+0.5)/100</f>
        <v>649.79</v>
      </c>
      <c r="I119" s="159">
        <v>2073</v>
      </c>
      <c r="J119" s="149">
        <f>INT((I119*Valores!$C$2*100)+0.5)/100</f>
        <v>17493.63</v>
      </c>
      <c r="K119" s="151">
        <v>0</v>
      </c>
      <c r="L119" s="149">
        <f>INT((K119*Valores!$C$2*100)+0.5)/100</f>
        <v>0</v>
      </c>
      <c r="M119" s="158">
        <v>0</v>
      </c>
      <c r="N119" s="149">
        <f>INT((M119*Valores!$C$2*100)+0.5)/100</f>
        <v>0</v>
      </c>
      <c r="O119" s="149">
        <f t="shared" si="14"/>
        <v>3484.5375</v>
      </c>
      <c r="P119" s="149">
        <f t="shared" si="15"/>
        <v>0</v>
      </c>
      <c r="Q119" s="146">
        <f>Valores!$C$15</f>
        <v>5862.51</v>
      </c>
      <c r="R119" s="146">
        <f>Valores!$D$4</f>
        <v>4313.91</v>
      </c>
      <c r="S119" s="148">
        <f>Valores!$C$26</f>
        <v>3959.57</v>
      </c>
      <c r="T119" s="148">
        <f>Valores!$C$42</f>
        <v>1559.82</v>
      </c>
      <c r="U119" s="149">
        <f>Valores!$C$23</f>
        <v>3527.01</v>
      </c>
      <c r="V119" s="149">
        <f t="shared" si="21"/>
        <v>3527.01</v>
      </c>
      <c r="W119" s="149">
        <v>0</v>
      </c>
      <c r="X119" s="149">
        <v>0</v>
      </c>
      <c r="Y119" s="157">
        <v>0</v>
      </c>
      <c r="Z119" s="149">
        <f>Y119*Valores!$C$2</f>
        <v>0</v>
      </c>
      <c r="AA119" s="149">
        <v>0</v>
      </c>
      <c r="AB119" s="154">
        <f>Valores!$C$29</f>
        <v>199.86</v>
      </c>
      <c r="AC119" s="149">
        <f t="shared" si="17"/>
        <v>0</v>
      </c>
      <c r="AD119" s="149">
        <f>Valores!$C$30</f>
        <v>199.86</v>
      </c>
      <c r="AE119" s="157">
        <v>0</v>
      </c>
      <c r="AF119" s="149">
        <f>INT(((AE119*Valores!$C$2)*100)+0.5)/100</f>
        <v>0</v>
      </c>
      <c r="AG119" s="149">
        <f>Valores!$C$58</f>
        <v>406.53</v>
      </c>
      <c r="AH119" s="149">
        <f>Valores!$C$60</f>
        <v>116.15</v>
      </c>
      <c r="AI119" s="162">
        <f t="shared" si="18"/>
        <v>41773.177500000005</v>
      </c>
      <c r="AJ119" s="146">
        <f>Valores!$C$35</f>
        <v>1046.83</v>
      </c>
      <c r="AK119" s="149">
        <f>Valores!$C$80</f>
        <v>3250</v>
      </c>
      <c r="AL119" s="154">
        <f>Valores!$C$51</f>
        <v>170.34</v>
      </c>
      <c r="AM119" s="162">
        <f t="shared" si="16"/>
        <v>4296.83</v>
      </c>
      <c r="AN119" s="146">
        <f>AI119*-Valores!$C$65</f>
        <v>-4803.9154125000005</v>
      </c>
      <c r="AO119" s="146">
        <f>AI119*-Valores!$C$66</f>
        <v>-1879.7929875000002</v>
      </c>
      <c r="AP119" s="170">
        <v>-159.43</v>
      </c>
      <c r="AQ119" s="170">
        <f t="shared" si="19"/>
        <v>-53.83</v>
      </c>
      <c r="AR119" s="162">
        <f t="shared" si="20"/>
        <v>39173.03910000001</v>
      </c>
    </row>
    <row r="120" spans="1:44" s="137" customFormat="1" ht="11.25" customHeight="1">
      <c r="A120" s="147">
        <v>118</v>
      </c>
      <c r="B120" s="147"/>
      <c r="C120" s="147" t="s">
        <v>348</v>
      </c>
      <c r="D120" s="147"/>
      <c r="E120" s="147">
        <f t="shared" si="13"/>
        <v>29</v>
      </c>
      <c r="F120" s="155" t="s">
        <v>349</v>
      </c>
      <c r="G120" s="152">
        <v>77</v>
      </c>
      <c r="H120" s="149">
        <f>INT((G120*Valores!$C$2*100)+0.5)/100</f>
        <v>649.79</v>
      </c>
      <c r="I120" s="159">
        <v>2043</v>
      </c>
      <c r="J120" s="149">
        <f>INT((I120*Valores!$C$2*100)+0.5)/100</f>
        <v>17240.47</v>
      </c>
      <c r="K120" s="151">
        <v>0</v>
      </c>
      <c r="L120" s="149">
        <f>INT((K120*Valores!$C$2*100)+0.5)/100</f>
        <v>0</v>
      </c>
      <c r="M120" s="158">
        <v>0</v>
      </c>
      <c r="N120" s="149">
        <f>INT((M120*Valores!$C$2*100)+0.5)/100</f>
        <v>0</v>
      </c>
      <c r="O120" s="149">
        <f t="shared" si="14"/>
        <v>3446.5635000000007</v>
      </c>
      <c r="P120" s="149">
        <f t="shared" si="15"/>
        <v>0</v>
      </c>
      <c r="Q120" s="146">
        <f>Valores!$C$16</f>
        <v>5893.48</v>
      </c>
      <c r="R120" s="146">
        <f>Valores!$D$4</f>
        <v>4313.91</v>
      </c>
      <c r="S120" s="148">
        <f>Valores!$C$26</f>
        <v>3959.57</v>
      </c>
      <c r="T120" s="148">
        <f>Valores!$C$42</f>
        <v>1559.82</v>
      </c>
      <c r="U120" s="149">
        <f>Valores!$C$23</f>
        <v>3527.01</v>
      </c>
      <c r="V120" s="149">
        <f t="shared" si="21"/>
        <v>3527.01</v>
      </c>
      <c r="W120" s="149">
        <v>0</v>
      </c>
      <c r="X120" s="149">
        <v>0</v>
      </c>
      <c r="Y120" s="157">
        <v>0</v>
      </c>
      <c r="Z120" s="149">
        <f>Y120*Valores!$C$2</f>
        <v>0</v>
      </c>
      <c r="AA120" s="149">
        <v>0</v>
      </c>
      <c r="AB120" s="154">
        <f>Valores!$C$29</f>
        <v>199.86</v>
      </c>
      <c r="AC120" s="149">
        <f t="shared" si="17"/>
        <v>0</v>
      </c>
      <c r="AD120" s="149">
        <f>Valores!$C$30</f>
        <v>199.86</v>
      </c>
      <c r="AE120" s="157">
        <v>0</v>
      </c>
      <c r="AF120" s="149">
        <f>INT(((AE120*Valores!$C$2)*100)+0.5)/100</f>
        <v>0</v>
      </c>
      <c r="AG120" s="149">
        <f>Valores!$C$58</f>
        <v>406.53</v>
      </c>
      <c r="AH120" s="149">
        <f>Valores!$C$60</f>
        <v>116.15</v>
      </c>
      <c r="AI120" s="162">
        <f t="shared" si="18"/>
        <v>41513.01350000001</v>
      </c>
      <c r="AJ120" s="146">
        <f>Valores!$C$35</f>
        <v>1046.83</v>
      </c>
      <c r="AK120" s="149">
        <f>Valores!$C$80</f>
        <v>3250</v>
      </c>
      <c r="AL120" s="154">
        <f>Valores!$C$51</f>
        <v>170.34</v>
      </c>
      <c r="AM120" s="162">
        <f t="shared" si="16"/>
        <v>4296.83</v>
      </c>
      <c r="AN120" s="146">
        <f>AI120*-Valores!$C$65</f>
        <v>-4773.996552500002</v>
      </c>
      <c r="AO120" s="146">
        <f>AI120*-Valores!$C$66</f>
        <v>-1868.0856075000004</v>
      </c>
      <c r="AP120" s="170">
        <v>-159.43</v>
      </c>
      <c r="AQ120" s="170">
        <f t="shared" si="19"/>
        <v>-53.83</v>
      </c>
      <c r="AR120" s="162">
        <f t="shared" si="20"/>
        <v>38954.50134000001</v>
      </c>
    </row>
    <row r="121" spans="1:44" s="137" customFormat="1" ht="11.25" customHeight="1">
      <c r="A121" s="147">
        <v>119</v>
      </c>
      <c r="B121" s="147"/>
      <c r="C121" s="147" t="s">
        <v>350</v>
      </c>
      <c r="D121" s="147"/>
      <c r="E121" s="147">
        <f t="shared" si="13"/>
        <v>29</v>
      </c>
      <c r="F121" s="155" t="s">
        <v>351</v>
      </c>
      <c r="G121" s="152">
        <v>76</v>
      </c>
      <c r="H121" s="149">
        <f>INT((G121*Valores!$C$2*100)+0.5)/100</f>
        <v>641.35</v>
      </c>
      <c r="I121" s="159">
        <v>1954</v>
      </c>
      <c r="J121" s="149">
        <f>INT((I121*Valores!$C$2*100)+0.5)/100</f>
        <v>16489.42</v>
      </c>
      <c r="K121" s="151">
        <v>0</v>
      </c>
      <c r="L121" s="149">
        <f>INT((K121*Valores!$C$2*100)+0.5)/100</f>
        <v>0</v>
      </c>
      <c r="M121" s="158">
        <v>0</v>
      </c>
      <c r="N121" s="149">
        <f>INT((M121*Valores!$C$2*100)+0.5)/100</f>
        <v>0</v>
      </c>
      <c r="O121" s="149">
        <f t="shared" si="14"/>
        <v>3332.64</v>
      </c>
      <c r="P121" s="149">
        <f t="shared" si="15"/>
        <v>0</v>
      </c>
      <c r="Q121" s="146">
        <f>Valores!$C$16</f>
        <v>5893.48</v>
      </c>
      <c r="R121" s="146">
        <f>Valores!$D$4</f>
        <v>4313.91</v>
      </c>
      <c r="S121" s="148">
        <f>Valores!$C$26</f>
        <v>3959.57</v>
      </c>
      <c r="T121" s="148">
        <f>Valores!$C$42</f>
        <v>1559.82</v>
      </c>
      <c r="U121" s="149">
        <f>Valores!$C$23</f>
        <v>3527.01</v>
      </c>
      <c r="V121" s="149">
        <f t="shared" si="21"/>
        <v>3527.01</v>
      </c>
      <c r="W121" s="149">
        <v>0</v>
      </c>
      <c r="X121" s="149">
        <v>0</v>
      </c>
      <c r="Y121" s="157">
        <v>0</v>
      </c>
      <c r="Z121" s="149">
        <f>Y121*Valores!$C$2</f>
        <v>0</v>
      </c>
      <c r="AA121" s="149">
        <v>0</v>
      </c>
      <c r="AB121" s="154">
        <f>Valores!$C$29</f>
        <v>199.86</v>
      </c>
      <c r="AC121" s="149">
        <f t="shared" si="17"/>
        <v>0</v>
      </c>
      <c r="AD121" s="149">
        <f>Valores!$C$30</f>
        <v>199.86</v>
      </c>
      <c r="AE121" s="157">
        <v>0</v>
      </c>
      <c r="AF121" s="149">
        <f>INT(((AE121*Valores!$C$2)*100)+0.5)/100</f>
        <v>0</v>
      </c>
      <c r="AG121" s="149">
        <f>Valores!$C$58</f>
        <v>406.53</v>
      </c>
      <c r="AH121" s="149">
        <f>Valores!$C$60</f>
        <v>116.15</v>
      </c>
      <c r="AI121" s="162">
        <f t="shared" si="18"/>
        <v>40639.6</v>
      </c>
      <c r="AJ121" s="146">
        <f>Valores!$C$35</f>
        <v>1046.83</v>
      </c>
      <c r="AK121" s="149">
        <f>Valores!$C$80</f>
        <v>3250</v>
      </c>
      <c r="AL121" s="154">
        <f>Valores!$C$51</f>
        <v>170.34</v>
      </c>
      <c r="AM121" s="162">
        <f t="shared" si="16"/>
        <v>4296.83</v>
      </c>
      <c r="AN121" s="146">
        <f>AI121*-Valores!$C$65</f>
        <v>-4673.554</v>
      </c>
      <c r="AO121" s="146">
        <f>AI121*-Valores!$C$66</f>
        <v>-1828.782</v>
      </c>
      <c r="AP121" s="170">
        <v>-159.43</v>
      </c>
      <c r="AQ121" s="170">
        <f t="shared" si="19"/>
        <v>-53.83</v>
      </c>
      <c r="AR121" s="162">
        <f t="shared" si="20"/>
        <v>38220.834</v>
      </c>
    </row>
    <row r="122" spans="1:44" s="137" customFormat="1" ht="11.25" customHeight="1">
      <c r="A122" s="147">
        <v>120</v>
      </c>
      <c r="B122" s="147" t="s">
        <v>135</v>
      </c>
      <c r="C122" s="147" t="s">
        <v>352</v>
      </c>
      <c r="D122" s="147"/>
      <c r="E122" s="147">
        <f t="shared" si="13"/>
        <v>29</v>
      </c>
      <c r="F122" s="155" t="s">
        <v>353</v>
      </c>
      <c r="G122" s="152">
        <v>274</v>
      </c>
      <c r="H122" s="149">
        <f>INT((G122*Valores!$C$2*100)+0.5)/100</f>
        <v>2312.23</v>
      </c>
      <c r="I122" s="159">
        <v>1163</v>
      </c>
      <c r="J122" s="149">
        <f>INT((I122*Valores!$C$2*100)+0.5)/100</f>
        <v>9814.32</v>
      </c>
      <c r="K122" s="151">
        <v>0</v>
      </c>
      <c r="L122" s="149">
        <f>INT((K122*Valores!$C$2*100)+0.5)/100</f>
        <v>0</v>
      </c>
      <c r="M122" s="158">
        <v>0</v>
      </c>
      <c r="N122" s="149">
        <f>INT((M122*Valores!$C$2*100)+0.5)/100</f>
        <v>0</v>
      </c>
      <c r="O122" s="149">
        <f t="shared" si="14"/>
        <v>2582.007</v>
      </c>
      <c r="P122" s="149">
        <f t="shared" si="15"/>
        <v>0</v>
      </c>
      <c r="Q122" s="146">
        <f>Valores!$C$16</f>
        <v>5893.48</v>
      </c>
      <c r="R122" s="146">
        <f>Valores!$D$4</f>
        <v>4313.91</v>
      </c>
      <c r="S122" s="148">
        <f>Valores!$C$26</f>
        <v>3959.57</v>
      </c>
      <c r="T122" s="148">
        <f>Valores!$C$42</f>
        <v>1559.82</v>
      </c>
      <c r="U122" s="149">
        <f>Valores!$C$23</f>
        <v>3527.01</v>
      </c>
      <c r="V122" s="149">
        <f t="shared" si="21"/>
        <v>3527.01</v>
      </c>
      <c r="W122" s="149">
        <v>0</v>
      </c>
      <c r="X122" s="149">
        <v>0</v>
      </c>
      <c r="Y122" s="157">
        <v>0</v>
      </c>
      <c r="Z122" s="149">
        <f>Y122*Valores!$C$2</f>
        <v>0</v>
      </c>
      <c r="AA122" s="149">
        <v>0</v>
      </c>
      <c r="AB122" s="154">
        <f>Valores!$C$29</f>
        <v>199.86</v>
      </c>
      <c r="AC122" s="149">
        <f t="shared" si="17"/>
        <v>0</v>
      </c>
      <c r="AD122" s="149">
        <f>Valores!$C$30</f>
        <v>199.86</v>
      </c>
      <c r="AE122" s="157">
        <v>0</v>
      </c>
      <c r="AF122" s="149">
        <f>INT(((AE122*Valores!$C$2)*100)+0.5)/100</f>
        <v>0</v>
      </c>
      <c r="AG122" s="149">
        <f>Valores!$C$58</f>
        <v>406.53</v>
      </c>
      <c r="AH122" s="149">
        <f>Valores!$C$60</f>
        <v>116.15</v>
      </c>
      <c r="AI122" s="162">
        <f t="shared" si="18"/>
        <v>34884.746999999996</v>
      </c>
      <c r="AJ122" s="146">
        <f>Valores!$C$35</f>
        <v>1046.83</v>
      </c>
      <c r="AK122" s="149">
        <f>Valores!$C$80</f>
        <v>3250</v>
      </c>
      <c r="AL122" s="154">
        <f>Valores!$C$51</f>
        <v>170.34</v>
      </c>
      <c r="AM122" s="162">
        <f t="shared" si="16"/>
        <v>4296.83</v>
      </c>
      <c r="AN122" s="146">
        <f>AI122*-Valores!$C$65</f>
        <v>-4011.7459049999998</v>
      </c>
      <c r="AO122" s="146">
        <f>AI122*-Valores!$C$66</f>
        <v>-1569.8136149999998</v>
      </c>
      <c r="AP122" s="170">
        <v>-159.43</v>
      </c>
      <c r="AQ122" s="170">
        <f t="shared" si="19"/>
        <v>-53.83</v>
      </c>
      <c r="AR122" s="162">
        <f t="shared" si="20"/>
        <v>33386.75748</v>
      </c>
    </row>
    <row r="123" spans="1:44" s="137" customFormat="1" ht="11.25" customHeight="1">
      <c r="A123" s="147">
        <v>121</v>
      </c>
      <c r="B123" s="147"/>
      <c r="C123" s="147" t="s">
        <v>354</v>
      </c>
      <c r="D123" s="147"/>
      <c r="E123" s="147">
        <f t="shared" si="13"/>
        <v>27</v>
      </c>
      <c r="F123" s="155" t="s">
        <v>355</v>
      </c>
      <c r="G123" s="152">
        <v>2800</v>
      </c>
      <c r="H123" s="149">
        <f>INT((G123*Valores!$C$2*100)+0.5)/100</f>
        <v>23628.64</v>
      </c>
      <c r="I123" s="159">
        <v>0</v>
      </c>
      <c r="J123" s="149">
        <f>INT((I123*Valores!$C$2*100)+0.5)/100</f>
        <v>0</v>
      </c>
      <c r="K123" s="151">
        <v>0</v>
      </c>
      <c r="L123" s="149">
        <f>INT((K123*Valores!$C$2*100)+0.5)/100</f>
        <v>0</v>
      </c>
      <c r="M123" s="158">
        <v>0</v>
      </c>
      <c r="N123" s="149">
        <f>INT((M123*Valores!$C$2*100)+0.5)/100</f>
        <v>0</v>
      </c>
      <c r="O123" s="149">
        <f t="shared" si="14"/>
        <v>4415.076</v>
      </c>
      <c r="P123" s="149">
        <f t="shared" si="15"/>
        <v>0</v>
      </c>
      <c r="Q123" s="146">
        <f>Valores!$C$20</f>
        <v>5630.2</v>
      </c>
      <c r="R123" s="146">
        <f>Valores!$D$4</f>
        <v>4313.91</v>
      </c>
      <c r="S123" s="149">
        <f>Valores!$C$26</f>
        <v>3959.57</v>
      </c>
      <c r="T123" s="149">
        <f>Valores!$C$43</f>
        <v>2324.69</v>
      </c>
      <c r="U123" s="148">
        <f>Valores!$C$24</f>
        <v>3480.51</v>
      </c>
      <c r="V123" s="149">
        <f t="shared" si="21"/>
        <v>3480.51</v>
      </c>
      <c r="W123" s="149">
        <v>0</v>
      </c>
      <c r="X123" s="149">
        <v>0</v>
      </c>
      <c r="Y123" s="157">
        <v>0</v>
      </c>
      <c r="Z123" s="149">
        <f>Y123*Valores!$C$2</f>
        <v>0</v>
      </c>
      <c r="AA123" s="149">
        <v>0</v>
      </c>
      <c r="AB123" s="154">
        <f>Valores!$C$29</f>
        <v>199.86</v>
      </c>
      <c r="AC123" s="149">
        <f t="shared" si="17"/>
        <v>0</v>
      </c>
      <c r="AD123" s="149">
        <f>Valores!$C$30</f>
        <v>199.86</v>
      </c>
      <c r="AE123" s="157">
        <v>0</v>
      </c>
      <c r="AF123" s="149">
        <f>INT(((AE123*Valores!$C$2)*100)+0.5)/100</f>
        <v>0</v>
      </c>
      <c r="AG123" s="149">
        <f>Valores!$C$58</f>
        <v>406.53</v>
      </c>
      <c r="AH123" s="149">
        <f>Valores!$C$60</f>
        <v>116.15</v>
      </c>
      <c r="AI123" s="162">
        <f t="shared" si="18"/>
        <v>48674.99600000001</v>
      </c>
      <c r="AJ123" s="146">
        <f>Valores!$C$35</f>
        <v>1046.83</v>
      </c>
      <c r="AK123" s="149">
        <f>Valores!$C$80</f>
        <v>3250</v>
      </c>
      <c r="AL123" s="154">
        <f>Valores!$C$50</f>
        <v>327.6</v>
      </c>
      <c r="AM123" s="162">
        <f t="shared" si="16"/>
        <v>4296.83</v>
      </c>
      <c r="AN123" s="146">
        <f>AI123*-Valores!$C$65</f>
        <v>-5597.624540000001</v>
      </c>
      <c r="AO123" s="146">
        <f>AI123*-Valores!$C$66</f>
        <v>-2190.37482</v>
      </c>
      <c r="AP123" s="170">
        <v>-159.43</v>
      </c>
      <c r="AQ123" s="170">
        <f t="shared" si="19"/>
        <v>-53.83</v>
      </c>
      <c r="AR123" s="162">
        <f t="shared" si="20"/>
        <v>44970.56664000001</v>
      </c>
    </row>
    <row r="124" spans="1:44" s="137" customFormat="1" ht="11.25" customHeight="1">
      <c r="A124" s="147">
        <v>122</v>
      </c>
      <c r="B124" s="147"/>
      <c r="C124" s="147" t="s">
        <v>356</v>
      </c>
      <c r="D124" s="147"/>
      <c r="E124" s="147">
        <f t="shared" si="13"/>
        <v>27</v>
      </c>
      <c r="F124" s="155" t="s">
        <v>357</v>
      </c>
      <c r="G124" s="152">
        <v>2850</v>
      </c>
      <c r="H124" s="149">
        <f>INT((G124*Valores!$C$2*100)+0.5)/100</f>
        <v>24050.58</v>
      </c>
      <c r="I124" s="159">
        <v>0</v>
      </c>
      <c r="J124" s="149">
        <f>INT((I124*Valores!$C$2*100)+0.5)/100</f>
        <v>0</v>
      </c>
      <c r="K124" s="151">
        <v>0</v>
      </c>
      <c r="L124" s="149">
        <f>INT((K124*Valores!$C$2*100)+0.5)/100</f>
        <v>0</v>
      </c>
      <c r="M124" s="158">
        <v>0</v>
      </c>
      <c r="N124" s="149">
        <f>INT((M124*Valores!$C$2*100)+0.5)/100</f>
        <v>0</v>
      </c>
      <c r="O124" s="149">
        <f t="shared" si="14"/>
        <v>4478.367</v>
      </c>
      <c r="P124" s="149">
        <f t="shared" si="15"/>
        <v>0</v>
      </c>
      <c r="Q124" s="146">
        <f>Valores!$C$16</f>
        <v>5893.48</v>
      </c>
      <c r="R124" s="146">
        <f>Valores!$D$4</f>
        <v>4313.91</v>
      </c>
      <c r="S124" s="148">
        <f>Valores!$C$26</f>
        <v>3959.57</v>
      </c>
      <c r="T124" s="148">
        <f>Valores!$C$43</f>
        <v>2324.69</v>
      </c>
      <c r="U124" s="148">
        <f>Valores!$C$24</f>
        <v>3480.51</v>
      </c>
      <c r="V124" s="149">
        <f t="shared" si="21"/>
        <v>3480.51</v>
      </c>
      <c r="W124" s="149">
        <v>0</v>
      </c>
      <c r="X124" s="149">
        <v>0</v>
      </c>
      <c r="Y124" s="157">
        <v>0</v>
      </c>
      <c r="Z124" s="149">
        <f>Y124*Valores!$C$2</f>
        <v>0</v>
      </c>
      <c r="AA124" s="149">
        <v>0</v>
      </c>
      <c r="AB124" s="154">
        <f>Valores!$C$29</f>
        <v>199.86</v>
      </c>
      <c r="AC124" s="149">
        <f t="shared" si="17"/>
        <v>0</v>
      </c>
      <c r="AD124" s="149">
        <f>Valores!$C$30</f>
        <v>199.86</v>
      </c>
      <c r="AE124" s="157">
        <v>0</v>
      </c>
      <c r="AF124" s="149">
        <f>INT(((AE124*Valores!$C$2)*100)+0.5)/100</f>
        <v>0</v>
      </c>
      <c r="AG124" s="149">
        <f>Valores!$C$58</f>
        <v>406.53</v>
      </c>
      <c r="AH124" s="149">
        <f>Valores!$C$60</f>
        <v>116.15</v>
      </c>
      <c r="AI124" s="162">
        <f t="shared" si="18"/>
        <v>49423.507000000005</v>
      </c>
      <c r="AJ124" s="146">
        <f>Valores!$C$35</f>
        <v>1046.83</v>
      </c>
      <c r="AK124" s="149">
        <f>Valores!$C$82</f>
        <v>6500</v>
      </c>
      <c r="AL124" s="154">
        <f>Valores!$C$50</f>
        <v>327.6</v>
      </c>
      <c r="AM124" s="162">
        <f t="shared" si="16"/>
        <v>7546.83</v>
      </c>
      <c r="AN124" s="146">
        <f>AI124*-Valores!$C$65</f>
        <v>-5683.703305000001</v>
      </c>
      <c r="AO124" s="146">
        <f>AI124*-Valores!$C$66</f>
        <v>-2224.057815</v>
      </c>
      <c r="AP124" s="170">
        <v>-159.43</v>
      </c>
      <c r="AQ124" s="170">
        <f t="shared" si="19"/>
        <v>-53.83</v>
      </c>
      <c r="AR124" s="162">
        <f t="shared" si="20"/>
        <v>48849.31588</v>
      </c>
    </row>
    <row r="125" spans="1:44" s="137" customFormat="1" ht="11.25" customHeight="1">
      <c r="A125" s="147">
        <v>123</v>
      </c>
      <c r="B125" s="147"/>
      <c r="C125" s="147" t="s">
        <v>358</v>
      </c>
      <c r="D125" s="147"/>
      <c r="E125" s="147">
        <f t="shared" si="13"/>
        <v>21</v>
      </c>
      <c r="F125" s="155" t="s">
        <v>359</v>
      </c>
      <c r="G125" s="152">
        <v>1735</v>
      </c>
      <c r="H125" s="149">
        <f>INT((G125*Valores!$C$2*100)+0.5)/100</f>
        <v>14641.32</v>
      </c>
      <c r="I125" s="159">
        <v>0</v>
      </c>
      <c r="J125" s="149">
        <f>INT((I125*Valores!$C$2*100)+0.5)/100</f>
        <v>0</v>
      </c>
      <c r="K125" s="151">
        <v>0</v>
      </c>
      <c r="L125" s="149">
        <f>INT((K125*Valores!$C$2*100)+0.5)/100</f>
        <v>0</v>
      </c>
      <c r="M125" s="158">
        <v>0</v>
      </c>
      <c r="N125" s="149">
        <f>INT((M125*Valores!$C$2*100)+0.5)/100</f>
        <v>0</v>
      </c>
      <c r="O125" s="149">
        <f t="shared" si="14"/>
        <v>2923.5585000000005</v>
      </c>
      <c r="P125" s="149">
        <f t="shared" si="15"/>
        <v>0</v>
      </c>
      <c r="Q125" s="146">
        <f>Valores!$C$20</f>
        <v>5630.2</v>
      </c>
      <c r="R125" s="146">
        <f>Valores!$D$4</f>
        <v>4313.91</v>
      </c>
      <c r="S125" s="149">
        <v>0</v>
      </c>
      <c r="T125" s="149">
        <f>Valores!$C$41</f>
        <v>1368.56</v>
      </c>
      <c r="U125" s="148">
        <f>Valores!$C$24</f>
        <v>3480.51</v>
      </c>
      <c r="V125" s="149">
        <f t="shared" si="21"/>
        <v>3480.51</v>
      </c>
      <c r="W125" s="149">
        <v>0</v>
      </c>
      <c r="X125" s="149">
        <v>0</v>
      </c>
      <c r="Y125" s="157">
        <v>0</v>
      </c>
      <c r="Z125" s="149">
        <f>Y125*Valores!$C$2</f>
        <v>0</v>
      </c>
      <c r="AA125" s="149">
        <v>0</v>
      </c>
      <c r="AB125" s="154">
        <f>Valores!$C$29</f>
        <v>199.86</v>
      </c>
      <c r="AC125" s="149">
        <f t="shared" si="17"/>
        <v>0</v>
      </c>
      <c r="AD125" s="149">
        <f>Valores!$C$30</f>
        <v>199.86</v>
      </c>
      <c r="AE125" s="157">
        <v>0</v>
      </c>
      <c r="AF125" s="149">
        <f>INT(((AE125*Valores!$C$2)*100)+0.5)/100</f>
        <v>0</v>
      </c>
      <c r="AG125" s="149">
        <f>Valores!$C$58</f>
        <v>406.53</v>
      </c>
      <c r="AH125" s="149">
        <f>Valores!$C$60</f>
        <v>116.15</v>
      </c>
      <c r="AI125" s="162">
        <f t="shared" si="18"/>
        <v>33280.45850000001</v>
      </c>
      <c r="AJ125" s="146">
        <f>Valores!$C$35</f>
        <v>1046.83</v>
      </c>
      <c r="AK125" s="149">
        <f>Valores!$C$80</f>
        <v>3250</v>
      </c>
      <c r="AL125" s="154">
        <f>Valores!$C$51</f>
        <v>170.34</v>
      </c>
      <c r="AM125" s="162">
        <f t="shared" si="16"/>
        <v>4296.83</v>
      </c>
      <c r="AN125" s="146">
        <f>AI125*-Valores!$C$65</f>
        <v>-3827.252727500001</v>
      </c>
      <c r="AO125" s="146">
        <f>AI125*-Valores!$C$66</f>
        <v>-1497.6206325000003</v>
      </c>
      <c r="AP125" s="170">
        <v>-159.43</v>
      </c>
      <c r="AQ125" s="170">
        <f t="shared" si="19"/>
        <v>-53.83</v>
      </c>
      <c r="AR125" s="162">
        <f t="shared" si="20"/>
        <v>32039.155140000003</v>
      </c>
    </row>
    <row r="126" spans="1:44" s="137" customFormat="1" ht="11.25" customHeight="1">
      <c r="A126" s="147">
        <v>124</v>
      </c>
      <c r="B126" s="147"/>
      <c r="C126" s="147" t="s">
        <v>360</v>
      </c>
      <c r="D126" s="147"/>
      <c r="E126" s="147">
        <f t="shared" si="13"/>
        <v>35</v>
      </c>
      <c r="F126" s="155" t="s">
        <v>361</v>
      </c>
      <c r="G126" s="152">
        <v>72</v>
      </c>
      <c r="H126" s="149">
        <f>INT((G126*Valores!$C$2*100)+0.5)/100</f>
        <v>607.59</v>
      </c>
      <c r="I126" s="159">
        <v>1590</v>
      </c>
      <c r="J126" s="149">
        <f>INT((I126*Valores!$C$2*100)+0.5)/100</f>
        <v>13417.69</v>
      </c>
      <c r="K126" s="151">
        <v>0</v>
      </c>
      <c r="L126" s="149">
        <f>INT((K126*Valores!$C$2*100)+0.5)/100</f>
        <v>0</v>
      </c>
      <c r="M126" s="158">
        <v>0</v>
      </c>
      <c r="N126" s="149">
        <f>INT((M126*Valores!$C$2*100)+0.5)/100</f>
        <v>0</v>
      </c>
      <c r="O126" s="149">
        <f t="shared" si="14"/>
        <v>2831.1525</v>
      </c>
      <c r="P126" s="149">
        <f t="shared" si="15"/>
        <v>0</v>
      </c>
      <c r="Q126" s="146">
        <f>Valores!$C$20</f>
        <v>5630.2</v>
      </c>
      <c r="R126" s="146">
        <f>Valores!$D$4</f>
        <v>4313.91</v>
      </c>
      <c r="S126" s="149">
        <f>Valores!$C$26</f>
        <v>3959.57</v>
      </c>
      <c r="T126" s="149">
        <f>Valores!$C$41</f>
        <v>1368.56</v>
      </c>
      <c r="U126" s="148">
        <f>Valores!$C$24</f>
        <v>3480.51</v>
      </c>
      <c r="V126" s="149">
        <f t="shared" si="21"/>
        <v>3480.51</v>
      </c>
      <c r="W126" s="149">
        <v>0</v>
      </c>
      <c r="X126" s="149">
        <v>0</v>
      </c>
      <c r="Y126" s="157">
        <v>0</v>
      </c>
      <c r="Z126" s="149">
        <f>Y126*Valores!$C$2</f>
        <v>0</v>
      </c>
      <c r="AA126" s="149">
        <v>0</v>
      </c>
      <c r="AB126" s="154">
        <f>Valores!$C$29</f>
        <v>199.86</v>
      </c>
      <c r="AC126" s="149">
        <f t="shared" si="17"/>
        <v>0</v>
      </c>
      <c r="AD126" s="149">
        <f>Valores!$C$30</f>
        <v>199.86</v>
      </c>
      <c r="AE126" s="157">
        <v>0</v>
      </c>
      <c r="AF126" s="149">
        <f>INT(((AE126*Valores!$C$2)*100)+0.5)/100</f>
        <v>0</v>
      </c>
      <c r="AG126" s="149">
        <f>Valores!$C$58</f>
        <v>406.53</v>
      </c>
      <c r="AH126" s="149">
        <f>Valores!$C$60</f>
        <v>116.15</v>
      </c>
      <c r="AI126" s="162">
        <f t="shared" si="18"/>
        <v>36531.582500000004</v>
      </c>
      <c r="AJ126" s="146">
        <f>Valores!$C$35</f>
        <v>1046.83</v>
      </c>
      <c r="AK126" s="149">
        <f>Valores!$C$80</f>
        <v>3250</v>
      </c>
      <c r="AL126" s="154">
        <f>Valores!$C$51</f>
        <v>170.34</v>
      </c>
      <c r="AM126" s="162">
        <f t="shared" si="16"/>
        <v>4296.83</v>
      </c>
      <c r="AN126" s="146">
        <f>AI126*-Valores!$C$65</f>
        <v>-4201.131987500001</v>
      </c>
      <c r="AO126" s="146">
        <f>AI126*-Valores!$C$66</f>
        <v>-1643.9212125000001</v>
      </c>
      <c r="AP126" s="170">
        <v>-159.43</v>
      </c>
      <c r="AQ126" s="170">
        <f t="shared" si="19"/>
        <v>-53.83</v>
      </c>
      <c r="AR126" s="162">
        <f t="shared" si="20"/>
        <v>34770.0993</v>
      </c>
    </row>
    <row r="127" spans="1:44" s="137" customFormat="1" ht="11.25" customHeight="1">
      <c r="A127" s="147">
        <v>125</v>
      </c>
      <c r="B127" s="147" t="s">
        <v>135</v>
      </c>
      <c r="C127" s="147" t="s">
        <v>362</v>
      </c>
      <c r="D127" s="147"/>
      <c r="E127" s="147">
        <f t="shared" si="13"/>
        <v>32</v>
      </c>
      <c r="F127" s="155" t="s">
        <v>363</v>
      </c>
      <c r="G127" s="152">
        <v>72</v>
      </c>
      <c r="H127" s="149">
        <f>INT((G127*Valores!$C$2*100)+0.5)/100</f>
        <v>607.59</v>
      </c>
      <c r="I127" s="159">
        <v>1590</v>
      </c>
      <c r="J127" s="149">
        <f>INT((I127*Valores!$C$2*100)+0.5)/100</f>
        <v>13417.69</v>
      </c>
      <c r="K127" s="151">
        <v>0</v>
      </c>
      <c r="L127" s="149">
        <f>INT((K127*Valores!$C$2*100)+0.5)/100</f>
        <v>0</v>
      </c>
      <c r="M127" s="158">
        <v>0</v>
      </c>
      <c r="N127" s="149">
        <f>INT((M127*Valores!$C$2*100)+0.5)/100</f>
        <v>0</v>
      </c>
      <c r="O127" s="149">
        <f t="shared" si="14"/>
        <v>2831.1525</v>
      </c>
      <c r="P127" s="149">
        <f t="shared" si="15"/>
        <v>0</v>
      </c>
      <c r="Q127" s="146">
        <f>Valores!$C$20</f>
        <v>5630.2</v>
      </c>
      <c r="R127" s="146">
        <f>Valores!$D$4</f>
        <v>4313.91</v>
      </c>
      <c r="S127" s="148">
        <f>Valores!$C$26</f>
        <v>3959.57</v>
      </c>
      <c r="T127" s="148">
        <f>Valores!$C$41</f>
        <v>1368.56</v>
      </c>
      <c r="U127" s="148">
        <f>Valores!$C$24</f>
        <v>3480.51</v>
      </c>
      <c r="V127" s="149">
        <f t="shared" si="21"/>
        <v>3480.51</v>
      </c>
      <c r="W127" s="149">
        <v>0</v>
      </c>
      <c r="X127" s="149">
        <v>0</v>
      </c>
      <c r="Y127" s="157">
        <v>0</v>
      </c>
      <c r="Z127" s="149">
        <f>Y127*Valores!$C$2</f>
        <v>0</v>
      </c>
      <c r="AA127" s="149">
        <v>0</v>
      </c>
      <c r="AB127" s="154">
        <f>Valores!$C$29</f>
        <v>199.86</v>
      </c>
      <c r="AC127" s="149">
        <f t="shared" si="17"/>
        <v>0</v>
      </c>
      <c r="AD127" s="149">
        <f>Valores!$C$30</f>
        <v>199.86</v>
      </c>
      <c r="AE127" s="157">
        <v>94</v>
      </c>
      <c r="AF127" s="149">
        <f>INT(((AE127*Valores!$C$2)*100)+0.5)/100</f>
        <v>793.25</v>
      </c>
      <c r="AG127" s="149">
        <f>Valores!$C$58</f>
        <v>406.53</v>
      </c>
      <c r="AH127" s="149">
        <f>Valores!$C$60</f>
        <v>116.15</v>
      </c>
      <c r="AI127" s="162">
        <f t="shared" si="18"/>
        <v>37324.832500000004</v>
      </c>
      <c r="AJ127" s="146">
        <f>Valores!$C$35</f>
        <v>1046.83</v>
      </c>
      <c r="AK127" s="149">
        <f>Valores!$C$80</f>
        <v>3250</v>
      </c>
      <c r="AL127" s="154">
        <f>Valores!$C$51</f>
        <v>170.34</v>
      </c>
      <c r="AM127" s="162">
        <f t="shared" si="16"/>
        <v>4296.83</v>
      </c>
      <c r="AN127" s="146">
        <f>AI127*-Valores!$C$65</f>
        <v>-4292.355737500001</v>
      </c>
      <c r="AO127" s="146">
        <f>AI127*-Valores!$C$66</f>
        <v>-1679.6174625</v>
      </c>
      <c r="AP127" s="170">
        <v>-159.43</v>
      </c>
      <c r="AQ127" s="170">
        <f t="shared" si="19"/>
        <v>-53.83</v>
      </c>
      <c r="AR127" s="162">
        <f t="shared" si="20"/>
        <v>35436.4293</v>
      </c>
    </row>
    <row r="128" spans="1:44" s="137" customFormat="1" ht="11.25" customHeight="1">
      <c r="A128" s="147">
        <v>126</v>
      </c>
      <c r="B128" s="147"/>
      <c r="C128" s="147" t="s">
        <v>364</v>
      </c>
      <c r="D128" s="147"/>
      <c r="E128" s="147">
        <f t="shared" si="13"/>
        <v>36</v>
      </c>
      <c r="F128" s="155" t="s">
        <v>365</v>
      </c>
      <c r="G128" s="152">
        <v>77</v>
      </c>
      <c r="H128" s="149">
        <f>INT((G128*Valores!$C$2*100)+0.5)/100</f>
        <v>649.79</v>
      </c>
      <c r="I128" s="159">
        <v>2043</v>
      </c>
      <c r="J128" s="149">
        <f>INT((I128*Valores!$C$2*100)+0.5)/100</f>
        <v>17240.47</v>
      </c>
      <c r="K128" s="151">
        <v>0</v>
      </c>
      <c r="L128" s="149">
        <f>INT((K128*Valores!$C$2*100)+0.5)/100</f>
        <v>0</v>
      </c>
      <c r="M128" s="158">
        <v>0</v>
      </c>
      <c r="N128" s="149">
        <f>INT((M128*Valores!$C$2*100)+0.5)/100</f>
        <v>0</v>
      </c>
      <c r="O128" s="149">
        <f t="shared" si="14"/>
        <v>3446.5635000000007</v>
      </c>
      <c r="P128" s="149">
        <f t="shared" si="15"/>
        <v>0</v>
      </c>
      <c r="Q128" s="146">
        <f>Valores!$C$16</f>
        <v>5893.48</v>
      </c>
      <c r="R128" s="146">
        <f>Valores!$D$4</f>
        <v>4313.91</v>
      </c>
      <c r="S128" s="149">
        <f>Valores!$C$26</f>
        <v>3959.57</v>
      </c>
      <c r="T128" s="149">
        <f>Valores!$C$42</f>
        <v>1559.82</v>
      </c>
      <c r="U128" s="149">
        <f>Valores!$C$23</f>
        <v>3527.01</v>
      </c>
      <c r="V128" s="149">
        <f t="shared" si="21"/>
        <v>3527.01</v>
      </c>
      <c r="W128" s="149">
        <v>0</v>
      </c>
      <c r="X128" s="149">
        <v>0</v>
      </c>
      <c r="Y128" s="157">
        <v>0</v>
      </c>
      <c r="Z128" s="149">
        <f>Y128*Valores!$C$2</f>
        <v>0</v>
      </c>
      <c r="AA128" s="149">
        <v>0</v>
      </c>
      <c r="AB128" s="154">
        <f>Valores!$C$29</f>
        <v>199.86</v>
      </c>
      <c r="AC128" s="149">
        <f t="shared" si="17"/>
        <v>0</v>
      </c>
      <c r="AD128" s="149">
        <f>Valores!$C$30</f>
        <v>199.86</v>
      </c>
      <c r="AE128" s="157">
        <v>0</v>
      </c>
      <c r="AF128" s="149">
        <f>INT(((AE128*Valores!$C$2)*100)+0.5)/100</f>
        <v>0</v>
      </c>
      <c r="AG128" s="149">
        <f>Valores!$C$58</f>
        <v>406.53</v>
      </c>
      <c r="AH128" s="149">
        <f>Valores!$C$60</f>
        <v>116.15</v>
      </c>
      <c r="AI128" s="162">
        <f t="shared" si="18"/>
        <v>41513.01350000001</v>
      </c>
      <c r="AJ128" s="146">
        <f>Valores!$C$35</f>
        <v>1046.83</v>
      </c>
      <c r="AK128" s="149">
        <f>Valores!$C$80</f>
        <v>3250</v>
      </c>
      <c r="AL128" s="154">
        <f>Valores!$C$51</f>
        <v>170.34</v>
      </c>
      <c r="AM128" s="162">
        <f t="shared" si="16"/>
        <v>4296.83</v>
      </c>
      <c r="AN128" s="146">
        <f>AI128*-Valores!$C$65</f>
        <v>-4773.996552500002</v>
      </c>
      <c r="AO128" s="146">
        <f>AI128*-Valores!$C$66</f>
        <v>-1868.0856075000004</v>
      </c>
      <c r="AP128" s="170">
        <v>-159.43</v>
      </c>
      <c r="AQ128" s="170">
        <f t="shared" si="19"/>
        <v>-53.83</v>
      </c>
      <c r="AR128" s="162">
        <f t="shared" si="20"/>
        <v>38954.50134000001</v>
      </c>
    </row>
    <row r="129" spans="1:44" s="137" customFormat="1" ht="11.25" customHeight="1">
      <c r="A129" s="147">
        <v>127</v>
      </c>
      <c r="B129" s="147"/>
      <c r="C129" s="147" t="s">
        <v>366</v>
      </c>
      <c r="D129" s="147"/>
      <c r="E129" s="147">
        <f t="shared" si="13"/>
        <v>35</v>
      </c>
      <c r="F129" s="155" t="s">
        <v>367</v>
      </c>
      <c r="G129" s="152">
        <v>61</v>
      </c>
      <c r="H129" s="149">
        <f>INT((G129*Valores!$C$2*100)+0.5)/100</f>
        <v>514.77</v>
      </c>
      <c r="I129" s="159">
        <v>1217</v>
      </c>
      <c r="J129" s="149">
        <f>INT((I129*Valores!$C$2*100)+0.5)/100</f>
        <v>10270.02</v>
      </c>
      <c r="K129" s="151">
        <v>0</v>
      </c>
      <c r="L129" s="149">
        <f>INT((K129*Valores!$C$2*100)+0.5)/100</f>
        <v>0</v>
      </c>
      <c r="M129" s="158">
        <v>0</v>
      </c>
      <c r="N129" s="149">
        <f>INT((M129*Valores!$C$2*100)+0.5)/100</f>
        <v>0</v>
      </c>
      <c r="O129" s="149">
        <f t="shared" si="14"/>
        <v>2352.054</v>
      </c>
      <c r="P129" s="149">
        <f t="shared" si="15"/>
        <v>0</v>
      </c>
      <c r="Q129" s="146">
        <f>Valores!$C$20</f>
        <v>5630.2</v>
      </c>
      <c r="R129" s="146">
        <f>Valores!$D$4</f>
        <v>4313.91</v>
      </c>
      <c r="S129" s="149">
        <f>Valores!$C$26</f>
        <v>3959.57</v>
      </c>
      <c r="T129" s="149">
        <f>Valores!$C$41</f>
        <v>1368.56</v>
      </c>
      <c r="U129" s="148">
        <f>Valores!$C$23</f>
        <v>3527.01</v>
      </c>
      <c r="V129" s="149">
        <f t="shared" si="21"/>
        <v>3527.01</v>
      </c>
      <c r="W129" s="149">
        <v>0</v>
      </c>
      <c r="X129" s="149">
        <v>0</v>
      </c>
      <c r="Y129" s="157">
        <v>0</v>
      </c>
      <c r="Z129" s="149">
        <f>Y129*Valores!$C$2</f>
        <v>0</v>
      </c>
      <c r="AA129" s="149">
        <v>0</v>
      </c>
      <c r="AB129" s="154">
        <f>Valores!$C$29</f>
        <v>199.86</v>
      </c>
      <c r="AC129" s="149">
        <f t="shared" si="17"/>
        <v>0</v>
      </c>
      <c r="AD129" s="149">
        <f>Valores!$C$30</f>
        <v>199.86</v>
      </c>
      <c r="AE129" s="157">
        <v>0</v>
      </c>
      <c r="AF129" s="149">
        <f>INT(((AE129*Valores!$C$2)*100)+0.5)/100</f>
        <v>0</v>
      </c>
      <c r="AG129" s="149">
        <f>Valores!$C$58</f>
        <v>406.53</v>
      </c>
      <c r="AH129" s="149">
        <f>Valores!$C$60</f>
        <v>116.15</v>
      </c>
      <c r="AI129" s="162">
        <f t="shared" si="18"/>
        <v>32858.494</v>
      </c>
      <c r="AJ129" s="146">
        <f>Valores!$C$35</f>
        <v>1046.83</v>
      </c>
      <c r="AK129" s="149">
        <f>Valores!$C$80</f>
        <v>3250</v>
      </c>
      <c r="AL129" s="154">
        <f>Valores!$C$51</f>
        <v>170.34</v>
      </c>
      <c r="AM129" s="162">
        <f t="shared" si="16"/>
        <v>4296.83</v>
      </c>
      <c r="AN129" s="146">
        <f>AI129*-Valores!$C$65</f>
        <v>-3778.72681</v>
      </c>
      <c r="AO129" s="146">
        <f>AI129*-Valores!$C$66</f>
        <v>-1478.63223</v>
      </c>
      <c r="AP129" s="170">
        <v>-159.43</v>
      </c>
      <c r="AQ129" s="170">
        <f t="shared" si="19"/>
        <v>-53.83</v>
      </c>
      <c r="AR129" s="162">
        <f t="shared" si="20"/>
        <v>31684.70496</v>
      </c>
    </row>
    <row r="130" spans="1:44" s="137" customFormat="1" ht="11.25" customHeight="1">
      <c r="A130" s="147">
        <v>128</v>
      </c>
      <c r="B130" s="147"/>
      <c r="C130" s="147" t="s">
        <v>368</v>
      </c>
      <c r="D130" s="147"/>
      <c r="E130" s="147">
        <f t="shared" si="13"/>
        <v>32</v>
      </c>
      <c r="F130" s="155" t="s">
        <v>369</v>
      </c>
      <c r="G130" s="152">
        <v>72</v>
      </c>
      <c r="H130" s="149">
        <f>INT((G130*Valores!$C$2*100)+0.5)/100</f>
        <v>607.59</v>
      </c>
      <c r="I130" s="159">
        <v>1206</v>
      </c>
      <c r="J130" s="149">
        <f>INT((I130*Valores!$C$2*100)+0.5)/100</f>
        <v>10177.19</v>
      </c>
      <c r="K130" s="151">
        <v>0</v>
      </c>
      <c r="L130" s="149">
        <f>INT((K130*Valores!$C$2*100)+0.5)/100</f>
        <v>0</v>
      </c>
      <c r="M130" s="158">
        <v>0</v>
      </c>
      <c r="N130" s="149">
        <f>INT((M130*Valores!$C$2*100)+0.5)/100</f>
        <v>0</v>
      </c>
      <c r="O130" s="149">
        <f t="shared" si="14"/>
        <v>2352.0525</v>
      </c>
      <c r="P130" s="149">
        <f t="shared" si="15"/>
        <v>0</v>
      </c>
      <c r="Q130" s="146">
        <f>Valores!$C$20</f>
        <v>5630.2</v>
      </c>
      <c r="R130" s="146">
        <f>Valores!$D$4</f>
        <v>4313.91</v>
      </c>
      <c r="S130" s="148">
        <f>Valores!$C$26</f>
        <v>3959.57</v>
      </c>
      <c r="T130" s="148">
        <f>Valores!$C$41</f>
        <v>1368.56</v>
      </c>
      <c r="U130" s="149">
        <f>Valores!$C$23</f>
        <v>3527.01</v>
      </c>
      <c r="V130" s="149">
        <f t="shared" si="21"/>
        <v>3527.01</v>
      </c>
      <c r="W130" s="149">
        <v>0</v>
      </c>
      <c r="X130" s="149">
        <v>0</v>
      </c>
      <c r="Y130" s="157">
        <v>0</v>
      </c>
      <c r="Z130" s="149">
        <f>Y130*Valores!$C$2</f>
        <v>0</v>
      </c>
      <c r="AA130" s="149">
        <v>0</v>
      </c>
      <c r="AB130" s="154">
        <f>Valores!$C$29</f>
        <v>199.86</v>
      </c>
      <c r="AC130" s="149">
        <f t="shared" si="17"/>
        <v>0</v>
      </c>
      <c r="AD130" s="149">
        <f>Valores!$C$30</f>
        <v>199.86</v>
      </c>
      <c r="AE130" s="157">
        <v>94</v>
      </c>
      <c r="AF130" s="149">
        <f>INT(((AE130*Valores!$C$2)*100)+0.5)/100</f>
        <v>793.25</v>
      </c>
      <c r="AG130" s="149">
        <f>Valores!$C$58</f>
        <v>406.53</v>
      </c>
      <c r="AH130" s="149">
        <f>Valores!$C$60</f>
        <v>116.15</v>
      </c>
      <c r="AI130" s="162">
        <f t="shared" si="18"/>
        <v>33651.7325</v>
      </c>
      <c r="AJ130" s="146">
        <f>Valores!$C$35</f>
        <v>1046.83</v>
      </c>
      <c r="AK130" s="149">
        <f>Valores!$C$80</f>
        <v>3250</v>
      </c>
      <c r="AL130" s="154">
        <f>Valores!$C$51</f>
        <v>170.34</v>
      </c>
      <c r="AM130" s="162">
        <f t="shared" si="16"/>
        <v>4296.83</v>
      </c>
      <c r="AN130" s="146">
        <f>AI130*-Valores!$C$65</f>
        <v>-3869.9492375</v>
      </c>
      <c r="AO130" s="146">
        <f>AI130*-Valores!$C$66</f>
        <v>-1514.3279624999998</v>
      </c>
      <c r="AP130" s="170">
        <v>-159.43</v>
      </c>
      <c r="AQ130" s="170">
        <f t="shared" si="19"/>
        <v>-53.83</v>
      </c>
      <c r="AR130" s="162">
        <f t="shared" si="20"/>
        <v>32351.0253</v>
      </c>
    </row>
    <row r="131" spans="1:44" s="137" customFormat="1" ht="11.25" customHeight="1">
      <c r="A131" s="147">
        <v>129</v>
      </c>
      <c r="B131" s="147"/>
      <c r="C131" s="147" t="s">
        <v>370</v>
      </c>
      <c r="D131" s="147"/>
      <c r="E131" s="147">
        <f t="shared" si="13"/>
        <v>33</v>
      </c>
      <c r="F131" s="155" t="s">
        <v>371</v>
      </c>
      <c r="G131" s="152">
        <v>61</v>
      </c>
      <c r="H131" s="149">
        <f>INT((G131*Valores!$C$2*100)+0.5)/100</f>
        <v>514.77</v>
      </c>
      <c r="I131" s="159">
        <v>1217</v>
      </c>
      <c r="J131" s="149">
        <f>INT((I131*Valores!$C$2*100)+0.5)/100</f>
        <v>10270.02</v>
      </c>
      <c r="K131" s="151">
        <v>0</v>
      </c>
      <c r="L131" s="149">
        <f>INT((K131*Valores!$C$2*100)+0.5)/100</f>
        <v>0</v>
      </c>
      <c r="M131" s="158">
        <v>0</v>
      </c>
      <c r="N131" s="149">
        <f>INT((M131*Valores!$C$2*100)+0.5)/100</f>
        <v>0</v>
      </c>
      <c r="O131" s="149">
        <f t="shared" si="14"/>
        <v>2345.079</v>
      </c>
      <c r="P131" s="149">
        <f t="shared" si="15"/>
        <v>0</v>
      </c>
      <c r="Q131" s="146">
        <f>Valores!$C$20</f>
        <v>5630.2</v>
      </c>
      <c r="R131" s="146">
        <f>Valores!$D$4</f>
        <v>4313.91</v>
      </c>
      <c r="S131" s="149">
        <v>0</v>
      </c>
      <c r="T131" s="149">
        <f>Valores!$C$41</f>
        <v>1368.56</v>
      </c>
      <c r="U131" s="148">
        <f>Valores!$C$24</f>
        <v>3480.51</v>
      </c>
      <c r="V131" s="149">
        <f t="shared" si="21"/>
        <v>3480.51</v>
      </c>
      <c r="W131" s="149">
        <v>0</v>
      </c>
      <c r="X131" s="149">
        <v>0</v>
      </c>
      <c r="Y131" s="157">
        <v>0</v>
      </c>
      <c r="Z131" s="149">
        <f>Y131*Valores!$C$2</f>
        <v>0</v>
      </c>
      <c r="AA131" s="149">
        <v>0</v>
      </c>
      <c r="AB131" s="154">
        <f>Valores!$C$29</f>
        <v>199.86</v>
      </c>
      <c r="AC131" s="149">
        <f t="shared" si="17"/>
        <v>0</v>
      </c>
      <c r="AD131" s="149">
        <f>Valores!$C$30</f>
        <v>199.86</v>
      </c>
      <c r="AE131" s="157">
        <v>0</v>
      </c>
      <c r="AF131" s="149">
        <f>INT(((AE131*Valores!$C$2)*100)+0.5)/100</f>
        <v>0</v>
      </c>
      <c r="AG131" s="149">
        <f>Valores!$C$58</f>
        <v>406.53</v>
      </c>
      <c r="AH131" s="149">
        <f>Valores!$C$60</f>
        <v>116.15</v>
      </c>
      <c r="AI131" s="162">
        <f t="shared" si="18"/>
        <v>28845.449000000004</v>
      </c>
      <c r="AJ131" s="146">
        <f>Valores!$C$35</f>
        <v>1046.83</v>
      </c>
      <c r="AK131" s="149">
        <f>Valores!$C$80</f>
        <v>3250</v>
      </c>
      <c r="AL131" s="154">
        <f>Valores!$C$51</f>
        <v>170.34</v>
      </c>
      <c r="AM131" s="162">
        <f t="shared" si="16"/>
        <v>4296.83</v>
      </c>
      <c r="AN131" s="146">
        <f>AI131*-Valores!$C$65</f>
        <v>-3317.2266350000004</v>
      </c>
      <c r="AO131" s="146">
        <f>AI131*-Valores!$C$66</f>
        <v>-1298.0452050000001</v>
      </c>
      <c r="AP131" s="170">
        <v>-159.43</v>
      </c>
      <c r="AQ131" s="170">
        <f t="shared" si="19"/>
        <v>-53.83</v>
      </c>
      <c r="AR131" s="162">
        <f t="shared" si="20"/>
        <v>28313.747160000003</v>
      </c>
    </row>
    <row r="132" spans="1:44" s="137" customFormat="1" ht="11.25" customHeight="1">
      <c r="A132" s="147">
        <v>130</v>
      </c>
      <c r="B132" s="147" t="s">
        <v>135</v>
      </c>
      <c r="C132" s="147" t="s">
        <v>372</v>
      </c>
      <c r="D132" s="147"/>
      <c r="E132" s="147">
        <f t="shared" si="13"/>
        <v>24</v>
      </c>
      <c r="F132" s="155" t="s">
        <v>373</v>
      </c>
      <c r="G132" s="152">
        <v>1278</v>
      </c>
      <c r="H132" s="149">
        <f>INT((G132*Valores!$C$2*100)+0.5)/100</f>
        <v>10784.79</v>
      </c>
      <c r="I132" s="159">
        <v>0</v>
      </c>
      <c r="J132" s="149">
        <f>INT((I132*Valores!$C$2*100)+0.5)/100</f>
        <v>0</v>
      </c>
      <c r="K132" s="151">
        <v>0</v>
      </c>
      <c r="L132" s="149">
        <f>INT((K132*Valores!$C$2*100)+0.5)/100</f>
        <v>0</v>
      </c>
      <c r="M132" s="158">
        <v>0</v>
      </c>
      <c r="N132" s="149">
        <f>INT((M132*Valores!$C$2*100)+0.5)/100</f>
        <v>0</v>
      </c>
      <c r="O132" s="149">
        <f t="shared" si="14"/>
        <v>2373.768</v>
      </c>
      <c r="P132" s="149">
        <f t="shared" si="15"/>
        <v>0</v>
      </c>
      <c r="Q132" s="146">
        <f>Valores!$C$20</f>
        <v>5630.2</v>
      </c>
      <c r="R132" s="146">
        <f>Valores!$D$4</f>
        <v>4313.91</v>
      </c>
      <c r="S132" s="148">
        <f>Valores!$C$26</f>
        <v>3959.57</v>
      </c>
      <c r="T132" s="148">
        <f>Valores!$C$42</f>
        <v>1559.82</v>
      </c>
      <c r="U132" s="148">
        <f>Valores!$C$24</f>
        <v>3480.51</v>
      </c>
      <c r="V132" s="149">
        <f t="shared" si="21"/>
        <v>3480.51</v>
      </c>
      <c r="W132" s="149">
        <v>0</v>
      </c>
      <c r="X132" s="149">
        <v>0</v>
      </c>
      <c r="Y132" s="157">
        <v>0</v>
      </c>
      <c r="Z132" s="149">
        <f>Y132*Valores!$C$2</f>
        <v>0</v>
      </c>
      <c r="AA132" s="149">
        <v>0</v>
      </c>
      <c r="AB132" s="154">
        <f>Valores!$C$29</f>
        <v>199.86</v>
      </c>
      <c r="AC132" s="149">
        <f t="shared" si="17"/>
        <v>0</v>
      </c>
      <c r="AD132" s="149">
        <f>Valores!$C$30</f>
        <v>199.86</v>
      </c>
      <c r="AE132" s="157">
        <v>0</v>
      </c>
      <c r="AF132" s="149">
        <f>INT(((AE132*Valores!$C$2)*100)+0.5)/100</f>
        <v>0</v>
      </c>
      <c r="AG132" s="149">
        <f>Valores!$C$58</f>
        <v>406.53</v>
      </c>
      <c r="AH132" s="149">
        <f>Valores!$C$60</f>
        <v>116.15</v>
      </c>
      <c r="AI132" s="162">
        <f t="shared" si="18"/>
        <v>33024.968</v>
      </c>
      <c r="AJ132" s="146">
        <f>Valores!$C$35</f>
        <v>1046.83</v>
      </c>
      <c r="AK132" s="149">
        <f>Valores!$C$80</f>
        <v>3250</v>
      </c>
      <c r="AL132" s="154">
        <f>Valores!$C$51</f>
        <v>170.34</v>
      </c>
      <c r="AM132" s="162">
        <f t="shared" si="16"/>
        <v>4296.83</v>
      </c>
      <c r="AN132" s="146">
        <f>AI132*-Valores!$C$65</f>
        <v>-3797.87132</v>
      </c>
      <c r="AO132" s="146">
        <f>AI132*-Valores!$C$66</f>
        <v>-1486.12356</v>
      </c>
      <c r="AP132" s="170">
        <v>-159.43</v>
      </c>
      <c r="AQ132" s="170">
        <f t="shared" si="19"/>
        <v>-53.83</v>
      </c>
      <c r="AR132" s="162">
        <f t="shared" si="20"/>
        <v>31824.543120000002</v>
      </c>
    </row>
    <row r="133" spans="1:44" s="137" customFormat="1" ht="11.25" customHeight="1">
      <c r="A133" s="147">
        <v>131</v>
      </c>
      <c r="B133" s="147"/>
      <c r="C133" s="147" t="s">
        <v>374</v>
      </c>
      <c r="D133" s="147"/>
      <c r="E133" s="147">
        <f t="shared" si="13"/>
        <v>30</v>
      </c>
      <c r="F133" s="155" t="s">
        <v>375</v>
      </c>
      <c r="G133" s="152">
        <v>1278</v>
      </c>
      <c r="H133" s="149">
        <f>INT((G133*Valores!$C$2*100)+0.5)/100</f>
        <v>10784.79</v>
      </c>
      <c r="I133" s="159">
        <v>0</v>
      </c>
      <c r="J133" s="149">
        <f>INT((I133*Valores!$C$2*100)+0.5)/100</f>
        <v>0</v>
      </c>
      <c r="K133" s="151">
        <v>0</v>
      </c>
      <c r="L133" s="149">
        <f>INT((K133*Valores!$C$2*100)+0.5)/100</f>
        <v>0</v>
      </c>
      <c r="M133" s="158">
        <v>0</v>
      </c>
      <c r="N133" s="149">
        <f>INT((M133*Valores!$C$2*100)+0.5)/100</f>
        <v>0</v>
      </c>
      <c r="O133" s="149">
        <f t="shared" si="14"/>
        <v>2380.743</v>
      </c>
      <c r="P133" s="149">
        <f t="shared" si="15"/>
        <v>0</v>
      </c>
      <c r="Q133" s="146">
        <f>Valores!$C$20</f>
        <v>5630.2</v>
      </c>
      <c r="R133" s="146">
        <f>Valores!$D$4</f>
        <v>4313.91</v>
      </c>
      <c r="S133" s="149">
        <f>Valores!$C$26</f>
        <v>3959.57</v>
      </c>
      <c r="T133" s="149">
        <f>Valores!$C$42</f>
        <v>1559.82</v>
      </c>
      <c r="U133" s="149">
        <f>Valores!$C$23</f>
        <v>3527.01</v>
      </c>
      <c r="V133" s="149">
        <f t="shared" si="21"/>
        <v>3527.01</v>
      </c>
      <c r="W133" s="149">
        <v>0</v>
      </c>
      <c r="X133" s="149">
        <v>0</v>
      </c>
      <c r="Y133" s="157">
        <v>0</v>
      </c>
      <c r="Z133" s="149">
        <f>Y133*Valores!$C$2</f>
        <v>0</v>
      </c>
      <c r="AA133" s="149">
        <v>0</v>
      </c>
      <c r="AB133" s="154">
        <f>Valores!$C$29</f>
        <v>199.86</v>
      </c>
      <c r="AC133" s="149">
        <f t="shared" si="17"/>
        <v>0</v>
      </c>
      <c r="AD133" s="149">
        <f>Valores!$C$30</f>
        <v>199.86</v>
      </c>
      <c r="AE133" s="157">
        <v>94</v>
      </c>
      <c r="AF133" s="149">
        <f>INT(((AE133*Valores!$C$2)*100)+0.5)/100</f>
        <v>793.25</v>
      </c>
      <c r="AG133" s="149">
        <f>Valores!$C$58</f>
        <v>406.53</v>
      </c>
      <c r="AH133" s="149">
        <f>Valores!$C$60</f>
        <v>116.15</v>
      </c>
      <c r="AI133" s="162">
        <f t="shared" si="18"/>
        <v>33871.693</v>
      </c>
      <c r="AJ133" s="146">
        <f>Valores!$C$35</f>
        <v>1046.83</v>
      </c>
      <c r="AK133" s="149">
        <f>Valores!$C$80</f>
        <v>3250</v>
      </c>
      <c r="AL133" s="154">
        <f>Valores!$C$51</f>
        <v>170.34</v>
      </c>
      <c r="AM133" s="162">
        <f t="shared" si="16"/>
        <v>4296.83</v>
      </c>
      <c r="AN133" s="146">
        <f>AI133*-Valores!$C$65</f>
        <v>-3895.244695</v>
      </c>
      <c r="AO133" s="146">
        <f>AI133*-Valores!$C$66</f>
        <v>-1524.226185</v>
      </c>
      <c r="AP133" s="170">
        <v>-159.43</v>
      </c>
      <c r="AQ133" s="170">
        <f t="shared" si="19"/>
        <v>-53.83</v>
      </c>
      <c r="AR133" s="162">
        <f t="shared" si="20"/>
        <v>32535.79212</v>
      </c>
    </row>
    <row r="134" spans="1:44" s="137" customFormat="1" ht="11.25" customHeight="1">
      <c r="A134" s="147">
        <v>132</v>
      </c>
      <c r="B134" s="147"/>
      <c r="C134" s="147" t="s">
        <v>376</v>
      </c>
      <c r="D134" s="147"/>
      <c r="E134" s="147">
        <f t="shared" si="13"/>
        <v>19</v>
      </c>
      <c r="F134" s="155" t="s">
        <v>377</v>
      </c>
      <c r="G134" s="152">
        <v>936</v>
      </c>
      <c r="H134" s="149">
        <f>INT((G134*Valores!$C$2*100)+0.5)/100</f>
        <v>7898.72</v>
      </c>
      <c r="I134" s="159">
        <v>0</v>
      </c>
      <c r="J134" s="149">
        <f>INT((I134*Valores!$C$2*100)+0.5)/100</f>
        <v>0</v>
      </c>
      <c r="K134" s="151">
        <v>0</v>
      </c>
      <c r="L134" s="149">
        <f>INT((K134*Valores!$C$2*100)+0.5)/100</f>
        <v>0</v>
      </c>
      <c r="M134" s="158">
        <v>0</v>
      </c>
      <c r="N134" s="149">
        <f>INT((M134*Valores!$C$2*100)+0.5)/100</f>
        <v>0</v>
      </c>
      <c r="O134" s="149">
        <f t="shared" si="14"/>
        <v>1912.1684999999998</v>
      </c>
      <c r="P134" s="149">
        <f t="shared" si="15"/>
        <v>0</v>
      </c>
      <c r="Q134" s="148">
        <f>Valores!$C$20</f>
        <v>5630.2</v>
      </c>
      <c r="R134" s="148">
        <f>Valores!$D$4</f>
        <v>4313.91</v>
      </c>
      <c r="S134" s="148">
        <f>Valores!$C$27</f>
        <v>3657.61</v>
      </c>
      <c r="T134" s="148">
        <f>Valores!$C$41</f>
        <v>1368.56</v>
      </c>
      <c r="U134" s="148">
        <f>Valores!$C$24</f>
        <v>3480.51</v>
      </c>
      <c r="V134" s="149">
        <f t="shared" si="21"/>
        <v>3480.51</v>
      </c>
      <c r="W134" s="149">
        <v>0</v>
      </c>
      <c r="X134" s="149">
        <v>0</v>
      </c>
      <c r="Y134" s="157">
        <v>0</v>
      </c>
      <c r="Z134" s="149">
        <f>Y134*Valores!$C$2</f>
        <v>0</v>
      </c>
      <c r="AA134" s="149">
        <v>0</v>
      </c>
      <c r="AB134" s="154">
        <f>Valores!$C$29</f>
        <v>199.86</v>
      </c>
      <c r="AC134" s="149">
        <f t="shared" si="17"/>
        <v>0</v>
      </c>
      <c r="AD134" s="149">
        <f>Valores!$C$30</f>
        <v>199.86</v>
      </c>
      <c r="AE134" s="157">
        <v>94</v>
      </c>
      <c r="AF134" s="149">
        <f>INT(((AE134*Valores!$C$2)*100)+0.5)/100</f>
        <v>793.25</v>
      </c>
      <c r="AG134" s="149">
        <f>Valores!$C$58</f>
        <v>406.53</v>
      </c>
      <c r="AH134" s="149">
        <f>Valores!$C$60</f>
        <v>116.15</v>
      </c>
      <c r="AI134" s="163">
        <f t="shared" si="18"/>
        <v>29977.328500000007</v>
      </c>
      <c r="AJ134" s="148">
        <f>Valores!$C$35</f>
        <v>1046.83</v>
      </c>
      <c r="AK134" s="149">
        <f>Valores!$C$80</f>
        <v>3250</v>
      </c>
      <c r="AL134" s="154">
        <f>Valores!$C$51</f>
        <v>170.34</v>
      </c>
      <c r="AM134" s="162">
        <f t="shared" si="16"/>
        <v>4296.83</v>
      </c>
      <c r="AN134" s="148">
        <f>AI134*-Valores!$C$65</f>
        <v>-3447.392777500001</v>
      </c>
      <c r="AO134" s="146">
        <f>AI134*-Valores!$C$66</f>
        <v>-1348.9797825000003</v>
      </c>
      <c r="AP134" s="170">
        <v>-159.43</v>
      </c>
      <c r="AQ134" s="170">
        <f t="shared" si="19"/>
        <v>-53.83</v>
      </c>
      <c r="AR134" s="162">
        <f t="shared" si="20"/>
        <v>29264.525940000003</v>
      </c>
    </row>
    <row r="135" spans="1:44" s="137" customFormat="1" ht="11.25" customHeight="1">
      <c r="A135" s="147">
        <v>133</v>
      </c>
      <c r="B135" s="147"/>
      <c r="C135" s="147" t="s">
        <v>378</v>
      </c>
      <c r="D135" s="147"/>
      <c r="E135" s="147">
        <f t="shared" si="13"/>
        <v>19</v>
      </c>
      <c r="F135" s="155" t="s">
        <v>379</v>
      </c>
      <c r="G135" s="152">
        <v>1278</v>
      </c>
      <c r="H135" s="149">
        <f>INT((G135*Valores!$C$2*100)+0.5)/100</f>
        <v>10784.79</v>
      </c>
      <c r="I135" s="159">
        <v>0</v>
      </c>
      <c r="J135" s="149">
        <f>INT((I135*Valores!$C$2*100)+0.5)/100</f>
        <v>0</v>
      </c>
      <c r="K135" s="151">
        <v>0</v>
      </c>
      <c r="L135" s="149">
        <f>INT((K135*Valores!$C$2*100)+0.5)/100</f>
        <v>0</v>
      </c>
      <c r="M135" s="158">
        <v>0</v>
      </c>
      <c r="N135" s="149">
        <f>INT((M135*Valores!$C$2*100)+0.5)/100</f>
        <v>0</v>
      </c>
      <c r="O135" s="149">
        <f t="shared" si="14"/>
        <v>2345.079</v>
      </c>
      <c r="P135" s="149">
        <f t="shared" si="15"/>
        <v>0</v>
      </c>
      <c r="Q135" s="148">
        <f>Valores!$C$15</f>
        <v>5862.51</v>
      </c>
      <c r="R135" s="148">
        <f>Valores!$D$4</f>
        <v>4313.91</v>
      </c>
      <c r="S135" s="149">
        <v>0</v>
      </c>
      <c r="T135" s="149">
        <f>Valores!$C$41</f>
        <v>1368.56</v>
      </c>
      <c r="U135" s="148">
        <f>Valores!$C$24</f>
        <v>3480.51</v>
      </c>
      <c r="V135" s="149">
        <f t="shared" si="21"/>
        <v>3480.51</v>
      </c>
      <c r="W135" s="149">
        <v>0</v>
      </c>
      <c r="X135" s="149">
        <v>0</v>
      </c>
      <c r="Y135" s="157">
        <v>0</v>
      </c>
      <c r="Z135" s="149">
        <f>Y135*Valores!$C$2</f>
        <v>0</v>
      </c>
      <c r="AA135" s="149">
        <v>0</v>
      </c>
      <c r="AB135" s="154">
        <f>Valores!$C$29</f>
        <v>199.86</v>
      </c>
      <c r="AC135" s="149">
        <f t="shared" si="17"/>
        <v>0</v>
      </c>
      <c r="AD135" s="149">
        <f>Valores!$C$30</f>
        <v>199.86</v>
      </c>
      <c r="AE135" s="157">
        <v>94</v>
      </c>
      <c r="AF135" s="149">
        <f>INT(((AE135*Valores!$C$2)*100)+0.5)/100</f>
        <v>793.25</v>
      </c>
      <c r="AG135" s="149">
        <f>Valores!$C$58</f>
        <v>406.53</v>
      </c>
      <c r="AH135" s="149">
        <f>Valores!$C$60</f>
        <v>116.15</v>
      </c>
      <c r="AI135" s="163">
        <f t="shared" si="18"/>
        <v>29871.009000000002</v>
      </c>
      <c r="AJ135" s="148">
        <f>Valores!$C$35</f>
        <v>1046.83</v>
      </c>
      <c r="AK135" s="149">
        <f>Valores!$C$80</f>
        <v>3250</v>
      </c>
      <c r="AL135" s="154">
        <f>Valores!$C$51</f>
        <v>170.34</v>
      </c>
      <c r="AM135" s="162">
        <f t="shared" si="16"/>
        <v>4296.83</v>
      </c>
      <c r="AN135" s="148">
        <f>AI135*-Valores!$C$65</f>
        <v>-3435.166035</v>
      </c>
      <c r="AO135" s="146">
        <f>AI135*-Valores!$C$66</f>
        <v>-1344.195405</v>
      </c>
      <c r="AP135" s="170">
        <v>-159.43</v>
      </c>
      <c r="AQ135" s="170">
        <f t="shared" si="19"/>
        <v>-53.83</v>
      </c>
      <c r="AR135" s="162">
        <f t="shared" si="20"/>
        <v>29175.217559999997</v>
      </c>
    </row>
    <row r="136" spans="1:44" s="137" customFormat="1" ht="11.25" customHeight="1">
      <c r="A136" s="147">
        <v>134</v>
      </c>
      <c r="B136" s="147"/>
      <c r="C136" s="147" t="s">
        <v>380</v>
      </c>
      <c r="D136" s="147"/>
      <c r="E136" s="147">
        <f aca="true" t="shared" si="22" ref="E136:E199">LEN(F136)</f>
        <v>26</v>
      </c>
      <c r="F136" s="155" t="s">
        <v>381</v>
      </c>
      <c r="G136" s="152">
        <v>1278</v>
      </c>
      <c r="H136" s="149">
        <f>INT((G136*Valores!$C$2*100)+0.5)/100</f>
        <v>10784.79</v>
      </c>
      <c r="I136" s="159">
        <v>0</v>
      </c>
      <c r="J136" s="149">
        <f>INT((I136*Valores!$C$2*100)+0.5)/100</f>
        <v>0</v>
      </c>
      <c r="K136" s="151">
        <v>0</v>
      </c>
      <c r="L136" s="149">
        <f>INT((K136*Valores!$C$2*100)+0.5)/100</f>
        <v>0</v>
      </c>
      <c r="M136" s="158">
        <v>0</v>
      </c>
      <c r="N136" s="149">
        <f>INT((M136*Valores!$C$2*100)+0.5)/100</f>
        <v>0</v>
      </c>
      <c r="O136" s="149">
        <f aca="true" t="shared" si="23" ref="O136:O199">IF($J$2=0,IF(C136&lt;&gt;"13-930",(SUM(H136,J136,L136,N136,Z136,U136,T136)*$O$2),0),0)</f>
        <v>2380.743</v>
      </c>
      <c r="P136" s="149">
        <f aca="true" t="shared" si="24" ref="P136:P199">SUM(H136,J136,L136,N136,Z136,T136)*$J$2</f>
        <v>0</v>
      </c>
      <c r="Q136" s="148">
        <f>Valores!$C$15</f>
        <v>5862.51</v>
      </c>
      <c r="R136" s="148">
        <f>Valores!$D$4</f>
        <v>4313.91</v>
      </c>
      <c r="S136" s="148">
        <f>Valores!$C$26</f>
        <v>3959.57</v>
      </c>
      <c r="T136" s="148">
        <f>Valores!$C$42</f>
        <v>1559.82</v>
      </c>
      <c r="U136" s="149">
        <f>Valores!$C$23</f>
        <v>3527.01</v>
      </c>
      <c r="V136" s="149">
        <f t="shared" si="21"/>
        <v>3527.01</v>
      </c>
      <c r="W136" s="149">
        <v>0</v>
      </c>
      <c r="X136" s="149">
        <v>0</v>
      </c>
      <c r="Y136" s="157">
        <v>0</v>
      </c>
      <c r="Z136" s="149">
        <f>Y136*Valores!$C$2</f>
        <v>0</v>
      </c>
      <c r="AA136" s="149">
        <v>0</v>
      </c>
      <c r="AB136" s="154">
        <f>Valores!$C$29</f>
        <v>199.86</v>
      </c>
      <c r="AC136" s="149">
        <f t="shared" si="17"/>
        <v>0</v>
      </c>
      <c r="AD136" s="149">
        <f>Valores!$C$30</f>
        <v>199.86</v>
      </c>
      <c r="AE136" s="157">
        <v>0</v>
      </c>
      <c r="AF136" s="149">
        <f>INT(((AE136*Valores!$C$2)*100)+0.5)/100</f>
        <v>0</v>
      </c>
      <c r="AG136" s="149">
        <f>Valores!$C$58</f>
        <v>406.53</v>
      </c>
      <c r="AH136" s="149">
        <f>Valores!$C$60</f>
        <v>116.15</v>
      </c>
      <c r="AI136" s="163">
        <f t="shared" si="18"/>
        <v>33310.753000000004</v>
      </c>
      <c r="AJ136" s="148">
        <f>Valores!$C$35</f>
        <v>1046.83</v>
      </c>
      <c r="AK136" s="149">
        <f>Valores!$C$80</f>
        <v>3250</v>
      </c>
      <c r="AL136" s="154">
        <f>Valores!$C$51</f>
        <v>170.34</v>
      </c>
      <c r="AM136" s="162">
        <f aca="true" t="shared" si="25" ref="AM136:AM199">IF($H$5="SI",SUM(AJ136:AL136),SUM(AJ136:AK136))</f>
        <v>4296.83</v>
      </c>
      <c r="AN136" s="148">
        <f>AI136*-Valores!$C$65</f>
        <v>-3830.7365950000008</v>
      </c>
      <c r="AO136" s="146">
        <f>AI136*-Valores!$C$66</f>
        <v>-1498.983885</v>
      </c>
      <c r="AP136" s="170">
        <v>-159.43</v>
      </c>
      <c r="AQ136" s="170">
        <f t="shared" si="19"/>
        <v>-53.83</v>
      </c>
      <c r="AR136" s="162">
        <f t="shared" si="20"/>
        <v>32064.60252</v>
      </c>
    </row>
    <row r="137" spans="1:44" s="137" customFormat="1" ht="11.25" customHeight="1">
      <c r="A137" s="147">
        <v>135</v>
      </c>
      <c r="B137" s="147" t="s">
        <v>135</v>
      </c>
      <c r="C137" s="147" t="s">
        <v>382</v>
      </c>
      <c r="D137" s="147"/>
      <c r="E137" s="147">
        <f t="shared" si="22"/>
        <v>19</v>
      </c>
      <c r="F137" s="155" t="s">
        <v>383</v>
      </c>
      <c r="G137" s="152">
        <v>1278</v>
      </c>
      <c r="H137" s="149">
        <f>INT((G137*Valores!$C$2*100)+0.5)/100</f>
        <v>10784.79</v>
      </c>
      <c r="I137" s="159">
        <v>0</v>
      </c>
      <c r="J137" s="149">
        <f>INT((I137*Valores!$C$2*100)+0.5)/100</f>
        <v>0</v>
      </c>
      <c r="K137" s="151">
        <v>0</v>
      </c>
      <c r="L137" s="149">
        <f>INT((K137*Valores!$C$2*100)+0.5)/100</f>
        <v>0</v>
      </c>
      <c r="M137" s="158">
        <v>0</v>
      </c>
      <c r="N137" s="149">
        <f>INT((M137*Valores!$C$2*100)+0.5)/100</f>
        <v>0</v>
      </c>
      <c r="O137" s="149">
        <f t="shared" si="23"/>
        <v>2380.743</v>
      </c>
      <c r="P137" s="149">
        <f t="shared" si="24"/>
        <v>0</v>
      </c>
      <c r="Q137" s="148">
        <f>Valores!$C$15</f>
        <v>5862.51</v>
      </c>
      <c r="R137" s="148">
        <f>Valores!$D$4</f>
        <v>4313.91</v>
      </c>
      <c r="S137" s="148">
        <f>Valores!$C$26</f>
        <v>3959.57</v>
      </c>
      <c r="T137" s="148">
        <f>Valores!$C$42</f>
        <v>1559.82</v>
      </c>
      <c r="U137" s="149">
        <f>Valores!$C$23</f>
        <v>3527.01</v>
      </c>
      <c r="V137" s="149">
        <f t="shared" si="21"/>
        <v>3527.01</v>
      </c>
      <c r="W137" s="149">
        <v>0</v>
      </c>
      <c r="X137" s="149">
        <v>0</v>
      </c>
      <c r="Y137" s="157">
        <v>0</v>
      </c>
      <c r="Z137" s="149">
        <f>Y137*Valores!$C$2</f>
        <v>0</v>
      </c>
      <c r="AA137" s="149">
        <v>0</v>
      </c>
      <c r="AB137" s="154">
        <f>Valores!$C$29</f>
        <v>199.86</v>
      </c>
      <c r="AC137" s="149">
        <f aca="true" t="shared" si="26" ref="AC137:AC200">SUM(H137,J137,L137,Z137,T137)*$H$3/100</f>
        <v>0</v>
      </c>
      <c r="AD137" s="149">
        <f>Valores!$C$30</f>
        <v>199.86</v>
      </c>
      <c r="AE137" s="157">
        <v>0</v>
      </c>
      <c r="AF137" s="149">
        <f>INT(((AE137*Valores!$C$2)*100)+0.5)/100</f>
        <v>0</v>
      </c>
      <c r="AG137" s="149">
        <f>Valores!$C$58</f>
        <v>406.53</v>
      </c>
      <c r="AH137" s="149">
        <f>Valores!$C$60</f>
        <v>116.15</v>
      </c>
      <c r="AI137" s="163">
        <f aca="true" t="shared" si="27" ref="AI137:AI200">SUM(H137,J137,L137,N137,O137,P137,Q137,R137,S137,V137,W137,X137,Z137,AA137,AB137,AC137,AD137,AF137,T137,AG137,AH137)</f>
        <v>33310.753000000004</v>
      </c>
      <c r="AJ137" s="148">
        <f>Valores!$C$35</f>
        <v>1046.83</v>
      </c>
      <c r="AK137" s="149">
        <f>Valores!$C$80</f>
        <v>3250</v>
      </c>
      <c r="AL137" s="154">
        <f>Valores!$C$51</f>
        <v>170.34</v>
      </c>
      <c r="AM137" s="162">
        <f t="shared" si="25"/>
        <v>4296.83</v>
      </c>
      <c r="AN137" s="148">
        <f>AI137*-Valores!$C$65</f>
        <v>-3830.7365950000008</v>
      </c>
      <c r="AO137" s="146">
        <f>AI137*-Valores!$C$66</f>
        <v>-1498.983885</v>
      </c>
      <c r="AP137" s="170">
        <v>-159.43</v>
      </c>
      <c r="AQ137" s="170">
        <f aca="true" t="shared" si="28" ref="AQ137:AQ200">IF($H$4=0,-53.83,(-53.83+$H$4*(-53.83)))</f>
        <v>-53.83</v>
      </c>
      <c r="AR137" s="162">
        <f aca="true" t="shared" si="29" ref="AR137:AR200">AI137+AM137+AN137+AO137+AP137+AQ137</f>
        <v>32064.60252</v>
      </c>
    </row>
    <row r="138" spans="1:44" s="137" customFormat="1" ht="11.25" customHeight="1">
      <c r="A138" s="147">
        <v>136</v>
      </c>
      <c r="B138" s="147"/>
      <c r="C138" s="147" t="s">
        <v>384</v>
      </c>
      <c r="D138" s="147"/>
      <c r="E138" s="147">
        <f t="shared" si="22"/>
        <v>29</v>
      </c>
      <c r="F138" s="155" t="s">
        <v>385</v>
      </c>
      <c r="G138" s="152">
        <v>1278</v>
      </c>
      <c r="H138" s="149">
        <f>INT((G138*Valores!$C$2*100)+0.5)/100</f>
        <v>10784.79</v>
      </c>
      <c r="I138" s="159">
        <v>0</v>
      </c>
      <c r="J138" s="149">
        <f>INT((I138*Valores!$C$2*100)+0.5)/100</f>
        <v>0</v>
      </c>
      <c r="K138" s="151">
        <v>0</v>
      </c>
      <c r="L138" s="149">
        <f>INT((K138*Valores!$C$2*100)+0.5)/100</f>
        <v>0</v>
      </c>
      <c r="M138" s="158">
        <v>0</v>
      </c>
      <c r="N138" s="149">
        <f>INT((M138*Valores!$C$2*100)+0.5)/100</f>
        <v>0</v>
      </c>
      <c r="O138" s="149">
        <f t="shared" si="23"/>
        <v>2380.743</v>
      </c>
      <c r="P138" s="149">
        <f t="shared" si="24"/>
        <v>0</v>
      </c>
      <c r="Q138" s="148">
        <f>Valores!$C$20</f>
        <v>5630.2</v>
      </c>
      <c r="R138" s="148">
        <f>Valores!$D$4</f>
        <v>4313.91</v>
      </c>
      <c r="S138" s="149">
        <v>0</v>
      </c>
      <c r="T138" s="149">
        <f>Valores!$C$42</f>
        <v>1559.82</v>
      </c>
      <c r="U138" s="149">
        <f>Valores!$C$23</f>
        <v>3527.01</v>
      </c>
      <c r="V138" s="149">
        <f t="shared" si="21"/>
        <v>3527.01</v>
      </c>
      <c r="W138" s="149">
        <v>0</v>
      </c>
      <c r="X138" s="149">
        <v>0</v>
      </c>
      <c r="Y138" s="157">
        <v>0</v>
      </c>
      <c r="Z138" s="149">
        <f>Y138*Valores!$C$2</f>
        <v>0</v>
      </c>
      <c r="AA138" s="149">
        <v>0</v>
      </c>
      <c r="AB138" s="154">
        <f>Valores!$C$29</f>
        <v>199.86</v>
      </c>
      <c r="AC138" s="149">
        <f t="shared" si="26"/>
        <v>0</v>
      </c>
      <c r="AD138" s="149">
        <f>Valores!$C$30</f>
        <v>199.86</v>
      </c>
      <c r="AE138" s="157">
        <v>0</v>
      </c>
      <c r="AF138" s="149">
        <f>INT(((AE138*Valores!$C$2)*100)+0.5)/100</f>
        <v>0</v>
      </c>
      <c r="AG138" s="149">
        <f>Valores!$C$58</f>
        <v>406.53</v>
      </c>
      <c r="AH138" s="149">
        <f>Valores!$C$60</f>
        <v>116.15</v>
      </c>
      <c r="AI138" s="163">
        <f t="shared" si="27"/>
        <v>29118.873</v>
      </c>
      <c r="AJ138" s="148">
        <f>Valores!$C$35</f>
        <v>1046.83</v>
      </c>
      <c r="AK138" s="149">
        <f>Valores!$C$80</f>
        <v>3250</v>
      </c>
      <c r="AL138" s="154">
        <f>Valores!$C$51</f>
        <v>170.34</v>
      </c>
      <c r="AM138" s="162">
        <f t="shared" si="25"/>
        <v>4296.83</v>
      </c>
      <c r="AN138" s="148">
        <f>AI138*-Valores!$C$65</f>
        <v>-3348.670395</v>
      </c>
      <c r="AO138" s="146">
        <f>AI138*-Valores!$C$66</f>
        <v>-1310.349285</v>
      </c>
      <c r="AP138" s="170">
        <v>-159.43</v>
      </c>
      <c r="AQ138" s="170">
        <f t="shared" si="28"/>
        <v>-53.83</v>
      </c>
      <c r="AR138" s="162">
        <f t="shared" si="29"/>
        <v>28543.423319999998</v>
      </c>
    </row>
    <row r="139" spans="1:44" s="137" customFormat="1" ht="11.25" customHeight="1">
      <c r="A139" s="147">
        <v>137</v>
      </c>
      <c r="B139" s="147"/>
      <c r="C139" s="147" t="s">
        <v>386</v>
      </c>
      <c r="D139" s="147"/>
      <c r="E139" s="147">
        <f t="shared" si="22"/>
        <v>26</v>
      </c>
      <c r="F139" s="155" t="s">
        <v>387</v>
      </c>
      <c r="G139" s="152">
        <v>616</v>
      </c>
      <c r="H139" s="149">
        <f>INT((G139*Valores!$C$2*100)+0.5)/100</f>
        <v>5198.3</v>
      </c>
      <c r="I139" s="159">
        <v>0</v>
      </c>
      <c r="J139" s="149">
        <f>INT((I139*Valores!$C$2*100)+0.5)/100</f>
        <v>0</v>
      </c>
      <c r="K139" s="151">
        <v>0</v>
      </c>
      <c r="L139" s="149">
        <f>INT((K139*Valores!$C$2*100)+0.5)/100</f>
        <v>0</v>
      </c>
      <c r="M139" s="158">
        <v>0</v>
      </c>
      <c r="N139" s="149">
        <f>INT((M139*Valores!$C$2*100)+0.5)/100</f>
        <v>0</v>
      </c>
      <c r="O139" s="149">
        <f t="shared" si="23"/>
        <v>1542.7695</v>
      </c>
      <c r="P139" s="149">
        <f t="shared" si="24"/>
        <v>0</v>
      </c>
      <c r="Q139" s="148">
        <f>Valores!$C$15</f>
        <v>5862.51</v>
      </c>
      <c r="R139" s="148">
        <f>Valores!$D$4</f>
        <v>4313.91</v>
      </c>
      <c r="S139" s="148">
        <f>Valores!$C$26</f>
        <v>3959.57</v>
      </c>
      <c r="T139" s="148">
        <f>Valores!$C$42</f>
        <v>1559.82</v>
      </c>
      <c r="U139" s="149">
        <f>Valores!$C$23</f>
        <v>3527.01</v>
      </c>
      <c r="V139" s="149">
        <f t="shared" si="21"/>
        <v>3527.01</v>
      </c>
      <c r="W139" s="149">
        <v>0</v>
      </c>
      <c r="X139" s="149">
        <v>0</v>
      </c>
      <c r="Y139" s="157">
        <v>0</v>
      </c>
      <c r="Z139" s="149">
        <f>Y139*Valores!$C$2</f>
        <v>0</v>
      </c>
      <c r="AA139" s="149">
        <v>0</v>
      </c>
      <c r="AB139" s="154">
        <f>Valores!$C$29</f>
        <v>199.86</v>
      </c>
      <c r="AC139" s="149">
        <f t="shared" si="26"/>
        <v>0</v>
      </c>
      <c r="AD139" s="149">
        <f>Valores!$C$30</f>
        <v>199.86</v>
      </c>
      <c r="AE139" s="157">
        <v>0</v>
      </c>
      <c r="AF139" s="149">
        <f>INT(((AE139*Valores!$C$2)*100)+0.5)/100</f>
        <v>0</v>
      </c>
      <c r="AG139" s="149">
        <f>Valores!$C$58</f>
        <v>406.53</v>
      </c>
      <c r="AH139" s="149">
        <f>Valores!$C$60</f>
        <v>116.15</v>
      </c>
      <c r="AI139" s="163">
        <f t="shared" si="27"/>
        <v>26886.2895</v>
      </c>
      <c r="AJ139" s="148">
        <f>Valores!$C$35</f>
        <v>1046.83</v>
      </c>
      <c r="AK139" s="149">
        <f>Valores!$C$80</f>
        <v>3250</v>
      </c>
      <c r="AL139" s="154">
        <f>Valores!$C$51</f>
        <v>170.34</v>
      </c>
      <c r="AM139" s="162">
        <f t="shared" si="25"/>
        <v>4296.83</v>
      </c>
      <c r="AN139" s="148">
        <f>AI139*-Valores!$C$65</f>
        <v>-3091.9232925</v>
      </c>
      <c r="AO139" s="146">
        <f>AI139*-Valores!$C$66</f>
        <v>-1209.8830274999998</v>
      </c>
      <c r="AP139" s="170">
        <v>-159.43</v>
      </c>
      <c r="AQ139" s="170">
        <f t="shared" si="28"/>
        <v>-53.83</v>
      </c>
      <c r="AR139" s="162">
        <f t="shared" si="29"/>
        <v>26668.05318</v>
      </c>
    </row>
    <row r="140" spans="1:44" s="137" customFormat="1" ht="11.25" customHeight="1">
      <c r="A140" s="147">
        <v>138</v>
      </c>
      <c r="B140" s="147"/>
      <c r="C140" s="147" t="s">
        <v>388</v>
      </c>
      <c r="D140" s="147"/>
      <c r="E140" s="147">
        <f t="shared" si="22"/>
        <v>31</v>
      </c>
      <c r="F140" s="155" t="s">
        <v>389</v>
      </c>
      <c r="G140" s="152">
        <v>1278</v>
      </c>
      <c r="H140" s="149">
        <f>INT((G140*Valores!$C$2*100)+0.5)/100</f>
        <v>10784.79</v>
      </c>
      <c r="I140" s="159">
        <v>0</v>
      </c>
      <c r="J140" s="149">
        <f>INT((I140*Valores!$C$2*100)+0.5)/100</f>
        <v>0</v>
      </c>
      <c r="K140" s="151">
        <v>0</v>
      </c>
      <c r="L140" s="149">
        <f>INT((K140*Valores!$C$2*100)+0.5)/100</f>
        <v>0</v>
      </c>
      <c r="M140" s="158">
        <v>0</v>
      </c>
      <c r="N140" s="149">
        <f>INT((M140*Valores!$C$2*100)+0.5)/100</f>
        <v>0</v>
      </c>
      <c r="O140" s="149">
        <f t="shared" si="23"/>
        <v>2373.768</v>
      </c>
      <c r="P140" s="149">
        <f t="shared" si="24"/>
        <v>0</v>
      </c>
      <c r="Q140" s="148">
        <f>Valores!$C$20</f>
        <v>5630.2</v>
      </c>
      <c r="R140" s="148">
        <f>Valores!$D$4</f>
        <v>4313.91</v>
      </c>
      <c r="S140" s="149">
        <v>0</v>
      </c>
      <c r="T140" s="149">
        <f>Valores!$C$42</f>
        <v>1559.82</v>
      </c>
      <c r="U140" s="148">
        <f>Valores!$C$24</f>
        <v>3480.51</v>
      </c>
      <c r="V140" s="149">
        <f t="shared" si="21"/>
        <v>3480.51</v>
      </c>
      <c r="W140" s="149">
        <v>0</v>
      </c>
      <c r="X140" s="149">
        <v>0</v>
      </c>
      <c r="Y140" s="157">
        <v>0</v>
      </c>
      <c r="Z140" s="149">
        <f>Y140*Valores!$C$2</f>
        <v>0</v>
      </c>
      <c r="AA140" s="149">
        <v>0</v>
      </c>
      <c r="AB140" s="154">
        <f>Valores!$C$29</f>
        <v>199.86</v>
      </c>
      <c r="AC140" s="149">
        <f t="shared" si="26"/>
        <v>0</v>
      </c>
      <c r="AD140" s="149">
        <f>Valores!$C$30</f>
        <v>199.86</v>
      </c>
      <c r="AE140" s="157">
        <v>0</v>
      </c>
      <c r="AF140" s="149">
        <f>INT(((AE140*Valores!$C$2)*100)+0.5)/100</f>
        <v>0</v>
      </c>
      <c r="AG140" s="149">
        <f>Valores!$C$58</f>
        <v>406.53</v>
      </c>
      <c r="AH140" s="149">
        <f>Valores!$C$60</f>
        <v>116.15</v>
      </c>
      <c r="AI140" s="163">
        <f t="shared" si="27"/>
        <v>29065.398</v>
      </c>
      <c r="AJ140" s="148">
        <f>Valores!$C$35</f>
        <v>1046.83</v>
      </c>
      <c r="AK140" s="149">
        <f>Valores!$C$80</f>
        <v>3250</v>
      </c>
      <c r="AL140" s="154">
        <f>Valores!$C$53</f>
        <v>155.54</v>
      </c>
      <c r="AM140" s="162">
        <f t="shared" si="25"/>
        <v>4296.83</v>
      </c>
      <c r="AN140" s="148">
        <f>AI140*-Valores!$C$65</f>
        <v>-3342.52077</v>
      </c>
      <c r="AO140" s="146">
        <f>AI140*-Valores!$C$66</f>
        <v>-1307.94291</v>
      </c>
      <c r="AP140" s="170">
        <v>-159.43</v>
      </c>
      <c r="AQ140" s="170">
        <f t="shared" si="28"/>
        <v>-53.83</v>
      </c>
      <c r="AR140" s="162">
        <f t="shared" si="29"/>
        <v>28498.50432</v>
      </c>
    </row>
    <row r="141" spans="1:44" s="137" customFormat="1" ht="11.25" customHeight="1">
      <c r="A141" s="147">
        <v>139</v>
      </c>
      <c r="B141" s="147"/>
      <c r="C141" s="147" t="s">
        <v>390</v>
      </c>
      <c r="D141" s="147"/>
      <c r="E141" s="147">
        <f t="shared" si="22"/>
        <v>33</v>
      </c>
      <c r="F141" s="155" t="s">
        <v>391</v>
      </c>
      <c r="G141" s="152">
        <v>1983</v>
      </c>
      <c r="H141" s="149">
        <f>INT((G141*Valores!$C$2*100)+0.5)/100</f>
        <v>16734.14</v>
      </c>
      <c r="I141" s="159">
        <v>0</v>
      </c>
      <c r="J141" s="149">
        <f>INT((I141*Valores!$C$2*100)+0.5)/100</f>
        <v>0</v>
      </c>
      <c r="K141" s="151">
        <v>0</v>
      </c>
      <c r="L141" s="149">
        <f>INT((K141*Valores!$C$2*100)+0.5)/100</f>
        <v>0</v>
      </c>
      <c r="M141" s="158">
        <v>0</v>
      </c>
      <c r="N141" s="149">
        <f>INT((M141*Valores!$C$2*100)+0.5)/100</f>
        <v>0</v>
      </c>
      <c r="O141" s="149">
        <f t="shared" si="23"/>
        <v>3273.1455</v>
      </c>
      <c r="P141" s="149">
        <f t="shared" si="24"/>
        <v>0</v>
      </c>
      <c r="Q141" s="148">
        <f>Valores!$C$15</f>
        <v>5862.51</v>
      </c>
      <c r="R141" s="148">
        <f>Valores!$D$4</f>
        <v>4313.91</v>
      </c>
      <c r="S141" s="148">
        <f>Valores!$C$26</f>
        <v>3959.57</v>
      </c>
      <c r="T141" s="148">
        <f>Valores!$C$42</f>
        <v>1559.82</v>
      </c>
      <c r="U141" s="149">
        <f>Valores!$C$23</f>
        <v>3527.01</v>
      </c>
      <c r="V141" s="149">
        <f t="shared" si="21"/>
        <v>3527.01</v>
      </c>
      <c r="W141" s="149">
        <v>0</v>
      </c>
      <c r="X141" s="149">
        <v>0</v>
      </c>
      <c r="Y141" s="157">
        <v>0</v>
      </c>
      <c r="Z141" s="149">
        <f>Y141*Valores!$C$2</f>
        <v>0</v>
      </c>
      <c r="AA141" s="149">
        <v>0</v>
      </c>
      <c r="AB141" s="154">
        <f>Valores!$C$29</f>
        <v>199.86</v>
      </c>
      <c r="AC141" s="149">
        <f t="shared" si="26"/>
        <v>0</v>
      </c>
      <c r="AD141" s="149">
        <f>Valores!$C$30</f>
        <v>199.86</v>
      </c>
      <c r="AE141" s="157">
        <v>94</v>
      </c>
      <c r="AF141" s="149">
        <f>INT(((AE141*Valores!$C$2)*100)+0.5)/100</f>
        <v>793.25</v>
      </c>
      <c r="AG141" s="149">
        <f>Valores!$C$58</f>
        <v>406.53</v>
      </c>
      <c r="AH141" s="149">
        <f>Valores!$C$60</f>
        <v>116.15</v>
      </c>
      <c r="AI141" s="163">
        <f t="shared" si="27"/>
        <v>40945.75550000001</v>
      </c>
      <c r="AJ141" s="148">
        <f>Valores!$C$35</f>
        <v>1046.83</v>
      </c>
      <c r="AK141" s="149">
        <f>Valores!$C$80</f>
        <v>3250</v>
      </c>
      <c r="AL141" s="154">
        <f>Valores!$C$51</f>
        <v>170.34</v>
      </c>
      <c r="AM141" s="162">
        <f t="shared" si="25"/>
        <v>4296.83</v>
      </c>
      <c r="AN141" s="148">
        <f>AI141*-Valores!$C$65</f>
        <v>-4708.761882500001</v>
      </c>
      <c r="AO141" s="146">
        <f>AI141*-Valores!$C$66</f>
        <v>-1842.5589975000003</v>
      </c>
      <c r="AP141" s="170">
        <v>-159.43</v>
      </c>
      <c r="AQ141" s="170">
        <f t="shared" si="28"/>
        <v>-53.83</v>
      </c>
      <c r="AR141" s="162">
        <f t="shared" si="29"/>
        <v>38478.00462</v>
      </c>
    </row>
    <row r="142" spans="1:44" s="137" customFormat="1" ht="11.25" customHeight="1">
      <c r="A142" s="147">
        <v>140</v>
      </c>
      <c r="B142" s="147" t="s">
        <v>135</v>
      </c>
      <c r="C142" s="147" t="s">
        <v>392</v>
      </c>
      <c r="D142" s="147"/>
      <c r="E142" s="147">
        <f t="shared" si="22"/>
        <v>29</v>
      </c>
      <c r="F142" s="155" t="s">
        <v>393</v>
      </c>
      <c r="G142" s="152">
        <v>1378</v>
      </c>
      <c r="H142" s="149">
        <f>INT((G142*Valores!$C$2*100)+0.5)/100</f>
        <v>11628.67</v>
      </c>
      <c r="I142" s="159">
        <v>0</v>
      </c>
      <c r="J142" s="149">
        <f>INT((I142*Valores!$C$2*100)+0.5)/100</f>
        <v>0</v>
      </c>
      <c r="K142" s="151">
        <v>0</v>
      </c>
      <c r="L142" s="149">
        <f>INT((K142*Valores!$C$2*100)+0.5)/100</f>
        <v>0</v>
      </c>
      <c r="M142" s="158">
        <v>0</v>
      </c>
      <c r="N142" s="149">
        <f>INT((M142*Valores!$C$2*100)+0.5)/100</f>
        <v>0</v>
      </c>
      <c r="O142" s="149">
        <f t="shared" si="23"/>
        <v>2500.35</v>
      </c>
      <c r="P142" s="149">
        <f t="shared" si="24"/>
        <v>0</v>
      </c>
      <c r="Q142" s="148">
        <f>Valores!$C$20</f>
        <v>5630.2</v>
      </c>
      <c r="R142" s="148">
        <f>Valores!$D$4</f>
        <v>4313.91</v>
      </c>
      <c r="S142" s="148">
        <f>Valores!$C$26</f>
        <v>3959.57</v>
      </c>
      <c r="T142" s="148">
        <f>Valores!$C$42</f>
        <v>1559.82</v>
      </c>
      <c r="U142" s="148">
        <f>Valores!$C$24</f>
        <v>3480.51</v>
      </c>
      <c r="V142" s="149">
        <f t="shared" si="21"/>
        <v>3480.51</v>
      </c>
      <c r="W142" s="149">
        <v>0</v>
      </c>
      <c r="X142" s="149">
        <v>0</v>
      </c>
      <c r="Y142" s="157">
        <v>0</v>
      </c>
      <c r="Z142" s="149">
        <f>Y142*Valores!$C$2</f>
        <v>0</v>
      </c>
      <c r="AA142" s="149">
        <v>0</v>
      </c>
      <c r="AB142" s="154">
        <f>Valores!$C$29</f>
        <v>199.86</v>
      </c>
      <c r="AC142" s="149">
        <f t="shared" si="26"/>
        <v>0</v>
      </c>
      <c r="AD142" s="149">
        <f>Valores!$C$30</f>
        <v>199.86</v>
      </c>
      <c r="AE142" s="157">
        <v>0</v>
      </c>
      <c r="AF142" s="149">
        <f>INT(((AE142*Valores!$C$2)*100)+0.5)/100</f>
        <v>0</v>
      </c>
      <c r="AG142" s="149">
        <f>Valores!$C$58</f>
        <v>406.53</v>
      </c>
      <c r="AH142" s="149">
        <f>Valores!$C$60</f>
        <v>116.15</v>
      </c>
      <c r="AI142" s="163">
        <f t="shared" si="27"/>
        <v>33995.43</v>
      </c>
      <c r="AJ142" s="148">
        <f>Valores!$C$35</f>
        <v>1046.83</v>
      </c>
      <c r="AK142" s="149">
        <f>Valores!$C$80</f>
        <v>3250</v>
      </c>
      <c r="AL142" s="154">
        <f>Valores!$C$51</f>
        <v>170.34</v>
      </c>
      <c r="AM142" s="162">
        <f t="shared" si="25"/>
        <v>4296.83</v>
      </c>
      <c r="AN142" s="148">
        <f>AI142*-Valores!$C$65</f>
        <v>-3909.47445</v>
      </c>
      <c r="AO142" s="146">
        <f>AI142*-Valores!$C$66</f>
        <v>-1529.79435</v>
      </c>
      <c r="AP142" s="170">
        <v>-159.43</v>
      </c>
      <c r="AQ142" s="170">
        <f t="shared" si="28"/>
        <v>-53.83</v>
      </c>
      <c r="AR142" s="162">
        <f t="shared" si="29"/>
        <v>32639.731200000002</v>
      </c>
    </row>
    <row r="143" spans="1:44" s="137" customFormat="1" ht="11.25" customHeight="1">
      <c r="A143" s="147">
        <v>141</v>
      </c>
      <c r="B143" s="147"/>
      <c r="C143" s="147" t="s">
        <v>394</v>
      </c>
      <c r="D143" s="147"/>
      <c r="E143" s="147">
        <f t="shared" si="22"/>
        <v>30</v>
      </c>
      <c r="F143" s="155" t="s">
        <v>395</v>
      </c>
      <c r="G143" s="152">
        <v>1278</v>
      </c>
      <c r="H143" s="149">
        <f>INT((G143*Valores!$C$2*100)+0.5)/100</f>
        <v>10784.79</v>
      </c>
      <c r="I143" s="159">
        <v>0</v>
      </c>
      <c r="J143" s="149">
        <f>INT((I143*Valores!$C$2*100)+0.5)/100</f>
        <v>0</v>
      </c>
      <c r="K143" s="151">
        <v>0</v>
      </c>
      <c r="L143" s="149">
        <f>INT((K143*Valores!$C$2*100)+0.5)/100</f>
        <v>0</v>
      </c>
      <c r="M143" s="158">
        <v>0</v>
      </c>
      <c r="N143" s="149">
        <f>INT((M143*Valores!$C$2*100)+0.5)/100</f>
        <v>0</v>
      </c>
      <c r="O143" s="149">
        <f t="shared" si="23"/>
        <v>2380.743</v>
      </c>
      <c r="P143" s="149">
        <f t="shared" si="24"/>
        <v>0</v>
      </c>
      <c r="Q143" s="148">
        <f>Valores!$C$20</f>
        <v>5630.2</v>
      </c>
      <c r="R143" s="148">
        <f>Valores!$D$4</f>
        <v>4313.91</v>
      </c>
      <c r="S143" s="149">
        <f>Valores!$C$26</f>
        <v>3959.57</v>
      </c>
      <c r="T143" s="149">
        <f>Valores!$C$42</f>
        <v>1559.82</v>
      </c>
      <c r="U143" s="149">
        <f>Valores!$C$23</f>
        <v>3527.01</v>
      </c>
      <c r="V143" s="149">
        <f t="shared" si="21"/>
        <v>3527.01</v>
      </c>
      <c r="W143" s="149">
        <v>0</v>
      </c>
      <c r="X143" s="149">
        <v>0</v>
      </c>
      <c r="Y143" s="157">
        <v>0</v>
      </c>
      <c r="Z143" s="149">
        <f>Y143*Valores!$C$2</f>
        <v>0</v>
      </c>
      <c r="AA143" s="149">
        <v>0</v>
      </c>
      <c r="AB143" s="154">
        <f>Valores!$C$29</f>
        <v>199.86</v>
      </c>
      <c r="AC143" s="149">
        <f t="shared" si="26"/>
        <v>0</v>
      </c>
      <c r="AD143" s="149">
        <f>Valores!$C$30</f>
        <v>199.86</v>
      </c>
      <c r="AE143" s="157">
        <v>0</v>
      </c>
      <c r="AF143" s="149">
        <f>INT(((AE143*Valores!$C$2)*100)+0.5)/100</f>
        <v>0</v>
      </c>
      <c r="AG143" s="149">
        <f>Valores!$C$58</f>
        <v>406.53</v>
      </c>
      <c r="AH143" s="149">
        <f>Valores!$C$60</f>
        <v>116.15</v>
      </c>
      <c r="AI143" s="163">
        <f t="shared" si="27"/>
        <v>33078.443</v>
      </c>
      <c r="AJ143" s="148">
        <f>Valores!$C$35</f>
        <v>1046.83</v>
      </c>
      <c r="AK143" s="149">
        <f>Valores!$C$80</f>
        <v>3250</v>
      </c>
      <c r="AL143" s="154">
        <f>Valores!$C$51</f>
        <v>170.34</v>
      </c>
      <c r="AM143" s="162">
        <f t="shared" si="25"/>
        <v>4296.83</v>
      </c>
      <c r="AN143" s="148">
        <f>AI143*-Valores!$C$65</f>
        <v>-3804.020945</v>
      </c>
      <c r="AO143" s="146">
        <f>AI143*-Valores!$C$66</f>
        <v>-1488.529935</v>
      </c>
      <c r="AP143" s="170">
        <v>-159.43</v>
      </c>
      <c r="AQ143" s="170">
        <f t="shared" si="28"/>
        <v>-53.83</v>
      </c>
      <c r="AR143" s="162">
        <f t="shared" si="29"/>
        <v>31869.462120000004</v>
      </c>
    </row>
    <row r="144" spans="1:44" s="137" customFormat="1" ht="11.25" customHeight="1">
      <c r="A144" s="147">
        <v>142</v>
      </c>
      <c r="B144" s="147"/>
      <c r="C144" s="147" t="s">
        <v>396</v>
      </c>
      <c r="D144" s="147"/>
      <c r="E144" s="147">
        <f t="shared" si="22"/>
        <v>31</v>
      </c>
      <c r="F144" s="155" t="s">
        <v>397</v>
      </c>
      <c r="G144" s="152">
        <v>1278</v>
      </c>
      <c r="H144" s="149">
        <f>INT((G144*Valores!$C$2*100)+0.5)/100</f>
        <v>10784.79</v>
      </c>
      <c r="I144" s="159">
        <v>0</v>
      </c>
      <c r="J144" s="149">
        <f>INT((I144*Valores!$C$2*100)+0.5)/100</f>
        <v>0</v>
      </c>
      <c r="K144" s="151">
        <v>0</v>
      </c>
      <c r="L144" s="149">
        <f>INT((K144*Valores!$C$2*100)+0.5)/100</f>
        <v>0</v>
      </c>
      <c r="M144" s="158">
        <v>0</v>
      </c>
      <c r="N144" s="149">
        <f>INT((M144*Valores!$C$2*100)+0.5)/100</f>
        <v>0</v>
      </c>
      <c r="O144" s="149">
        <f t="shared" si="23"/>
        <v>2256.7815</v>
      </c>
      <c r="P144" s="149">
        <f t="shared" si="24"/>
        <v>0</v>
      </c>
      <c r="Q144" s="148">
        <f>Valores!$C$20</f>
        <v>5630.2</v>
      </c>
      <c r="R144" s="148">
        <f>Valores!$D$4</f>
        <v>4313.91</v>
      </c>
      <c r="S144" s="148">
        <f>Valores!$C$26</f>
        <v>3959.57</v>
      </c>
      <c r="T144" s="149">
        <f>Valores!$C$42/2</f>
        <v>779.91</v>
      </c>
      <c r="U144" s="148">
        <f>Valores!$C$24</f>
        <v>3480.51</v>
      </c>
      <c r="V144" s="149">
        <f t="shared" si="21"/>
        <v>3480.51</v>
      </c>
      <c r="W144" s="149">
        <v>0</v>
      </c>
      <c r="X144" s="149">
        <v>0</v>
      </c>
      <c r="Y144" s="157">
        <v>0</v>
      </c>
      <c r="Z144" s="149">
        <f>Y144*Valores!$C$2</f>
        <v>0</v>
      </c>
      <c r="AA144" s="149">
        <v>0</v>
      </c>
      <c r="AB144" s="154">
        <f>Valores!$C$29</f>
        <v>199.86</v>
      </c>
      <c r="AC144" s="149">
        <f t="shared" si="26"/>
        <v>0</v>
      </c>
      <c r="AD144" s="149">
        <f>Valores!$C$30</f>
        <v>199.86</v>
      </c>
      <c r="AE144" s="157">
        <v>0</v>
      </c>
      <c r="AF144" s="149">
        <f>INT(((AE144*Valores!$C$2)*100)+0.5)/100</f>
        <v>0</v>
      </c>
      <c r="AG144" s="149">
        <f>Valores!$C$58/2</f>
        <v>203.265</v>
      </c>
      <c r="AH144" s="149">
        <f>Valores!$C$60/2</f>
        <v>58.075</v>
      </c>
      <c r="AI144" s="163">
        <f t="shared" si="27"/>
        <v>31866.7315</v>
      </c>
      <c r="AJ144" s="148">
        <f>Valores!$C$35</f>
        <v>1046.83</v>
      </c>
      <c r="AK144" s="149">
        <f>Valores!$C$80</f>
        <v>3250</v>
      </c>
      <c r="AL144" s="154">
        <f>Valores!$C$51</f>
        <v>170.34</v>
      </c>
      <c r="AM144" s="162">
        <f t="shared" si="25"/>
        <v>4296.83</v>
      </c>
      <c r="AN144" s="148">
        <f>AI144*-Valores!$C$65</f>
        <v>-3664.6741225000005</v>
      </c>
      <c r="AO144" s="146">
        <f>AI144*-Valores!$C$66</f>
        <v>-1434.0029175</v>
      </c>
      <c r="AP144" s="170">
        <v>-159.43</v>
      </c>
      <c r="AQ144" s="170">
        <f t="shared" si="28"/>
        <v>-53.83</v>
      </c>
      <c r="AR144" s="162">
        <f t="shared" si="29"/>
        <v>30851.62446</v>
      </c>
    </row>
    <row r="145" spans="1:44" s="137" customFormat="1" ht="11.25" customHeight="1">
      <c r="A145" s="147">
        <v>143</v>
      </c>
      <c r="B145" s="147"/>
      <c r="C145" s="147" t="s">
        <v>398</v>
      </c>
      <c r="D145" s="147"/>
      <c r="E145" s="147">
        <f t="shared" si="22"/>
        <v>19</v>
      </c>
      <c r="F145" s="155" t="s">
        <v>399</v>
      </c>
      <c r="G145" s="152">
        <v>1278</v>
      </c>
      <c r="H145" s="149">
        <f>INT((G145*Valores!$C$2*100)+0.5)/100</f>
        <v>10784.79</v>
      </c>
      <c r="I145" s="159">
        <v>0</v>
      </c>
      <c r="J145" s="149">
        <f>INT((I145*Valores!$C$2*100)+0.5)/100</f>
        <v>0</v>
      </c>
      <c r="K145" s="151">
        <v>0</v>
      </c>
      <c r="L145" s="149">
        <f>INT((K145*Valores!$C$2*100)+0.5)/100</f>
        <v>0</v>
      </c>
      <c r="M145" s="158">
        <v>0</v>
      </c>
      <c r="N145" s="149">
        <f>INT((M145*Valores!$C$2*100)+0.5)/100</f>
        <v>0</v>
      </c>
      <c r="O145" s="149">
        <f t="shared" si="23"/>
        <v>2380.743</v>
      </c>
      <c r="P145" s="149">
        <f t="shared" si="24"/>
        <v>0</v>
      </c>
      <c r="Q145" s="148">
        <f>Valores!$C$20</f>
        <v>5630.2</v>
      </c>
      <c r="R145" s="148">
        <f>Valores!$D$4</f>
        <v>4313.91</v>
      </c>
      <c r="S145" s="148">
        <f>Valores!$C$26</f>
        <v>3959.57</v>
      </c>
      <c r="T145" s="148">
        <f>Valores!$C$42</f>
        <v>1559.82</v>
      </c>
      <c r="U145" s="149">
        <f>Valores!$C$23</f>
        <v>3527.01</v>
      </c>
      <c r="V145" s="149">
        <f t="shared" si="21"/>
        <v>3527.01</v>
      </c>
      <c r="W145" s="149">
        <v>0</v>
      </c>
      <c r="X145" s="149">
        <v>0</v>
      </c>
      <c r="Y145" s="157">
        <v>0</v>
      </c>
      <c r="Z145" s="149">
        <f>Y145*Valores!$C$2</f>
        <v>0</v>
      </c>
      <c r="AA145" s="149">
        <v>0</v>
      </c>
      <c r="AB145" s="154">
        <f>Valores!$C$29</f>
        <v>199.86</v>
      </c>
      <c r="AC145" s="149">
        <f t="shared" si="26"/>
        <v>0</v>
      </c>
      <c r="AD145" s="149">
        <f>Valores!$C$30</f>
        <v>199.86</v>
      </c>
      <c r="AE145" s="157">
        <v>0</v>
      </c>
      <c r="AF145" s="149">
        <f>INT(((AE145*Valores!$C$2)*100)+0.5)/100</f>
        <v>0</v>
      </c>
      <c r="AG145" s="149">
        <f>Valores!$C$58</f>
        <v>406.53</v>
      </c>
      <c r="AH145" s="149">
        <f>Valores!$C$60</f>
        <v>116.15</v>
      </c>
      <c r="AI145" s="163">
        <f t="shared" si="27"/>
        <v>33078.443</v>
      </c>
      <c r="AJ145" s="148">
        <f>Valores!$C$35</f>
        <v>1046.83</v>
      </c>
      <c r="AK145" s="149">
        <f>Valores!$C$80</f>
        <v>3250</v>
      </c>
      <c r="AL145" s="154">
        <f>Valores!$C$51</f>
        <v>170.34</v>
      </c>
      <c r="AM145" s="162">
        <f t="shared" si="25"/>
        <v>4296.83</v>
      </c>
      <c r="AN145" s="148">
        <f>AI145*-Valores!$C$65</f>
        <v>-3804.020945</v>
      </c>
      <c r="AO145" s="146">
        <f>AI145*-Valores!$C$66</f>
        <v>-1488.529935</v>
      </c>
      <c r="AP145" s="170">
        <v>-159.43</v>
      </c>
      <c r="AQ145" s="170">
        <f t="shared" si="28"/>
        <v>-53.83</v>
      </c>
      <c r="AR145" s="162">
        <f t="shared" si="29"/>
        <v>31869.462120000004</v>
      </c>
    </row>
    <row r="146" spans="1:44" s="137" customFormat="1" ht="11.25" customHeight="1">
      <c r="A146" s="147">
        <v>144</v>
      </c>
      <c r="B146" s="147"/>
      <c r="C146" s="147" t="s">
        <v>400</v>
      </c>
      <c r="D146" s="147"/>
      <c r="E146" s="147">
        <f t="shared" si="22"/>
        <v>29</v>
      </c>
      <c r="F146" s="155" t="s">
        <v>401</v>
      </c>
      <c r="G146" s="152">
        <v>1278</v>
      </c>
      <c r="H146" s="149">
        <f>INT((G146*Valores!$C$2*100)+0.5)/100</f>
        <v>10784.79</v>
      </c>
      <c r="I146" s="159">
        <v>0</v>
      </c>
      <c r="J146" s="149">
        <f>INT((I146*Valores!$C$2*100)+0.5)/100</f>
        <v>0</v>
      </c>
      <c r="K146" s="151">
        <v>0</v>
      </c>
      <c r="L146" s="149">
        <f>INT((K146*Valores!$C$2*100)+0.5)/100</f>
        <v>0</v>
      </c>
      <c r="M146" s="158">
        <v>0</v>
      </c>
      <c r="N146" s="149">
        <f>INT((M146*Valores!$C$2*100)+0.5)/100</f>
        <v>0</v>
      </c>
      <c r="O146" s="149">
        <f t="shared" si="23"/>
        <v>2380.743</v>
      </c>
      <c r="P146" s="149">
        <f t="shared" si="24"/>
        <v>0</v>
      </c>
      <c r="Q146" s="148">
        <f>Valores!$C$20</f>
        <v>5630.2</v>
      </c>
      <c r="R146" s="148">
        <f>Valores!$D$4</f>
        <v>4313.91</v>
      </c>
      <c r="S146" s="148">
        <f>Valores!$C$26</f>
        <v>3959.57</v>
      </c>
      <c r="T146" s="148">
        <f>Valores!$C$42</f>
        <v>1559.82</v>
      </c>
      <c r="U146" s="149">
        <f>Valores!$C$23</f>
        <v>3527.01</v>
      </c>
      <c r="V146" s="149">
        <f t="shared" si="21"/>
        <v>3527.01</v>
      </c>
      <c r="W146" s="149">
        <v>0</v>
      </c>
      <c r="X146" s="149">
        <v>0</v>
      </c>
      <c r="Y146" s="157">
        <v>0</v>
      </c>
      <c r="Z146" s="149">
        <f>Y146*Valores!$C$2</f>
        <v>0</v>
      </c>
      <c r="AA146" s="149">
        <v>0</v>
      </c>
      <c r="AB146" s="154">
        <f>Valores!$C$29</f>
        <v>199.86</v>
      </c>
      <c r="AC146" s="149">
        <f t="shared" si="26"/>
        <v>0</v>
      </c>
      <c r="AD146" s="149">
        <f>Valores!$C$30</f>
        <v>199.86</v>
      </c>
      <c r="AE146" s="157">
        <v>0</v>
      </c>
      <c r="AF146" s="149">
        <f>INT(((AE146*Valores!$C$2)*100)+0.5)/100</f>
        <v>0</v>
      </c>
      <c r="AG146" s="149">
        <f>Valores!$C$58</f>
        <v>406.53</v>
      </c>
      <c r="AH146" s="149">
        <f>Valores!$C$60</f>
        <v>116.15</v>
      </c>
      <c r="AI146" s="163">
        <f t="shared" si="27"/>
        <v>33078.443</v>
      </c>
      <c r="AJ146" s="148">
        <f>Valores!$C$35</f>
        <v>1046.83</v>
      </c>
      <c r="AK146" s="149">
        <f>Valores!$C$80</f>
        <v>3250</v>
      </c>
      <c r="AL146" s="154">
        <f>Valores!$C$51</f>
        <v>170.34</v>
      </c>
      <c r="AM146" s="162">
        <f t="shared" si="25"/>
        <v>4296.83</v>
      </c>
      <c r="AN146" s="148">
        <f>AI146*-Valores!$C$65</f>
        <v>-3804.020945</v>
      </c>
      <c r="AO146" s="146">
        <f>AI146*-Valores!$C$66</f>
        <v>-1488.529935</v>
      </c>
      <c r="AP146" s="170">
        <v>-159.43</v>
      </c>
      <c r="AQ146" s="170">
        <f t="shared" si="28"/>
        <v>-53.83</v>
      </c>
      <c r="AR146" s="162">
        <f t="shared" si="29"/>
        <v>31869.462120000004</v>
      </c>
    </row>
    <row r="147" spans="1:44" s="137" customFormat="1" ht="11.25" customHeight="1">
      <c r="A147" s="147">
        <v>145</v>
      </c>
      <c r="B147" s="147" t="s">
        <v>135</v>
      </c>
      <c r="C147" s="147" t="s">
        <v>402</v>
      </c>
      <c r="D147" s="147"/>
      <c r="E147" s="147">
        <f t="shared" si="22"/>
        <v>31</v>
      </c>
      <c r="F147" s="155" t="s">
        <v>403</v>
      </c>
      <c r="G147" s="152">
        <v>1278</v>
      </c>
      <c r="H147" s="149">
        <f>INT((G147*Valores!$C$2*100)+0.5)/100</f>
        <v>10784.79</v>
      </c>
      <c r="I147" s="159">
        <v>0</v>
      </c>
      <c r="J147" s="149">
        <f>INT((I147*Valores!$C$2*100)+0.5)/100</f>
        <v>0</v>
      </c>
      <c r="K147" s="151">
        <v>0</v>
      </c>
      <c r="L147" s="149">
        <f>INT((K147*Valores!$C$2*100)+0.5)/100</f>
        <v>0</v>
      </c>
      <c r="M147" s="158">
        <v>0</v>
      </c>
      <c r="N147" s="149">
        <f>INT((M147*Valores!$C$2*100)+0.5)/100</f>
        <v>0</v>
      </c>
      <c r="O147" s="149">
        <f t="shared" si="23"/>
        <v>2380.743</v>
      </c>
      <c r="P147" s="149">
        <f t="shared" si="24"/>
        <v>0</v>
      </c>
      <c r="Q147" s="148">
        <f>Valores!$C$20</f>
        <v>5630.2</v>
      </c>
      <c r="R147" s="148">
        <f>Valores!$D$4</f>
        <v>4313.91</v>
      </c>
      <c r="S147" s="148">
        <f>Valores!$C$26</f>
        <v>3959.57</v>
      </c>
      <c r="T147" s="148">
        <f>Valores!$C$42</f>
        <v>1559.82</v>
      </c>
      <c r="U147" s="149">
        <f>Valores!$C$23</f>
        <v>3527.01</v>
      </c>
      <c r="V147" s="149">
        <f t="shared" si="21"/>
        <v>3527.01</v>
      </c>
      <c r="W147" s="149">
        <v>0</v>
      </c>
      <c r="X147" s="149">
        <v>0</v>
      </c>
      <c r="Y147" s="157">
        <v>0</v>
      </c>
      <c r="Z147" s="149">
        <f>Y147*Valores!$C$2</f>
        <v>0</v>
      </c>
      <c r="AA147" s="149">
        <v>0</v>
      </c>
      <c r="AB147" s="154">
        <f>Valores!$C$29</f>
        <v>199.86</v>
      </c>
      <c r="AC147" s="149">
        <f t="shared" si="26"/>
        <v>0</v>
      </c>
      <c r="AD147" s="149">
        <f>Valores!$C$30</f>
        <v>199.86</v>
      </c>
      <c r="AE147" s="157">
        <v>94</v>
      </c>
      <c r="AF147" s="149">
        <f>INT(((AE147*Valores!$C$2)*100)+0.5)/100</f>
        <v>793.25</v>
      </c>
      <c r="AG147" s="149">
        <f>Valores!$C$58</f>
        <v>406.53</v>
      </c>
      <c r="AH147" s="149">
        <f>Valores!$C$60</f>
        <v>116.15</v>
      </c>
      <c r="AI147" s="163">
        <f t="shared" si="27"/>
        <v>33871.693</v>
      </c>
      <c r="AJ147" s="148">
        <f>Valores!$C$35</f>
        <v>1046.83</v>
      </c>
      <c r="AK147" s="149">
        <f>Valores!$C$80</f>
        <v>3250</v>
      </c>
      <c r="AL147" s="154">
        <f>Valores!$C$51</f>
        <v>170.34</v>
      </c>
      <c r="AM147" s="162">
        <f t="shared" si="25"/>
        <v>4296.83</v>
      </c>
      <c r="AN147" s="148">
        <f>AI147*-Valores!$C$65</f>
        <v>-3895.244695</v>
      </c>
      <c r="AO147" s="146">
        <f>AI147*-Valores!$C$66</f>
        <v>-1524.226185</v>
      </c>
      <c r="AP147" s="170">
        <v>-159.43</v>
      </c>
      <c r="AQ147" s="170">
        <f t="shared" si="28"/>
        <v>-53.83</v>
      </c>
      <c r="AR147" s="162">
        <f t="shared" si="29"/>
        <v>32535.79212</v>
      </c>
    </row>
    <row r="148" spans="1:44" s="137" customFormat="1" ht="11.25" customHeight="1">
      <c r="A148" s="147">
        <v>146</v>
      </c>
      <c r="B148" s="147"/>
      <c r="C148" s="147" t="s">
        <v>404</v>
      </c>
      <c r="D148" s="147"/>
      <c r="E148" s="147">
        <f t="shared" si="22"/>
        <v>26</v>
      </c>
      <c r="F148" s="155" t="s">
        <v>405</v>
      </c>
      <c r="G148" s="152">
        <v>1278</v>
      </c>
      <c r="H148" s="149">
        <f>INT((G148*Valores!$C$2*100)+0.5)/100</f>
        <v>10784.79</v>
      </c>
      <c r="I148" s="159">
        <v>0</v>
      </c>
      <c r="J148" s="149">
        <f>INT((I148*Valores!$C$2*100)+0.5)/100</f>
        <v>0</v>
      </c>
      <c r="K148" s="151">
        <v>0</v>
      </c>
      <c r="L148" s="149">
        <f>INT((K148*Valores!$C$2*100)+0.5)/100</f>
        <v>0</v>
      </c>
      <c r="M148" s="158">
        <v>0</v>
      </c>
      <c r="N148" s="149">
        <f>INT((M148*Valores!$C$2*100)+0.5)/100</f>
        <v>0</v>
      </c>
      <c r="O148" s="149">
        <f t="shared" si="23"/>
        <v>2380.743</v>
      </c>
      <c r="P148" s="149">
        <f t="shared" si="24"/>
        <v>0</v>
      </c>
      <c r="Q148" s="148">
        <f>Valores!$C$20</f>
        <v>5630.2</v>
      </c>
      <c r="R148" s="148">
        <f>Valores!$D$4</f>
        <v>4313.91</v>
      </c>
      <c r="S148" s="149">
        <f>Valores!$C$26</f>
        <v>3959.57</v>
      </c>
      <c r="T148" s="149">
        <f>Valores!$C$42</f>
        <v>1559.82</v>
      </c>
      <c r="U148" s="148">
        <f>Valores!$C$23</f>
        <v>3527.01</v>
      </c>
      <c r="V148" s="149">
        <f t="shared" si="21"/>
        <v>3527.01</v>
      </c>
      <c r="W148" s="149">
        <v>0</v>
      </c>
      <c r="X148" s="149">
        <v>0</v>
      </c>
      <c r="Y148" s="157">
        <v>0</v>
      </c>
      <c r="Z148" s="149">
        <f>Y148*Valores!$C$2</f>
        <v>0</v>
      </c>
      <c r="AA148" s="149">
        <v>0</v>
      </c>
      <c r="AB148" s="154">
        <f>Valores!$C$29</f>
        <v>199.86</v>
      </c>
      <c r="AC148" s="149">
        <f t="shared" si="26"/>
        <v>0</v>
      </c>
      <c r="AD148" s="149">
        <f>Valores!$C$30</f>
        <v>199.86</v>
      </c>
      <c r="AE148" s="157">
        <v>0</v>
      </c>
      <c r="AF148" s="149">
        <f>INT(((AE148*Valores!$C$2)*100)+0.5)/100</f>
        <v>0</v>
      </c>
      <c r="AG148" s="149">
        <f>Valores!$C$58</f>
        <v>406.53</v>
      </c>
      <c r="AH148" s="149">
        <f>Valores!$C$60</f>
        <v>116.15</v>
      </c>
      <c r="AI148" s="163">
        <f t="shared" si="27"/>
        <v>33078.443</v>
      </c>
      <c r="AJ148" s="148">
        <f>Valores!$C$35</f>
        <v>1046.83</v>
      </c>
      <c r="AK148" s="149">
        <f>Valores!$C$80</f>
        <v>3250</v>
      </c>
      <c r="AL148" s="154">
        <f>Valores!$C$51</f>
        <v>170.34</v>
      </c>
      <c r="AM148" s="162">
        <f t="shared" si="25"/>
        <v>4296.83</v>
      </c>
      <c r="AN148" s="148">
        <f>AI148*-Valores!$C$65</f>
        <v>-3804.020945</v>
      </c>
      <c r="AO148" s="146">
        <f>AI148*-Valores!$C$66</f>
        <v>-1488.529935</v>
      </c>
      <c r="AP148" s="170">
        <v>-159.43</v>
      </c>
      <c r="AQ148" s="170">
        <f t="shared" si="28"/>
        <v>-53.83</v>
      </c>
      <c r="AR148" s="162">
        <f t="shared" si="29"/>
        <v>31869.462120000004</v>
      </c>
    </row>
    <row r="149" spans="1:44" s="137" customFormat="1" ht="11.25" customHeight="1">
      <c r="A149" s="147">
        <v>147</v>
      </c>
      <c r="B149" s="147"/>
      <c r="C149" s="147" t="s">
        <v>406</v>
      </c>
      <c r="D149" s="147"/>
      <c r="E149" s="147">
        <f t="shared" si="22"/>
        <v>26</v>
      </c>
      <c r="F149" s="155" t="s">
        <v>407</v>
      </c>
      <c r="G149" s="152">
        <v>1278</v>
      </c>
      <c r="H149" s="149">
        <f>INT((G149*Valores!$C$2*100)+0.5)/100</f>
        <v>10784.79</v>
      </c>
      <c r="I149" s="159">
        <v>0</v>
      </c>
      <c r="J149" s="149">
        <f>INT((I149*Valores!$C$2*100)+0.5)/100</f>
        <v>0</v>
      </c>
      <c r="K149" s="151">
        <v>0</v>
      </c>
      <c r="L149" s="149">
        <f>INT((K149*Valores!$C$2*100)+0.5)/100</f>
        <v>0</v>
      </c>
      <c r="M149" s="158">
        <v>0</v>
      </c>
      <c r="N149" s="149">
        <f>INT((M149*Valores!$C$2*100)+0.5)/100</f>
        <v>0</v>
      </c>
      <c r="O149" s="149">
        <f t="shared" si="23"/>
        <v>2373.768</v>
      </c>
      <c r="P149" s="149">
        <f t="shared" si="24"/>
        <v>0</v>
      </c>
      <c r="Q149" s="148">
        <f>Valores!$C$20</f>
        <v>5630.2</v>
      </c>
      <c r="R149" s="148">
        <f>Valores!$D$4</f>
        <v>4313.91</v>
      </c>
      <c r="S149" s="149">
        <v>0</v>
      </c>
      <c r="T149" s="149">
        <f>Valores!$C$42</f>
        <v>1559.82</v>
      </c>
      <c r="U149" s="148">
        <f>Valores!$C$24</f>
        <v>3480.51</v>
      </c>
      <c r="V149" s="149">
        <f t="shared" si="21"/>
        <v>3480.51</v>
      </c>
      <c r="W149" s="149">
        <v>0</v>
      </c>
      <c r="X149" s="149">
        <v>0</v>
      </c>
      <c r="Y149" s="157">
        <v>0</v>
      </c>
      <c r="Z149" s="149">
        <f>Y149*Valores!$C$2</f>
        <v>0</v>
      </c>
      <c r="AA149" s="149">
        <v>0</v>
      </c>
      <c r="AB149" s="154">
        <f>Valores!$C$29</f>
        <v>199.86</v>
      </c>
      <c r="AC149" s="149">
        <f t="shared" si="26"/>
        <v>0</v>
      </c>
      <c r="AD149" s="149">
        <f>Valores!$C$30</f>
        <v>199.86</v>
      </c>
      <c r="AE149" s="157">
        <v>0</v>
      </c>
      <c r="AF149" s="149">
        <f>INT(((AE149*Valores!$C$2)*100)+0.5)/100</f>
        <v>0</v>
      </c>
      <c r="AG149" s="149">
        <f>Valores!$C$58</f>
        <v>406.53</v>
      </c>
      <c r="AH149" s="149">
        <f>Valores!$C$60</f>
        <v>116.15</v>
      </c>
      <c r="AI149" s="163">
        <f t="shared" si="27"/>
        <v>29065.398</v>
      </c>
      <c r="AJ149" s="148">
        <f>Valores!$C$35</f>
        <v>1046.83</v>
      </c>
      <c r="AK149" s="149">
        <f>Valores!$C$80</f>
        <v>3250</v>
      </c>
      <c r="AL149" s="154">
        <f>Valores!$C$51</f>
        <v>170.34</v>
      </c>
      <c r="AM149" s="162">
        <f t="shared" si="25"/>
        <v>4296.83</v>
      </c>
      <c r="AN149" s="148">
        <f>AI149*-Valores!$C$65</f>
        <v>-3342.52077</v>
      </c>
      <c r="AO149" s="146">
        <f>AI149*-Valores!$C$66</f>
        <v>-1307.94291</v>
      </c>
      <c r="AP149" s="170">
        <v>-159.43</v>
      </c>
      <c r="AQ149" s="170">
        <f t="shared" si="28"/>
        <v>-53.83</v>
      </c>
      <c r="AR149" s="162">
        <f t="shared" si="29"/>
        <v>28498.50432</v>
      </c>
    </row>
    <row r="150" spans="1:44" s="137" customFormat="1" ht="11.25" customHeight="1">
      <c r="A150" s="147">
        <v>148</v>
      </c>
      <c r="B150" s="147"/>
      <c r="C150" s="147" t="s">
        <v>408</v>
      </c>
      <c r="D150" s="147"/>
      <c r="E150" s="147">
        <f t="shared" si="22"/>
        <v>37</v>
      </c>
      <c r="F150" s="155" t="s">
        <v>409</v>
      </c>
      <c r="G150" s="152">
        <v>1278</v>
      </c>
      <c r="H150" s="149">
        <f>INT((G150*Valores!$C$2*100)+0.5)/100</f>
        <v>10784.79</v>
      </c>
      <c r="I150" s="159">
        <v>0</v>
      </c>
      <c r="J150" s="149">
        <f>INT((I150*Valores!$C$2*100)+0.5)/100</f>
        <v>0</v>
      </c>
      <c r="K150" s="151">
        <v>0</v>
      </c>
      <c r="L150" s="149">
        <f>INT((K150*Valores!$C$2*100)+0.5)/100</f>
        <v>0</v>
      </c>
      <c r="M150" s="158">
        <v>0</v>
      </c>
      <c r="N150" s="149">
        <f>INT((M150*Valores!$C$2*100)+0.5)/100</f>
        <v>0</v>
      </c>
      <c r="O150" s="149">
        <f t="shared" si="23"/>
        <v>2373.768</v>
      </c>
      <c r="P150" s="149">
        <f t="shared" si="24"/>
        <v>0</v>
      </c>
      <c r="Q150" s="148">
        <f>Valores!$C$20</f>
        <v>5630.2</v>
      </c>
      <c r="R150" s="148">
        <f>Valores!$D$4</f>
        <v>4313.91</v>
      </c>
      <c r="S150" s="149">
        <v>0</v>
      </c>
      <c r="T150" s="149">
        <f>Valores!$C$42</f>
        <v>1559.82</v>
      </c>
      <c r="U150" s="148">
        <f>Valores!$C$24</f>
        <v>3480.51</v>
      </c>
      <c r="V150" s="149">
        <f t="shared" si="21"/>
        <v>3480.51</v>
      </c>
      <c r="W150" s="149">
        <v>0</v>
      </c>
      <c r="X150" s="149">
        <v>0</v>
      </c>
      <c r="Y150" s="157">
        <v>0</v>
      </c>
      <c r="Z150" s="149">
        <f>Y150*Valores!$C$2</f>
        <v>0</v>
      </c>
      <c r="AA150" s="149">
        <v>0</v>
      </c>
      <c r="AB150" s="154">
        <f>Valores!$C$29</f>
        <v>199.86</v>
      </c>
      <c r="AC150" s="149">
        <f t="shared" si="26"/>
        <v>0</v>
      </c>
      <c r="AD150" s="149">
        <f>Valores!$C$30</f>
        <v>199.86</v>
      </c>
      <c r="AE150" s="157">
        <v>0</v>
      </c>
      <c r="AF150" s="149">
        <f>INT(((AE150*Valores!$C$2)*100)+0.5)/100</f>
        <v>0</v>
      </c>
      <c r="AG150" s="149">
        <f>Valores!$C$58</f>
        <v>406.53</v>
      </c>
      <c r="AH150" s="149">
        <f>Valores!$C$60</f>
        <v>116.15</v>
      </c>
      <c r="AI150" s="163">
        <f t="shared" si="27"/>
        <v>29065.398</v>
      </c>
      <c r="AJ150" s="148">
        <f>Valores!$C$35</f>
        <v>1046.83</v>
      </c>
      <c r="AK150" s="149">
        <f>Valores!$C$80</f>
        <v>3250</v>
      </c>
      <c r="AL150" s="154">
        <f>Valores!$C$51</f>
        <v>170.34</v>
      </c>
      <c r="AM150" s="162">
        <f t="shared" si="25"/>
        <v>4296.83</v>
      </c>
      <c r="AN150" s="148">
        <f>AI150*-Valores!$C$65</f>
        <v>-3342.52077</v>
      </c>
      <c r="AO150" s="146">
        <f>AI150*-Valores!$C$66</f>
        <v>-1307.94291</v>
      </c>
      <c r="AP150" s="170">
        <v>-159.43</v>
      </c>
      <c r="AQ150" s="170">
        <f t="shared" si="28"/>
        <v>-53.83</v>
      </c>
      <c r="AR150" s="162">
        <f t="shared" si="29"/>
        <v>28498.50432</v>
      </c>
    </row>
    <row r="151" spans="1:44" s="137" customFormat="1" ht="11.25" customHeight="1">
      <c r="A151" s="147">
        <v>149</v>
      </c>
      <c r="B151" s="147"/>
      <c r="C151" s="147" t="s">
        <v>410</v>
      </c>
      <c r="D151" s="147"/>
      <c r="E151" s="147">
        <f t="shared" si="22"/>
        <v>27</v>
      </c>
      <c r="F151" s="155" t="s">
        <v>411</v>
      </c>
      <c r="G151" s="152">
        <v>1060</v>
      </c>
      <c r="H151" s="149">
        <f>INT((G151*Valores!$C$2*100)+0.5)/100</f>
        <v>8945.13</v>
      </c>
      <c r="I151" s="159">
        <v>0</v>
      </c>
      <c r="J151" s="149">
        <f>INT((I151*Valores!$C$2*100)+0.5)/100</f>
        <v>0</v>
      </c>
      <c r="K151" s="151">
        <v>0</v>
      </c>
      <c r="L151" s="149">
        <f>INT((K151*Valores!$C$2*100)+0.5)/100</f>
        <v>0</v>
      </c>
      <c r="M151" s="158">
        <v>0</v>
      </c>
      <c r="N151" s="149">
        <f>INT((M151*Valores!$C$2*100)+0.5)/100</f>
        <v>0</v>
      </c>
      <c r="O151" s="149">
        <f t="shared" si="23"/>
        <v>2104.794</v>
      </c>
      <c r="P151" s="149">
        <f t="shared" si="24"/>
        <v>0</v>
      </c>
      <c r="Q151" s="148">
        <f>Valores!$C$20</f>
        <v>5630.2</v>
      </c>
      <c r="R151" s="148">
        <f>Valores!$D$4</f>
        <v>4313.91</v>
      </c>
      <c r="S151" s="148">
        <f>Valores!$C$26</f>
        <v>3959.57</v>
      </c>
      <c r="T151" s="148">
        <f>Valores!$C$42</f>
        <v>1559.82</v>
      </c>
      <c r="U151" s="149">
        <f>Valores!$C$23</f>
        <v>3527.01</v>
      </c>
      <c r="V151" s="149">
        <f t="shared" si="21"/>
        <v>3527.01</v>
      </c>
      <c r="W151" s="149">
        <v>0</v>
      </c>
      <c r="X151" s="149">
        <v>0</v>
      </c>
      <c r="Y151" s="157">
        <v>0</v>
      </c>
      <c r="Z151" s="149">
        <f>Y151*Valores!$C$2</f>
        <v>0</v>
      </c>
      <c r="AA151" s="149">
        <v>0</v>
      </c>
      <c r="AB151" s="154">
        <f>Valores!$C$29</f>
        <v>199.86</v>
      </c>
      <c r="AC151" s="149">
        <f t="shared" si="26"/>
        <v>0</v>
      </c>
      <c r="AD151" s="149">
        <f>Valores!$C$30</f>
        <v>199.86</v>
      </c>
      <c r="AE151" s="157">
        <v>0</v>
      </c>
      <c r="AF151" s="149">
        <f>INT(((AE151*Valores!$C$2)*100)+0.5)/100</f>
        <v>0</v>
      </c>
      <c r="AG151" s="149">
        <f>Valores!$C$58</f>
        <v>406.53</v>
      </c>
      <c r="AH151" s="149">
        <f>Valores!$C$60</f>
        <v>116.15</v>
      </c>
      <c r="AI151" s="163">
        <f t="shared" si="27"/>
        <v>30962.834000000003</v>
      </c>
      <c r="AJ151" s="148">
        <f>Valores!$C$35</f>
        <v>1046.83</v>
      </c>
      <c r="AK151" s="149">
        <f>Valores!$C$80</f>
        <v>3250</v>
      </c>
      <c r="AL151" s="154">
        <f>Valores!$C$51</f>
        <v>170.34</v>
      </c>
      <c r="AM151" s="162">
        <f t="shared" si="25"/>
        <v>4296.83</v>
      </c>
      <c r="AN151" s="148">
        <f>AI151*-Valores!$C$65</f>
        <v>-3560.7259100000006</v>
      </c>
      <c r="AO151" s="146">
        <f>AI151*-Valores!$C$66</f>
        <v>-1393.32753</v>
      </c>
      <c r="AP151" s="170">
        <v>-159.43</v>
      </c>
      <c r="AQ151" s="170">
        <f t="shared" si="28"/>
        <v>-53.83</v>
      </c>
      <c r="AR151" s="162">
        <f t="shared" si="29"/>
        <v>30092.350560000003</v>
      </c>
    </row>
    <row r="152" spans="1:44" s="137" customFormat="1" ht="11.25" customHeight="1">
      <c r="A152" s="147">
        <v>150</v>
      </c>
      <c r="B152" s="147" t="s">
        <v>135</v>
      </c>
      <c r="C152" s="147" t="s">
        <v>412</v>
      </c>
      <c r="D152" s="147"/>
      <c r="E152" s="147">
        <f t="shared" si="22"/>
        <v>23</v>
      </c>
      <c r="F152" s="155" t="s">
        <v>413</v>
      </c>
      <c r="G152" s="152">
        <v>1278</v>
      </c>
      <c r="H152" s="149">
        <f>INT((G152*Valores!$C$2*100)+0.5)/100</f>
        <v>10784.79</v>
      </c>
      <c r="I152" s="159">
        <v>0</v>
      </c>
      <c r="J152" s="149">
        <f>INT((I152*Valores!$C$2*100)+0.5)/100</f>
        <v>0</v>
      </c>
      <c r="K152" s="151">
        <v>0</v>
      </c>
      <c r="L152" s="149">
        <f>INT((K152*Valores!$C$2*100)+0.5)/100</f>
        <v>0</v>
      </c>
      <c r="M152" s="158">
        <v>0</v>
      </c>
      <c r="N152" s="149">
        <f>INT((M152*Valores!$C$2*100)+0.5)/100</f>
        <v>0</v>
      </c>
      <c r="O152" s="149">
        <f t="shared" si="23"/>
        <v>2373.768</v>
      </c>
      <c r="P152" s="149">
        <f t="shared" si="24"/>
        <v>0</v>
      </c>
      <c r="Q152" s="148">
        <f>Valores!$C$20</f>
        <v>5630.2</v>
      </c>
      <c r="R152" s="148">
        <f>Valores!$D$4</f>
        <v>4313.91</v>
      </c>
      <c r="S152" s="148">
        <f>Valores!$C$26</f>
        <v>3959.57</v>
      </c>
      <c r="T152" s="148">
        <f>Valores!$C$42</f>
        <v>1559.82</v>
      </c>
      <c r="U152" s="148">
        <f>Valores!$C$24</f>
        <v>3480.51</v>
      </c>
      <c r="V152" s="149">
        <f t="shared" si="21"/>
        <v>3480.51</v>
      </c>
      <c r="W152" s="149">
        <v>0</v>
      </c>
      <c r="X152" s="149">
        <v>0</v>
      </c>
      <c r="Y152" s="157">
        <v>0</v>
      </c>
      <c r="Z152" s="149">
        <f>Y152*Valores!$C$2</f>
        <v>0</v>
      </c>
      <c r="AA152" s="149">
        <v>0</v>
      </c>
      <c r="AB152" s="154">
        <f>Valores!$C$29</f>
        <v>199.86</v>
      </c>
      <c r="AC152" s="149">
        <f t="shared" si="26"/>
        <v>0</v>
      </c>
      <c r="AD152" s="149">
        <f>Valores!$C$30</f>
        <v>199.86</v>
      </c>
      <c r="AE152" s="157">
        <v>0</v>
      </c>
      <c r="AF152" s="149">
        <f>INT(((AE152*Valores!$C$2)*100)+0.5)/100</f>
        <v>0</v>
      </c>
      <c r="AG152" s="149">
        <f>Valores!$C$58</f>
        <v>406.53</v>
      </c>
      <c r="AH152" s="149">
        <f>Valores!$C$60</f>
        <v>116.15</v>
      </c>
      <c r="AI152" s="163">
        <f t="shared" si="27"/>
        <v>33024.968</v>
      </c>
      <c r="AJ152" s="148">
        <f>Valores!$C$35</f>
        <v>1046.83</v>
      </c>
      <c r="AK152" s="149">
        <f>Valores!$C$80</f>
        <v>3250</v>
      </c>
      <c r="AL152" s="154">
        <f>Valores!$C$51</f>
        <v>170.34</v>
      </c>
      <c r="AM152" s="162">
        <f t="shared" si="25"/>
        <v>4296.83</v>
      </c>
      <c r="AN152" s="148">
        <f>AI152*-Valores!$C$65</f>
        <v>-3797.87132</v>
      </c>
      <c r="AO152" s="146">
        <f>AI152*-Valores!$C$66</f>
        <v>-1486.12356</v>
      </c>
      <c r="AP152" s="170">
        <v>-159.43</v>
      </c>
      <c r="AQ152" s="170">
        <f t="shared" si="28"/>
        <v>-53.83</v>
      </c>
      <c r="AR152" s="162">
        <f t="shared" si="29"/>
        <v>31824.543120000002</v>
      </c>
    </row>
    <row r="153" spans="1:44" s="137" customFormat="1" ht="11.25" customHeight="1">
      <c r="A153" s="147">
        <v>151</v>
      </c>
      <c r="B153" s="147"/>
      <c r="C153" s="147" t="s">
        <v>414</v>
      </c>
      <c r="D153" s="147"/>
      <c r="E153" s="147">
        <f t="shared" si="22"/>
        <v>18</v>
      </c>
      <c r="F153" s="155" t="s">
        <v>415</v>
      </c>
      <c r="G153" s="152">
        <v>1278</v>
      </c>
      <c r="H153" s="149">
        <f>INT((G153*Valores!$C$2*100)+0.5)/100</f>
        <v>10784.79</v>
      </c>
      <c r="I153" s="159">
        <v>0</v>
      </c>
      <c r="J153" s="149">
        <f>INT((I153*Valores!$C$2*100)+0.5)/100</f>
        <v>0</v>
      </c>
      <c r="K153" s="151">
        <v>0</v>
      </c>
      <c r="L153" s="149">
        <f>INT((K153*Valores!$C$2*100)+0.5)/100</f>
        <v>0</v>
      </c>
      <c r="M153" s="158">
        <v>0</v>
      </c>
      <c r="N153" s="149">
        <f>INT((M153*Valores!$C$2*100)+0.5)/100</f>
        <v>0</v>
      </c>
      <c r="O153" s="149">
        <f t="shared" si="23"/>
        <v>2380.743</v>
      </c>
      <c r="P153" s="149">
        <f t="shared" si="24"/>
        <v>0</v>
      </c>
      <c r="Q153" s="148">
        <f>Valores!$C$20</f>
        <v>5630.2</v>
      </c>
      <c r="R153" s="148">
        <f>Valores!$D$4</f>
        <v>4313.91</v>
      </c>
      <c r="S153" s="149">
        <f>Valores!$C$26</f>
        <v>3959.57</v>
      </c>
      <c r="T153" s="149">
        <f>Valores!$C$42</f>
        <v>1559.82</v>
      </c>
      <c r="U153" s="149">
        <f>Valores!$C$23</f>
        <v>3527.01</v>
      </c>
      <c r="V153" s="149">
        <f t="shared" si="21"/>
        <v>3527.01</v>
      </c>
      <c r="W153" s="149">
        <v>0</v>
      </c>
      <c r="X153" s="149">
        <v>0</v>
      </c>
      <c r="Y153" s="157">
        <v>0</v>
      </c>
      <c r="Z153" s="149">
        <f>Y153*Valores!$C$2</f>
        <v>0</v>
      </c>
      <c r="AA153" s="149">
        <v>0</v>
      </c>
      <c r="AB153" s="154">
        <f>Valores!$C$29</f>
        <v>199.86</v>
      </c>
      <c r="AC153" s="149">
        <f t="shared" si="26"/>
        <v>0</v>
      </c>
      <c r="AD153" s="149">
        <f>Valores!$C$30</f>
        <v>199.86</v>
      </c>
      <c r="AE153" s="157">
        <v>0</v>
      </c>
      <c r="AF153" s="149">
        <f>INT(((AE153*Valores!$C$2)*100)+0.5)/100</f>
        <v>0</v>
      </c>
      <c r="AG153" s="149">
        <f>Valores!$C$58</f>
        <v>406.53</v>
      </c>
      <c r="AH153" s="149">
        <f>Valores!$C$60</f>
        <v>116.15</v>
      </c>
      <c r="AI153" s="163">
        <f t="shared" si="27"/>
        <v>33078.443</v>
      </c>
      <c r="AJ153" s="148">
        <f>Valores!$C$35</f>
        <v>1046.83</v>
      </c>
      <c r="AK153" s="149">
        <f>Valores!$C$80</f>
        <v>3250</v>
      </c>
      <c r="AL153" s="154">
        <f>Valores!$C$51</f>
        <v>170.34</v>
      </c>
      <c r="AM153" s="162">
        <f t="shared" si="25"/>
        <v>4296.83</v>
      </c>
      <c r="AN153" s="148">
        <f>AI153*-Valores!$C$65</f>
        <v>-3804.020945</v>
      </c>
      <c r="AO153" s="146">
        <f>AI153*-Valores!$C$66</f>
        <v>-1488.529935</v>
      </c>
      <c r="AP153" s="170">
        <v>-159.43</v>
      </c>
      <c r="AQ153" s="170">
        <f t="shared" si="28"/>
        <v>-53.83</v>
      </c>
      <c r="AR153" s="162">
        <f t="shared" si="29"/>
        <v>31869.462120000004</v>
      </c>
    </row>
    <row r="154" spans="1:44" s="137" customFormat="1" ht="11.25" customHeight="1">
      <c r="A154" s="147">
        <v>152</v>
      </c>
      <c r="B154" s="147"/>
      <c r="C154" s="147" t="s">
        <v>416</v>
      </c>
      <c r="D154" s="147"/>
      <c r="E154" s="147">
        <f t="shared" si="22"/>
        <v>13</v>
      </c>
      <c r="F154" s="155" t="s">
        <v>417</v>
      </c>
      <c r="G154" s="152">
        <v>1065</v>
      </c>
      <c r="H154" s="149">
        <f>INT((G154*Valores!$C$2*100)+0.5)/100</f>
        <v>8987.32</v>
      </c>
      <c r="I154" s="159">
        <v>0</v>
      </c>
      <c r="J154" s="149">
        <f>INT((I154*Valores!$C$2*100)+0.5)/100</f>
        <v>0</v>
      </c>
      <c r="K154" s="151">
        <v>0</v>
      </c>
      <c r="L154" s="149">
        <f>INT((K154*Valores!$C$2*100)+0.5)/100</f>
        <v>0</v>
      </c>
      <c r="M154" s="158">
        <v>0</v>
      </c>
      <c r="N154" s="149">
        <f>INT((M154*Valores!$C$2*100)+0.5)/100</f>
        <v>0</v>
      </c>
      <c r="O154" s="149">
        <f t="shared" si="23"/>
        <v>2082.4334999999996</v>
      </c>
      <c r="P154" s="149">
        <f t="shared" si="24"/>
        <v>0</v>
      </c>
      <c r="Q154" s="148">
        <f>Valores!$C$20</f>
        <v>5630.2</v>
      </c>
      <c r="R154" s="148">
        <f>Valores!$D$4</f>
        <v>4313.91</v>
      </c>
      <c r="S154" s="149">
        <f>Valores!$C$27</f>
        <v>3657.61</v>
      </c>
      <c r="T154" s="149">
        <f>Valores!$C$41</f>
        <v>1368.56</v>
      </c>
      <c r="U154" s="148">
        <f>Valores!$C$23</f>
        <v>3527.01</v>
      </c>
      <c r="V154" s="149">
        <f t="shared" si="21"/>
        <v>3527.01</v>
      </c>
      <c r="W154" s="149">
        <v>0</v>
      </c>
      <c r="X154" s="149">
        <v>0</v>
      </c>
      <c r="Y154" s="157">
        <v>0</v>
      </c>
      <c r="Z154" s="149">
        <f>Y154*Valores!$C$2</f>
        <v>0</v>
      </c>
      <c r="AA154" s="149">
        <v>0</v>
      </c>
      <c r="AB154" s="154">
        <f>Valores!$C$29</f>
        <v>199.86</v>
      </c>
      <c r="AC154" s="149">
        <f t="shared" si="26"/>
        <v>0</v>
      </c>
      <c r="AD154" s="149">
        <f>Valores!$C$30</f>
        <v>199.86</v>
      </c>
      <c r="AE154" s="157">
        <v>0</v>
      </c>
      <c r="AF154" s="149">
        <f>INT(((AE154*Valores!$C$2)*100)+0.5)/100</f>
        <v>0</v>
      </c>
      <c r="AG154" s="149">
        <f>Valores!$C$58</f>
        <v>406.53</v>
      </c>
      <c r="AH154" s="149">
        <f>Valores!$C$60</f>
        <v>116.15</v>
      </c>
      <c r="AI154" s="163">
        <f t="shared" si="27"/>
        <v>30489.443500000005</v>
      </c>
      <c r="AJ154" s="148">
        <f>Valores!$C$35</f>
        <v>1046.83</v>
      </c>
      <c r="AK154" s="149">
        <f>Valores!$C$80</f>
        <v>3250</v>
      </c>
      <c r="AL154" s="154">
        <f>Valores!$C$51</f>
        <v>170.34</v>
      </c>
      <c r="AM154" s="162">
        <f t="shared" si="25"/>
        <v>4296.83</v>
      </c>
      <c r="AN154" s="148">
        <f>AI154*-Valores!$C$65</f>
        <v>-3506.286002500001</v>
      </c>
      <c r="AO154" s="146">
        <f>AI154*-Valores!$C$66</f>
        <v>-1372.0249575000003</v>
      </c>
      <c r="AP154" s="170">
        <v>-159.43</v>
      </c>
      <c r="AQ154" s="170">
        <f t="shared" si="28"/>
        <v>-53.83</v>
      </c>
      <c r="AR154" s="162">
        <f t="shared" si="29"/>
        <v>29694.70254</v>
      </c>
    </row>
    <row r="155" spans="1:44" s="137" customFormat="1" ht="11.25" customHeight="1">
      <c r="A155" s="147">
        <v>153</v>
      </c>
      <c r="B155" s="147"/>
      <c r="C155" s="147" t="s">
        <v>418</v>
      </c>
      <c r="D155" s="147"/>
      <c r="E155" s="147">
        <f t="shared" si="22"/>
        <v>16</v>
      </c>
      <c r="F155" s="155" t="s">
        <v>419</v>
      </c>
      <c r="G155" s="152">
        <v>947</v>
      </c>
      <c r="H155" s="149">
        <f>INT((G155*Valores!$C$2*100)+0.5)/100</f>
        <v>7991.54</v>
      </c>
      <c r="I155" s="159">
        <v>0</v>
      </c>
      <c r="J155" s="149">
        <f>INT((I155*Valores!$C$2*100)+0.5)/100</f>
        <v>0</v>
      </c>
      <c r="K155" s="151">
        <v>0</v>
      </c>
      <c r="L155" s="149">
        <f>INT((K155*Valores!$C$2*100)+0.5)/100</f>
        <v>0</v>
      </c>
      <c r="M155" s="158">
        <v>0</v>
      </c>
      <c r="N155" s="149">
        <f>INT((M155*Valores!$C$2*100)+0.5)/100</f>
        <v>0</v>
      </c>
      <c r="O155" s="149">
        <f t="shared" si="23"/>
        <v>1933.0664999999997</v>
      </c>
      <c r="P155" s="149">
        <f t="shared" si="24"/>
        <v>0</v>
      </c>
      <c r="Q155" s="148">
        <f>Valores!$C$20</f>
        <v>5630.2</v>
      </c>
      <c r="R155" s="148">
        <f>Valores!$D$4</f>
        <v>4313.91</v>
      </c>
      <c r="S155" s="149">
        <f>Valores!$C$27</f>
        <v>3657.61</v>
      </c>
      <c r="T155" s="149">
        <f>Valores!$C$41</f>
        <v>1368.56</v>
      </c>
      <c r="U155" s="148">
        <f>Valores!$C$23</f>
        <v>3527.01</v>
      </c>
      <c r="V155" s="149">
        <f t="shared" si="21"/>
        <v>3527.01</v>
      </c>
      <c r="W155" s="149">
        <v>0</v>
      </c>
      <c r="X155" s="149">
        <v>0</v>
      </c>
      <c r="Y155" s="157">
        <v>0</v>
      </c>
      <c r="Z155" s="149">
        <f>Y155*Valores!$C$2</f>
        <v>0</v>
      </c>
      <c r="AA155" s="149">
        <v>0</v>
      </c>
      <c r="AB155" s="154">
        <f>Valores!$C$29</f>
        <v>199.86</v>
      </c>
      <c r="AC155" s="149">
        <f t="shared" si="26"/>
        <v>0</v>
      </c>
      <c r="AD155" s="149">
        <f>Valores!$C$30</f>
        <v>199.86</v>
      </c>
      <c r="AE155" s="157">
        <v>0</v>
      </c>
      <c r="AF155" s="149">
        <f>INT(((AE155*Valores!$C$2)*100)+0.5)/100</f>
        <v>0</v>
      </c>
      <c r="AG155" s="149">
        <f>Valores!$C$58</f>
        <v>406.53</v>
      </c>
      <c r="AH155" s="149">
        <f>Valores!$C$60</f>
        <v>116.15</v>
      </c>
      <c r="AI155" s="163">
        <f t="shared" si="27"/>
        <v>29344.2965</v>
      </c>
      <c r="AJ155" s="148">
        <f>Valores!$C$35</f>
        <v>1046.83</v>
      </c>
      <c r="AK155" s="149">
        <f>Valores!$C$80</f>
        <v>3250</v>
      </c>
      <c r="AL155" s="154">
        <f>Valores!$C$51</f>
        <v>170.34</v>
      </c>
      <c r="AM155" s="162">
        <f t="shared" si="25"/>
        <v>4296.83</v>
      </c>
      <c r="AN155" s="148">
        <f>AI155*-Valores!$C$65</f>
        <v>-3374.5940975000003</v>
      </c>
      <c r="AO155" s="146">
        <f>AI155*-Valores!$C$66</f>
        <v>-1320.4933425</v>
      </c>
      <c r="AP155" s="170">
        <v>-159.43</v>
      </c>
      <c r="AQ155" s="170">
        <f t="shared" si="28"/>
        <v>-53.83</v>
      </c>
      <c r="AR155" s="162">
        <f t="shared" si="29"/>
        <v>28732.779059999993</v>
      </c>
    </row>
    <row r="156" spans="1:44" s="137" customFormat="1" ht="11.25" customHeight="1">
      <c r="A156" s="147">
        <v>154</v>
      </c>
      <c r="B156" s="147"/>
      <c r="C156" s="147" t="s">
        <v>420</v>
      </c>
      <c r="D156" s="147"/>
      <c r="E156" s="147">
        <f t="shared" si="22"/>
        <v>31</v>
      </c>
      <c r="F156" s="155" t="s">
        <v>421</v>
      </c>
      <c r="G156" s="152">
        <v>1800</v>
      </c>
      <c r="H156" s="149">
        <f>INT((G156*Valores!$C$2*100)+0.5)/100</f>
        <v>15189.84</v>
      </c>
      <c r="I156" s="159">
        <v>0</v>
      </c>
      <c r="J156" s="149">
        <f>INT((I156*Valores!$C$2*100)+0.5)/100</f>
        <v>0</v>
      </c>
      <c r="K156" s="151">
        <v>0</v>
      </c>
      <c r="L156" s="149">
        <f>INT((K156*Valores!$C$2*100)+0.5)/100</f>
        <v>0</v>
      </c>
      <c r="M156" s="158">
        <v>0</v>
      </c>
      <c r="N156" s="149">
        <f>INT((M156*Valores!$C$2*100)+0.5)/100</f>
        <v>0</v>
      </c>
      <c r="O156" s="149">
        <f t="shared" si="23"/>
        <v>3156.2309999999993</v>
      </c>
      <c r="P156" s="149">
        <f t="shared" si="24"/>
        <v>0</v>
      </c>
      <c r="Q156" s="148">
        <f>Valores!$C$15</f>
        <v>5862.51</v>
      </c>
      <c r="R156" s="148">
        <f>Valores!$D$4</f>
        <v>4313.91</v>
      </c>
      <c r="S156" s="148">
        <f>Valores!$C$26</f>
        <v>3959.57</v>
      </c>
      <c r="T156" s="148">
        <f>Valores!$C$43</f>
        <v>2324.69</v>
      </c>
      <c r="U156" s="149">
        <f>Valores!$C$23</f>
        <v>3527.01</v>
      </c>
      <c r="V156" s="149">
        <f t="shared" si="21"/>
        <v>3527.01</v>
      </c>
      <c r="W156" s="149">
        <v>0</v>
      </c>
      <c r="X156" s="149">
        <v>0</v>
      </c>
      <c r="Y156" s="157">
        <v>0</v>
      </c>
      <c r="Z156" s="149">
        <f>Y156*Valores!$C$2</f>
        <v>0</v>
      </c>
      <c r="AA156" s="149">
        <v>0</v>
      </c>
      <c r="AB156" s="154">
        <f>Valores!$C$29</f>
        <v>199.86</v>
      </c>
      <c r="AC156" s="149">
        <f t="shared" si="26"/>
        <v>0</v>
      </c>
      <c r="AD156" s="149">
        <f>Valores!$C$30</f>
        <v>199.86</v>
      </c>
      <c r="AE156" s="157">
        <v>0</v>
      </c>
      <c r="AF156" s="149">
        <f>INT(((AE156*Valores!$C$2)*100)+0.5)/100</f>
        <v>0</v>
      </c>
      <c r="AG156" s="149">
        <f>Valores!$C$58</f>
        <v>406.53</v>
      </c>
      <c r="AH156" s="149">
        <f>Valores!$C$60</f>
        <v>116.15</v>
      </c>
      <c r="AI156" s="163">
        <f t="shared" si="27"/>
        <v>39256.161</v>
      </c>
      <c r="AJ156" s="148">
        <f>Valores!$C$35</f>
        <v>1046.83</v>
      </c>
      <c r="AK156" s="149">
        <f>Valores!$C$80</f>
        <v>3250</v>
      </c>
      <c r="AL156" s="154">
        <f>Valores!$C$51</f>
        <v>170.34</v>
      </c>
      <c r="AM156" s="162">
        <f t="shared" si="25"/>
        <v>4296.83</v>
      </c>
      <c r="AN156" s="148">
        <f>AI156*-Valores!$C$65</f>
        <v>-4514.458515</v>
      </c>
      <c r="AO156" s="146">
        <f>AI156*-Valores!$C$66</f>
        <v>-1766.527245</v>
      </c>
      <c r="AP156" s="170">
        <v>-159.43</v>
      </c>
      <c r="AQ156" s="170">
        <f t="shared" si="28"/>
        <v>-53.83</v>
      </c>
      <c r="AR156" s="162">
        <f t="shared" si="29"/>
        <v>37058.745240000004</v>
      </c>
    </row>
    <row r="157" spans="1:44" s="137" customFormat="1" ht="11.25" customHeight="1">
      <c r="A157" s="147">
        <v>155</v>
      </c>
      <c r="B157" s="147" t="s">
        <v>135</v>
      </c>
      <c r="C157" s="147" t="s">
        <v>422</v>
      </c>
      <c r="D157" s="147"/>
      <c r="E157" s="147">
        <f t="shared" si="22"/>
        <v>19</v>
      </c>
      <c r="F157" s="155" t="s">
        <v>423</v>
      </c>
      <c r="G157" s="152">
        <v>1278</v>
      </c>
      <c r="H157" s="149">
        <f>INT((G157*Valores!$C$2*100)+0.5)/100</f>
        <v>10784.79</v>
      </c>
      <c r="I157" s="159">
        <v>0</v>
      </c>
      <c r="J157" s="149">
        <f>INT((I157*Valores!$C$2*100)+0.5)/100</f>
        <v>0</v>
      </c>
      <c r="K157" s="151">
        <v>0</v>
      </c>
      <c r="L157" s="149">
        <f>INT((K157*Valores!$C$2*100)+0.5)/100</f>
        <v>0</v>
      </c>
      <c r="M157" s="158">
        <v>0</v>
      </c>
      <c r="N157" s="149">
        <f>INT((M157*Valores!$C$2*100)+0.5)/100</f>
        <v>0</v>
      </c>
      <c r="O157" s="149">
        <f t="shared" si="23"/>
        <v>2380.743</v>
      </c>
      <c r="P157" s="149">
        <f t="shared" si="24"/>
        <v>0</v>
      </c>
      <c r="Q157" s="148">
        <f>Valores!$C$15</f>
        <v>5862.51</v>
      </c>
      <c r="R157" s="148">
        <f>Valores!$D$4</f>
        <v>4313.91</v>
      </c>
      <c r="S157" s="148">
        <f>Valores!$C$26</f>
        <v>3959.57</v>
      </c>
      <c r="T157" s="148">
        <f>Valores!$C$42</f>
        <v>1559.82</v>
      </c>
      <c r="U157" s="149">
        <f>Valores!$C$23</f>
        <v>3527.01</v>
      </c>
      <c r="V157" s="149">
        <f t="shared" si="21"/>
        <v>3527.01</v>
      </c>
      <c r="W157" s="149">
        <v>0</v>
      </c>
      <c r="X157" s="149">
        <v>0</v>
      </c>
      <c r="Y157" s="157">
        <v>0</v>
      </c>
      <c r="Z157" s="149">
        <f>Y157*Valores!$C$2</f>
        <v>0</v>
      </c>
      <c r="AA157" s="149">
        <v>0</v>
      </c>
      <c r="AB157" s="154">
        <f>Valores!$C$29</f>
        <v>199.86</v>
      </c>
      <c r="AC157" s="149">
        <f t="shared" si="26"/>
        <v>0</v>
      </c>
      <c r="AD157" s="149">
        <f>Valores!$C$30</f>
        <v>199.86</v>
      </c>
      <c r="AE157" s="157">
        <v>0</v>
      </c>
      <c r="AF157" s="149">
        <f>INT(((AE157*Valores!$C$2)*100)+0.5)/100</f>
        <v>0</v>
      </c>
      <c r="AG157" s="149">
        <f>Valores!$C$58</f>
        <v>406.53</v>
      </c>
      <c r="AH157" s="149">
        <f>Valores!$C$60</f>
        <v>116.15</v>
      </c>
      <c r="AI157" s="163">
        <f t="shared" si="27"/>
        <v>33310.753000000004</v>
      </c>
      <c r="AJ157" s="148">
        <f>Valores!$C$35</f>
        <v>1046.83</v>
      </c>
      <c r="AK157" s="149">
        <f>Valores!$C$80</f>
        <v>3250</v>
      </c>
      <c r="AL157" s="154">
        <f>Valores!$C$51</f>
        <v>170.34</v>
      </c>
      <c r="AM157" s="162">
        <f t="shared" si="25"/>
        <v>4296.83</v>
      </c>
      <c r="AN157" s="148">
        <f>AI157*-Valores!$C$65</f>
        <v>-3830.7365950000008</v>
      </c>
      <c r="AO157" s="146">
        <f>AI157*-Valores!$C$66</f>
        <v>-1498.983885</v>
      </c>
      <c r="AP157" s="170">
        <v>-159.43</v>
      </c>
      <c r="AQ157" s="170">
        <f t="shared" si="28"/>
        <v>-53.83</v>
      </c>
      <c r="AR157" s="162">
        <f t="shared" si="29"/>
        <v>32064.60252</v>
      </c>
    </row>
    <row r="158" spans="1:44" s="137" customFormat="1" ht="11.25" customHeight="1">
      <c r="A158" s="147">
        <v>156</v>
      </c>
      <c r="B158" s="147"/>
      <c r="C158" s="147" t="s">
        <v>424</v>
      </c>
      <c r="D158" s="147"/>
      <c r="E158" s="147">
        <f t="shared" si="22"/>
        <v>28</v>
      </c>
      <c r="F158" s="155" t="s">
        <v>425</v>
      </c>
      <c r="G158" s="152">
        <v>1214</v>
      </c>
      <c r="H158" s="149">
        <f>INT((G158*Valores!$C$2*100)+0.5)/100</f>
        <v>10244.7</v>
      </c>
      <c r="I158" s="159">
        <v>0</v>
      </c>
      <c r="J158" s="149">
        <f>INT((I158*Valores!$C$2*100)+0.5)/100</f>
        <v>0</v>
      </c>
      <c r="K158" s="151">
        <v>0</v>
      </c>
      <c r="L158" s="149">
        <f>INT((K158*Valores!$C$2*100)+0.5)/100</f>
        <v>0</v>
      </c>
      <c r="M158" s="158">
        <v>0</v>
      </c>
      <c r="N158" s="149">
        <f>INT((M158*Valores!$C$2*100)+0.5)/100</f>
        <v>0</v>
      </c>
      <c r="O158" s="149">
        <f t="shared" si="23"/>
        <v>2299.7295</v>
      </c>
      <c r="P158" s="149">
        <f t="shared" si="24"/>
        <v>0</v>
      </c>
      <c r="Q158" s="148">
        <f>Valores!$C$20</f>
        <v>5630.2</v>
      </c>
      <c r="R158" s="148">
        <f>Valores!$D$4</f>
        <v>4313.91</v>
      </c>
      <c r="S158" s="149">
        <f>Valores!$C$26</f>
        <v>3959.57</v>
      </c>
      <c r="T158" s="149">
        <f>Valores!$C$42</f>
        <v>1559.82</v>
      </c>
      <c r="U158" s="149">
        <f>Valores!$C$23</f>
        <v>3527.01</v>
      </c>
      <c r="V158" s="149">
        <f t="shared" si="21"/>
        <v>3527.01</v>
      </c>
      <c r="W158" s="149">
        <v>0</v>
      </c>
      <c r="X158" s="149">
        <v>0</v>
      </c>
      <c r="Y158" s="157">
        <v>0</v>
      </c>
      <c r="Z158" s="149">
        <f>Y158*Valores!$C$2</f>
        <v>0</v>
      </c>
      <c r="AA158" s="149">
        <v>0</v>
      </c>
      <c r="AB158" s="154">
        <f>Valores!$C$29</f>
        <v>199.86</v>
      </c>
      <c r="AC158" s="149">
        <f t="shared" si="26"/>
        <v>0</v>
      </c>
      <c r="AD158" s="149">
        <f>Valores!$C$30</f>
        <v>199.86</v>
      </c>
      <c r="AE158" s="157">
        <v>0</v>
      </c>
      <c r="AF158" s="149">
        <f>INT(((AE158*Valores!$C$2)*100)+0.5)/100</f>
        <v>0</v>
      </c>
      <c r="AG158" s="149">
        <f>Valores!$C$58</f>
        <v>406.53</v>
      </c>
      <c r="AH158" s="149">
        <f>Valores!$C$60</f>
        <v>116.15</v>
      </c>
      <c r="AI158" s="163">
        <f t="shared" si="27"/>
        <v>32457.339500000002</v>
      </c>
      <c r="AJ158" s="148">
        <f>Valores!$C$35</f>
        <v>1046.83</v>
      </c>
      <c r="AK158" s="149">
        <f>Valores!$C$80</f>
        <v>3250</v>
      </c>
      <c r="AL158" s="154">
        <f>Valores!$C$51</f>
        <v>170.34</v>
      </c>
      <c r="AM158" s="162">
        <f t="shared" si="25"/>
        <v>4296.83</v>
      </c>
      <c r="AN158" s="148">
        <f>AI158*-Valores!$C$65</f>
        <v>-3732.5940425000003</v>
      </c>
      <c r="AO158" s="146">
        <f>AI158*-Valores!$C$66</f>
        <v>-1460.5802775</v>
      </c>
      <c r="AP158" s="170">
        <v>-159.43</v>
      </c>
      <c r="AQ158" s="170">
        <f t="shared" si="28"/>
        <v>-53.83</v>
      </c>
      <c r="AR158" s="162">
        <f t="shared" si="29"/>
        <v>31347.73518</v>
      </c>
    </row>
    <row r="159" spans="1:44" s="137" customFormat="1" ht="11.25" customHeight="1">
      <c r="A159" s="147">
        <v>157</v>
      </c>
      <c r="B159" s="147"/>
      <c r="C159" s="147" t="s">
        <v>426</v>
      </c>
      <c r="D159" s="147"/>
      <c r="E159" s="147">
        <f t="shared" si="22"/>
        <v>25</v>
      </c>
      <c r="F159" s="155" t="s">
        <v>427</v>
      </c>
      <c r="G159" s="152">
        <f>1106+78</f>
        <v>1184</v>
      </c>
      <c r="H159" s="149">
        <f>INT((G159*Valores!$C$2*100)+0.5)/100</f>
        <v>9991.54</v>
      </c>
      <c r="I159" s="159">
        <v>0</v>
      </c>
      <c r="J159" s="149">
        <f>INT((I159*Valores!$C$2*100)+0.5)/100</f>
        <v>0</v>
      </c>
      <c r="K159" s="151">
        <v>0</v>
      </c>
      <c r="L159" s="149">
        <f>INT((K159*Valores!$C$2*100)+0.5)/100</f>
        <v>0</v>
      </c>
      <c r="M159" s="158">
        <v>0</v>
      </c>
      <c r="N159" s="149">
        <f>INT((M159*Valores!$C$2*100)+0.5)/100</f>
        <v>0</v>
      </c>
      <c r="O159" s="149">
        <f t="shared" si="23"/>
        <v>2254.7805</v>
      </c>
      <c r="P159" s="149">
        <f t="shared" si="24"/>
        <v>0</v>
      </c>
      <c r="Q159" s="148">
        <f>Valores!$C$20</f>
        <v>5630.2</v>
      </c>
      <c r="R159" s="148">
        <f>Valores!$D$4</f>
        <v>4313.91</v>
      </c>
      <c r="S159" s="149">
        <v>0</v>
      </c>
      <c r="T159" s="149">
        <f>Valores!$C$42</f>
        <v>1559.82</v>
      </c>
      <c r="U159" s="148">
        <f>Valores!$C$24</f>
        <v>3480.51</v>
      </c>
      <c r="V159" s="149">
        <f t="shared" si="21"/>
        <v>3480.51</v>
      </c>
      <c r="W159" s="149">
        <v>0</v>
      </c>
      <c r="X159" s="149">
        <v>0</v>
      </c>
      <c r="Y159" s="157">
        <v>0</v>
      </c>
      <c r="Z159" s="149">
        <f>Y159*Valores!$C$2</f>
        <v>0</v>
      </c>
      <c r="AA159" s="149">
        <v>0</v>
      </c>
      <c r="AB159" s="154">
        <f>Valores!$C$29</f>
        <v>199.86</v>
      </c>
      <c r="AC159" s="149">
        <f t="shared" si="26"/>
        <v>0</v>
      </c>
      <c r="AD159" s="149">
        <f>Valores!$C$30</f>
        <v>199.86</v>
      </c>
      <c r="AE159" s="157">
        <v>0</v>
      </c>
      <c r="AF159" s="149">
        <f>INT(((AE159*Valores!$C$2)*100)+0.5)/100</f>
        <v>0</v>
      </c>
      <c r="AG159" s="149">
        <f>Valores!$C$58</f>
        <v>406.53</v>
      </c>
      <c r="AH159" s="149">
        <f>Valores!$C$60</f>
        <v>116.15</v>
      </c>
      <c r="AI159" s="163">
        <f t="shared" si="27"/>
        <v>28153.160500000005</v>
      </c>
      <c r="AJ159" s="148">
        <f>Valores!$C$35</f>
        <v>1046.83</v>
      </c>
      <c r="AK159" s="149">
        <f>Valores!$C$80</f>
        <v>3250</v>
      </c>
      <c r="AL159" s="154">
        <f>Valores!$C$51</f>
        <v>170.34</v>
      </c>
      <c r="AM159" s="162">
        <f t="shared" si="25"/>
        <v>4296.83</v>
      </c>
      <c r="AN159" s="148">
        <f>AI159*-Valores!$C$65</f>
        <v>-3237.6134575000005</v>
      </c>
      <c r="AO159" s="146">
        <f>AI159*-Valores!$C$66</f>
        <v>-1266.8922225000001</v>
      </c>
      <c r="AP159" s="170">
        <v>-159.43</v>
      </c>
      <c r="AQ159" s="170">
        <f t="shared" si="28"/>
        <v>-53.83</v>
      </c>
      <c r="AR159" s="162">
        <f t="shared" si="29"/>
        <v>27732.224820000007</v>
      </c>
    </row>
    <row r="160" spans="1:44" s="137" customFormat="1" ht="11.25" customHeight="1">
      <c r="A160" s="147">
        <v>158</v>
      </c>
      <c r="B160" s="147"/>
      <c r="C160" s="147" t="s">
        <v>428</v>
      </c>
      <c r="D160" s="147"/>
      <c r="E160" s="147">
        <f t="shared" si="22"/>
        <v>24</v>
      </c>
      <c r="F160" s="155" t="s">
        <v>429</v>
      </c>
      <c r="G160" s="152">
        <v>971</v>
      </c>
      <c r="H160" s="149">
        <f>INT((G160*Valores!$C$2*100)+0.5)/100</f>
        <v>8194.07</v>
      </c>
      <c r="I160" s="159">
        <v>0</v>
      </c>
      <c r="J160" s="149">
        <f>INT((I160*Valores!$C$2*100)+0.5)/100</f>
        <v>0</v>
      </c>
      <c r="K160" s="151">
        <v>0</v>
      </c>
      <c r="L160" s="149">
        <f>INT((K160*Valores!$C$2*100)+0.5)/100</f>
        <v>0</v>
      </c>
      <c r="M160" s="158">
        <v>0</v>
      </c>
      <c r="N160" s="149">
        <f>INT((M160*Valores!$C$2*100)+0.5)/100</f>
        <v>0</v>
      </c>
      <c r="O160" s="149">
        <f t="shared" si="23"/>
        <v>1963.446</v>
      </c>
      <c r="P160" s="149">
        <f t="shared" si="24"/>
        <v>0</v>
      </c>
      <c r="Q160" s="148">
        <f>Valores!$C$20</f>
        <v>5630.2</v>
      </c>
      <c r="R160" s="148">
        <f>Valores!$D$4</f>
        <v>4313.91</v>
      </c>
      <c r="S160" s="148">
        <f>Valores!$C$27</f>
        <v>3657.61</v>
      </c>
      <c r="T160" s="148">
        <f>Valores!$C$41</f>
        <v>1368.56</v>
      </c>
      <c r="U160" s="149">
        <f>Valores!$C$23</f>
        <v>3527.01</v>
      </c>
      <c r="V160" s="149">
        <f t="shared" si="21"/>
        <v>3527.01</v>
      </c>
      <c r="W160" s="149">
        <v>0</v>
      </c>
      <c r="X160" s="149">
        <v>0</v>
      </c>
      <c r="Y160" s="157">
        <v>0</v>
      </c>
      <c r="Z160" s="149">
        <f>Y160*Valores!$C$2</f>
        <v>0</v>
      </c>
      <c r="AA160" s="149">
        <v>0</v>
      </c>
      <c r="AB160" s="154">
        <f>Valores!$C$29</f>
        <v>199.86</v>
      </c>
      <c r="AC160" s="149">
        <f t="shared" si="26"/>
        <v>0</v>
      </c>
      <c r="AD160" s="149">
        <f>Valores!$C$29</f>
        <v>199.86</v>
      </c>
      <c r="AE160" s="157">
        <v>0</v>
      </c>
      <c r="AF160" s="149">
        <f>INT(((AE160*Valores!$C$2)*100)+0.5)/100</f>
        <v>0</v>
      </c>
      <c r="AG160" s="149">
        <f>Valores!$C$58</f>
        <v>406.53</v>
      </c>
      <c r="AH160" s="149">
        <f>Valores!$C$60</f>
        <v>116.15</v>
      </c>
      <c r="AI160" s="163">
        <f t="shared" si="27"/>
        <v>29577.206000000002</v>
      </c>
      <c r="AJ160" s="148">
        <f>Valores!$C$35</f>
        <v>1046.83</v>
      </c>
      <c r="AK160" s="149">
        <f>Valores!$C$80</f>
        <v>3250</v>
      </c>
      <c r="AL160" s="154">
        <f>Valores!$C$53</f>
        <v>155.54</v>
      </c>
      <c r="AM160" s="162">
        <f t="shared" si="25"/>
        <v>4296.83</v>
      </c>
      <c r="AN160" s="148">
        <f>AI160*-Valores!$C$65</f>
        <v>-3401.3786900000005</v>
      </c>
      <c r="AO160" s="146">
        <f>AI160*-Valores!$C$66</f>
        <v>-1330.97427</v>
      </c>
      <c r="AP160" s="170">
        <v>-159.43</v>
      </c>
      <c r="AQ160" s="170">
        <f t="shared" si="28"/>
        <v>-53.83</v>
      </c>
      <c r="AR160" s="162">
        <f t="shared" si="29"/>
        <v>28928.423039999998</v>
      </c>
    </row>
    <row r="161" spans="1:44" s="137" customFormat="1" ht="11.25" customHeight="1">
      <c r="A161" s="147">
        <v>159</v>
      </c>
      <c r="B161" s="147"/>
      <c r="C161" s="147" t="s">
        <v>428</v>
      </c>
      <c r="D161" s="147"/>
      <c r="E161" s="147">
        <f t="shared" si="22"/>
        <v>35</v>
      </c>
      <c r="F161" s="155" t="s">
        <v>430</v>
      </c>
      <c r="G161" s="152">
        <v>971</v>
      </c>
      <c r="H161" s="149">
        <f>INT((G161*Valores!$C$2*100)+0.5)/100</f>
        <v>8194.07</v>
      </c>
      <c r="I161" s="159">
        <v>0</v>
      </c>
      <c r="J161" s="149">
        <f>INT((I161*Valores!$C$2*100)+0.5)/100</f>
        <v>0</v>
      </c>
      <c r="K161" s="151">
        <v>0</v>
      </c>
      <c r="L161" s="149">
        <f>INT((K161*Valores!$C$2*100)+0.5)/100</f>
        <v>0</v>
      </c>
      <c r="M161" s="158">
        <v>0</v>
      </c>
      <c r="N161" s="149">
        <f>INT((M161*Valores!$C$2*100)+0.5)/100</f>
        <v>0</v>
      </c>
      <c r="O161" s="149">
        <f t="shared" si="23"/>
        <v>2613.1935</v>
      </c>
      <c r="P161" s="149">
        <f t="shared" si="24"/>
        <v>0</v>
      </c>
      <c r="Q161" s="148">
        <f>Valores!$C$20</f>
        <v>5630.2</v>
      </c>
      <c r="R161" s="148">
        <f>Valores!$D$4</f>
        <v>4313.91</v>
      </c>
      <c r="S161" s="148">
        <f>Valores!$C$27</f>
        <v>3657.61</v>
      </c>
      <c r="T161" s="148">
        <f>Valores!$C$43</f>
        <v>2324.69</v>
      </c>
      <c r="U161" s="149">
        <f>Valores!$C$23</f>
        <v>3527.01</v>
      </c>
      <c r="V161" s="149">
        <f t="shared" si="21"/>
        <v>3527.01</v>
      </c>
      <c r="W161" s="149">
        <v>0</v>
      </c>
      <c r="X161" s="149">
        <v>0</v>
      </c>
      <c r="Y161" s="150">
        <v>400</v>
      </c>
      <c r="Z161" s="149">
        <f>Y161*Valores!$C$2</f>
        <v>3375.5200000000004</v>
      </c>
      <c r="AA161" s="148">
        <f>SUM(L161,J161,H161,T161)*Valores!$C$3</f>
        <v>1577.814</v>
      </c>
      <c r="AB161" s="154">
        <f>Valores!$C$29</f>
        <v>199.86</v>
      </c>
      <c r="AC161" s="149">
        <f t="shared" si="26"/>
        <v>0</v>
      </c>
      <c r="AD161" s="149">
        <f>Valores!$C$29</f>
        <v>199.86</v>
      </c>
      <c r="AE161" s="157">
        <v>94</v>
      </c>
      <c r="AF161" s="149">
        <f>INT(((AE161*Valores!$C$2)*100)+0.5)/100</f>
        <v>793.25</v>
      </c>
      <c r="AG161" s="149">
        <f>Valores!$C$58</f>
        <v>406.53</v>
      </c>
      <c r="AH161" s="149">
        <f>Valores!$C$60</f>
        <v>116.15</v>
      </c>
      <c r="AI161" s="163">
        <f t="shared" si="27"/>
        <v>36929.6675</v>
      </c>
      <c r="AJ161" s="148">
        <f>Valores!$C$35</f>
        <v>1046.83</v>
      </c>
      <c r="AK161" s="149">
        <f>Valores!$C$80</f>
        <v>3250</v>
      </c>
      <c r="AL161" s="154">
        <f>Valores!$C$53</f>
        <v>155.54</v>
      </c>
      <c r="AM161" s="162">
        <f t="shared" si="25"/>
        <v>4296.83</v>
      </c>
      <c r="AN161" s="148">
        <f>AI161*-Valores!$C$65</f>
        <v>-4246.911762500001</v>
      </c>
      <c r="AO161" s="146">
        <f>AI161*-Valores!$C$66</f>
        <v>-1661.8350375</v>
      </c>
      <c r="AP161" s="170">
        <v>-159.43</v>
      </c>
      <c r="AQ161" s="170">
        <f t="shared" si="28"/>
        <v>-53.83</v>
      </c>
      <c r="AR161" s="162">
        <f t="shared" si="29"/>
        <v>35104.4907</v>
      </c>
    </row>
    <row r="162" spans="1:44" s="137" customFormat="1" ht="11.25" customHeight="1">
      <c r="A162" s="147">
        <v>160</v>
      </c>
      <c r="B162" s="147" t="s">
        <v>135</v>
      </c>
      <c r="C162" s="147" t="s">
        <v>428</v>
      </c>
      <c r="D162" s="147"/>
      <c r="E162" s="147">
        <f t="shared" si="22"/>
        <v>44</v>
      </c>
      <c r="F162" s="155" t="s">
        <v>431</v>
      </c>
      <c r="G162" s="152">
        <v>971</v>
      </c>
      <c r="H162" s="149">
        <f>INT((G162*Valores!$C$2*100)+0.5)/100</f>
        <v>8194.07</v>
      </c>
      <c r="I162" s="159">
        <v>0</v>
      </c>
      <c r="J162" s="149">
        <f>INT((I162*Valores!$C$2*100)+0.5)/100</f>
        <v>0</v>
      </c>
      <c r="K162" s="151">
        <v>0</v>
      </c>
      <c r="L162" s="149">
        <f>INT((K162*Valores!$C$2*100)+0.5)/100</f>
        <v>0</v>
      </c>
      <c r="M162" s="158">
        <v>0</v>
      </c>
      <c r="N162" s="149">
        <f>INT((M162*Valores!$C$2*100)+0.5)/100</f>
        <v>0</v>
      </c>
      <c r="O162" s="149">
        <f t="shared" si="23"/>
        <v>2297.09568</v>
      </c>
      <c r="P162" s="149">
        <f t="shared" si="24"/>
        <v>0</v>
      </c>
      <c r="Q162" s="148">
        <f>Valores!$C$20</f>
        <v>5630.2</v>
      </c>
      <c r="R162" s="148">
        <f>Valores!$D$4</f>
        <v>4313.91</v>
      </c>
      <c r="S162" s="148">
        <f>Valores!$C$27</f>
        <v>3657.61</v>
      </c>
      <c r="T162" s="148">
        <v>225.81</v>
      </c>
      <c r="U162" s="149">
        <f>Valores!$C$23</f>
        <v>3527.01</v>
      </c>
      <c r="V162" s="149">
        <f t="shared" si="21"/>
        <v>3527.01</v>
      </c>
      <c r="W162" s="149">
        <v>0</v>
      </c>
      <c r="X162" s="149">
        <v>0</v>
      </c>
      <c r="Y162" s="150">
        <v>399</v>
      </c>
      <c r="Z162" s="149">
        <f>Y162*Valores!$C$2</f>
        <v>3367.0812</v>
      </c>
      <c r="AA162" s="148">
        <f>SUM(L162,J162,H162,T162)*Valores!$C$3</f>
        <v>1262.9819999999997</v>
      </c>
      <c r="AB162" s="154">
        <f>Valores!$C$29</f>
        <v>199.86</v>
      </c>
      <c r="AC162" s="149">
        <f t="shared" si="26"/>
        <v>0</v>
      </c>
      <c r="AD162" s="149">
        <f>Valores!$C$29</f>
        <v>199.86</v>
      </c>
      <c r="AE162" s="157">
        <v>94</v>
      </c>
      <c r="AF162" s="149">
        <f>INT(((AE162*Valores!$C$2)*100)+0.5)/100</f>
        <v>793.25</v>
      </c>
      <c r="AG162" s="149">
        <f>Valores!$C$58</f>
        <v>406.53</v>
      </c>
      <c r="AH162" s="149">
        <f>Valores!$C$60</f>
        <v>116.15</v>
      </c>
      <c r="AI162" s="163">
        <f t="shared" si="27"/>
        <v>34191.418880000005</v>
      </c>
      <c r="AJ162" s="148">
        <v>0</v>
      </c>
      <c r="AK162" s="149">
        <v>0</v>
      </c>
      <c r="AL162" s="154">
        <v>0</v>
      </c>
      <c r="AM162" s="162">
        <f t="shared" si="25"/>
        <v>0</v>
      </c>
      <c r="AN162" s="148">
        <f>AI162*-Valores!$C$65</f>
        <v>-3932.0131712000007</v>
      </c>
      <c r="AO162" s="146">
        <f>AI162*-Valores!$C$66</f>
        <v>-1538.6138496</v>
      </c>
      <c r="AP162" s="170">
        <v>-159.43</v>
      </c>
      <c r="AQ162" s="170">
        <f t="shared" si="28"/>
        <v>-53.83</v>
      </c>
      <c r="AR162" s="162">
        <f t="shared" si="29"/>
        <v>28507.531859200004</v>
      </c>
    </row>
    <row r="163" spans="1:44" s="137" customFormat="1" ht="11.25" customHeight="1">
      <c r="A163" s="147">
        <v>161</v>
      </c>
      <c r="B163" s="147"/>
      <c r="C163" s="147" t="s">
        <v>432</v>
      </c>
      <c r="D163" s="147"/>
      <c r="E163" s="147">
        <f t="shared" si="22"/>
        <v>21</v>
      </c>
      <c r="F163" s="155" t="s">
        <v>433</v>
      </c>
      <c r="G163" s="152">
        <v>810</v>
      </c>
      <c r="H163" s="149">
        <f>INT((G163*Valores!$C$2*100)+0.5)/100</f>
        <v>6835.43</v>
      </c>
      <c r="I163" s="159">
        <v>0</v>
      </c>
      <c r="J163" s="149">
        <f>INT((I163*Valores!$C$2*100)+0.5)/100</f>
        <v>0</v>
      </c>
      <c r="K163" s="151">
        <v>0</v>
      </c>
      <c r="L163" s="149">
        <f>INT((K163*Valores!$C$2*100)+0.5)/100</f>
        <v>0</v>
      </c>
      <c r="M163" s="158">
        <v>0</v>
      </c>
      <c r="N163" s="149">
        <f>INT((M163*Valores!$C$2*100)+0.5)/100</f>
        <v>0</v>
      </c>
      <c r="O163" s="149">
        <f t="shared" si="23"/>
        <v>1752.675</v>
      </c>
      <c r="P163" s="149">
        <f t="shared" si="24"/>
        <v>0</v>
      </c>
      <c r="Q163" s="148">
        <f>Valores!$C$20</f>
        <v>5630.2</v>
      </c>
      <c r="R163" s="148">
        <f>Valores!$D$4</f>
        <v>4313.91</v>
      </c>
      <c r="S163" s="148">
        <f>Valores!$C$27</f>
        <v>3657.61</v>
      </c>
      <c r="T163" s="148">
        <f>Valores!$C$41</f>
        <v>1368.56</v>
      </c>
      <c r="U163" s="148">
        <f>Valores!$C$24</f>
        <v>3480.51</v>
      </c>
      <c r="V163" s="149">
        <f t="shared" si="21"/>
        <v>3480.51</v>
      </c>
      <c r="W163" s="149">
        <v>0</v>
      </c>
      <c r="X163" s="149">
        <v>0</v>
      </c>
      <c r="Y163" s="157">
        <v>0</v>
      </c>
      <c r="Z163" s="149">
        <f>Y163*Valores!$C$2</f>
        <v>0</v>
      </c>
      <c r="AA163" s="149">
        <v>0</v>
      </c>
      <c r="AB163" s="154">
        <f>Valores!$C$29</f>
        <v>199.86</v>
      </c>
      <c r="AC163" s="149">
        <f t="shared" si="26"/>
        <v>0</v>
      </c>
      <c r="AD163" s="149">
        <f>Valores!$C$30</f>
        <v>199.86</v>
      </c>
      <c r="AE163" s="157">
        <v>0</v>
      </c>
      <c r="AF163" s="149">
        <f>INT(((AE163*Valores!$C$2)*100)+0.5)/100</f>
        <v>0</v>
      </c>
      <c r="AG163" s="149">
        <f>Valores!$C$58</f>
        <v>406.53</v>
      </c>
      <c r="AH163" s="149">
        <f>Valores!$C$60</f>
        <v>116.15</v>
      </c>
      <c r="AI163" s="163">
        <f t="shared" si="27"/>
        <v>27961.295000000002</v>
      </c>
      <c r="AJ163" s="148">
        <f>Valores!$C$35</f>
        <v>1046.83</v>
      </c>
      <c r="AK163" s="149">
        <f>Valores!$C$80</f>
        <v>3250</v>
      </c>
      <c r="AL163" s="154">
        <f>Valores!$C$51</f>
        <v>170.34</v>
      </c>
      <c r="AM163" s="162">
        <f t="shared" si="25"/>
        <v>4296.83</v>
      </c>
      <c r="AN163" s="148">
        <f>AI163*-Valores!$C$65</f>
        <v>-3215.5489250000005</v>
      </c>
      <c r="AO163" s="146">
        <f>AI163*-Valores!$C$66</f>
        <v>-1258.2582750000001</v>
      </c>
      <c r="AP163" s="170">
        <v>-159.43</v>
      </c>
      <c r="AQ163" s="170">
        <f t="shared" si="28"/>
        <v>-53.83</v>
      </c>
      <c r="AR163" s="162">
        <f t="shared" si="29"/>
        <v>27571.0578</v>
      </c>
    </row>
    <row r="164" spans="1:44" s="137" customFormat="1" ht="11.25" customHeight="1">
      <c r="A164" s="147">
        <v>162</v>
      </c>
      <c r="B164" s="147"/>
      <c r="C164" s="147" t="s">
        <v>434</v>
      </c>
      <c r="D164" s="147"/>
      <c r="E164" s="147">
        <f t="shared" si="22"/>
        <v>9</v>
      </c>
      <c r="F164" s="155" t="s">
        <v>435</v>
      </c>
      <c r="G164" s="152">
        <v>1065</v>
      </c>
      <c r="H164" s="149">
        <f>INT((G164*Valores!$C$2*100)+0.5)/100</f>
        <v>8987.32</v>
      </c>
      <c r="I164" s="159">
        <v>0</v>
      </c>
      <c r="J164" s="149">
        <f>INT((I164*Valores!$C$2*100)+0.5)/100</f>
        <v>0</v>
      </c>
      <c r="K164" s="151">
        <v>0</v>
      </c>
      <c r="L164" s="149">
        <f>INT((K164*Valores!$C$2*100)+0.5)/100</f>
        <v>0</v>
      </c>
      <c r="M164" s="158">
        <v>0</v>
      </c>
      <c r="N164" s="149">
        <f>INT((M164*Valores!$C$2*100)+0.5)/100</f>
        <v>0</v>
      </c>
      <c r="O164" s="149">
        <f t="shared" si="23"/>
        <v>2082.4334999999996</v>
      </c>
      <c r="P164" s="149">
        <f t="shared" si="24"/>
        <v>0</v>
      </c>
      <c r="Q164" s="148">
        <f>Valores!$C$20</f>
        <v>5630.2</v>
      </c>
      <c r="R164" s="148">
        <f>Valores!$D$4</f>
        <v>4313.91</v>
      </c>
      <c r="S164" s="149">
        <f>Valores!$C$27</f>
        <v>3657.61</v>
      </c>
      <c r="T164" s="149">
        <f>Valores!$C$41</f>
        <v>1368.56</v>
      </c>
      <c r="U164" s="148">
        <f>Valores!$C$23</f>
        <v>3527.01</v>
      </c>
      <c r="V164" s="149">
        <f t="shared" si="21"/>
        <v>3527.01</v>
      </c>
      <c r="W164" s="149">
        <v>0</v>
      </c>
      <c r="X164" s="149">
        <v>0</v>
      </c>
      <c r="Y164" s="157">
        <v>0</v>
      </c>
      <c r="Z164" s="149">
        <f>Y164*Valores!$C$2</f>
        <v>0</v>
      </c>
      <c r="AA164" s="149">
        <v>0</v>
      </c>
      <c r="AB164" s="154">
        <f>Valores!$C$29</f>
        <v>199.86</v>
      </c>
      <c r="AC164" s="149">
        <f t="shared" si="26"/>
        <v>0</v>
      </c>
      <c r="AD164" s="149">
        <f>Valores!$C$30</f>
        <v>199.86</v>
      </c>
      <c r="AE164" s="157">
        <v>0</v>
      </c>
      <c r="AF164" s="149">
        <f>INT(((AE164*Valores!$C$2)*100)+0.5)/100</f>
        <v>0</v>
      </c>
      <c r="AG164" s="149">
        <f>Valores!$C$58</f>
        <v>406.53</v>
      </c>
      <c r="AH164" s="149">
        <f>Valores!$C$60</f>
        <v>116.15</v>
      </c>
      <c r="AI164" s="163">
        <f t="shared" si="27"/>
        <v>30489.443500000005</v>
      </c>
      <c r="AJ164" s="148">
        <f>Valores!$C$35</f>
        <v>1046.83</v>
      </c>
      <c r="AK164" s="149">
        <f>Valores!$C$80</f>
        <v>3250</v>
      </c>
      <c r="AL164" s="154">
        <f>Valores!$C$51</f>
        <v>170.34</v>
      </c>
      <c r="AM164" s="162">
        <f t="shared" si="25"/>
        <v>4296.83</v>
      </c>
      <c r="AN164" s="148">
        <f>AI164*-Valores!$C$65</f>
        <v>-3506.286002500001</v>
      </c>
      <c r="AO164" s="146">
        <f>AI164*-Valores!$C$66</f>
        <v>-1372.0249575000003</v>
      </c>
      <c r="AP164" s="170">
        <v>-159.43</v>
      </c>
      <c r="AQ164" s="170">
        <f t="shared" si="28"/>
        <v>-53.83</v>
      </c>
      <c r="AR164" s="162">
        <f t="shared" si="29"/>
        <v>29694.70254</v>
      </c>
    </row>
    <row r="165" spans="1:44" s="137" customFormat="1" ht="11.25" customHeight="1">
      <c r="A165" s="147">
        <v>163</v>
      </c>
      <c r="B165" s="147"/>
      <c r="C165" s="147" t="s">
        <v>434</v>
      </c>
      <c r="D165" s="147"/>
      <c r="E165" s="147">
        <f t="shared" si="22"/>
        <v>33</v>
      </c>
      <c r="F165" s="155" t="s">
        <v>436</v>
      </c>
      <c r="G165" s="152">
        <v>1065</v>
      </c>
      <c r="H165" s="149">
        <f>INT((G165*Valores!$C$2*100)+0.5)/100</f>
        <v>8987.32</v>
      </c>
      <c r="I165" s="159">
        <v>0</v>
      </c>
      <c r="J165" s="149">
        <f>INT((I165*Valores!$C$2*100)+0.5)/100</f>
        <v>0</v>
      </c>
      <c r="K165" s="151">
        <v>0</v>
      </c>
      <c r="L165" s="149">
        <f>INT((K165*Valores!$C$2*100)+0.5)/100</f>
        <v>0</v>
      </c>
      <c r="M165" s="158">
        <v>0</v>
      </c>
      <c r="N165" s="149">
        <f>INT((M165*Valores!$C$2*100)+0.5)/100</f>
        <v>0</v>
      </c>
      <c r="O165" s="149">
        <f t="shared" si="23"/>
        <v>2082.4334999999996</v>
      </c>
      <c r="P165" s="149">
        <f t="shared" si="24"/>
        <v>0</v>
      </c>
      <c r="Q165" s="148">
        <f>Valores!$C$20</f>
        <v>5630.2</v>
      </c>
      <c r="R165" s="148">
        <f>Valores!$D$4</f>
        <v>4313.91</v>
      </c>
      <c r="S165" s="149">
        <f>Valores!$C$27</f>
        <v>3657.61</v>
      </c>
      <c r="T165" s="148">
        <f>Valores!$C$41</f>
        <v>1368.56</v>
      </c>
      <c r="U165" s="149">
        <f>Valores!$C$23</f>
        <v>3527.01</v>
      </c>
      <c r="V165" s="149">
        <f t="shared" si="21"/>
        <v>3527.01</v>
      </c>
      <c r="W165" s="149">
        <v>0</v>
      </c>
      <c r="X165" s="149">
        <v>0</v>
      </c>
      <c r="Y165" s="157">
        <v>0</v>
      </c>
      <c r="Z165" s="149">
        <f>Y165*Valores!$C$2</f>
        <v>0</v>
      </c>
      <c r="AA165" s="149">
        <v>0</v>
      </c>
      <c r="AB165" s="154">
        <f>Valores!$C$29</f>
        <v>199.86</v>
      </c>
      <c r="AC165" s="149">
        <f t="shared" si="26"/>
        <v>0</v>
      </c>
      <c r="AD165" s="149">
        <f>Valores!$C$30</f>
        <v>199.86</v>
      </c>
      <c r="AE165" s="157">
        <v>94</v>
      </c>
      <c r="AF165" s="149">
        <f>INT(((AE165*Valores!$C$2)*100)+0.5)/100</f>
        <v>793.25</v>
      </c>
      <c r="AG165" s="149">
        <f>Valores!$C$58</f>
        <v>406.53</v>
      </c>
      <c r="AH165" s="149">
        <f>Valores!$C$60</f>
        <v>116.15</v>
      </c>
      <c r="AI165" s="163">
        <f t="shared" si="27"/>
        <v>31282.693500000005</v>
      </c>
      <c r="AJ165" s="148">
        <f>Valores!$C$35</f>
        <v>1046.83</v>
      </c>
      <c r="AK165" s="149">
        <f>Valores!$C$80</f>
        <v>3250</v>
      </c>
      <c r="AL165" s="154">
        <f>Valores!$C$51</f>
        <v>170.34</v>
      </c>
      <c r="AM165" s="162">
        <f t="shared" si="25"/>
        <v>4296.83</v>
      </c>
      <c r="AN165" s="148">
        <f>AI165*-Valores!$C$65</f>
        <v>-3597.5097525000006</v>
      </c>
      <c r="AO165" s="146">
        <f>AI165*-Valores!$C$66</f>
        <v>-1407.7212075000002</v>
      </c>
      <c r="AP165" s="170">
        <v>-159.43</v>
      </c>
      <c r="AQ165" s="170">
        <f t="shared" si="28"/>
        <v>-53.83</v>
      </c>
      <c r="AR165" s="162">
        <f t="shared" si="29"/>
        <v>30361.03254</v>
      </c>
    </row>
    <row r="166" spans="1:44" s="137" customFormat="1" ht="11.25" customHeight="1">
      <c r="A166" s="147">
        <v>164</v>
      </c>
      <c r="B166" s="147"/>
      <c r="C166" s="147" t="s">
        <v>437</v>
      </c>
      <c r="D166" s="147"/>
      <c r="E166" s="147">
        <f t="shared" si="22"/>
        <v>30</v>
      </c>
      <c r="F166" s="155" t="s">
        <v>438</v>
      </c>
      <c r="G166" s="152">
        <v>98</v>
      </c>
      <c r="H166" s="149">
        <f>INT((G166*Valores!$C$2*100)+0.5)/100</f>
        <v>827</v>
      </c>
      <c r="I166" s="159">
        <v>2686</v>
      </c>
      <c r="J166" s="149">
        <f>INT((I166*Valores!$C$2*100)+0.5)/100</f>
        <v>22666.62</v>
      </c>
      <c r="K166" s="151">
        <v>0</v>
      </c>
      <c r="L166" s="149">
        <f>INT((K166*Valores!$C$2*100)+0.5)/100</f>
        <v>0</v>
      </c>
      <c r="M166" s="158">
        <v>0</v>
      </c>
      <c r="N166" s="149">
        <f>INT((M166*Valores!$C$2*100)+0.5)/100</f>
        <v>0</v>
      </c>
      <c r="O166" s="149">
        <f t="shared" si="23"/>
        <v>5287.872</v>
      </c>
      <c r="P166" s="149">
        <f t="shared" si="24"/>
        <v>0</v>
      </c>
      <c r="Q166" s="148">
        <f>Valores!$C$15</f>
        <v>5862.51</v>
      </c>
      <c r="R166" s="148">
        <f>Valores!$D$4</f>
        <v>4313.91</v>
      </c>
      <c r="S166" s="148">
        <f>Valores!$C$26</f>
        <v>3959.57</v>
      </c>
      <c r="T166" s="148">
        <f>Valores!$C$43</f>
        <v>2324.69</v>
      </c>
      <c r="U166" s="149">
        <f>Valores!$C$23</f>
        <v>3527.01</v>
      </c>
      <c r="V166" s="149">
        <f t="shared" si="21"/>
        <v>3527.01</v>
      </c>
      <c r="W166" s="149">
        <v>0</v>
      </c>
      <c r="X166" s="149">
        <v>0</v>
      </c>
      <c r="Y166" s="150">
        <v>700</v>
      </c>
      <c r="Z166" s="149">
        <f>Y166*Valores!$C$2</f>
        <v>5907.160000000001</v>
      </c>
      <c r="AA166" s="148">
        <f>SUM(L166,J166,H166,T166)*Valores!$C$3</f>
        <v>3872.7464999999993</v>
      </c>
      <c r="AB166" s="154">
        <f>Valores!$C$29</f>
        <v>199.86</v>
      </c>
      <c r="AC166" s="149">
        <f t="shared" si="26"/>
        <v>0</v>
      </c>
      <c r="AD166" s="149">
        <f>Valores!$C$30</f>
        <v>199.86</v>
      </c>
      <c r="AE166" s="157">
        <v>94</v>
      </c>
      <c r="AF166" s="149">
        <f>INT(((AE166*Valores!$C$2)*100)+0.5)/100</f>
        <v>793.25</v>
      </c>
      <c r="AG166" s="149">
        <f>Valores!$C$58</f>
        <v>406.53</v>
      </c>
      <c r="AH166" s="149">
        <f>Valores!$C$60</f>
        <v>116.15</v>
      </c>
      <c r="AI166" s="163">
        <f t="shared" si="27"/>
        <v>60264.73850000001</v>
      </c>
      <c r="AJ166" s="148">
        <f>Valores!$C$35</f>
        <v>1046.83</v>
      </c>
      <c r="AK166" s="149">
        <f>Valores!$C$82</f>
        <v>6500</v>
      </c>
      <c r="AL166" s="154">
        <v>224.5</v>
      </c>
      <c r="AM166" s="162">
        <f t="shared" si="25"/>
        <v>7546.83</v>
      </c>
      <c r="AN166" s="148">
        <f>AI166*-Valores!$C$65</f>
        <v>-6930.444927500001</v>
      </c>
      <c r="AO166" s="146">
        <f>AI166*-Valores!$C$66</f>
        <v>-2711.9132325</v>
      </c>
      <c r="AP166" s="170">
        <v>-159.43</v>
      </c>
      <c r="AQ166" s="170">
        <f t="shared" si="28"/>
        <v>-53.83</v>
      </c>
      <c r="AR166" s="162">
        <f t="shared" si="29"/>
        <v>57955.95034</v>
      </c>
    </row>
    <row r="167" spans="1:44" s="137" customFormat="1" ht="11.25" customHeight="1">
      <c r="A167" s="147">
        <v>165</v>
      </c>
      <c r="B167" s="147" t="s">
        <v>135</v>
      </c>
      <c r="C167" s="147" t="s">
        <v>439</v>
      </c>
      <c r="D167" s="147"/>
      <c r="E167" s="147">
        <f t="shared" si="22"/>
        <v>30</v>
      </c>
      <c r="F167" s="155" t="s">
        <v>440</v>
      </c>
      <c r="G167" s="152">
        <v>93</v>
      </c>
      <c r="H167" s="149">
        <f>INT((G167*Valores!$C$2*100)+0.5)/100</f>
        <v>784.81</v>
      </c>
      <c r="I167" s="150">
        <v>2547</v>
      </c>
      <c r="J167" s="149">
        <f>INT((I167*Valores!$C$2*100)+0.5)/100</f>
        <v>21493.62</v>
      </c>
      <c r="K167" s="151">
        <v>0</v>
      </c>
      <c r="L167" s="149">
        <f>INT((K167*Valores!$C$2*100)+0.5)/100</f>
        <v>0</v>
      </c>
      <c r="M167" s="158">
        <v>0</v>
      </c>
      <c r="N167" s="149">
        <f>INT((M167*Valores!$C$2*100)+0.5)/100</f>
        <v>0</v>
      </c>
      <c r="O167" s="149">
        <f t="shared" si="23"/>
        <v>5105.5935</v>
      </c>
      <c r="P167" s="149">
        <f t="shared" si="24"/>
        <v>0</v>
      </c>
      <c r="Q167" s="148">
        <f>Valores!$C$20</f>
        <v>5630.2</v>
      </c>
      <c r="R167" s="148">
        <f>Valores!$D$4</f>
        <v>4313.91</v>
      </c>
      <c r="S167" s="148">
        <f>Valores!$C$26</f>
        <v>3959.57</v>
      </c>
      <c r="T167" s="148">
        <f>Valores!$C$43</f>
        <v>2324.69</v>
      </c>
      <c r="U167" s="149">
        <f>Valores!$C$23</f>
        <v>3527.01</v>
      </c>
      <c r="V167" s="149">
        <f t="shared" si="21"/>
        <v>3527.01</v>
      </c>
      <c r="W167" s="149">
        <v>0</v>
      </c>
      <c r="X167" s="149">
        <v>0</v>
      </c>
      <c r="Y167" s="150">
        <v>700</v>
      </c>
      <c r="Z167" s="149">
        <f>Y167*Valores!$C$2</f>
        <v>5907.160000000001</v>
      </c>
      <c r="AA167" s="148">
        <f>SUM(L167,J167,H167,T167)*Valores!$C$3</f>
        <v>3690.468</v>
      </c>
      <c r="AB167" s="154">
        <f>Valores!$C$29</f>
        <v>199.86</v>
      </c>
      <c r="AC167" s="149">
        <f t="shared" si="26"/>
        <v>0</v>
      </c>
      <c r="AD167" s="149">
        <f>Valores!$C$30</f>
        <v>199.86</v>
      </c>
      <c r="AE167" s="157">
        <v>94</v>
      </c>
      <c r="AF167" s="149">
        <f>INT(((AE167*Valores!$C$2)*100)+0.5)/100</f>
        <v>793.25</v>
      </c>
      <c r="AG167" s="149">
        <f>Valores!$C$58</f>
        <v>406.53</v>
      </c>
      <c r="AH167" s="149">
        <f>Valores!$C$60</f>
        <v>116.15</v>
      </c>
      <c r="AI167" s="163">
        <f t="shared" si="27"/>
        <v>58452.681500000006</v>
      </c>
      <c r="AJ167" s="148">
        <f>Valores!$C$35</f>
        <v>1046.83</v>
      </c>
      <c r="AK167" s="149">
        <f>Valores!$C$82</f>
        <v>6500</v>
      </c>
      <c r="AL167" s="154">
        <v>224.5</v>
      </c>
      <c r="AM167" s="162">
        <f t="shared" si="25"/>
        <v>7546.83</v>
      </c>
      <c r="AN167" s="148">
        <f>AI167*-Valores!$C$65</f>
        <v>-6722.058372500001</v>
      </c>
      <c r="AO167" s="146">
        <f>AI167*-Valores!$C$66</f>
        <v>-2630.3706675000003</v>
      </c>
      <c r="AP167" s="170">
        <v>-159.43</v>
      </c>
      <c r="AQ167" s="170">
        <f t="shared" si="28"/>
        <v>-53.83</v>
      </c>
      <c r="AR167" s="162">
        <f t="shared" si="29"/>
        <v>56433.82246</v>
      </c>
    </row>
    <row r="168" spans="1:44" s="137" customFormat="1" ht="11.25" customHeight="1">
      <c r="A168" s="147">
        <v>166</v>
      </c>
      <c r="B168" s="147"/>
      <c r="C168" s="147" t="s">
        <v>441</v>
      </c>
      <c r="D168" s="147"/>
      <c r="E168" s="147">
        <f t="shared" si="22"/>
        <v>30</v>
      </c>
      <c r="F168" s="155" t="s">
        <v>442</v>
      </c>
      <c r="G168" s="152">
        <v>89</v>
      </c>
      <c r="H168" s="149">
        <f>INT((G168*Valores!$C$2*100)+0.5)/100</f>
        <v>751.05</v>
      </c>
      <c r="I168" s="159">
        <v>2251</v>
      </c>
      <c r="J168" s="149">
        <f>INT((I168*Valores!$C$2*100)+0.5)/100</f>
        <v>18995.74</v>
      </c>
      <c r="K168" s="151">
        <v>0</v>
      </c>
      <c r="L168" s="149">
        <f>INT((K168*Valores!$C$2*100)+0.5)/100</f>
        <v>0</v>
      </c>
      <c r="M168" s="158">
        <v>0</v>
      </c>
      <c r="N168" s="149">
        <f>INT((M168*Valores!$C$2*100)+0.5)/100</f>
        <v>0</v>
      </c>
      <c r="O168" s="149">
        <f t="shared" si="23"/>
        <v>4725.8475</v>
      </c>
      <c r="P168" s="149">
        <f t="shared" si="24"/>
        <v>0</v>
      </c>
      <c r="Q168" s="148">
        <f>Valores!$C$20</f>
        <v>5630.2</v>
      </c>
      <c r="R168" s="148">
        <f>Valores!$D$4</f>
        <v>4313.91</v>
      </c>
      <c r="S168" s="148">
        <f>Valores!$C$26</f>
        <v>3959.57</v>
      </c>
      <c r="T168" s="148">
        <f>Valores!$C$43</f>
        <v>2324.69</v>
      </c>
      <c r="U168" s="149">
        <f>Valores!$C$23</f>
        <v>3527.01</v>
      </c>
      <c r="V168" s="149">
        <f t="shared" si="21"/>
        <v>3527.01</v>
      </c>
      <c r="W168" s="149">
        <v>0</v>
      </c>
      <c r="X168" s="149">
        <v>0</v>
      </c>
      <c r="Y168" s="150">
        <v>700</v>
      </c>
      <c r="Z168" s="149">
        <f>Y168*Valores!$C$2</f>
        <v>5907.160000000001</v>
      </c>
      <c r="AA168" s="148">
        <f>SUM(L168,J168,H168,T168)*Valores!$C$3</f>
        <v>3310.7219999999998</v>
      </c>
      <c r="AB168" s="154">
        <f>Valores!$C$29</f>
        <v>199.86</v>
      </c>
      <c r="AC168" s="149">
        <f t="shared" si="26"/>
        <v>0</v>
      </c>
      <c r="AD168" s="149">
        <f>Valores!$C$30</f>
        <v>199.86</v>
      </c>
      <c r="AE168" s="157">
        <v>94</v>
      </c>
      <c r="AF168" s="149">
        <f>INT(((AE168*Valores!$C$2)*100)+0.5)/100</f>
        <v>793.25</v>
      </c>
      <c r="AG168" s="149">
        <f>Valores!$C$58</f>
        <v>406.53</v>
      </c>
      <c r="AH168" s="149">
        <f>Valores!$C$60</f>
        <v>116.15</v>
      </c>
      <c r="AI168" s="163">
        <f t="shared" si="27"/>
        <v>55161.54950000001</v>
      </c>
      <c r="AJ168" s="148">
        <f>Valores!$C$35</f>
        <v>1046.83</v>
      </c>
      <c r="AK168" s="149">
        <f>Valores!$C$82</f>
        <v>6500</v>
      </c>
      <c r="AL168" s="154">
        <v>224.5</v>
      </c>
      <c r="AM168" s="162">
        <f t="shared" si="25"/>
        <v>7546.83</v>
      </c>
      <c r="AN168" s="148">
        <f>AI168*-Valores!$C$65</f>
        <v>-6343.578192500001</v>
      </c>
      <c r="AO168" s="146">
        <f>AI168*-Valores!$C$66</f>
        <v>-2482.2697275000005</v>
      </c>
      <c r="AP168" s="170">
        <v>-159.43</v>
      </c>
      <c r="AQ168" s="170">
        <f t="shared" si="28"/>
        <v>-53.83</v>
      </c>
      <c r="AR168" s="162">
        <f t="shared" si="29"/>
        <v>53669.27158</v>
      </c>
    </row>
    <row r="169" spans="1:44" s="137" customFormat="1" ht="11.25" customHeight="1">
      <c r="A169" s="147">
        <v>167</v>
      </c>
      <c r="B169" s="147"/>
      <c r="C169" s="147" t="s">
        <v>443</v>
      </c>
      <c r="D169" s="147"/>
      <c r="E169" s="147">
        <f t="shared" si="22"/>
        <v>31</v>
      </c>
      <c r="F169" s="155" t="s">
        <v>444</v>
      </c>
      <c r="G169" s="152">
        <v>83</v>
      </c>
      <c r="H169" s="149">
        <f>INT((G169*Valores!$C$2*100)+0.5)/100</f>
        <v>700.42</v>
      </c>
      <c r="I169" s="159">
        <v>2352</v>
      </c>
      <c r="J169" s="149">
        <f>INT((I169*Valores!$C$2*100)+0.5)/100</f>
        <v>19848.06</v>
      </c>
      <c r="K169" s="151">
        <v>0</v>
      </c>
      <c r="L169" s="149">
        <f>INT((K169*Valores!$C$2*100)+0.5)/100</f>
        <v>0</v>
      </c>
      <c r="M169" s="158">
        <v>0</v>
      </c>
      <c r="N169" s="149">
        <f>INT((M169*Valores!$C$2*100)+0.5)/100</f>
        <v>0</v>
      </c>
      <c r="O169" s="149">
        <f t="shared" si="23"/>
        <v>4846.101</v>
      </c>
      <c r="P169" s="149">
        <f t="shared" si="24"/>
        <v>0</v>
      </c>
      <c r="Q169" s="148">
        <f>Valores!$C$20</f>
        <v>5630.2</v>
      </c>
      <c r="R169" s="148">
        <f>Valores!$D$4</f>
        <v>4313.91</v>
      </c>
      <c r="S169" s="149">
        <v>0</v>
      </c>
      <c r="T169" s="149">
        <f>Valores!$C$43</f>
        <v>2324.69</v>
      </c>
      <c r="U169" s="149">
        <f>Valores!$C$23</f>
        <v>3527.01</v>
      </c>
      <c r="V169" s="149">
        <f t="shared" si="21"/>
        <v>3527.01</v>
      </c>
      <c r="W169" s="149">
        <v>0</v>
      </c>
      <c r="X169" s="149">
        <v>0</v>
      </c>
      <c r="Y169" s="150">
        <v>700</v>
      </c>
      <c r="Z169" s="149">
        <f>Y169*Valores!$C$2</f>
        <v>5907.160000000001</v>
      </c>
      <c r="AA169" s="148">
        <f>SUM(L169,J169,H169,T169)*Valores!$C$3</f>
        <v>3430.9754999999996</v>
      </c>
      <c r="AB169" s="154">
        <f>Valores!$C$29</f>
        <v>199.86</v>
      </c>
      <c r="AC169" s="149">
        <f t="shared" si="26"/>
        <v>0</v>
      </c>
      <c r="AD169" s="149">
        <f>Valores!$C$30</f>
        <v>199.86</v>
      </c>
      <c r="AE169" s="157">
        <v>94</v>
      </c>
      <c r="AF169" s="149">
        <f>INT(((AE169*Valores!$C$2)*100)+0.5)/100</f>
        <v>793.25</v>
      </c>
      <c r="AG169" s="149">
        <f>Valores!$C$58</f>
        <v>406.53</v>
      </c>
      <c r="AH169" s="149">
        <f>Valores!$C$60</f>
        <v>116.15</v>
      </c>
      <c r="AI169" s="163">
        <f t="shared" si="27"/>
        <v>52244.17650000001</v>
      </c>
      <c r="AJ169" s="148">
        <f>Valores!$C$35</f>
        <v>1046.83</v>
      </c>
      <c r="AK169" s="149">
        <f>Valores!$C$82</f>
        <v>6500</v>
      </c>
      <c r="AL169" s="154">
        <v>0</v>
      </c>
      <c r="AM169" s="162">
        <f t="shared" si="25"/>
        <v>7546.83</v>
      </c>
      <c r="AN169" s="148">
        <f>AI169*-Valores!$C$65</f>
        <v>-6008.0802975000015</v>
      </c>
      <c r="AO169" s="146">
        <f>AI169*-Valores!$C$66</f>
        <v>-2350.9879425000004</v>
      </c>
      <c r="AP169" s="170">
        <v>-159.43</v>
      </c>
      <c r="AQ169" s="170">
        <f t="shared" si="28"/>
        <v>-53.83</v>
      </c>
      <c r="AR169" s="162">
        <f t="shared" si="29"/>
        <v>51218.67826</v>
      </c>
    </row>
    <row r="170" spans="1:44" s="137" customFormat="1" ht="11.25" customHeight="1">
      <c r="A170" s="147">
        <v>168</v>
      </c>
      <c r="B170" s="147"/>
      <c r="C170" s="147" t="s">
        <v>445</v>
      </c>
      <c r="D170" s="147"/>
      <c r="E170" s="147">
        <f t="shared" si="22"/>
        <v>31</v>
      </c>
      <c r="F170" s="155" t="s">
        <v>446</v>
      </c>
      <c r="G170" s="152">
        <v>83</v>
      </c>
      <c r="H170" s="149">
        <f>INT((G170*Valores!$C$2*100)+0.5)/100</f>
        <v>700.42</v>
      </c>
      <c r="I170" s="159">
        <v>2092</v>
      </c>
      <c r="J170" s="149">
        <f>INT((I170*Valores!$C$2*100)+0.5)/100</f>
        <v>17653.97</v>
      </c>
      <c r="K170" s="151">
        <v>0</v>
      </c>
      <c r="L170" s="149">
        <f>INT((K170*Valores!$C$2*100)+0.5)/100</f>
        <v>0</v>
      </c>
      <c r="M170" s="158">
        <v>0</v>
      </c>
      <c r="N170" s="149">
        <f>INT((M170*Valores!$C$2*100)+0.5)/100</f>
        <v>0</v>
      </c>
      <c r="O170" s="149">
        <f t="shared" si="23"/>
        <v>4516.987499999999</v>
      </c>
      <c r="P170" s="149">
        <f t="shared" si="24"/>
        <v>0</v>
      </c>
      <c r="Q170" s="148">
        <f>Valores!$C$20</f>
        <v>5630.2</v>
      </c>
      <c r="R170" s="148">
        <f>Valores!$D$4</f>
        <v>4313.91</v>
      </c>
      <c r="S170" s="149">
        <v>0</v>
      </c>
      <c r="T170" s="149">
        <f>Valores!$C$43</f>
        <v>2324.69</v>
      </c>
      <c r="U170" s="149">
        <f>Valores!$C$23</f>
        <v>3527.01</v>
      </c>
      <c r="V170" s="149">
        <f t="shared" si="21"/>
        <v>3527.01</v>
      </c>
      <c r="W170" s="149">
        <v>0</v>
      </c>
      <c r="X170" s="149">
        <v>0</v>
      </c>
      <c r="Y170" s="150">
        <v>700</v>
      </c>
      <c r="Z170" s="149">
        <f>Y170*Valores!$C$2</f>
        <v>5907.160000000001</v>
      </c>
      <c r="AA170" s="148">
        <f>SUM(L170,J170,H170,T170)*Valores!$C$3</f>
        <v>3101.8619999999996</v>
      </c>
      <c r="AB170" s="154">
        <f>Valores!$C$29</f>
        <v>199.86</v>
      </c>
      <c r="AC170" s="149">
        <f t="shared" si="26"/>
        <v>0</v>
      </c>
      <c r="AD170" s="149">
        <f>Valores!$C$30</f>
        <v>199.86</v>
      </c>
      <c r="AE170" s="157">
        <v>94</v>
      </c>
      <c r="AF170" s="149">
        <f>INT(((AE170*Valores!$C$2)*100)+0.5)/100</f>
        <v>793.25</v>
      </c>
      <c r="AG170" s="149">
        <f>Valores!$C$58</f>
        <v>406.53</v>
      </c>
      <c r="AH170" s="149">
        <f>Valores!$C$60</f>
        <v>116.15</v>
      </c>
      <c r="AI170" s="163">
        <f t="shared" si="27"/>
        <v>49391.85950000001</v>
      </c>
      <c r="AJ170" s="148">
        <f>Valores!$C$35</f>
        <v>1046.83</v>
      </c>
      <c r="AK170" s="149">
        <f>Valores!$C$82</f>
        <v>6500</v>
      </c>
      <c r="AL170" s="154">
        <v>0</v>
      </c>
      <c r="AM170" s="162">
        <f t="shared" si="25"/>
        <v>7546.83</v>
      </c>
      <c r="AN170" s="148">
        <f>AI170*-Valores!$C$65</f>
        <v>-5680.063842500002</v>
      </c>
      <c r="AO170" s="146">
        <f>AI170*-Valores!$C$66</f>
        <v>-2222.6336775000004</v>
      </c>
      <c r="AP170" s="170">
        <v>-159.43</v>
      </c>
      <c r="AQ170" s="170">
        <f t="shared" si="28"/>
        <v>-53.83</v>
      </c>
      <c r="AR170" s="162">
        <f t="shared" si="29"/>
        <v>48822.73198000001</v>
      </c>
    </row>
    <row r="171" spans="1:44" s="137" customFormat="1" ht="11.25" customHeight="1">
      <c r="A171" s="147">
        <v>169</v>
      </c>
      <c r="B171" s="147"/>
      <c r="C171" s="147" t="s">
        <v>447</v>
      </c>
      <c r="D171" s="147"/>
      <c r="E171" s="147">
        <f t="shared" si="22"/>
        <v>31</v>
      </c>
      <c r="F171" s="155" t="s">
        <v>448</v>
      </c>
      <c r="G171" s="152">
        <v>82</v>
      </c>
      <c r="H171" s="149">
        <f>INT((G171*Valores!$C$2*100)+0.5)/100</f>
        <v>691.98</v>
      </c>
      <c r="I171" s="159">
        <v>1941</v>
      </c>
      <c r="J171" s="149">
        <f>INT((I171*Valores!$C$2*100)+0.5)/100</f>
        <v>16379.71</v>
      </c>
      <c r="K171" s="151">
        <v>0</v>
      </c>
      <c r="L171" s="149">
        <f>INT((K171*Valores!$C$2*100)+0.5)/100</f>
        <v>0</v>
      </c>
      <c r="M171" s="158">
        <v>0</v>
      </c>
      <c r="N171" s="149">
        <f>INT((M171*Valores!$C$2*100)+0.5)/100</f>
        <v>0</v>
      </c>
      <c r="O171" s="149">
        <f t="shared" si="23"/>
        <v>4324.5824999999995</v>
      </c>
      <c r="P171" s="149">
        <f t="shared" si="24"/>
        <v>0</v>
      </c>
      <c r="Q171" s="148">
        <f>Valores!$C$20</f>
        <v>5630.2</v>
      </c>
      <c r="R171" s="148">
        <f>Valores!$D$4</f>
        <v>4313.91</v>
      </c>
      <c r="S171" s="149">
        <v>0</v>
      </c>
      <c r="T171" s="149">
        <f>Valores!$C$43</f>
        <v>2324.69</v>
      </c>
      <c r="U171" s="149">
        <f>Valores!$C$23</f>
        <v>3527.01</v>
      </c>
      <c r="V171" s="149">
        <f t="shared" si="21"/>
        <v>3527.01</v>
      </c>
      <c r="W171" s="149">
        <v>0</v>
      </c>
      <c r="X171" s="149">
        <v>0</v>
      </c>
      <c r="Y171" s="150">
        <v>700</v>
      </c>
      <c r="Z171" s="149">
        <f>Y171*Valores!$C$2</f>
        <v>5907.160000000001</v>
      </c>
      <c r="AA171" s="148">
        <f>SUM(L171,J171,H171,T171)*Valores!$C$3</f>
        <v>2909.4569999999994</v>
      </c>
      <c r="AB171" s="154">
        <f>Valores!$C$29</f>
        <v>199.86</v>
      </c>
      <c r="AC171" s="149">
        <f t="shared" si="26"/>
        <v>0</v>
      </c>
      <c r="AD171" s="149">
        <f>Valores!$C$30</f>
        <v>199.86</v>
      </c>
      <c r="AE171" s="157">
        <v>94</v>
      </c>
      <c r="AF171" s="149">
        <f>INT(((AE171*Valores!$C$2)*100)+0.5)/100</f>
        <v>793.25</v>
      </c>
      <c r="AG171" s="149">
        <f>Valores!$C$58</f>
        <v>406.53</v>
      </c>
      <c r="AH171" s="149">
        <f>Valores!$C$60</f>
        <v>116.15</v>
      </c>
      <c r="AI171" s="163">
        <f t="shared" si="27"/>
        <v>47724.34950000001</v>
      </c>
      <c r="AJ171" s="148">
        <f>Valores!$C$35</f>
        <v>1046.83</v>
      </c>
      <c r="AK171" s="149">
        <f>Valores!$C$82</f>
        <v>6500</v>
      </c>
      <c r="AL171" s="154">
        <v>0</v>
      </c>
      <c r="AM171" s="162">
        <f t="shared" si="25"/>
        <v>7546.83</v>
      </c>
      <c r="AN171" s="148">
        <f>AI171*-Valores!$C$65</f>
        <v>-5488.300192500002</v>
      </c>
      <c r="AO171" s="146">
        <f>AI171*-Valores!$C$66</f>
        <v>-2147.5957275000005</v>
      </c>
      <c r="AP171" s="170">
        <v>-159.43</v>
      </c>
      <c r="AQ171" s="170">
        <f t="shared" si="28"/>
        <v>-53.83</v>
      </c>
      <c r="AR171" s="162">
        <f t="shared" si="29"/>
        <v>47422.02358000001</v>
      </c>
    </row>
    <row r="172" spans="1:44" s="137" customFormat="1" ht="11.25" customHeight="1">
      <c r="A172" s="147">
        <v>170</v>
      </c>
      <c r="B172" s="147" t="s">
        <v>135</v>
      </c>
      <c r="C172" s="147" t="s">
        <v>449</v>
      </c>
      <c r="D172" s="147"/>
      <c r="E172" s="147">
        <f t="shared" si="22"/>
        <v>30</v>
      </c>
      <c r="F172" s="155" t="s">
        <v>450</v>
      </c>
      <c r="G172" s="152">
        <v>79</v>
      </c>
      <c r="H172" s="149">
        <f>INT((G172*Valores!$C$2*100)+0.5)/100</f>
        <v>666.67</v>
      </c>
      <c r="I172" s="159">
        <v>2161</v>
      </c>
      <c r="J172" s="149">
        <f>INT((I172*Valores!$C$2*100)+0.5)/100</f>
        <v>18236.25</v>
      </c>
      <c r="K172" s="151">
        <v>0</v>
      </c>
      <c r="L172" s="149">
        <f>INT((K172*Valores!$C$2*100)+0.5)/100</f>
        <v>0</v>
      </c>
      <c r="M172" s="158">
        <v>0</v>
      </c>
      <c r="N172" s="149">
        <f>INT((M172*Valores!$C$2*100)+0.5)/100</f>
        <v>0</v>
      </c>
      <c r="O172" s="149">
        <f t="shared" si="23"/>
        <v>4599.266999999999</v>
      </c>
      <c r="P172" s="149">
        <f t="shared" si="24"/>
        <v>0</v>
      </c>
      <c r="Q172" s="148">
        <f>Valores!$C$20</f>
        <v>5630.2</v>
      </c>
      <c r="R172" s="148">
        <f>Valores!$D$4</f>
        <v>4313.91</v>
      </c>
      <c r="S172" s="149">
        <v>0</v>
      </c>
      <c r="T172" s="149">
        <f>Valores!$C$43</f>
        <v>2324.69</v>
      </c>
      <c r="U172" s="149">
        <f>Valores!$C$23</f>
        <v>3527.01</v>
      </c>
      <c r="V172" s="149">
        <f t="shared" si="21"/>
        <v>3527.01</v>
      </c>
      <c r="W172" s="149">
        <v>0</v>
      </c>
      <c r="X172" s="149">
        <v>0</v>
      </c>
      <c r="Y172" s="150">
        <v>700</v>
      </c>
      <c r="Z172" s="149">
        <f>Y172*Valores!$C$2</f>
        <v>5907.160000000001</v>
      </c>
      <c r="AA172" s="148">
        <f>SUM(L172,J172,H172,T172)*Valores!$C$3</f>
        <v>3184.1414999999993</v>
      </c>
      <c r="AB172" s="154">
        <f>Valores!$C$29</f>
        <v>199.86</v>
      </c>
      <c r="AC172" s="149">
        <f t="shared" si="26"/>
        <v>0</v>
      </c>
      <c r="AD172" s="149">
        <f>Valores!$C$30</f>
        <v>199.86</v>
      </c>
      <c r="AE172" s="157">
        <v>94</v>
      </c>
      <c r="AF172" s="149">
        <f>INT(((AE172*Valores!$C$2)*100)+0.5)/100</f>
        <v>793.25</v>
      </c>
      <c r="AG172" s="149">
        <f>Valores!$C$58</f>
        <v>406.53</v>
      </c>
      <c r="AH172" s="149">
        <f>Valores!$C$60</f>
        <v>116.15</v>
      </c>
      <c r="AI172" s="163">
        <f t="shared" si="27"/>
        <v>50104.948500000006</v>
      </c>
      <c r="AJ172" s="148">
        <f>Valores!$C$35</f>
        <v>1046.83</v>
      </c>
      <c r="AK172" s="149">
        <f>Valores!$C$82</f>
        <v>6500</v>
      </c>
      <c r="AL172" s="154">
        <v>0</v>
      </c>
      <c r="AM172" s="162">
        <f t="shared" si="25"/>
        <v>7546.83</v>
      </c>
      <c r="AN172" s="148">
        <f>AI172*-Valores!$C$65</f>
        <v>-5762.069077500001</v>
      </c>
      <c r="AO172" s="146">
        <f>AI172*-Valores!$C$66</f>
        <v>-2254.7226825000002</v>
      </c>
      <c r="AP172" s="170">
        <v>-159.43</v>
      </c>
      <c r="AQ172" s="170">
        <f t="shared" si="28"/>
        <v>-53.83</v>
      </c>
      <c r="AR172" s="162">
        <f t="shared" si="29"/>
        <v>49421.72674</v>
      </c>
    </row>
    <row r="173" spans="1:44" s="137" customFormat="1" ht="11.25" customHeight="1">
      <c r="A173" s="147">
        <v>171</v>
      </c>
      <c r="B173" s="147"/>
      <c r="C173" s="147" t="s">
        <v>451</v>
      </c>
      <c r="D173" s="147"/>
      <c r="E173" s="147">
        <f t="shared" si="22"/>
        <v>28</v>
      </c>
      <c r="F173" s="155" t="s">
        <v>452</v>
      </c>
      <c r="G173" s="152">
        <v>98</v>
      </c>
      <c r="H173" s="149">
        <f>INT((G173*Valores!$C$2*100)+0.5)/100</f>
        <v>827</v>
      </c>
      <c r="I173" s="159">
        <v>2686</v>
      </c>
      <c r="J173" s="149">
        <f>INT((I173*Valores!$C$2*100)+0.5)/100</f>
        <v>22666.62</v>
      </c>
      <c r="K173" s="151">
        <v>0</v>
      </c>
      <c r="L173" s="149">
        <f>INT((K173*Valores!$C$2*100)+0.5)/100</f>
        <v>0</v>
      </c>
      <c r="M173" s="158">
        <v>0</v>
      </c>
      <c r="N173" s="149">
        <f>INT((M173*Valores!$C$2*100)+0.5)/100</f>
        <v>0</v>
      </c>
      <c r="O173" s="149">
        <f t="shared" si="23"/>
        <v>5287.872</v>
      </c>
      <c r="P173" s="149">
        <f t="shared" si="24"/>
        <v>0</v>
      </c>
      <c r="Q173" s="149">
        <f>Valores!$C$20</f>
        <v>5630.2</v>
      </c>
      <c r="R173" s="148">
        <f>Valores!$D$4</f>
        <v>4313.91</v>
      </c>
      <c r="S173" s="149">
        <v>0</v>
      </c>
      <c r="T173" s="149">
        <f>Valores!$C$43</f>
        <v>2324.69</v>
      </c>
      <c r="U173" s="149">
        <f>Valores!$C$23</f>
        <v>3527.01</v>
      </c>
      <c r="V173" s="149">
        <f t="shared" si="21"/>
        <v>3527.01</v>
      </c>
      <c r="W173" s="149">
        <v>0</v>
      </c>
      <c r="X173" s="149">
        <v>0</v>
      </c>
      <c r="Y173" s="150">
        <v>700</v>
      </c>
      <c r="Z173" s="149">
        <f>Y173*Valores!$C$2</f>
        <v>5907.160000000001</v>
      </c>
      <c r="AA173" s="148">
        <f>SUM(L173,J173,H173,T173)*Valores!$C$3</f>
        <v>3872.7464999999993</v>
      </c>
      <c r="AB173" s="154">
        <f>Valores!$C$29</f>
        <v>199.86</v>
      </c>
      <c r="AC173" s="149">
        <f t="shared" si="26"/>
        <v>0</v>
      </c>
      <c r="AD173" s="149">
        <f>Valores!$C$30</f>
        <v>199.86</v>
      </c>
      <c r="AE173" s="157">
        <v>0</v>
      </c>
      <c r="AF173" s="149">
        <f>INT(((AE173*Valores!$C$2)*100)+0.5)/100</f>
        <v>0</v>
      </c>
      <c r="AG173" s="149">
        <f>Valores!$C$58</f>
        <v>406.53</v>
      </c>
      <c r="AH173" s="149">
        <f>Valores!$C$60</f>
        <v>116.15</v>
      </c>
      <c r="AI173" s="163">
        <f t="shared" si="27"/>
        <v>55279.60850000001</v>
      </c>
      <c r="AJ173" s="148">
        <f>Valores!$C$35</f>
        <v>1046.83</v>
      </c>
      <c r="AK173" s="149">
        <f>Valores!$C$82</f>
        <v>6500</v>
      </c>
      <c r="AL173" s="154">
        <v>0</v>
      </c>
      <c r="AM173" s="162">
        <f t="shared" si="25"/>
        <v>7546.83</v>
      </c>
      <c r="AN173" s="148">
        <f>AI173*-Valores!$C$65</f>
        <v>-6357.154977500001</v>
      </c>
      <c r="AO173" s="146">
        <f>AI173*-Valores!$C$66</f>
        <v>-2487.5823825</v>
      </c>
      <c r="AP173" s="170">
        <v>-159.43</v>
      </c>
      <c r="AQ173" s="170">
        <f t="shared" si="28"/>
        <v>-53.83</v>
      </c>
      <c r="AR173" s="162">
        <f t="shared" si="29"/>
        <v>53768.44114000001</v>
      </c>
    </row>
    <row r="174" spans="1:44" s="137" customFormat="1" ht="11.25" customHeight="1">
      <c r="A174" s="147">
        <v>172</v>
      </c>
      <c r="B174" s="147"/>
      <c r="C174" s="147" t="s">
        <v>453</v>
      </c>
      <c r="D174" s="147"/>
      <c r="E174" s="147">
        <f t="shared" si="22"/>
        <v>28</v>
      </c>
      <c r="F174" s="155" t="s">
        <v>454</v>
      </c>
      <c r="G174" s="152">
        <v>93</v>
      </c>
      <c r="H174" s="149">
        <f>INT((G174*Valores!$C$2*100)+0.5)/100</f>
        <v>784.81</v>
      </c>
      <c r="I174" s="159">
        <v>2547</v>
      </c>
      <c r="J174" s="149">
        <f>INT((I174*Valores!$C$2*100)+0.5)/100</f>
        <v>21493.62</v>
      </c>
      <c r="K174" s="151">
        <v>0</v>
      </c>
      <c r="L174" s="149">
        <f>INT((K174*Valores!$C$2*100)+0.5)/100</f>
        <v>0</v>
      </c>
      <c r="M174" s="158">
        <v>0</v>
      </c>
      <c r="N174" s="149">
        <f>INT((M174*Valores!$C$2*100)+0.5)/100</f>
        <v>0</v>
      </c>
      <c r="O174" s="149">
        <f t="shared" si="23"/>
        <v>5105.5935</v>
      </c>
      <c r="P174" s="149">
        <f t="shared" si="24"/>
        <v>0</v>
      </c>
      <c r="Q174" s="148">
        <f>Valores!$C$20</f>
        <v>5630.2</v>
      </c>
      <c r="R174" s="148">
        <f>Valores!$D$4</f>
        <v>4313.91</v>
      </c>
      <c r="S174" s="149">
        <v>0</v>
      </c>
      <c r="T174" s="149">
        <f>Valores!$C$43</f>
        <v>2324.69</v>
      </c>
      <c r="U174" s="149">
        <f>Valores!$C$23</f>
        <v>3527.01</v>
      </c>
      <c r="V174" s="149">
        <f t="shared" si="21"/>
        <v>3527.01</v>
      </c>
      <c r="W174" s="149">
        <v>0</v>
      </c>
      <c r="X174" s="149">
        <v>0</v>
      </c>
      <c r="Y174" s="150">
        <v>700</v>
      </c>
      <c r="Z174" s="149">
        <f>Y174*Valores!$C$2</f>
        <v>5907.160000000001</v>
      </c>
      <c r="AA174" s="148">
        <f>SUM(L174,J174,H174,T174)*Valores!$C$3</f>
        <v>3690.468</v>
      </c>
      <c r="AB174" s="154">
        <f>Valores!$C$29</f>
        <v>199.86</v>
      </c>
      <c r="AC174" s="149">
        <f t="shared" si="26"/>
        <v>0</v>
      </c>
      <c r="AD174" s="149">
        <f>Valores!$C$30</f>
        <v>199.86</v>
      </c>
      <c r="AE174" s="157">
        <v>0</v>
      </c>
      <c r="AF174" s="149">
        <f>INT(((AE174*Valores!$C$2)*100)+0.5)/100</f>
        <v>0</v>
      </c>
      <c r="AG174" s="149">
        <f>Valores!$C$58</f>
        <v>406.53</v>
      </c>
      <c r="AH174" s="149">
        <f>Valores!$C$60</f>
        <v>116.15</v>
      </c>
      <c r="AI174" s="163">
        <f t="shared" si="27"/>
        <v>53699.861500000006</v>
      </c>
      <c r="AJ174" s="148">
        <f>Valores!$C$35</f>
        <v>1046.83</v>
      </c>
      <c r="AK174" s="149">
        <f>Valores!$C$82</f>
        <v>6500</v>
      </c>
      <c r="AL174" s="154">
        <v>0</v>
      </c>
      <c r="AM174" s="162">
        <f t="shared" si="25"/>
        <v>7546.83</v>
      </c>
      <c r="AN174" s="148">
        <f>AI174*-Valores!$C$65</f>
        <v>-6175.484072500001</v>
      </c>
      <c r="AO174" s="146">
        <f>AI174*-Valores!$C$66</f>
        <v>-2416.4937675</v>
      </c>
      <c r="AP174" s="170">
        <v>-159.43</v>
      </c>
      <c r="AQ174" s="170">
        <f t="shared" si="28"/>
        <v>-53.83</v>
      </c>
      <c r="AR174" s="162">
        <f t="shared" si="29"/>
        <v>52441.45366000001</v>
      </c>
    </row>
    <row r="175" spans="1:44" s="137" customFormat="1" ht="11.25" customHeight="1">
      <c r="A175" s="147">
        <v>173</v>
      </c>
      <c r="B175" s="147"/>
      <c r="C175" s="147" t="s">
        <v>455</v>
      </c>
      <c r="D175" s="147"/>
      <c r="E175" s="147">
        <f t="shared" si="22"/>
        <v>27</v>
      </c>
      <c r="F175" s="155" t="s">
        <v>456</v>
      </c>
      <c r="G175" s="152">
        <v>1278</v>
      </c>
      <c r="H175" s="149">
        <f>INT((G175*Valores!$C$2*100)+0.5)/100</f>
        <v>10784.79</v>
      </c>
      <c r="I175" s="159">
        <v>0</v>
      </c>
      <c r="J175" s="149">
        <f>INT((I175*Valores!$C$2*100)+0.5)/100</f>
        <v>0</v>
      </c>
      <c r="K175" s="151">
        <v>0</v>
      </c>
      <c r="L175" s="149">
        <f>INT((K175*Valores!$C$2*100)+0.5)/100</f>
        <v>0</v>
      </c>
      <c r="M175" s="158">
        <v>0</v>
      </c>
      <c r="N175" s="149">
        <f>INT((M175*Valores!$C$2*100)+0.5)/100</f>
        <v>0</v>
      </c>
      <c r="O175" s="149">
        <f t="shared" si="23"/>
        <v>3634.7115</v>
      </c>
      <c r="P175" s="149">
        <f t="shared" si="24"/>
        <v>0</v>
      </c>
      <c r="Q175" s="148">
        <f>Valores!$C$20</f>
        <v>5630.2</v>
      </c>
      <c r="R175" s="148">
        <f>Valores!$D$4</f>
        <v>4313.91</v>
      </c>
      <c r="S175" s="149">
        <v>0</v>
      </c>
      <c r="T175" s="149">
        <f>Valores!$C$43</f>
        <v>2324.69</v>
      </c>
      <c r="U175" s="149">
        <f>Valores!$C$23</f>
        <v>3527.01</v>
      </c>
      <c r="V175" s="149">
        <f aca="true" t="shared" si="30" ref="V175:V238">U175*(1+$J$2)</f>
        <v>3527.01</v>
      </c>
      <c r="W175" s="149">
        <v>0</v>
      </c>
      <c r="X175" s="149">
        <v>0</v>
      </c>
      <c r="Y175" s="150">
        <v>900</v>
      </c>
      <c r="Z175" s="149">
        <f>Y175*Valores!$C$2</f>
        <v>7594.92</v>
      </c>
      <c r="AA175" s="148">
        <f>SUM(L175,J175,H175,T175)*Valores!$C$3</f>
        <v>1966.422</v>
      </c>
      <c r="AB175" s="154">
        <f>Valores!$C$29</f>
        <v>199.86</v>
      </c>
      <c r="AC175" s="149">
        <f t="shared" si="26"/>
        <v>0</v>
      </c>
      <c r="AD175" s="149">
        <f>Valores!$C$30</f>
        <v>199.86</v>
      </c>
      <c r="AE175" s="157">
        <v>94</v>
      </c>
      <c r="AF175" s="149">
        <f>INT(((AE175*Valores!$C$2)*100)+0.5)/100</f>
        <v>793.25</v>
      </c>
      <c r="AG175" s="149">
        <f>Valores!$C$58</f>
        <v>406.53</v>
      </c>
      <c r="AH175" s="149">
        <f>Valores!$C$60</f>
        <v>116.15</v>
      </c>
      <c r="AI175" s="163">
        <f t="shared" si="27"/>
        <v>41492.3035</v>
      </c>
      <c r="AJ175" s="148">
        <f>Valores!$C$35</f>
        <v>1046.83</v>
      </c>
      <c r="AK175" s="149">
        <f>Valores!$C$82</f>
        <v>6500</v>
      </c>
      <c r="AL175" s="154">
        <f>Valores!$C$50</f>
        <v>327.6</v>
      </c>
      <c r="AM175" s="162">
        <f t="shared" si="25"/>
        <v>7546.83</v>
      </c>
      <c r="AN175" s="148">
        <f>AI175*-Valores!$C$65</f>
        <v>-4771.6149025</v>
      </c>
      <c r="AO175" s="146">
        <f>AI175*-Valores!$C$66</f>
        <v>-1867.1536575</v>
      </c>
      <c r="AP175" s="170">
        <v>-159.43</v>
      </c>
      <c r="AQ175" s="170">
        <f t="shared" si="28"/>
        <v>-53.83</v>
      </c>
      <c r="AR175" s="162">
        <f t="shared" si="29"/>
        <v>42187.104940000005</v>
      </c>
    </row>
    <row r="176" spans="1:44" s="137" customFormat="1" ht="11.25" customHeight="1">
      <c r="A176" s="147">
        <v>174</v>
      </c>
      <c r="B176" s="147"/>
      <c r="C176" s="147" t="s">
        <v>457</v>
      </c>
      <c r="D176" s="147"/>
      <c r="E176" s="147">
        <f t="shared" si="22"/>
        <v>27</v>
      </c>
      <c r="F176" s="155" t="s">
        <v>458</v>
      </c>
      <c r="G176" s="152">
        <v>217</v>
      </c>
      <c r="H176" s="149">
        <f>INT((G176*Valores!$C$2*100)+0.5)/100</f>
        <v>1831.22</v>
      </c>
      <c r="I176" s="159">
        <f>2245</f>
        <v>2245</v>
      </c>
      <c r="J176" s="149">
        <f>INT((I176*Valores!$C$2*100)+0.5)/100</f>
        <v>18945.11</v>
      </c>
      <c r="K176" s="151">
        <v>0</v>
      </c>
      <c r="L176" s="149">
        <f>INT((K176*Valores!$C$2*100)+0.5)/100</f>
        <v>0</v>
      </c>
      <c r="M176" s="158">
        <v>1300</v>
      </c>
      <c r="N176" s="149">
        <f>INT((M176*Valores!$C$2*100)+0.5)/100</f>
        <v>10970.44</v>
      </c>
      <c r="O176" s="149">
        <f t="shared" si="23"/>
        <v>5639.770500000001</v>
      </c>
      <c r="P176" s="149">
        <f t="shared" si="24"/>
        <v>0</v>
      </c>
      <c r="Q176" s="148">
        <f>Valores!$C$16</f>
        <v>5893.48</v>
      </c>
      <c r="R176" s="148">
        <f>Valores!$D$4</f>
        <v>4313.91</v>
      </c>
      <c r="S176" s="148">
        <f>Valores!$C$26</f>
        <v>3959.57</v>
      </c>
      <c r="T176" s="148">
        <f>Valores!$C$43</f>
        <v>2324.69</v>
      </c>
      <c r="U176" s="149">
        <f>Valores!$C$23</f>
        <v>3527.01</v>
      </c>
      <c r="V176" s="149">
        <f t="shared" si="30"/>
        <v>3527.01</v>
      </c>
      <c r="W176" s="149">
        <v>0</v>
      </c>
      <c r="X176" s="149">
        <v>0</v>
      </c>
      <c r="Y176" s="157">
        <v>0</v>
      </c>
      <c r="Z176" s="149">
        <f>Y176*Valores!$C$2</f>
        <v>0</v>
      </c>
      <c r="AA176" s="149">
        <v>0</v>
      </c>
      <c r="AB176" s="154">
        <f>Valores!$C$29</f>
        <v>199.86</v>
      </c>
      <c r="AC176" s="149">
        <f t="shared" si="26"/>
        <v>0</v>
      </c>
      <c r="AD176" s="149">
        <f>Valores!$C$30</f>
        <v>199.86</v>
      </c>
      <c r="AE176" s="157">
        <v>0</v>
      </c>
      <c r="AF176" s="149">
        <f>INT(((AE176*Valores!$C$2)*100)+0.5)/100</f>
        <v>0</v>
      </c>
      <c r="AG176" s="149">
        <f>Valores!$C$58</f>
        <v>406.53</v>
      </c>
      <c r="AH176" s="149">
        <f>Valores!$C$60</f>
        <v>116.15</v>
      </c>
      <c r="AI176" s="163">
        <f t="shared" si="27"/>
        <v>58327.60050000001</v>
      </c>
      <c r="AJ176" s="148">
        <f>Valores!$C$35</f>
        <v>1046.83</v>
      </c>
      <c r="AK176" s="149">
        <f>Valores!$C$82</f>
        <v>6500</v>
      </c>
      <c r="AL176" s="154">
        <f>Valores!$C$50</f>
        <v>327.6</v>
      </c>
      <c r="AM176" s="162">
        <f t="shared" si="25"/>
        <v>7546.83</v>
      </c>
      <c r="AN176" s="148">
        <f>AI176*-Valores!$C$65</f>
        <v>-6707.674057500001</v>
      </c>
      <c r="AO176" s="146">
        <f>AI176*-Valores!$C$66</f>
        <v>-2624.7420225</v>
      </c>
      <c r="AP176" s="170">
        <v>-159.43</v>
      </c>
      <c r="AQ176" s="170">
        <f t="shared" si="28"/>
        <v>-53.83</v>
      </c>
      <c r="AR176" s="162">
        <f t="shared" si="29"/>
        <v>56328.75442</v>
      </c>
    </row>
    <row r="177" spans="1:44" s="137" customFormat="1" ht="11.25" customHeight="1">
      <c r="A177" s="147">
        <v>175</v>
      </c>
      <c r="B177" s="147" t="s">
        <v>135</v>
      </c>
      <c r="C177" s="147" t="s">
        <v>459</v>
      </c>
      <c r="D177" s="147"/>
      <c r="E177" s="147">
        <f t="shared" si="22"/>
        <v>27</v>
      </c>
      <c r="F177" s="155" t="s">
        <v>460</v>
      </c>
      <c r="G177" s="152">
        <v>185</v>
      </c>
      <c r="H177" s="149">
        <f>INT((G177*Valores!$C$2*100)+0.5)/100</f>
        <v>1561.18</v>
      </c>
      <c r="I177" s="159">
        <f>1835</f>
        <v>1835</v>
      </c>
      <c r="J177" s="149">
        <f>INT((I177*Valores!$C$2*100)+0.5)/100</f>
        <v>15485.2</v>
      </c>
      <c r="K177" s="151">
        <v>0</v>
      </c>
      <c r="L177" s="149">
        <f>INT((K177*Valores!$C$2*100)+0.5)/100</f>
        <v>0</v>
      </c>
      <c r="M177" s="158">
        <v>1300</v>
      </c>
      <c r="N177" s="149">
        <f>INT((M177*Valores!$C$2*100)+0.5)/100</f>
        <v>10970.44</v>
      </c>
      <c r="O177" s="149">
        <f t="shared" si="23"/>
        <v>5080.278</v>
      </c>
      <c r="P177" s="149">
        <f t="shared" si="24"/>
        <v>0</v>
      </c>
      <c r="Q177" s="148">
        <f>Valores!$C$16</f>
        <v>5893.48</v>
      </c>
      <c r="R177" s="148">
        <f>Valores!$D$4</f>
        <v>4313.91</v>
      </c>
      <c r="S177" s="148">
        <f>Valores!$C$26</f>
        <v>3959.57</v>
      </c>
      <c r="T177" s="148">
        <f>Valores!$C$43</f>
        <v>2324.69</v>
      </c>
      <c r="U177" s="149">
        <f>Valores!$C$23</f>
        <v>3527.01</v>
      </c>
      <c r="V177" s="149">
        <f t="shared" si="30"/>
        <v>3527.01</v>
      </c>
      <c r="W177" s="149">
        <v>0</v>
      </c>
      <c r="X177" s="149">
        <v>0</v>
      </c>
      <c r="Y177" s="157">
        <v>0</v>
      </c>
      <c r="Z177" s="149">
        <f>Y177*Valores!$C$2</f>
        <v>0</v>
      </c>
      <c r="AA177" s="149">
        <v>0</v>
      </c>
      <c r="AB177" s="154">
        <f>Valores!$C$29</f>
        <v>199.86</v>
      </c>
      <c r="AC177" s="149">
        <f t="shared" si="26"/>
        <v>0</v>
      </c>
      <c r="AD177" s="149">
        <f>Valores!$C$30</f>
        <v>199.86</v>
      </c>
      <c r="AE177" s="157">
        <v>0</v>
      </c>
      <c r="AF177" s="149">
        <f>INT(((AE177*Valores!$C$2)*100)+0.5)/100</f>
        <v>0</v>
      </c>
      <c r="AG177" s="149">
        <f>Valores!$C$58</f>
        <v>406.53</v>
      </c>
      <c r="AH177" s="149">
        <f>Valores!$C$60</f>
        <v>116.15</v>
      </c>
      <c r="AI177" s="163">
        <f t="shared" si="27"/>
        <v>54038.158</v>
      </c>
      <c r="AJ177" s="148">
        <f>Valores!$C$35</f>
        <v>1046.83</v>
      </c>
      <c r="AK177" s="149">
        <f>Valores!$C$82</f>
        <v>6500</v>
      </c>
      <c r="AL177" s="154">
        <f>Valores!$C$50</f>
        <v>327.6</v>
      </c>
      <c r="AM177" s="162">
        <f t="shared" si="25"/>
        <v>7546.83</v>
      </c>
      <c r="AN177" s="148">
        <f>AI177*-Valores!$C$65</f>
        <v>-6214.38817</v>
      </c>
      <c r="AO177" s="146">
        <f>AI177*-Valores!$C$66</f>
        <v>-2431.71711</v>
      </c>
      <c r="AP177" s="170">
        <v>-159.43</v>
      </c>
      <c r="AQ177" s="170">
        <f t="shared" si="28"/>
        <v>-53.83</v>
      </c>
      <c r="AR177" s="162">
        <f t="shared" si="29"/>
        <v>52725.62272000001</v>
      </c>
    </row>
    <row r="178" spans="1:44" s="137" customFormat="1" ht="11.25" customHeight="1">
      <c r="A178" s="147">
        <v>176</v>
      </c>
      <c r="B178" s="147"/>
      <c r="C178" s="147" t="s">
        <v>461</v>
      </c>
      <c r="D178" s="147"/>
      <c r="E178" s="147">
        <f t="shared" si="22"/>
        <v>27</v>
      </c>
      <c r="F178" s="155" t="s">
        <v>462</v>
      </c>
      <c r="G178" s="152">
        <v>160</v>
      </c>
      <c r="H178" s="149">
        <f>INT((G178*Valores!$C$2*100)+0.5)/100</f>
        <v>1350.21</v>
      </c>
      <c r="I178" s="159">
        <f>1484</f>
        <v>1484</v>
      </c>
      <c r="J178" s="149">
        <f>INT((I178*Valores!$C$2*100)+0.5)/100</f>
        <v>12523.18</v>
      </c>
      <c r="K178" s="151">
        <v>0</v>
      </c>
      <c r="L178" s="149">
        <f>INT((K178*Valores!$C$2*100)+0.5)/100</f>
        <v>0</v>
      </c>
      <c r="M178" s="158">
        <v>1300</v>
      </c>
      <c r="N178" s="149">
        <f>INT((M178*Valores!$C$2*100)+0.5)/100</f>
        <v>10970.44</v>
      </c>
      <c r="O178" s="149">
        <f t="shared" si="23"/>
        <v>4604.3295</v>
      </c>
      <c r="P178" s="149">
        <f t="shared" si="24"/>
        <v>0</v>
      </c>
      <c r="Q178" s="148">
        <f>Valores!$C$16</f>
        <v>5893.48</v>
      </c>
      <c r="R178" s="148">
        <f>Valores!$D$4</f>
        <v>4313.91</v>
      </c>
      <c r="S178" s="148">
        <f>Valores!$C$26</f>
        <v>3959.57</v>
      </c>
      <c r="T178" s="148">
        <f>Valores!$C$43</f>
        <v>2324.69</v>
      </c>
      <c r="U178" s="149">
        <f>Valores!$C$23</f>
        <v>3527.01</v>
      </c>
      <c r="V178" s="149">
        <f t="shared" si="30"/>
        <v>3527.01</v>
      </c>
      <c r="W178" s="149">
        <v>0</v>
      </c>
      <c r="X178" s="149">
        <v>0</v>
      </c>
      <c r="Y178" s="157">
        <v>0</v>
      </c>
      <c r="Z178" s="149">
        <f>Y178*Valores!$C$2</f>
        <v>0</v>
      </c>
      <c r="AA178" s="149">
        <v>0</v>
      </c>
      <c r="AB178" s="154">
        <f>Valores!$C$29</f>
        <v>199.86</v>
      </c>
      <c r="AC178" s="149">
        <f t="shared" si="26"/>
        <v>0</v>
      </c>
      <c r="AD178" s="149">
        <f>Valores!$C$30</f>
        <v>199.86</v>
      </c>
      <c r="AE178" s="157">
        <v>0</v>
      </c>
      <c r="AF178" s="149">
        <f>INT(((AE178*Valores!$C$2)*100)+0.5)/100</f>
        <v>0</v>
      </c>
      <c r="AG178" s="149">
        <f>Valores!$C$58</f>
        <v>406.53</v>
      </c>
      <c r="AH178" s="149">
        <f>Valores!$C$60</f>
        <v>116.15</v>
      </c>
      <c r="AI178" s="163">
        <f t="shared" si="27"/>
        <v>50389.219500000014</v>
      </c>
      <c r="AJ178" s="148">
        <f>Valores!$C$35</f>
        <v>1046.83</v>
      </c>
      <c r="AK178" s="149">
        <f>Valores!$C$82</f>
        <v>6500</v>
      </c>
      <c r="AL178" s="154">
        <f>Valores!$C$50</f>
        <v>327.6</v>
      </c>
      <c r="AM178" s="162">
        <f t="shared" si="25"/>
        <v>7546.83</v>
      </c>
      <c r="AN178" s="148">
        <f>AI178*-Valores!$C$65</f>
        <v>-5794.760242500002</v>
      </c>
      <c r="AO178" s="146">
        <f>AI178*-Valores!$C$66</f>
        <v>-2267.5148775000007</v>
      </c>
      <c r="AP178" s="170">
        <v>-159.43</v>
      </c>
      <c r="AQ178" s="170">
        <f t="shared" si="28"/>
        <v>-53.83</v>
      </c>
      <c r="AR178" s="162">
        <f t="shared" si="29"/>
        <v>49660.514380000015</v>
      </c>
    </row>
    <row r="179" spans="1:44" s="137" customFormat="1" ht="11.25" customHeight="1">
      <c r="A179" s="147">
        <v>177</v>
      </c>
      <c r="B179" s="147"/>
      <c r="C179" s="147" t="s">
        <v>463</v>
      </c>
      <c r="D179" s="147"/>
      <c r="E179" s="147">
        <f t="shared" si="22"/>
        <v>29</v>
      </c>
      <c r="F179" s="155" t="s">
        <v>464</v>
      </c>
      <c r="G179" s="152">
        <v>178</v>
      </c>
      <c r="H179" s="149">
        <f>INT((G179*Valores!$C$2*100)+0.5)/100</f>
        <v>1502.11</v>
      </c>
      <c r="I179" s="159">
        <f>1842</f>
        <v>1842</v>
      </c>
      <c r="J179" s="149">
        <f>INT((I179*Valores!$C$2*100)+0.5)/100</f>
        <v>15544.27</v>
      </c>
      <c r="K179" s="151">
        <v>0</v>
      </c>
      <c r="L179" s="149">
        <f>INT((K179*Valores!$C$2*100)+0.5)/100</f>
        <v>0</v>
      </c>
      <c r="M179" s="158">
        <v>1300</v>
      </c>
      <c r="N179" s="149">
        <f>INT((M179*Valores!$C$2*100)+0.5)/100</f>
        <v>10970.44</v>
      </c>
      <c r="O179" s="149">
        <f t="shared" si="23"/>
        <v>5080.278</v>
      </c>
      <c r="P179" s="149">
        <f t="shared" si="24"/>
        <v>0</v>
      </c>
      <c r="Q179" s="148">
        <f>Valores!$C$16</f>
        <v>5893.48</v>
      </c>
      <c r="R179" s="148">
        <f>Valores!$D$4</f>
        <v>4313.91</v>
      </c>
      <c r="S179" s="149">
        <f>Valores!$C$26</f>
        <v>3959.57</v>
      </c>
      <c r="T179" s="149">
        <f>Valores!$C$43</f>
        <v>2324.69</v>
      </c>
      <c r="U179" s="149">
        <f>Valores!$C$23</f>
        <v>3527.01</v>
      </c>
      <c r="V179" s="149">
        <f t="shared" si="30"/>
        <v>3527.01</v>
      </c>
      <c r="W179" s="149">
        <v>0</v>
      </c>
      <c r="X179" s="149">
        <v>0</v>
      </c>
      <c r="Y179" s="157">
        <v>0</v>
      </c>
      <c r="Z179" s="149">
        <f>Y179*Valores!$C$2</f>
        <v>0</v>
      </c>
      <c r="AA179" s="149">
        <v>0</v>
      </c>
      <c r="AB179" s="154">
        <f>Valores!$C$29</f>
        <v>199.86</v>
      </c>
      <c r="AC179" s="149">
        <f t="shared" si="26"/>
        <v>0</v>
      </c>
      <c r="AD179" s="149">
        <f>Valores!$C$30</f>
        <v>199.86</v>
      </c>
      <c r="AE179" s="157">
        <v>0</v>
      </c>
      <c r="AF179" s="149">
        <f>INT(((AE179*Valores!$C$2)*100)+0.5)/100</f>
        <v>0</v>
      </c>
      <c r="AG179" s="149">
        <f>Valores!$C$58</f>
        <v>406.53</v>
      </c>
      <c r="AH179" s="149">
        <f>Valores!$C$60</f>
        <v>116.15</v>
      </c>
      <c r="AI179" s="163">
        <f t="shared" si="27"/>
        <v>54038.158</v>
      </c>
      <c r="AJ179" s="148">
        <f>Valores!$C$35</f>
        <v>1046.83</v>
      </c>
      <c r="AK179" s="149">
        <f>Valores!$C$82</f>
        <v>6500</v>
      </c>
      <c r="AL179" s="154">
        <f>Valores!$C$50</f>
        <v>327.6</v>
      </c>
      <c r="AM179" s="162">
        <f t="shared" si="25"/>
        <v>7546.83</v>
      </c>
      <c r="AN179" s="148">
        <f>AI179*-Valores!$C$65</f>
        <v>-6214.38817</v>
      </c>
      <c r="AO179" s="146">
        <f>AI179*-Valores!$C$66</f>
        <v>-2431.71711</v>
      </c>
      <c r="AP179" s="170">
        <v>-159.43</v>
      </c>
      <c r="AQ179" s="170">
        <f t="shared" si="28"/>
        <v>-53.83</v>
      </c>
      <c r="AR179" s="162">
        <f t="shared" si="29"/>
        <v>52725.62272000001</v>
      </c>
    </row>
    <row r="180" spans="1:44" s="137" customFormat="1" ht="11.25" customHeight="1">
      <c r="A180" s="147">
        <v>178</v>
      </c>
      <c r="B180" s="147"/>
      <c r="C180" s="147" t="s">
        <v>465</v>
      </c>
      <c r="D180" s="147"/>
      <c r="E180" s="147">
        <f t="shared" si="22"/>
        <v>28</v>
      </c>
      <c r="F180" s="155" t="s">
        <v>466</v>
      </c>
      <c r="G180" s="152">
        <v>1278</v>
      </c>
      <c r="H180" s="149">
        <f>INT((G180*Valores!$C$2*100)+0.5)/100</f>
        <v>10784.79</v>
      </c>
      <c r="I180" s="159">
        <v>0</v>
      </c>
      <c r="J180" s="149">
        <f>INT((I180*Valores!$C$2*100)+0.5)/100</f>
        <v>0</v>
      </c>
      <c r="K180" s="151">
        <v>0</v>
      </c>
      <c r="L180" s="149">
        <f>INT((K180*Valores!$C$2*100)+0.5)/100</f>
        <v>0</v>
      </c>
      <c r="M180" s="158">
        <v>1200</v>
      </c>
      <c r="N180" s="149">
        <f>INT((M180*Valores!$C$2*100)+0.5)/100</f>
        <v>10126.56</v>
      </c>
      <c r="O180" s="149">
        <f t="shared" si="23"/>
        <v>4014.4574999999995</v>
      </c>
      <c r="P180" s="149">
        <f t="shared" si="24"/>
        <v>0</v>
      </c>
      <c r="Q180" s="148">
        <f>Valores!$C$20</f>
        <v>5630.2</v>
      </c>
      <c r="R180" s="148">
        <f>Valores!$D$4</f>
        <v>4313.91</v>
      </c>
      <c r="S180" s="148">
        <f>Valores!$C$26</f>
        <v>3959.57</v>
      </c>
      <c r="T180" s="148">
        <f>Valores!$C$43</f>
        <v>2324.69</v>
      </c>
      <c r="U180" s="149">
        <f>Valores!$C$23</f>
        <v>3527.01</v>
      </c>
      <c r="V180" s="149">
        <f t="shared" si="30"/>
        <v>3527.01</v>
      </c>
      <c r="W180" s="149">
        <v>0</v>
      </c>
      <c r="X180" s="149">
        <v>0</v>
      </c>
      <c r="Y180" s="157">
        <v>0</v>
      </c>
      <c r="Z180" s="149">
        <f>Y180*Valores!$C$2</f>
        <v>0</v>
      </c>
      <c r="AA180" s="149">
        <v>0</v>
      </c>
      <c r="AB180" s="154">
        <f>Valores!$C$29</f>
        <v>199.86</v>
      </c>
      <c r="AC180" s="149">
        <f t="shared" si="26"/>
        <v>0</v>
      </c>
      <c r="AD180" s="149">
        <f>Valores!$C$30</f>
        <v>199.86</v>
      </c>
      <c r="AE180" s="157">
        <v>0</v>
      </c>
      <c r="AF180" s="149">
        <f>INT(((AE180*Valores!$C$2)*100)+0.5)/100</f>
        <v>0</v>
      </c>
      <c r="AG180" s="149">
        <f>Valores!$C$58</f>
        <v>406.53</v>
      </c>
      <c r="AH180" s="149">
        <f>Valores!$C$60</f>
        <v>116.15</v>
      </c>
      <c r="AI180" s="163">
        <f t="shared" si="27"/>
        <v>45603.5875</v>
      </c>
      <c r="AJ180" s="148">
        <f>Valores!$C$35</f>
        <v>1046.83</v>
      </c>
      <c r="AK180" s="149">
        <f>Valores!$C$82</f>
        <v>6500</v>
      </c>
      <c r="AL180" s="154">
        <f>Valores!$C$50</f>
        <v>327.6</v>
      </c>
      <c r="AM180" s="162">
        <f t="shared" si="25"/>
        <v>7546.83</v>
      </c>
      <c r="AN180" s="148">
        <f>AI180*-Valores!$C$65</f>
        <v>-5244.412562500001</v>
      </c>
      <c r="AO180" s="146">
        <f>AI180*-Valores!$C$66</f>
        <v>-2052.1614375</v>
      </c>
      <c r="AP180" s="170">
        <v>-159.43</v>
      </c>
      <c r="AQ180" s="170">
        <f t="shared" si="28"/>
        <v>-53.83</v>
      </c>
      <c r="AR180" s="162">
        <f t="shared" si="29"/>
        <v>45640.5835</v>
      </c>
    </row>
    <row r="181" spans="1:44" s="137" customFormat="1" ht="11.25" customHeight="1">
      <c r="A181" s="147">
        <v>179</v>
      </c>
      <c r="B181" s="147"/>
      <c r="C181" s="147" t="s">
        <v>467</v>
      </c>
      <c r="D181" s="147"/>
      <c r="E181" s="147">
        <f t="shared" si="22"/>
        <v>29</v>
      </c>
      <c r="F181" s="155" t="s">
        <v>468</v>
      </c>
      <c r="G181" s="152">
        <v>971</v>
      </c>
      <c r="H181" s="149">
        <f>INT((G181*Valores!$C$2*100)+0.5)/100</f>
        <v>8194.07</v>
      </c>
      <c r="I181" s="159">
        <v>0</v>
      </c>
      <c r="J181" s="149">
        <f>INT((I181*Valores!$C$2*100)+0.5)/100</f>
        <v>0</v>
      </c>
      <c r="K181" s="151">
        <v>0</v>
      </c>
      <c r="L181" s="149">
        <f>INT((K181*Valores!$C$2*100)+0.5)/100</f>
        <v>0</v>
      </c>
      <c r="M181" s="158">
        <v>660</v>
      </c>
      <c r="N181" s="149">
        <f>INT((M181*Valores!$C$2*100)+0.5)/100</f>
        <v>5569.61</v>
      </c>
      <c r="O181" s="149">
        <f t="shared" si="23"/>
        <v>2942.3070000000002</v>
      </c>
      <c r="P181" s="149">
        <f t="shared" si="24"/>
        <v>0</v>
      </c>
      <c r="Q181" s="148">
        <f>Valores!$C$20</f>
        <v>5630.2</v>
      </c>
      <c r="R181" s="148">
        <f>Valores!$D$4</f>
        <v>4313.91</v>
      </c>
      <c r="S181" s="148">
        <f>Valores!$C$26</f>
        <v>3959.57</v>
      </c>
      <c r="T181" s="148">
        <f>Valores!$C$43</f>
        <v>2324.69</v>
      </c>
      <c r="U181" s="149">
        <f>Valores!$C$23</f>
        <v>3527.01</v>
      </c>
      <c r="V181" s="149">
        <f t="shared" si="30"/>
        <v>3527.01</v>
      </c>
      <c r="W181" s="149">
        <v>0</v>
      </c>
      <c r="X181" s="149">
        <v>0</v>
      </c>
      <c r="Y181" s="157">
        <v>0</v>
      </c>
      <c r="Z181" s="149">
        <f>Y181*Valores!$C$2</f>
        <v>0</v>
      </c>
      <c r="AA181" s="149">
        <v>0</v>
      </c>
      <c r="AB181" s="154">
        <f>Valores!$C$29</f>
        <v>199.86</v>
      </c>
      <c r="AC181" s="149">
        <f t="shared" si="26"/>
        <v>0</v>
      </c>
      <c r="AD181" s="149">
        <f>Valores!$C$30</f>
        <v>199.86</v>
      </c>
      <c r="AE181" s="157">
        <v>0</v>
      </c>
      <c r="AF181" s="149">
        <f>INT(((AE181*Valores!$C$2)*100)+0.5)/100</f>
        <v>0</v>
      </c>
      <c r="AG181" s="149">
        <f>Valores!$C$58</f>
        <v>406.53</v>
      </c>
      <c r="AH181" s="149">
        <f>Valores!$C$60</f>
        <v>116.15</v>
      </c>
      <c r="AI181" s="163">
        <f t="shared" si="27"/>
        <v>37383.76700000001</v>
      </c>
      <c r="AJ181" s="148">
        <f>Valores!$C$35</f>
        <v>1046.83</v>
      </c>
      <c r="AK181" s="149">
        <f>Valores!$C$82</f>
        <v>6500</v>
      </c>
      <c r="AL181" s="154">
        <f>Valores!$C$50</f>
        <v>327.6</v>
      </c>
      <c r="AM181" s="162">
        <f t="shared" si="25"/>
        <v>7546.83</v>
      </c>
      <c r="AN181" s="148">
        <f>AI181*-Valores!$C$65</f>
        <v>-4299.133205000001</v>
      </c>
      <c r="AO181" s="146">
        <f>AI181*-Valores!$C$66</f>
        <v>-1682.2695150000002</v>
      </c>
      <c r="AP181" s="170">
        <v>-159.43</v>
      </c>
      <c r="AQ181" s="170">
        <f t="shared" si="28"/>
        <v>-53.83</v>
      </c>
      <c r="AR181" s="162">
        <f t="shared" si="29"/>
        <v>38735.93428000001</v>
      </c>
    </row>
    <row r="182" spans="1:44" s="137" customFormat="1" ht="11.25" customHeight="1">
      <c r="A182" s="147">
        <v>180</v>
      </c>
      <c r="B182" s="147" t="s">
        <v>135</v>
      </c>
      <c r="C182" s="147" t="s">
        <v>469</v>
      </c>
      <c r="D182" s="147"/>
      <c r="E182" s="147">
        <f t="shared" si="22"/>
        <v>22</v>
      </c>
      <c r="F182" s="155" t="s">
        <v>470</v>
      </c>
      <c r="G182" s="152">
        <v>213</v>
      </c>
      <c r="H182" s="149">
        <f>INT((G182*Valores!$C$2*100)+0.5)/100</f>
        <v>1797.46</v>
      </c>
      <c r="I182" s="159">
        <f>1835</f>
        <v>1835</v>
      </c>
      <c r="J182" s="149">
        <f>INT((I182*Valores!$C$2*100)+0.5)/100</f>
        <v>15485.2</v>
      </c>
      <c r="K182" s="151">
        <v>0</v>
      </c>
      <c r="L182" s="149">
        <f>INT((K182*Valores!$C$2*100)+0.5)/100</f>
        <v>0</v>
      </c>
      <c r="M182" s="158">
        <v>1300</v>
      </c>
      <c r="N182" s="149">
        <f>INT((M182*Valores!$C$2*100)+0.5)/100</f>
        <v>10970.44</v>
      </c>
      <c r="O182" s="149">
        <f t="shared" si="23"/>
        <v>5115.72</v>
      </c>
      <c r="P182" s="149">
        <f t="shared" si="24"/>
        <v>0</v>
      </c>
      <c r="Q182" s="148">
        <f>Valores!$C$16</f>
        <v>5893.48</v>
      </c>
      <c r="R182" s="148">
        <f>Valores!$D$4</f>
        <v>4313.91</v>
      </c>
      <c r="S182" s="148">
        <f>Valores!$C$26</f>
        <v>3959.57</v>
      </c>
      <c r="T182" s="148">
        <f>Valores!$C$43</f>
        <v>2324.69</v>
      </c>
      <c r="U182" s="149">
        <f>Valores!$C$23</f>
        <v>3527.01</v>
      </c>
      <c r="V182" s="149">
        <f t="shared" si="30"/>
        <v>3527.01</v>
      </c>
      <c r="W182" s="149">
        <v>0</v>
      </c>
      <c r="X182" s="149">
        <v>0</v>
      </c>
      <c r="Y182" s="157">
        <v>0</v>
      </c>
      <c r="Z182" s="149">
        <f>Y182*Valores!$C$2</f>
        <v>0</v>
      </c>
      <c r="AA182" s="149">
        <v>0</v>
      </c>
      <c r="AB182" s="154">
        <f>Valores!$C$29</f>
        <v>199.86</v>
      </c>
      <c r="AC182" s="149">
        <f t="shared" si="26"/>
        <v>0</v>
      </c>
      <c r="AD182" s="149">
        <f>Valores!$C$30</f>
        <v>199.86</v>
      </c>
      <c r="AE182" s="157">
        <v>0</v>
      </c>
      <c r="AF182" s="149">
        <f>INT(((AE182*Valores!$C$2)*100)+0.5)/100</f>
        <v>0</v>
      </c>
      <c r="AG182" s="149">
        <f>Valores!$C$58</f>
        <v>406.53</v>
      </c>
      <c r="AH182" s="149">
        <f>Valores!$C$60</f>
        <v>116.15</v>
      </c>
      <c r="AI182" s="163">
        <f t="shared" si="27"/>
        <v>54309.88000000001</v>
      </c>
      <c r="AJ182" s="148">
        <f>Valores!$C$35</f>
        <v>1046.83</v>
      </c>
      <c r="AK182" s="149">
        <f>Valores!$C$82</f>
        <v>6500</v>
      </c>
      <c r="AL182" s="154">
        <f>Valores!$C$50</f>
        <v>327.6</v>
      </c>
      <c r="AM182" s="162">
        <f t="shared" si="25"/>
        <v>7546.83</v>
      </c>
      <c r="AN182" s="148">
        <f>AI182*-Valores!$C$65</f>
        <v>-6245.636200000002</v>
      </c>
      <c r="AO182" s="146">
        <f>AI182*-Valores!$C$66</f>
        <v>-2443.9446000000003</v>
      </c>
      <c r="AP182" s="170">
        <v>-159.43</v>
      </c>
      <c r="AQ182" s="170">
        <f t="shared" si="28"/>
        <v>-53.83</v>
      </c>
      <c r="AR182" s="162">
        <f t="shared" si="29"/>
        <v>52953.86920000001</v>
      </c>
    </row>
    <row r="183" spans="1:44" s="137" customFormat="1" ht="11.25" customHeight="1">
      <c r="A183" s="147">
        <v>181</v>
      </c>
      <c r="B183" s="147"/>
      <c r="C183" s="147" t="s">
        <v>471</v>
      </c>
      <c r="D183" s="147"/>
      <c r="E183" s="147">
        <f t="shared" si="22"/>
        <v>26</v>
      </c>
      <c r="F183" s="155" t="s">
        <v>472</v>
      </c>
      <c r="G183" s="152">
        <v>185</v>
      </c>
      <c r="H183" s="149">
        <f>INT((G183*Valores!$C$2*100)+0.5)/100</f>
        <v>1561.18</v>
      </c>
      <c r="I183" s="159">
        <f>1835</f>
        <v>1835</v>
      </c>
      <c r="J183" s="149">
        <f>INT((I183*Valores!$C$2*100)+0.5)/100</f>
        <v>15485.2</v>
      </c>
      <c r="K183" s="151">
        <v>0</v>
      </c>
      <c r="L183" s="149">
        <f>INT((K183*Valores!$C$2*100)+0.5)/100</f>
        <v>0</v>
      </c>
      <c r="M183" s="158">
        <v>1300</v>
      </c>
      <c r="N183" s="149">
        <f>INT((M183*Valores!$C$2*100)+0.5)/100</f>
        <v>10970.44</v>
      </c>
      <c r="O183" s="149">
        <f t="shared" si="23"/>
        <v>5080.278</v>
      </c>
      <c r="P183" s="149">
        <f t="shared" si="24"/>
        <v>0</v>
      </c>
      <c r="Q183" s="148">
        <f>Valores!$C$16</f>
        <v>5893.48</v>
      </c>
      <c r="R183" s="148">
        <f>Valores!$D$4</f>
        <v>4313.91</v>
      </c>
      <c r="S183" s="148">
        <f>Valores!$C$26</f>
        <v>3959.57</v>
      </c>
      <c r="T183" s="148">
        <f>Valores!$C$43</f>
        <v>2324.69</v>
      </c>
      <c r="U183" s="149">
        <f>Valores!$C$23</f>
        <v>3527.01</v>
      </c>
      <c r="V183" s="149">
        <f t="shared" si="30"/>
        <v>3527.01</v>
      </c>
      <c r="W183" s="149">
        <v>0</v>
      </c>
      <c r="X183" s="149">
        <v>0</v>
      </c>
      <c r="Y183" s="157">
        <v>0</v>
      </c>
      <c r="Z183" s="149">
        <f>Y183*Valores!$C$2</f>
        <v>0</v>
      </c>
      <c r="AA183" s="149">
        <v>0</v>
      </c>
      <c r="AB183" s="154">
        <f>Valores!$C$29</f>
        <v>199.86</v>
      </c>
      <c r="AC183" s="149">
        <f t="shared" si="26"/>
        <v>0</v>
      </c>
      <c r="AD183" s="149">
        <f>Valores!$C$30</f>
        <v>199.86</v>
      </c>
      <c r="AE183" s="157">
        <v>0</v>
      </c>
      <c r="AF183" s="149">
        <f>INT(((AE183*Valores!$C$2)*100)+0.5)/100</f>
        <v>0</v>
      </c>
      <c r="AG183" s="149">
        <f>Valores!$C$58</f>
        <v>406.53</v>
      </c>
      <c r="AH183" s="149">
        <f>Valores!$C$60</f>
        <v>116.15</v>
      </c>
      <c r="AI183" s="163">
        <f t="shared" si="27"/>
        <v>54038.158</v>
      </c>
      <c r="AJ183" s="148">
        <f>Valores!$C$35</f>
        <v>1046.83</v>
      </c>
      <c r="AK183" s="149">
        <f>Valores!$C$82</f>
        <v>6500</v>
      </c>
      <c r="AL183" s="154">
        <f>Valores!$C$50</f>
        <v>327.6</v>
      </c>
      <c r="AM183" s="162">
        <f t="shared" si="25"/>
        <v>7546.83</v>
      </c>
      <c r="AN183" s="148">
        <f>AI183*-Valores!$C$65</f>
        <v>-6214.38817</v>
      </c>
      <c r="AO183" s="146">
        <f>AI183*-Valores!$C$66</f>
        <v>-2431.71711</v>
      </c>
      <c r="AP183" s="170">
        <v>-159.43</v>
      </c>
      <c r="AQ183" s="170">
        <f t="shared" si="28"/>
        <v>-53.83</v>
      </c>
      <c r="AR183" s="162">
        <f t="shared" si="29"/>
        <v>52725.62272000001</v>
      </c>
    </row>
    <row r="184" spans="1:44" s="137" customFormat="1" ht="11.25" customHeight="1">
      <c r="A184" s="147">
        <v>182</v>
      </c>
      <c r="B184" s="147"/>
      <c r="C184" s="147" t="s">
        <v>473</v>
      </c>
      <c r="D184" s="147"/>
      <c r="E184" s="147">
        <f t="shared" si="22"/>
        <v>26</v>
      </c>
      <c r="F184" s="155" t="s">
        <v>474</v>
      </c>
      <c r="G184" s="152">
        <v>160</v>
      </c>
      <c r="H184" s="149">
        <f>INT((G184*Valores!$C$2*100)+0.5)/100</f>
        <v>1350.21</v>
      </c>
      <c r="I184" s="159">
        <f>1484</f>
        <v>1484</v>
      </c>
      <c r="J184" s="149">
        <f>INT((I184*Valores!$C$2*100)+0.5)/100</f>
        <v>12523.18</v>
      </c>
      <c r="K184" s="151">
        <v>0</v>
      </c>
      <c r="L184" s="149">
        <f>INT((K184*Valores!$C$2*100)+0.5)/100</f>
        <v>0</v>
      </c>
      <c r="M184" s="158">
        <v>1300</v>
      </c>
      <c r="N184" s="149">
        <f>INT((M184*Valores!$C$2*100)+0.5)/100</f>
        <v>10970.44</v>
      </c>
      <c r="O184" s="149">
        <f t="shared" si="23"/>
        <v>4604.3295</v>
      </c>
      <c r="P184" s="149">
        <f t="shared" si="24"/>
        <v>0</v>
      </c>
      <c r="Q184" s="148">
        <f>Valores!$C$16</f>
        <v>5893.48</v>
      </c>
      <c r="R184" s="148">
        <f>Valores!$D$4</f>
        <v>4313.91</v>
      </c>
      <c r="S184" s="149">
        <f>Valores!$C$26</f>
        <v>3959.57</v>
      </c>
      <c r="T184" s="149">
        <f>Valores!$C$43</f>
        <v>2324.69</v>
      </c>
      <c r="U184" s="149">
        <f>Valores!$C$23</f>
        <v>3527.01</v>
      </c>
      <c r="V184" s="149">
        <f t="shared" si="30"/>
        <v>3527.01</v>
      </c>
      <c r="W184" s="149">
        <v>0</v>
      </c>
      <c r="X184" s="149">
        <v>0</v>
      </c>
      <c r="Y184" s="157">
        <v>0</v>
      </c>
      <c r="Z184" s="149">
        <f>Y184*Valores!$C$2</f>
        <v>0</v>
      </c>
      <c r="AA184" s="149">
        <v>0</v>
      </c>
      <c r="AB184" s="154">
        <f>Valores!$C$29</f>
        <v>199.86</v>
      </c>
      <c r="AC184" s="149">
        <f t="shared" si="26"/>
        <v>0</v>
      </c>
      <c r="AD184" s="149">
        <f>Valores!$C$30</f>
        <v>199.86</v>
      </c>
      <c r="AE184" s="157">
        <v>0</v>
      </c>
      <c r="AF184" s="149">
        <f>INT(((AE184*Valores!$C$2)*100)+0.5)/100</f>
        <v>0</v>
      </c>
      <c r="AG184" s="149">
        <f>Valores!$C$58</f>
        <v>406.53</v>
      </c>
      <c r="AH184" s="149">
        <f>Valores!$C$60</f>
        <v>116.15</v>
      </c>
      <c r="AI184" s="163">
        <f t="shared" si="27"/>
        <v>50389.219500000014</v>
      </c>
      <c r="AJ184" s="148">
        <f>Valores!$C$35</f>
        <v>1046.83</v>
      </c>
      <c r="AK184" s="149">
        <f>Valores!$C$82</f>
        <v>6500</v>
      </c>
      <c r="AL184" s="154">
        <f>Valores!$C$50</f>
        <v>327.6</v>
      </c>
      <c r="AM184" s="162">
        <f t="shared" si="25"/>
        <v>7546.83</v>
      </c>
      <c r="AN184" s="148">
        <f>AI184*-Valores!$C$65</f>
        <v>-5794.760242500002</v>
      </c>
      <c r="AO184" s="146">
        <f>AI184*-Valores!$C$66</f>
        <v>-2267.5148775000007</v>
      </c>
      <c r="AP184" s="170">
        <v>-159.43</v>
      </c>
      <c r="AQ184" s="170">
        <f t="shared" si="28"/>
        <v>-53.83</v>
      </c>
      <c r="AR184" s="162">
        <f t="shared" si="29"/>
        <v>49660.514380000015</v>
      </c>
    </row>
    <row r="185" spans="1:44" s="137" customFormat="1" ht="11.25" customHeight="1">
      <c r="A185" s="147">
        <v>183</v>
      </c>
      <c r="B185" s="147"/>
      <c r="C185" s="147" t="s">
        <v>475</v>
      </c>
      <c r="D185" s="147"/>
      <c r="E185" s="147">
        <f t="shared" si="22"/>
        <v>22</v>
      </c>
      <c r="F185" s="155" t="s">
        <v>476</v>
      </c>
      <c r="G185" s="152">
        <v>1278</v>
      </c>
      <c r="H185" s="149">
        <f>INT((G185*Valores!$C$2*100)+0.5)/100</f>
        <v>10784.79</v>
      </c>
      <c r="I185" s="159">
        <v>0</v>
      </c>
      <c r="J185" s="149">
        <f>INT((I185*Valores!$C$2*100)+0.5)/100</f>
        <v>0</v>
      </c>
      <c r="K185" s="151">
        <v>0</v>
      </c>
      <c r="L185" s="149">
        <f>INT((K185*Valores!$C$2*100)+0.5)/100</f>
        <v>0</v>
      </c>
      <c r="M185" s="158">
        <v>1200</v>
      </c>
      <c r="N185" s="149">
        <f>INT((M185*Valores!$C$2*100)+0.5)/100</f>
        <v>10126.56</v>
      </c>
      <c r="O185" s="149">
        <f t="shared" si="23"/>
        <v>4014.4574999999995</v>
      </c>
      <c r="P185" s="149">
        <f t="shared" si="24"/>
        <v>0</v>
      </c>
      <c r="Q185" s="148">
        <f>Valores!$C$20</f>
        <v>5630.2</v>
      </c>
      <c r="R185" s="148">
        <f>Valores!$D$4</f>
        <v>4313.91</v>
      </c>
      <c r="S185" s="148">
        <f>Valores!$C$26</f>
        <v>3959.57</v>
      </c>
      <c r="T185" s="148">
        <f>Valores!$C$43</f>
        <v>2324.69</v>
      </c>
      <c r="U185" s="149">
        <f>Valores!$C$23</f>
        <v>3527.01</v>
      </c>
      <c r="V185" s="149">
        <f t="shared" si="30"/>
        <v>3527.01</v>
      </c>
      <c r="W185" s="149">
        <v>0</v>
      </c>
      <c r="X185" s="149">
        <v>0</v>
      </c>
      <c r="Y185" s="157">
        <v>0</v>
      </c>
      <c r="Z185" s="149">
        <f>Y185*Valores!$C$2</f>
        <v>0</v>
      </c>
      <c r="AA185" s="149">
        <v>0</v>
      </c>
      <c r="AB185" s="154">
        <f>Valores!$C$29</f>
        <v>199.86</v>
      </c>
      <c r="AC185" s="149">
        <f t="shared" si="26"/>
        <v>0</v>
      </c>
      <c r="AD185" s="149">
        <f>Valores!$C$30</f>
        <v>199.86</v>
      </c>
      <c r="AE185" s="157">
        <v>0</v>
      </c>
      <c r="AF185" s="149">
        <f>INT(((AE185*Valores!$C$2)*100)+0.5)/100</f>
        <v>0</v>
      </c>
      <c r="AG185" s="149">
        <f>Valores!$C$58</f>
        <v>406.53</v>
      </c>
      <c r="AH185" s="149">
        <f>Valores!$C$60</f>
        <v>116.15</v>
      </c>
      <c r="AI185" s="163">
        <f t="shared" si="27"/>
        <v>45603.5875</v>
      </c>
      <c r="AJ185" s="148">
        <f>Valores!$C$35</f>
        <v>1046.83</v>
      </c>
      <c r="AK185" s="149">
        <f>Valores!$C$82</f>
        <v>6500</v>
      </c>
      <c r="AL185" s="154">
        <f>Valores!$C$50</f>
        <v>327.6</v>
      </c>
      <c r="AM185" s="162">
        <f t="shared" si="25"/>
        <v>7546.83</v>
      </c>
      <c r="AN185" s="148">
        <f>AI185*-Valores!$C$65</f>
        <v>-5244.412562500001</v>
      </c>
      <c r="AO185" s="146">
        <f>AI185*-Valores!$C$66</f>
        <v>-2052.1614375</v>
      </c>
      <c r="AP185" s="170">
        <v>-159.43</v>
      </c>
      <c r="AQ185" s="170">
        <f t="shared" si="28"/>
        <v>-53.83</v>
      </c>
      <c r="AR185" s="162">
        <f t="shared" si="29"/>
        <v>45640.5835</v>
      </c>
    </row>
    <row r="186" spans="1:44" s="137" customFormat="1" ht="11.25" customHeight="1">
      <c r="A186" s="147">
        <v>184</v>
      </c>
      <c r="B186" s="147"/>
      <c r="C186" s="147" t="s">
        <v>477</v>
      </c>
      <c r="D186" s="147"/>
      <c r="E186" s="147">
        <f t="shared" si="22"/>
        <v>28</v>
      </c>
      <c r="F186" s="155" t="s">
        <v>478</v>
      </c>
      <c r="G186" s="152">
        <v>971</v>
      </c>
      <c r="H186" s="149">
        <f>INT((G186*Valores!$C$2*100)+0.5)/100</f>
        <v>8194.07</v>
      </c>
      <c r="I186" s="159">
        <v>0</v>
      </c>
      <c r="J186" s="149">
        <f>INT((I186*Valores!$C$2*100)+0.5)/100</f>
        <v>0</v>
      </c>
      <c r="K186" s="151">
        <v>0</v>
      </c>
      <c r="L186" s="149">
        <f>INT((K186*Valores!$C$2*100)+0.5)/100</f>
        <v>0</v>
      </c>
      <c r="M186" s="158">
        <v>660</v>
      </c>
      <c r="N186" s="149">
        <f>INT((M186*Valores!$C$2*100)+0.5)/100</f>
        <v>5569.61</v>
      </c>
      <c r="O186" s="149">
        <f t="shared" si="23"/>
        <v>2942.3070000000002</v>
      </c>
      <c r="P186" s="149">
        <f t="shared" si="24"/>
        <v>0</v>
      </c>
      <c r="Q186" s="148">
        <f>Valores!$C$20</f>
        <v>5630.2</v>
      </c>
      <c r="R186" s="148">
        <f>Valores!$D$4</f>
        <v>4313.91</v>
      </c>
      <c r="S186" s="148">
        <f>Valores!$C$27</f>
        <v>3657.61</v>
      </c>
      <c r="T186" s="148">
        <f>Valores!$C$43</f>
        <v>2324.69</v>
      </c>
      <c r="U186" s="149">
        <f>Valores!$C$23</f>
        <v>3527.01</v>
      </c>
      <c r="V186" s="149">
        <f t="shared" si="30"/>
        <v>3527.01</v>
      </c>
      <c r="W186" s="149">
        <v>0</v>
      </c>
      <c r="X186" s="149">
        <v>0</v>
      </c>
      <c r="Y186" s="157">
        <v>0</v>
      </c>
      <c r="Z186" s="149">
        <f>Y186*Valores!$C$2</f>
        <v>0</v>
      </c>
      <c r="AA186" s="149">
        <v>0</v>
      </c>
      <c r="AB186" s="154">
        <f>Valores!$C$29</f>
        <v>199.86</v>
      </c>
      <c r="AC186" s="149">
        <f t="shared" si="26"/>
        <v>0</v>
      </c>
      <c r="AD186" s="149">
        <f>Valores!$C$30</f>
        <v>199.86</v>
      </c>
      <c r="AE186" s="157">
        <v>0</v>
      </c>
      <c r="AF186" s="149">
        <f>INT(((AE186*Valores!$C$2)*100)+0.5)/100</f>
        <v>0</v>
      </c>
      <c r="AG186" s="149">
        <f>Valores!$C$58</f>
        <v>406.53</v>
      </c>
      <c r="AH186" s="149">
        <f>Valores!$C$60</f>
        <v>116.15</v>
      </c>
      <c r="AI186" s="163">
        <f t="shared" si="27"/>
        <v>37081.80700000001</v>
      </c>
      <c r="AJ186" s="148">
        <f>Valores!$C$35</f>
        <v>1046.83</v>
      </c>
      <c r="AK186" s="149">
        <f>Valores!$C$82</f>
        <v>6500</v>
      </c>
      <c r="AL186" s="154">
        <f>Valores!$C$52</f>
        <v>327.6</v>
      </c>
      <c r="AM186" s="162">
        <f t="shared" si="25"/>
        <v>7546.83</v>
      </c>
      <c r="AN186" s="148">
        <f>AI186*-Valores!$C$65</f>
        <v>-4264.407805000001</v>
      </c>
      <c r="AO186" s="146">
        <f>AI186*-Valores!$C$66</f>
        <v>-1668.6813150000003</v>
      </c>
      <c r="AP186" s="170">
        <v>-159.43</v>
      </c>
      <c r="AQ186" s="170">
        <f t="shared" si="28"/>
        <v>-53.83</v>
      </c>
      <c r="AR186" s="162">
        <f t="shared" si="29"/>
        <v>38482.28788</v>
      </c>
    </row>
    <row r="187" spans="1:44" s="137" customFormat="1" ht="11.25" customHeight="1">
      <c r="A187" s="147">
        <v>185</v>
      </c>
      <c r="B187" s="147" t="s">
        <v>135</v>
      </c>
      <c r="C187" s="147" t="s">
        <v>479</v>
      </c>
      <c r="D187" s="147"/>
      <c r="E187" s="147">
        <f t="shared" si="22"/>
        <v>23</v>
      </c>
      <c r="F187" s="155" t="s">
        <v>480</v>
      </c>
      <c r="G187" s="152">
        <v>179</v>
      </c>
      <c r="H187" s="149">
        <f>INT((G187*Valores!$C$2*100)+0.5)/100</f>
        <v>1510.55</v>
      </c>
      <c r="I187" s="159">
        <f>1323</f>
        <v>1323</v>
      </c>
      <c r="J187" s="149">
        <f>INT((I187*Valores!$C$2*100)+0.5)/100</f>
        <v>11164.53</v>
      </c>
      <c r="K187" s="151">
        <v>0</v>
      </c>
      <c r="L187" s="149">
        <f>INT((K187*Valores!$C$2*100)+0.5)/100</f>
        <v>0</v>
      </c>
      <c r="M187" s="158">
        <v>1300</v>
      </c>
      <c r="N187" s="149">
        <f>INT((M187*Valores!$C$2*100)+0.5)/100</f>
        <v>10970.44</v>
      </c>
      <c r="O187" s="149">
        <f t="shared" si="23"/>
        <v>4424.583</v>
      </c>
      <c r="P187" s="149">
        <f t="shared" si="24"/>
        <v>0</v>
      </c>
      <c r="Q187" s="148">
        <f>Valores!$C$16</f>
        <v>5893.48</v>
      </c>
      <c r="R187" s="148">
        <f>Valores!$D$4</f>
        <v>4313.91</v>
      </c>
      <c r="S187" s="148">
        <f>Valores!$C$26</f>
        <v>3959.57</v>
      </c>
      <c r="T187" s="148">
        <f>Valores!$C$43</f>
        <v>2324.69</v>
      </c>
      <c r="U187" s="149">
        <f>Valores!$C$23</f>
        <v>3527.01</v>
      </c>
      <c r="V187" s="149">
        <f t="shared" si="30"/>
        <v>3527.01</v>
      </c>
      <c r="W187" s="149">
        <v>0</v>
      </c>
      <c r="X187" s="149">
        <v>0</v>
      </c>
      <c r="Y187" s="157">
        <v>0</v>
      </c>
      <c r="Z187" s="149">
        <f>Y187*Valores!$C$2</f>
        <v>0</v>
      </c>
      <c r="AA187" s="149">
        <v>0</v>
      </c>
      <c r="AB187" s="154">
        <f>Valores!$C$29</f>
        <v>199.86</v>
      </c>
      <c r="AC187" s="149">
        <f t="shared" si="26"/>
        <v>0</v>
      </c>
      <c r="AD187" s="149">
        <f>Valores!$C$30</f>
        <v>199.86</v>
      </c>
      <c r="AE187" s="157">
        <v>0</v>
      </c>
      <c r="AF187" s="149">
        <f>INT(((AE187*Valores!$C$2)*100)+0.5)/100</f>
        <v>0</v>
      </c>
      <c r="AG187" s="149">
        <f>Valores!$C$58</f>
        <v>406.53</v>
      </c>
      <c r="AH187" s="149">
        <f>Valores!$C$60</f>
        <v>116.15</v>
      </c>
      <c r="AI187" s="163">
        <f t="shared" si="27"/>
        <v>49011.16300000001</v>
      </c>
      <c r="AJ187" s="148">
        <f>Valores!$C$35</f>
        <v>1046.83</v>
      </c>
      <c r="AK187" s="149">
        <f>Valores!$C$82</f>
        <v>6500</v>
      </c>
      <c r="AL187" s="154">
        <v>0</v>
      </c>
      <c r="AM187" s="162">
        <f t="shared" si="25"/>
        <v>7546.83</v>
      </c>
      <c r="AN187" s="148">
        <f>AI187*-Valores!$C$65</f>
        <v>-5636.2837450000015</v>
      </c>
      <c r="AO187" s="146">
        <f>AI187*-Valores!$C$66</f>
        <v>-2205.502335</v>
      </c>
      <c r="AP187" s="170">
        <v>-159.43</v>
      </c>
      <c r="AQ187" s="170">
        <f t="shared" si="28"/>
        <v>-53.83</v>
      </c>
      <c r="AR187" s="162">
        <f t="shared" si="29"/>
        <v>48502.94692000001</v>
      </c>
    </row>
    <row r="188" spans="1:44" s="137" customFormat="1" ht="11.25" customHeight="1">
      <c r="A188" s="147">
        <v>186</v>
      </c>
      <c r="B188" s="147"/>
      <c r="C188" s="147" t="s">
        <v>481</v>
      </c>
      <c r="D188" s="147"/>
      <c r="E188" s="147">
        <f t="shared" si="22"/>
        <v>26</v>
      </c>
      <c r="F188" s="155" t="s">
        <v>482</v>
      </c>
      <c r="G188" s="152">
        <v>64</v>
      </c>
      <c r="H188" s="149">
        <f>INT((G188*Valores!$C$2*100)+0.5)/100</f>
        <v>540.08</v>
      </c>
      <c r="I188" s="159">
        <v>1354</v>
      </c>
      <c r="J188" s="149">
        <f>INT((I188*Valores!$C$2*100)+0.5)/100</f>
        <v>11426.14</v>
      </c>
      <c r="K188" s="151">
        <v>0</v>
      </c>
      <c r="L188" s="149">
        <f>INT((K188*Valores!$C$2*100)+0.5)/100</f>
        <v>0</v>
      </c>
      <c r="M188" s="158">
        <v>1200</v>
      </c>
      <c r="N188" s="149">
        <f>INT((M188*Valores!$C$2*100)+0.5)/100</f>
        <v>10126.56</v>
      </c>
      <c r="O188" s="149">
        <f t="shared" si="23"/>
        <v>4184.697</v>
      </c>
      <c r="P188" s="149">
        <f t="shared" si="24"/>
        <v>0</v>
      </c>
      <c r="Q188" s="148">
        <f>Valores!$C$20</f>
        <v>5630.2</v>
      </c>
      <c r="R188" s="148">
        <f>Valores!$D$4</f>
        <v>4313.91</v>
      </c>
      <c r="S188" s="149">
        <v>0</v>
      </c>
      <c r="T188" s="149">
        <f>Valores!$C$43</f>
        <v>2324.69</v>
      </c>
      <c r="U188" s="148">
        <f>Valores!$C$24</f>
        <v>3480.51</v>
      </c>
      <c r="V188" s="149">
        <f t="shared" si="30"/>
        <v>3480.51</v>
      </c>
      <c r="W188" s="149">
        <v>0</v>
      </c>
      <c r="X188" s="149">
        <v>0</v>
      </c>
      <c r="Y188" s="157">
        <v>0</v>
      </c>
      <c r="Z188" s="149">
        <f>Y188*Valores!$C$2</f>
        <v>0</v>
      </c>
      <c r="AA188" s="149">
        <v>0</v>
      </c>
      <c r="AB188" s="154">
        <f>Valores!$C$29</f>
        <v>199.86</v>
      </c>
      <c r="AC188" s="149">
        <f t="shared" si="26"/>
        <v>0</v>
      </c>
      <c r="AD188" s="149">
        <f>Valores!$C$30</f>
        <v>199.86</v>
      </c>
      <c r="AE188" s="157">
        <v>0</v>
      </c>
      <c r="AF188" s="149">
        <f>INT(((AE188*Valores!$C$2)*100)+0.5)/100</f>
        <v>0</v>
      </c>
      <c r="AG188" s="149">
        <f>Valores!$C$58</f>
        <v>406.53</v>
      </c>
      <c r="AH188" s="149">
        <f>Valores!$C$60</f>
        <v>116.15</v>
      </c>
      <c r="AI188" s="163">
        <f t="shared" si="27"/>
        <v>42949.187000000005</v>
      </c>
      <c r="AJ188" s="148">
        <f>Valores!$C$35</f>
        <v>1046.83</v>
      </c>
      <c r="AK188" s="149">
        <f>Valores!$C$82</f>
        <v>6500</v>
      </c>
      <c r="AL188" s="154">
        <v>0</v>
      </c>
      <c r="AM188" s="162">
        <f t="shared" si="25"/>
        <v>7546.83</v>
      </c>
      <c r="AN188" s="148">
        <f>AI188*-Valores!$C$65</f>
        <v>-4939.156505000001</v>
      </c>
      <c r="AO188" s="146">
        <f>AI188*-Valores!$C$66</f>
        <v>-1932.7134150000002</v>
      </c>
      <c r="AP188" s="170">
        <v>-159.43</v>
      </c>
      <c r="AQ188" s="170">
        <f t="shared" si="28"/>
        <v>-53.83</v>
      </c>
      <c r="AR188" s="162">
        <f t="shared" si="29"/>
        <v>43410.88708000001</v>
      </c>
    </row>
    <row r="189" spans="1:44" s="137" customFormat="1" ht="11.25" customHeight="1">
      <c r="A189" s="147">
        <v>187</v>
      </c>
      <c r="B189" s="147"/>
      <c r="C189" s="147" t="s">
        <v>483</v>
      </c>
      <c r="D189" s="147"/>
      <c r="E189" s="147">
        <f t="shared" si="22"/>
        <v>26</v>
      </c>
      <c r="F189" s="155" t="s">
        <v>484</v>
      </c>
      <c r="G189" s="152">
        <v>55</v>
      </c>
      <c r="H189" s="149">
        <f>INT((G189*Valores!$C$2*100)+0.5)/100</f>
        <v>464.13</v>
      </c>
      <c r="I189" s="159">
        <v>1279</v>
      </c>
      <c r="J189" s="149">
        <f>INT((I189*Valores!$C$2*100)+0.5)/100</f>
        <v>10793.23</v>
      </c>
      <c r="K189" s="151">
        <v>0</v>
      </c>
      <c r="L189" s="149">
        <f>INT((K189*Valores!$C$2*100)+0.5)/100</f>
        <v>0</v>
      </c>
      <c r="M189" s="158">
        <v>1200</v>
      </c>
      <c r="N189" s="149">
        <f>INT((M189*Valores!$C$2*100)+0.5)/100</f>
        <v>10126.56</v>
      </c>
      <c r="O189" s="149">
        <f t="shared" si="23"/>
        <v>4085.343</v>
      </c>
      <c r="P189" s="149">
        <f t="shared" si="24"/>
        <v>0</v>
      </c>
      <c r="Q189" s="148">
        <f>Valores!$C$20</f>
        <v>5630.2</v>
      </c>
      <c r="R189" s="148">
        <f>Valores!$D$4</f>
        <v>4313.91</v>
      </c>
      <c r="S189" s="149">
        <v>0</v>
      </c>
      <c r="T189" s="149">
        <f>Valores!$C$43</f>
        <v>2324.69</v>
      </c>
      <c r="U189" s="149">
        <f>Valores!$C$23</f>
        <v>3527.01</v>
      </c>
      <c r="V189" s="149">
        <f t="shared" si="30"/>
        <v>3527.01</v>
      </c>
      <c r="W189" s="149">
        <v>0</v>
      </c>
      <c r="X189" s="149">
        <v>0</v>
      </c>
      <c r="Y189" s="157">
        <v>0</v>
      </c>
      <c r="Z189" s="149">
        <f>Y189*Valores!$C$2</f>
        <v>0</v>
      </c>
      <c r="AA189" s="149">
        <v>0</v>
      </c>
      <c r="AB189" s="154">
        <f>Valores!$C$29</f>
        <v>199.86</v>
      </c>
      <c r="AC189" s="149">
        <f t="shared" si="26"/>
        <v>0</v>
      </c>
      <c r="AD189" s="149">
        <f>Valores!$C$30</f>
        <v>199.86</v>
      </c>
      <c r="AE189" s="157">
        <v>0</v>
      </c>
      <c r="AF189" s="149">
        <f>INT(((AE189*Valores!$C$2)*100)+0.5)/100</f>
        <v>0</v>
      </c>
      <c r="AG189" s="149">
        <f>Valores!$C$58</f>
        <v>406.53</v>
      </c>
      <c r="AH189" s="149">
        <f>Valores!$C$60</f>
        <v>116.15</v>
      </c>
      <c r="AI189" s="163">
        <f t="shared" si="27"/>
        <v>42187.473000000005</v>
      </c>
      <c r="AJ189" s="148">
        <f>Valores!$C$35</f>
        <v>1046.83</v>
      </c>
      <c r="AK189" s="149">
        <f>Valores!$C$82</f>
        <v>6500</v>
      </c>
      <c r="AL189" s="154">
        <v>0</v>
      </c>
      <c r="AM189" s="162">
        <f t="shared" si="25"/>
        <v>7546.83</v>
      </c>
      <c r="AN189" s="148">
        <f>AI189*-Valores!$C$65</f>
        <v>-4851.559395000001</v>
      </c>
      <c r="AO189" s="146">
        <f>AI189*-Valores!$C$66</f>
        <v>-1898.4362850000002</v>
      </c>
      <c r="AP189" s="170">
        <v>-159.43</v>
      </c>
      <c r="AQ189" s="170">
        <f t="shared" si="28"/>
        <v>-53.83</v>
      </c>
      <c r="AR189" s="162">
        <f t="shared" si="29"/>
        <v>42771.04732</v>
      </c>
    </row>
    <row r="190" spans="1:44" s="137" customFormat="1" ht="11.25" customHeight="1">
      <c r="A190" s="147">
        <v>188</v>
      </c>
      <c r="B190" s="147"/>
      <c r="C190" s="147" t="s">
        <v>485</v>
      </c>
      <c r="D190" s="147"/>
      <c r="E190" s="147">
        <f t="shared" si="22"/>
        <v>24</v>
      </c>
      <c r="F190" s="155" t="s">
        <v>486</v>
      </c>
      <c r="G190" s="152">
        <v>1027</v>
      </c>
      <c r="H190" s="149">
        <f>INT((G190*Valores!$C$2*100)+0.5)/100</f>
        <v>8666.65</v>
      </c>
      <c r="I190" s="159">
        <v>0</v>
      </c>
      <c r="J190" s="149">
        <f>INT((I190*Valores!$C$2*100)+0.5)/100</f>
        <v>0</v>
      </c>
      <c r="K190" s="151">
        <v>0</v>
      </c>
      <c r="L190" s="149">
        <f>INT((K190*Valores!$C$2*100)+0.5)/100</f>
        <v>0</v>
      </c>
      <c r="M190" s="158">
        <v>1200</v>
      </c>
      <c r="N190" s="149">
        <f>INT((M190*Valores!$C$2*100)+0.5)/100</f>
        <v>10126.56</v>
      </c>
      <c r="O190" s="149">
        <f t="shared" si="23"/>
        <v>3689.7614999999996</v>
      </c>
      <c r="P190" s="149">
        <f t="shared" si="24"/>
        <v>0</v>
      </c>
      <c r="Q190" s="148">
        <f>Valores!$C$20</f>
        <v>5630.2</v>
      </c>
      <c r="R190" s="148">
        <f>Valores!$D$4</f>
        <v>4313.91</v>
      </c>
      <c r="S190" s="149">
        <v>0</v>
      </c>
      <c r="T190" s="149">
        <f>Valores!$C$43</f>
        <v>2324.69</v>
      </c>
      <c r="U190" s="148">
        <f>Valores!$C$24</f>
        <v>3480.51</v>
      </c>
      <c r="V190" s="149">
        <f t="shared" si="30"/>
        <v>3480.51</v>
      </c>
      <c r="W190" s="149">
        <v>0</v>
      </c>
      <c r="X190" s="149">
        <v>0</v>
      </c>
      <c r="Y190" s="157">
        <v>0</v>
      </c>
      <c r="Z190" s="149">
        <f>Y190*Valores!$C$2</f>
        <v>0</v>
      </c>
      <c r="AA190" s="149">
        <v>0</v>
      </c>
      <c r="AB190" s="154">
        <f>Valores!$C$29</f>
        <v>199.86</v>
      </c>
      <c r="AC190" s="149">
        <f t="shared" si="26"/>
        <v>0</v>
      </c>
      <c r="AD190" s="149">
        <f>Valores!$C$30</f>
        <v>199.86</v>
      </c>
      <c r="AE190" s="157">
        <v>0</v>
      </c>
      <c r="AF190" s="149">
        <f>INT(((AE190*Valores!$C$2)*100)+0.5)/100</f>
        <v>0</v>
      </c>
      <c r="AG190" s="149">
        <f>Valores!$C$58</f>
        <v>406.53</v>
      </c>
      <c r="AH190" s="149">
        <f>Valores!$C$60</f>
        <v>116.15</v>
      </c>
      <c r="AI190" s="163">
        <f t="shared" si="27"/>
        <v>39154.681500000006</v>
      </c>
      <c r="AJ190" s="148">
        <f>Valores!$C$35</f>
        <v>1046.83</v>
      </c>
      <c r="AK190" s="149">
        <f>Valores!$C$82</f>
        <v>6500</v>
      </c>
      <c r="AL190" s="154">
        <v>0</v>
      </c>
      <c r="AM190" s="162">
        <f t="shared" si="25"/>
        <v>7546.83</v>
      </c>
      <c r="AN190" s="148">
        <f>AI190*-Valores!$C$65</f>
        <v>-4502.788372500001</v>
      </c>
      <c r="AO190" s="146">
        <f>AI190*-Valores!$C$66</f>
        <v>-1761.9606675000002</v>
      </c>
      <c r="AP190" s="170">
        <v>-159.43</v>
      </c>
      <c r="AQ190" s="170">
        <f t="shared" si="28"/>
        <v>-53.83</v>
      </c>
      <c r="AR190" s="162">
        <f t="shared" si="29"/>
        <v>40223.50246</v>
      </c>
    </row>
    <row r="191" spans="1:44" s="137" customFormat="1" ht="11.25" customHeight="1">
      <c r="A191" s="147">
        <v>189</v>
      </c>
      <c r="B191" s="147"/>
      <c r="C191" s="147" t="s">
        <v>487</v>
      </c>
      <c r="D191" s="147"/>
      <c r="E191" s="147">
        <f t="shared" si="22"/>
        <v>24</v>
      </c>
      <c r="F191" s="155" t="s">
        <v>488</v>
      </c>
      <c r="G191" s="152">
        <v>1278</v>
      </c>
      <c r="H191" s="149">
        <f>INT((G191*Valores!$C$2*100)+0.5)/100</f>
        <v>10784.79</v>
      </c>
      <c r="I191" s="159">
        <v>0</v>
      </c>
      <c r="J191" s="149">
        <f>INT((I191*Valores!$C$2*100)+0.5)/100</f>
        <v>0</v>
      </c>
      <c r="K191" s="151">
        <v>0</v>
      </c>
      <c r="L191" s="149">
        <f>INT((K191*Valores!$C$2*100)+0.5)/100</f>
        <v>0</v>
      </c>
      <c r="M191" s="158">
        <v>1200</v>
      </c>
      <c r="N191" s="149">
        <f>INT((M191*Valores!$C$2*100)+0.5)/100</f>
        <v>10126.56</v>
      </c>
      <c r="O191" s="149">
        <f t="shared" si="23"/>
        <v>4014.4574999999995</v>
      </c>
      <c r="P191" s="149">
        <f t="shared" si="24"/>
        <v>0</v>
      </c>
      <c r="Q191" s="148">
        <f>Valores!$C$20</f>
        <v>5630.2</v>
      </c>
      <c r="R191" s="148">
        <f>Valores!$D$4</f>
        <v>4313.91</v>
      </c>
      <c r="S191" s="148">
        <f>Valores!$C$26</f>
        <v>3959.57</v>
      </c>
      <c r="T191" s="148">
        <f>Valores!$C$43</f>
        <v>2324.69</v>
      </c>
      <c r="U191" s="149">
        <f>Valores!$C$23</f>
        <v>3527.01</v>
      </c>
      <c r="V191" s="149">
        <f t="shared" si="30"/>
        <v>3527.01</v>
      </c>
      <c r="W191" s="149">
        <v>0</v>
      </c>
      <c r="X191" s="149">
        <v>0</v>
      </c>
      <c r="Y191" s="157">
        <v>0</v>
      </c>
      <c r="Z191" s="149">
        <f>Y191*Valores!$C$2</f>
        <v>0</v>
      </c>
      <c r="AA191" s="149">
        <v>0</v>
      </c>
      <c r="AB191" s="154">
        <f>Valores!$C$29</f>
        <v>199.86</v>
      </c>
      <c r="AC191" s="149">
        <f t="shared" si="26"/>
        <v>0</v>
      </c>
      <c r="AD191" s="149">
        <f>Valores!$C$30</f>
        <v>199.86</v>
      </c>
      <c r="AE191" s="157">
        <v>0</v>
      </c>
      <c r="AF191" s="149">
        <f>INT(((AE191*Valores!$C$2)*100)+0.5)/100</f>
        <v>0</v>
      </c>
      <c r="AG191" s="149">
        <f>Valores!$C$58</f>
        <v>406.53</v>
      </c>
      <c r="AH191" s="149">
        <f>Valores!$C$60</f>
        <v>116.15</v>
      </c>
      <c r="AI191" s="163">
        <f t="shared" si="27"/>
        <v>45603.5875</v>
      </c>
      <c r="AJ191" s="148">
        <f>Valores!$C$35</f>
        <v>1046.83</v>
      </c>
      <c r="AK191" s="149">
        <f>Valores!$C$82</f>
        <v>6500</v>
      </c>
      <c r="AL191" s="154">
        <f>Valores!$C$50</f>
        <v>327.6</v>
      </c>
      <c r="AM191" s="162">
        <f t="shared" si="25"/>
        <v>7546.83</v>
      </c>
      <c r="AN191" s="148">
        <f>AI191*-Valores!$C$65</f>
        <v>-5244.412562500001</v>
      </c>
      <c r="AO191" s="146">
        <f>AI191*-Valores!$C$66</f>
        <v>-2052.1614375</v>
      </c>
      <c r="AP191" s="170">
        <v>-159.43</v>
      </c>
      <c r="AQ191" s="170">
        <f t="shared" si="28"/>
        <v>-53.83</v>
      </c>
      <c r="AR191" s="162">
        <f t="shared" si="29"/>
        <v>45640.5835</v>
      </c>
    </row>
    <row r="192" spans="1:44" s="137" customFormat="1" ht="11.25" customHeight="1">
      <c r="A192" s="147">
        <v>190</v>
      </c>
      <c r="B192" s="147" t="s">
        <v>135</v>
      </c>
      <c r="C192" s="147" t="s">
        <v>489</v>
      </c>
      <c r="D192" s="147"/>
      <c r="E192" s="147">
        <f t="shared" si="22"/>
        <v>38</v>
      </c>
      <c r="F192" s="155" t="s">
        <v>490</v>
      </c>
      <c r="G192" s="152">
        <v>1065</v>
      </c>
      <c r="H192" s="149">
        <f>INT((G192*Valores!$C$2*100)+0.5)/100</f>
        <v>8987.32</v>
      </c>
      <c r="I192" s="159">
        <v>0</v>
      </c>
      <c r="J192" s="149">
        <f>INT((I192*Valores!$C$2*100)+0.5)/100</f>
        <v>0</v>
      </c>
      <c r="K192" s="151">
        <v>0</v>
      </c>
      <c r="L192" s="149">
        <f>INT((K192*Valores!$C$2*100)+0.5)/100</f>
        <v>0</v>
      </c>
      <c r="M192" s="158">
        <v>600</v>
      </c>
      <c r="N192" s="149">
        <f>INT((M192*Valores!$C$2*100)+0.5)/100</f>
        <v>5063.28</v>
      </c>
      <c r="O192" s="149">
        <f t="shared" si="23"/>
        <v>2985.345</v>
      </c>
      <c r="P192" s="149">
        <f t="shared" si="24"/>
        <v>0</v>
      </c>
      <c r="Q192" s="148">
        <f>Valores!$C$20</f>
        <v>5630.2</v>
      </c>
      <c r="R192" s="148">
        <f>Valores!$D$4</f>
        <v>4313.91</v>
      </c>
      <c r="S192" s="149">
        <v>0</v>
      </c>
      <c r="T192" s="149">
        <f>Valores!$C$43</f>
        <v>2324.69</v>
      </c>
      <c r="U192" s="149">
        <f>Valores!$C$23</f>
        <v>3527.01</v>
      </c>
      <c r="V192" s="149">
        <f t="shared" si="30"/>
        <v>3527.01</v>
      </c>
      <c r="W192" s="149">
        <v>0</v>
      </c>
      <c r="X192" s="149">
        <v>0</v>
      </c>
      <c r="Y192" s="157">
        <v>0</v>
      </c>
      <c r="Z192" s="149">
        <f>Y192*Valores!$C$2</f>
        <v>0</v>
      </c>
      <c r="AA192" s="149">
        <v>0</v>
      </c>
      <c r="AB192" s="154">
        <f>Valores!$C$29</f>
        <v>199.86</v>
      </c>
      <c r="AC192" s="149">
        <f t="shared" si="26"/>
        <v>0</v>
      </c>
      <c r="AD192" s="149">
        <f>Valores!$C$30</f>
        <v>199.86</v>
      </c>
      <c r="AE192" s="157">
        <v>0</v>
      </c>
      <c r="AF192" s="149">
        <f>INT(((AE192*Valores!$C$2)*100)+0.5)/100</f>
        <v>0</v>
      </c>
      <c r="AG192" s="149">
        <f>Valores!$C$58</f>
        <v>406.53</v>
      </c>
      <c r="AH192" s="149">
        <f>Valores!$C$60</f>
        <v>116.15</v>
      </c>
      <c r="AI192" s="163">
        <f t="shared" si="27"/>
        <v>33754.155000000006</v>
      </c>
      <c r="AJ192" s="148">
        <f>Valores!$C$35</f>
        <v>1046.83</v>
      </c>
      <c r="AK192" s="149">
        <f>Valores!$C$82</f>
        <v>6500</v>
      </c>
      <c r="AL192" s="154">
        <f>Valores!$C$50</f>
        <v>327.6</v>
      </c>
      <c r="AM192" s="162">
        <f t="shared" si="25"/>
        <v>7546.83</v>
      </c>
      <c r="AN192" s="148">
        <f>AI192*-Valores!$C$65</f>
        <v>-3881.727825000001</v>
      </c>
      <c r="AO192" s="146">
        <f>AI192*-Valores!$C$66</f>
        <v>-1518.9369750000003</v>
      </c>
      <c r="AP192" s="170">
        <v>-159.43</v>
      </c>
      <c r="AQ192" s="170">
        <f t="shared" si="28"/>
        <v>-53.83</v>
      </c>
      <c r="AR192" s="162">
        <f t="shared" si="29"/>
        <v>35687.06020000001</v>
      </c>
    </row>
    <row r="193" spans="1:44" s="137" customFormat="1" ht="12" customHeight="1">
      <c r="A193" s="147">
        <v>191</v>
      </c>
      <c r="B193" s="147"/>
      <c r="C193" s="147" t="s">
        <v>491</v>
      </c>
      <c r="D193" s="147"/>
      <c r="E193" s="147">
        <f t="shared" si="22"/>
        <v>26</v>
      </c>
      <c r="F193" s="155" t="s">
        <v>492</v>
      </c>
      <c r="G193" s="152">
        <v>971</v>
      </c>
      <c r="H193" s="149">
        <f>INT((G193*Valores!$C$2*100)+0.5)/100</f>
        <v>8194.07</v>
      </c>
      <c r="I193" s="159">
        <v>0</v>
      </c>
      <c r="J193" s="149">
        <f>INT((I193*Valores!$C$2*100)+0.5)/100</f>
        <v>0</v>
      </c>
      <c r="K193" s="151">
        <v>0</v>
      </c>
      <c r="L193" s="149">
        <f>INT((K193*Valores!$C$2*100)+0.5)/100</f>
        <v>0</v>
      </c>
      <c r="M193" s="158">
        <v>660</v>
      </c>
      <c r="N193" s="149">
        <f>INT((M193*Valores!$C$2*100)+0.5)/100</f>
        <v>5569.61</v>
      </c>
      <c r="O193" s="149">
        <f t="shared" si="23"/>
        <v>2827.5765</v>
      </c>
      <c r="P193" s="149">
        <f t="shared" si="24"/>
        <v>0</v>
      </c>
      <c r="Q193" s="148">
        <f>Valores!$C$20</f>
        <v>5630.2</v>
      </c>
      <c r="R193" s="148">
        <f>Valores!$D$4</f>
        <v>4313.91</v>
      </c>
      <c r="S193" s="148">
        <f>Valores!$C$27</f>
        <v>3657.61</v>
      </c>
      <c r="T193" s="148">
        <f>Valores!$C$42</f>
        <v>1559.82</v>
      </c>
      <c r="U193" s="149">
        <f>Valores!$C$23</f>
        <v>3527.01</v>
      </c>
      <c r="V193" s="149">
        <f t="shared" si="30"/>
        <v>3527.01</v>
      </c>
      <c r="W193" s="149">
        <v>0</v>
      </c>
      <c r="X193" s="149">
        <v>0</v>
      </c>
      <c r="Y193" s="157">
        <v>0</v>
      </c>
      <c r="Z193" s="149">
        <f>Y193*Valores!$C$2</f>
        <v>0</v>
      </c>
      <c r="AA193" s="149">
        <v>0</v>
      </c>
      <c r="AB193" s="154">
        <f>Valores!$C$29</f>
        <v>199.86</v>
      </c>
      <c r="AC193" s="149">
        <f t="shared" si="26"/>
        <v>0</v>
      </c>
      <c r="AD193" s="149">
        <f>Valores!$C$30</f>
        <v>199.86</v>
      </c>
      <c r="AE193" s="157">
        <v>0</v>
      </c>
      <c r="AF193" s="149">
        <f>INT(((AE193*Valores!$C$2)*100)+0.5)/100</f>
        <v>0</v>
      </c>
      <c r="AG193" s="149">
        <f>Valores!$C$58</f>
        <v>406.53</v>
      </c>
      <c r="AH193" s="149">
        <f>Valores!$C$60</f>
        <v>116.15</v>
      </c>
      <c r="AI193" s="163">
        <f t="shared" si="27"/>
        <v>36202.2065</v>
      </c>
      <c r="AJ193" s="148">
        <f>Valores!$C$35</f>
        <v>1046.83</v>
      </c>
      <c r="AK193" s="149">
        <f>Valores!$C$80</f>
        <v>3250</v>
      </c>
      <c r="AL193" s="154">
        <v>0</v>
      </c>
      <c r="AM193" s="162">
        <f t="shared" si="25"/>
        <v>4296.83</v>
      </c>
      <c r="AN193" s="148">
        <f>AI193*-Valores!$C$65</f>
        <v>-4163.2537475</v>
      </c>
      <c r="AO193" s="146">
        <f>AI193*-Valores!$C$66</f>
        <v>-1629.0992925</v>
      </c>
      <c r="AP193" s="170">
        <v>-159.43</v>
      </c>
      <c r="AQ193" s="170">
        <f t="shared" si="28"/>
        <v>-53.83</v>
      </c>
      <c r="AR193" s="162">
        <f t="shared" si="29"/>
        <v>34493.42346</v>
      </c>
    </row>
    <row r="194" spans="1:44" s="137" customFormat="1" ht="11.25" customHeight="1">
      <c r="A194" s="147">
        <v>192</v>
      </c>
      <c r="B194" s="147"/>
      <c r="C194" s="147" t="s">
        <v>493</v>
      </c>
      <c r="D194" s="147">
        <v>1</v>
      </c>
      <c r="E194" s="147">
        <f t="shared" si="22"/>
        <v>36</v>
      </c>
      <c r="F194" s="155" t="str">
        <f aca="true" t="shared" si="31" ref="F194:F229">CONCATENATE("Hora Cátedra Enseñanza Superior ",D194," hs")</f>
        <v>Hora Cátedra Enseñanza Superior 1 hs</v>
      </c>
      <c r="G194" s="152">
        <f aca="true" t="shared" si="32" ref="G194:G229">99*D194</f>
        <v>99</v>
      </c>
      <c r="H194" s="149">
        <f>INT((G194*Valores!$C$2*100)+0.5)/100</f>
        <v>835.44</v>
      </c>
      <c r="I194" s="159">
        <v>0</v>
      </c>
      <c r="J194" s="149">
        <f>INT((I194*Valores!$C$2*100)+0.5)/100</f>
        <v>0</v>
      </c>
      <c r="K194" s="151">
        <v>0</v>
      </c>
      <c r="L194" s="149">
        <f>INT((K194*Valores!$C$2*100)+0.5)/100</f>
        <v>0</v>
      </c>
      <c r="M194" s="158">
        <v>0</v>
      </c>
      <c r="N194" s="149">
        <f>INT((M194*Valores!$C$2*100)+0.5)/100</f>
        <v>0</v>
      </c>
      <c r="O194" s="149">
        <f t="shared" si="23"/>
        <v>146.4975</v>
      </c>
      <c r="P194" s="149">
        <f t="shared" si="24"/>
        <v>0</v>
      </c>
      <c r="Q194" s="148">
        <f>Valores!$C$14*D194</f>
        <v>217.84</v>
      </c>
      <c r="R194" s="148">
        <f>IF(D194&lt;15,(Valores!$E$4*D194),Valores!$D$4)</f>
        <v>287.59</v>
      </c>
      <c r="S194" s="149">
        <v>0</v>
      </c>
      <c r="T194" s="149">
        <f>IF(Valores!$C$45*D194&gt;Valores!$C$43,Valores!$C$43,Valores!$C$45*D194)</f>
        <v>65.25</v>
      </c>
      <c r="U194" s="148">
        <f>Valores!$C$22*D194</f>
        <v>75.96</v>
      </c>
      <c r="V194" s="149">
        <f t="shared" si="30"/>
        <v>75.96</v>
      </c>
      <c r="W194" s="149">
        <v>0</v>
      </c>
      <c r="X194" s="149">
        <v>0</v>
      </c>
      <c r="Y194" s="149">
        <v>0</v>
      </c>
      <c r="Z194" s="149">
        <f>Y194*Valores!$C$2</f>
        <v>0</v>
      </c>
      <c r="AA194" s="149">
        <v>0</v>
      </c>
      <c r="AB194" s="154">
        <f>IF((Valores!$C$32)*D194&gt;Valores!$F$32,Valores!$F$32,(Valores!$C$32)*D194)</f>
        <v>8.00384</v>
      </c>
      <c r="AC194" s="149">
        <f t="shared" si="26"/>
        <v>0</v>
      </c>
      <c r="AD194" s="149">
        <f>IF(Valores!$C$33*D194&gt;Valores!$F$33,Valores!$F$33,Valores!$C$33*D194)</f>
        <v>6.662656000000001</v>
      </c>
      <c r="AE194" s="157">
        <v>0</v>
      </c>
      <c r="AF194" s="149">
        <f>INT(((AE194*Valores!$C$2)*100)+0.5)/100</f>
        <v>0</v>
      </c>
      <c r="AG194" s="149">
        <f>IF(Valores!$D$58*'Escala Docente'!D194&gt;Valores!$F$58,Valores!$F$58,Valores!$D$58*'Escala Docente'!D194)</f>
        <v>27.1024</v>
      </c>
      <c r="AH194" s="149">
        <f>IF(Valores!$D$60*D194&gt;Valores!$F$60,Valores!$F$60,Valores!$D$60*D194)</f>
        <v>7.7442</v>
      </c>
      <c r="AI194" s="163">
        <f t="shared" si="27"/>
        <v>1678.090596</v>
      </c>
      <c r="AJ194" s="148">
        <f>IF(Valores!$C$36*D194&gt;Valores!$F$36,Valores!$F$36,Valores!$C$36*D194)</f>
        <v>69.79</v>
      </c>
      <c r="AK194" s="149">
        <f>IF(Valores!$C$83*D194&gt;Valores!$C$82,Valores!$C$82,Valores!$C$83*D194)</f>
        <v>162.5</v>
      </c>
      <c r="AL194" s="154">
        <f>IF(Valores!$C$56*D194&gt;Valores!$F$56,Valores!$F$56,Valores!$C$56*D194)</f>
        <v>14.2</v>
      </c>
      <c r="AM194" s="162">
        <f t="shared" si="25"/>
        <v>232.29000000000002</v>
      </c>
      <c r="AN194" s="148">
        <f>AI194*-Valores!$C$65</f>
        <v>-192.98041854000002</v>
      </c>
      <c r="AO194" s="146">
        <f>AI194*-Valores!$C$66</f>
        <v>-75.51407682</v>
      </c>
      <c r="AP194" s="170">
        <v>-159.43</v>
      </c>
      <c r="AQ194" s="170">
        <f t="shared" si="28"/>
        <v>-53.83</v>
      </c>
      <c r="AR194" s="162">
        <f t="shared" si="29"/>
        <v>1428.62610064</v>
      </c>
    </row>
    <row r="195" spans="1:44" s="137" customFormat="1" ht="11.25" customHeight="1">
      <c r="A195" s="147">
        <v>193</v>
      </c>
      <c r="B195" s="147"/>
      <c r="C195" s="147" t="s">
        <v>493</v>
      </c>
      <c r="D195" s="147">
        <v>2</v>
      </c>
      <c r="E195" s="147">
        <f t="shared" si="22"/>
        <v>36</v>
      </c>
      <c r="F195" s="155" t="str">
        <f t="shared" si="31"/>
        <v>Hora Cátedra Enseñanza Superior 2 hs</v>
      </c>
      <c r="G195" s="152">
        <f t="shared" si="32"/>
        <v>198</v>
      </c>
      <c r="H195" s="149">
        <f>INT((G195*Valores!$C$2*100)+0.5)/100</f>
        <v>1670.88</v>
      </c>
      <c r="I195" s="159">
        <v>0</v>
      </c>
      <c r="J195" s="149">
        <f>INT((I195*Valores!$C$2*100)+0.5)/100</f>
        <v>0</v>
      </c>
      <c r="K195" s="151">
        <v>0</v>
      </c>
      <c r="L195" s="149">
        <f>INT((K195*Valores!$C$2*100)+0.5)/100</f>
        <v>0</v>
      </c>
      <c r="M195" s="158">
        <v>0</v>
      </c>
      <c r="N195" s="149">
        <f>INT((M195*Valores!$C$2*100)+0.5)/100</f>
        <v>0</v>
      </c>
      <c r="O195" s="149">
        <f t="shared" si="23"/>
        <v>292.995</v>
      </c>
      <c r="P195" s="149">
        <f t="shared" si="24"/>
        <v>0</v>
      </c>
      <c r="Q195" s="148">
        <f>Valores!$C$14*D195</f>
        <v>435.68</v>
      </c>
      <c r="R195" s="148">
        <f>IF(D195&lt;15,(Valores!$E$4*D195),Valores!$D$4)</f>
        <v>575.18</v>
      </c>
      <c r="S195" s="149">
        <v>0</v>
      </c>
      <c r="T195" s="149">
        <f>IF(Valores!$C$45*D195&gt;Valores!$C$43,Valores!$C$43,Valores!$C$45*D195)</f>
        <v>130.5</v>
      </c>
      <c r="U195" s="148">
        <f>Valores!$C$22*D195</f>
        <v>151.92</v>
      </c>
      <c r="V195" s="149">
        <f t="shared" si="30"/>
        <v>151.92</v>
      </c>
      <c r="W195" s="149">
        <v>0</v>
      </c>
      <c r="X195" s="149">
        <v>0</v>
      </c>
      <c r="Y195" s="149">
        <v>0</v>
      </c>
      <c r="Z195" s="149">
        <f>Y195*Valores!$C$2</f>
        <v>0</v>
      </c>
      <c r="AA195" s="149">
        <v>0</v>
      </c>
      <c r="AB195" s="154">
        <f>IF((Valores!$C$32)*D195&gt;Valores!$F$32,Valores!$F$32,(Valores!$C$32)*D195)</f>
        <v>16.00768</v>
      </c>
      <c r="AC195" s="149">
        <f t="shared" si="26"/>
        <v>0</v>
      </c>
      <c r="AD195" s="149">
        <f>IF(Valores!$C$33*D195&gt;Valores!$F$33,Valores!$F$33,Valores!$C$33*D195)</f>
        <v>13.325312000000002</v>
      </c>
      <c r="AE195" s="157">
        <v>0</v>
      </c>
      <c r="AF195" s="149">
        <f>INT(((AE195*Valores!$C$2)*100)+0.5)/100</f>
        <v>0</v>
      </c>
      <c r="AG195" s="149">
        <f>IF(Valores!$D$58*'Escala Docente'!D195&gt;Valores!$F$58,Valores!$F$58,Valores!$D$58*'Escala Docente'!D195)</f>
        <v>54.2048</v>
      </c>
      <c r="AH195" s="149">
        <f>IF(Valores!$D$60*D195&gt;Valores!$F$60,Valores!$F$60,Valores!$D$60*D195)</f>
        <v>15.4884</v>
      </c>
      <c r="AI195" s="163">
        <f t="shared" si="27"/>
        <v>3356.181192</v>
      </c>
      <c r="AJ195" s="148">
        <f>IF(Valores!$C$36*D195&gt;Valores!$F$36,Valores!$F$36,Valores!$C$36*D195)</f>
        <v>139.58</v>
      </c>
      <c r="AK195" s="149">
        <f>IF(Valores!$C$83*D195&gt;Valores!$C$82,Valores!$C$82,Valores!$C$83*D195)</f>
        <v>325</v>
      </c>
      <c r="AL195" s="154">
        <f>IF(Valores!$C$56*D195&gt;Valores!$F$56,Valores!$F$56,Valores!$C$56*D195)</f>
        <v>28.4</v>
      </c>
      <c r="AM195" s="162">
        <f t="shared" si="25"/>
        <v>464.58000000000004</v>
      </c>
      <c r="AN195" s="148">
        <f>AI195*-Valores!$C$65</f>
        <v>-385.96083708000003</v>
      </c>
      <c r="AO195" s="146">
        <f>AI195*-Valores!$C$66</f>
        <v>-151.02815364</v>
      </c>
      <c r="AP195" s="170">
        <v>-159.43</v>
      </c>
      <c r="AQ195" s="170">
        <f t="shared" si="28"/>
        <v>-53.83</v>
      </c>
      <c r="AR195" s="162">
        <f t="shared" si="29"/>
        <v>3070.51220128</v>
      </c>
    </row>
    <row r="196" spans="1:44" s="137" customFormat="1" ht="11.25" customHeight="1">
      <c r="A196" s="147">
        <v>194</v>
      </c>
      <c r="B196" s="147"/>
      <c r="C196" s="147" t="s">
        <v>493</v>
      </c>
      <c r="D196" s="147">
        <v>3</v>
      </c>
      <c r="E196" s="147">
        <f t="shared" si="22"/>
        <v>36</v>
      </c>
      <c r="F196" s="155" t="str">
        <f t="shared" si="31"/>
        <v>Hora Cátedra Enseñanza Superior 3 hs</v>
      </c>
      <c r="G196" s="152">
        <f t="shared" si="32"/>
        <v>297</v>
      </c>
      <c r="H196" s="149">
        <f>INT((G196*Valores!$C$2*100)+0.5)/100</f>
        <v>2506.32</v>
      </c>
      <c r="I196" s="159">
        <v>0</v>
      </c>
      <c r="J196" s="149">
        <f>INT((I196*Valores!$C$2*100)+0.5)/100</f>
        <v>0</v>
      </c>
      <c r="K196" s="151">
        <v>0</v>
      </c>
      <c r="L196" s="149">
        <f>INT((K196*Valores!$C$2*100)+0.5)/100</f>
        <v>0</v>
      </c>
      <c r="M196" s="158">
        <v>0</v>
      </c>
      <c r="N196" s="149">
        <f>INT((M196*Valores!$C$2*100)+0.5)/100</f>
        <v>0</v>
      </c>
      <c r="O196" s="149">
        <f t="shared" si="23"/>
        <v>439.4925</v>
      </c>
      <c r="P196" s="149">
        <f t="shared" si="24"/>
        <v>0</v>
      </c>
      <c r="Q196" s="148">
        <f>Valores!$C$14*D196</f>
        <v>653.52</v>
      </c>
      <c r="R196" s="148">
        <f>IF(D196&lt;15,(Valores!$E$4*D196),Valores!$D$4)</f>
        <v>862.77</v>
      </c>
      <c r="S196" s="149">
        <v>0</v>
      </c>
      <c r="T196" s="149">
        <f>IF(Valores!$C$45*D196&gt;Valores!$C$43,Valores!$C$43,Valores!$C$45*D196)</f>
        <v>195.75</v>
      </c>
      <c r="U196" s="148">
        <f>Valores!$C$22*D196</f>
        <v>227.88</v>
      </c>
      <c r="V196" s="149">
        <f t="shared" si="30"/>
        <v>227.88</v>
      </c>
      <c r="W196" s="149">
        <v>0</v>
      </c>
      <c r="X196" s="149">
        <v>0</v>
      </c>
      <c r="Y196" s="149">
        <v>0</v>
      </c>
      <c r="Z196" s="149">
        <f>Y196*Valores!$C$2</f>
        <v>0</v>
      </c>
      <c r="AA196" s="149">
        <v>0</v>
      </c>
      <c r="AB196" s="154">
        <f>IF((Valores!$C$32)*D196&gt;Valores!$F$32,Valores!$F$32,(Valores!$C$32)*D196)</f>
        <v>24.01152</v>
      </c>
      <c r="AC196" s="149">
        <f t="shared" si="26"/>
        <v>0</v>
      </c>
      <c r="AD196" s="149">
        <f>IF(Valores!$C$33*D196&gt;Valores!$F$33,Valores!$F$33,Valores!$C$33*D196)</f>
        <v>19.987968000000002</v>
      </c>
      <c r="AE196" s="157">
        <v>0</v>
      </c>
      <c r="AF196" s="149">
        <f>INT(((AE196*Valores!$C$2)*100)+0.5)/100</f>
        <v>0</v>
      </c>
      <c r="AG196" s="149">
        <f>IF(Valores!$D$58*'Escala Docente'!D196&gt;Valores!$F$58,Valores!$F$58,Valores!$D$58*'Escala Docente'!D196)</f>
        <v>81.3072</v>
      </c>
      <c r="AH196" s="149">
        <f>IF(Valores!$D$60*D196&gt;Valores!$F$60,Valores!$F$60,Valores!$D$60*D196)</f>
        <v>23.2326</v>
      </c>
      <c r="AI196" s="163">
        <f t="shared" si="27"/>
        <v>5034.271788000001</v>
      </c>
      <c r="AJ196" s="148">
        <f>IF(Valores!$C$36*D196&gt;Valores!$F$36,Valores!$F$36,Valores!$C$36*D196)</f>
        <v>209.37</v>
      </c>
      <c r="AK196" s="149">
        <f>IF(Valores!$C$83*D196&gt;Valores!$C$82,Valores!$C$82,Valores!$C$83*D196)</f>
        <v>487.5</v>
      </c>
      <c r="AL196" s="154">
        <f>IF(Valores!$C$56*D196&gt;Valores!$F$56,Valores!$F$56,Valores!$C$56*D196)</f>
        <v>42.599999999999994</v>
      </c>
      <c r="AM196" s="162">
        <f t="shared" si="25"/>
        <v>696.87</v>
      </c>
      <c r="AN196" s="148">
        <f>AI196*-Valores!$C$65</f>
        <v>-578.9412556200001</v>
      </c>
      <c r="AO196" s="146">
        <f>AI196*-Valores!$C$66</f>
        <v>-226.54223046000004</v>
      </c>
      <c r="AP196" s="170">
        <v>-159.43</v>
      </c>
      <c r="AQ196" s="170">
        <f t="shared" si="28"/>
        <v>-53.83</v>
      </c>
      <c r="AR196" s="162">
        <f t="shared" si="29"/>
        <v>4712.39830192</v>
      </c>
    </row>
    <row r="197" spans="1:44" s="137" customFormat="1" ht="11.25" customHeight="1">
      <c r="A197" s="147">
        <v>195</v>
      </c>
      <c r="B197" s="147" t="s">
        <v>135</v>
      </c>
      <c r="C197" s="147" t="s">
        <v>493</v>
      </c>
      <c r="D197" s="147">
        <v>4</v>
      </c>
      <c r="E197" s="147">
        <f t="shared" si="22"/>
        <v>36</v>
      </c>
      <c r="F197" s="155" t="str">
        <f t="shared" si="31"/>
        <v>Hora Cátedra Enseñanza Superior 4 hs</v>
      </c>
      <c r="G197" s="152">
        <f t="shared" si="32"/>
        <v>396</v>
      </c>
      <c r="H197" s="149">
        <f>INT((G197*Valores!$C$2*100)+0.5)/100</f>
        <v>3341.76</v>
      </c>
      <c r="I197" s="159">
        <v>0</v>
      </c>
      <c r="J197" s="149">
        <f>INT((I197*Valores!$C$2*100)+0.5)/100</f>
        <v>0</v>
      </c>
      <c r="K197" s="151">
        <v>0</v>
      </c>
      <c r="L197" s="149">
        <f>INT((K197*Valores!$C$2*100)+0.5)/100</f>
        <v>0</v>
      </c>
      <c r="M197" s="158">
        <v>0</v>
      </c>
      <c r="N197" s="149">
        <f>INT((M197*Valores!$C$2*100)+0.5)/100</f>
        <v>0</v>
      </c>
      <c r="O197" s="149">
        <f t="shared" si="23"/>
        <v>585.99</v>
      </c>
      <c r="P197" s="149">
        <f t="shared" si="24"/>
        <v>0</v>
      </c>
      <c r="Q197" s="148">
        <f>Valores!$C$14*D197</f>
        <v>871.36</v>
      </c>
      <c r="R197" s="148">
        <f>IF(D197&lt;15,(Valores!$E$4*D197),Valores!$D$4)</f>
        <v>1150.36</v>
      </c>
      <c r="S197" s="149">
        <v>0</v>
      </c>
      <c r="T197" s="149">
        <f>IF(Valores!$C$45*D197&gt;Valores!$C$43,Valores!$C$43,Valores!$C$45*D197)</f>
        <v>261</v>
      </c>
      <c r="U197" s="148">
        <f>Valores!$C$22*D197</f>
        <v>303.84</v>
      </c>
      <c r="V197" s="149">
        <f t="shared" si="30"/>
        <v>303.84</v>
      </c>
      <c r="W197" s="149">
        <v>0</v>
      </c>
      <c r="X197" s="149">
        <v>0</v>
      </c>
      <c r="Y197" s="149">
        <v>0</v>
      </c>
      <c r="Z197" s="149">
        <f>Y197*Valores!$C$2</f>
        <v>0</v>
      </c>
      <c r="AA197" s="149">
        <v>0</v>
      </c>
      <c r="AB197" s="154">
        <f>IF((Valores!$C$32)*D197&gt;Valores!$F$32,Valores!$F$32,(Valores!$C$32)*D197)</f>
        <v>32.01536</v>
      </c>
      <c r="AC197" s="149">
        <f t="shared" si="26"/>
        <v>0</v>
      </c>
      <c r="AD197" s="149">
        <f>IF(Valores!$C$33*D197&gt;Valores!$F$33,Valores!$F$33,Valores!$C$33*D197)</f>
        <v>26.650624000000004</v>
      </c>
      <c r="AE197" s="157">
        <v>0</v>
      </c>
      <c r="AF197" s="149">
        <f>INT(((AE197*Valores!$C$2)*100)+0.5)/100</f>
        <v>0</v>
      </c>
      <c r="AG197" s="149">
        <f>IF(Valores!$D$58*'Escala Docente'!D197&gt;Valores!$F$58,Valores!$F$58,Valores!$D$58*'Escala Docente'!D197)</f>
        <v>108.4096</v>
      </c>
      <c r="AH197" s="149">
        <f>IF(Valores!$D$60*D197&gt;Valores!$F$60,Valores!$F$60,Valores!$D$60*D197)</f>
        <v>30.9768</v>
      </c>
      <c r="AI197" s="163">
        <f t="shared" si="27"/>
        <v>6712.362384</v>
      </c>
      <c r="AJ197" s="148">
        <f>IF(Valores!$C$36*D197&gt;Valores!$F$36,Valores!$F$36,Valores!$C$36*D197)</f>
        <v>279.16</v>
      </c>
      <c r="AK197" s="149">
        <f>IF(Valores!$C$83*D197&gt;Valores!$C$82,Valores!$C$82,Valores!$C$83*D197)</f>
        <v>650</v>
      </c>
      <c r="AL197" s="154">
        <f>IF(Valores!$C$56*D197&gt;Valores!$F$56,Valores!$F$56,Valores!$C$56*D197)</f>
        <v>56.8</v>
      </c>
      <c r="AM197" s="162">
        <f t="shared" si="25"/>
        <v>929.1600000000001</v>
      </c>
      <c r="AN197" s="148">
        <f>AI197*-Valores!$C$65</f>
        <v>-771.9216741600001</v>
      </c>
      <c r="AO197" s="146">
        <f>AI197*-Valores!$C$66</f>
        <v>-302.05630728</v>
      </c>
      <c r="AP197" s="170">
        <v>-159.43</v>
      </c>
      <c r="AQ197" s="170">
        <f t="shared" si="28"/>
        <v>-53.83</v>
      </c>
      <c r="AR197" s="162">
        <f t="shared" si="29"/>
        <v>6354.28440256</v>
      </c>
    </row>
    <row r="198" spans="1:44" s="137" customFormat="1" ht="11.25" customHeight="1">
      <c r="A198" s="147">
        <v>196</v>
      </c>
      <c r="B198" s="147"/>
      <c r="C198" s="147" t="s">
        <v>493</v>
      </c>
      <c r="D198" s="147">
        <v>5</v>
      </c>
      <c r="E198" s="147">
        <f t="shared" si="22"/>
        <v>36</v>
      </c>
      <c r="F198" s="155" t="str">
        <f t="shared" si="31"/>
        <v>Hora Cátedra Enseñanza Superior 5 hs</v>
      </c>
      <c r="G198" s="152">
        <f t="shared" si="32"/>
        <v>495</v>
      </c>
      <c r="H198" s="149">
        <f>INT((G198*Valores!$C$2*100)+0.5)/100</f>
        <v>4177.21</v>
      </c>
      <c r="I198" s="159">
        <v>0</v>
      </c>
      <c r="J198" s="149">
        <f>INT((I198*Valores!$C$2*100)+0.5)/100</f>
        <v>0</v>
      </c>
      <c r="K198" s="151">
        <v>0</v>
      </c>
      <c r="L198" s="149">
        <f>INT((K198*Valores!$C$2*100)+0.5)/100</f>
        <v>0</v>
      </c>
      <c r="M198" s="158">
        <v>0</v>
      </c>
      <c r="N198" s="149">
        <f>INT((M198*Valores!$C$2*100)+0.5)/100</f>
        <v>0</v>
      </c>
      <c r="O198" s="149">
        <f t="shared" si="23"/>
        <v>732.489</v>
      </c>
      <c r="P198" s="149">
        <f t="shared" si="24"/>
        <v>0</v>
      </c>
      <c r="Q198" s="148">
        <f>Valores!$C$14*D198</f>
        <v>1089.2</v>
      </c>
      <c r="R198" s="148">
        <f>IF(D198&lt;15,(Valores!$E$4*D198),Valores!$D$4)</f>
        <v>1437.9499999999998</v>
      </c>
      <c r="S198" s="149">
        <v>0</v>
      </c>
      <c r="T198" s="149">
        <f>IF(Valores!$C$45*D198&gt;Valores!$C$43,Valores!$C$43,Valores!$C$45*D198)</f>
        <v>326.25</v>
      </c>
      <c r="U198" s="148">
        <f>Valores!$C$22*D198</f>
        <v>379.79999999999995</v>
      </c>
      <c r="V198" s="149">
        <f t="shared" si="30"/>
        <v>379.79999999999995</v>
      </c>
      <c r="W198" s="149">
        <v>0</v>
      </c>
      <c r="X198" s="149">
        <v>0</v>
      </c>
      <c r="Y198" s="149">
        <v>0</v>
      </c>
      <c r="Z198" s="149">
        <f>Y198*Valores!$C$2</f>
        <v>0</v>
      </c>
      <c r="AA198" s="149">
        <v>0</v>
      </c>
      <c r="AB198" s="154">
        <f>IF((Valores!$C$32)*D198&gt;Valores!$F$32,Valores!$F$32,(Valores!$C$32)*D198)</f>
        <v>40.0192</v>
      </c>
      <c r="AC198" s="149">
        <f t="shared" si="26"/>
        <v>0</v>
      </c>
      <c r="AD198" s="149">
        <f>IF(Valores!$C$33*D198&gt;Valores!$F$33,Valores!$F$33,Valores!$C$33*D198)</f>
        <v>33.313280000000006</v>
      </c>
      <c r="AE198" s="157">
        <v>0</v>
      </c>
      <c r="AF198" s="149">
        <f>INT(((AE198*Valores!$C$2)*100)+0.5)/100</f>
        <v>0</v>
      </c>
      <c r="AG198" s="149">
        <f>IF(Valores!$D$58*'Escala Docente'!D198&gt;Valores!$F$58,Valores!$F$58,Valores!$D$58*'Escala Docente'!D198)</f>
        <v>135.512</v>
      </c>
      <c r="AH198" s="149">
        <f>IF(Valores!$D$60*D198&gt;Valores!$F$60,Valores!$F$60,Valores!$D$60*D198)</f>
        <v>38.721000000000004</v>
      </c>
      <c r="AI198" s="163">
        <f t="shared" si="27"/>
        <v>8390.46448</v>
      </c>
      <c r="AJ198" s="148">
        <f>IF(Valores!$C$36*D198&gt;Valores!$F$36,Valores!$F$36,Valores!$C$36*D198)</f>
        <v>348.95000000000005</v>
      </c>
      <c r="AK198" s="149">
        <f>IF(Valores!$C$83*D198&gt;Valores!$C$82,Valores!$C$82,Valores!$C$83*D198)</f>
        <v>812.5</v>
      </c>
      <c r="AL198" s="154">
        <f>IF(Valores!$C$56*D198&gt;Valores!$F$56,Valores!$F$56,Valores!$C$56*D198)</f>
        <v>71</v>
      </c>
      <c r="AM198" s="162">
        <f t="shared" si="25"/>
        <v>1161.45</v>
      </c>
      <c r="AN198" s="148">
        <f>AI198*-Valores!$C$65</f>
        <v>-964.9034152000002</v>
      </c>
      <c r="AO198" s="146">
        <f>AI198*-Valores!$C$66</f>
        <v>-377.5709016</v>
      </c>
      <c r="AP198" s="170">
        <v>-159.43</v>
      </c>
      <c r="AQ198" s="170">
        <f t="shared" si="28"/>
        <v>-53.83</v>
      </c>
      <c r="AR198" s="162">
        <f t="shared" si="29"/>
        <v>7996.180163200001</v>
      </c>
    </row>
    <row r="199" spans="1:44" s="137" customFormat="1" ht="11.25" customHeight="1">
      <c r="A199" s="147">
        <v>197</v>
      </c>
      <c r="B199" s="147"/>
      <c r="C199" s="147" t="s">
        <v>493</v>
      </c>
      <c r="D199" s="147">
        <v>6</v>
      </c>
      <c r="E199" s="147">
        <f t="shared" si="22"/>
        <v>36</v>
      </c>
      <c r="F199" s="155" t="str">
        <f t="shared" si="31"/>
        <v>Hora Cátedra Enseñanza Superior 6 hs</v>
      </c>
      <c r="G199" s="152">
        <f t="shared" si="32"/>
        <v>594</v>
      </c>
      <c r="H199" s="149">
        <f>INT((G199*Valores!$C$2*100)+0.5)/100</f>
        <v>5012.65</v>
      </c>
      <c r="I199" s="159">
        <v>0</v>
      </c>
      <c r="J199" s="149">
        <f>INT((I199*Valores!$C$2*100)+0.5)/100</f>
        <v>0</v>
      </c>
      <c r="K199" s="151">
        <v>0</v>
      </c>
      <c r="L199" s="149">
        <f>INT((K199*Valores!$C$2*100)+0.5)/100</f>
        <v>0</v>
      </c>
      <c r="M199" s="158">
        <v>0</v>
      </c>
      <c r="N199" s="149">
        <f>INT((M199*Valores!$C$2*100)+0.5)/100</f>
        <v>0</v>
      </c>
      <c r="O199" s="149">
        <f t="shared" si="23"/>
        <v>878.9865</v>
      </c>
      <c r="P199" s="149">
        <f t="shared" si="24"/>
        <v>0</v>
      </c>
      <c r="Q199" s="148">
        <f>Valores!$C$14*D199</f>
        <v>1307.04</v>
      </c>
      <c r="R199" s="148">
        <f>IF(D199&lt;15,(Valores!$E$4*D199),Valores!$D$4)</f>
        <v>1725.54</v>
      </c>
      <c r="S199" s="149">
        <v>0</v>
      </c>
      <c r="T199" s="149">
        <f>IF(Valores!$C$45*D199&gt;Valores!$C$43,Valores!$C$43,Valores!$C$45*D199)</f>
        <v>391.5</v>
      </c>
      <c r="U199" s="148">
        <f>Valores!$C$22*D199</f>
        <v>455.76</v>
      </c>
      <c r="V199" s="149">
        <f t="shared" si="30"/>
        <v>455.76</v>
      </c>
      <c r="W199" s="149">
        <v>0</v>
      </c>
      <c r="X199" s="149">
        <v>0</v>
      </c>
      <c r="Y199" s="149">
        <v>0</v>
      </c>
      <c r="Z199" s="149">
        <f>Y199*Valores!$C$2</f>
        <v>0</v>
      </c>
      <c r="AA199" s="149">
        <v>0</v>
      </c>
      <c r="AB199" s="154">
        <f>IF((Valores!$C$32)*D199&gt;Valores!$F$32,Valores!$F$32,(Valores!$C$32)*D199)</f>
        <v>48.02304</v>
      </c>
      <c r="AC199" s="149">
        <f t="shared" si="26"/>
        <v>0</v>
      </c>
      <c r="AD199" s="149">
        <f>IF(Valores!$C$33*D199&gt;Valores!$F$33,Valores!$F$33,Valores!$C$33*D199)</f>
        <v>39.975936000000004</v>
      </c>
      <c r="AE199" s="157">
        <v>0</v>
      </c>
      <c r="AF199" s="149">
        <f>INT(((AE199*Valores!$C$2)*100)+0.5)/100</f>
        <v>0</v>
      </c>
      <c r="AG199" s="149">
        <f>IF(Valores!$D$58*'Escala Docente'!D199&gt;Valores!$F$58,Valores!$F$58,Valores!$D$58*'Escala Docente'!D199)</f>
        <v>162.6144</v>
      </c>
      <c r="AH199" s="149">
        <f>IF(Valores!$D$60*D199&gt;Valores!$F$60,Valores!$F$60,Valores!$D$60*D199)</f>
        <v>46.4652</v>
      </c>
      <c r="AI199" s="163">
        <f t="shared" si="27"/>
        <v>10068.555076</v>
      </c>
      <c r="AJ199" s="148">
        <f>IF(Valores!$C$36*D199&gt;Valores!$F$36,Valores!$F$36,Valores!$C$36*D199)</f>
        <v>418.74</v>
      </c>
      <c r="AK199" s="149">
        <f>IF(Valores!$C$83*D199&gt;Valores!$C$82,Valores!$C$82,Valores!$C$83*D199)</f>
        <v>975</v>
      </c>
      <c r="AL199" s="154">
        <f>IF(Valores!$C$56*D199&gt;Valores!$F$56,Valores!$F$56,Valores!$C$56*D199)</f>
        <v>85.19999999999999</v>
      </c>
      <c r="AM199" s="162">
        <f t="shared" si="25"/>
        <v>1393.74</v>
      </c>
      <c r="AN199" s="148">
        <f>AI199*-Valores!$C$65</f>
        <v>-1157.8838337400002</v>
      </c>
      <c r="AO199" s="146">
        <f>AI199*-Valores!$C$66</f>
        <v>-453.08497842</v>
      </c>
      <c r="AP199" s="170">
        <v>-159.43</v>
      </c>
      <c r="AQ199" s="170">
        <f t="shared" si="28"/>
        <v>-53.83</v>
      </c>
      <c r="AR199" s="162">
        <f t="shared" si="29"/>
        <v>9638.06626384</v>
      </c>
    </row>
    <row r="200" spans="1:44" s="137" customFormat="1" ht="11.25" customHeight="1">
      <c r="A200" s="147">
        <v>198</v>
      </c>
      <c r="B200" s="147"/>
      <c r="C200" s="147" t="s">
        <v>493</v>
      </c>
      <c r="D200" s="147">
        <v>7</v>
      </c>
      <c r="E200" s="147">
        <f aca="true" t="shared" si="33" ref="E200:E263">LEN(F200)</f>
        <v>36</v>
      </c>
      <c r="F200" s="155" t="str">
        <f t="shared" si="31"/>
        <v>Hora Cátedra Enseñanza Superior 7 hs</v>
      </c>
      <c r="G200" s="152">
        <f t="shared" si="32"/>
        <v>693</v>
      </c>
      <c r="H200" s="149">
        <f>INT((G200*Valores!$C$2*100)+0.5)/100</f>
        <v>5848.09</v>
      </c>
      <c r="I200" s="159">
        <v>0</v>
      </c>
      <c r="J200" s="149">
        <f>INT((I200*Valores!$C$2*100)+0.5)/100</f>
        <v>0</v>
      </c>
      <c r="K200" s="151">
        <v>0</v>
      </c>
      <c r="L200" s="149">
        <f>INT((K200*Valores!$C$2*100)+0.5)/100</f>
        <v>0</v>
      </c>
      <c r="M200" s="158">
        <v>0</v>
      </c>
      <c r="N200" s="149">
        <f>INT((M200*Valores!$C$2*100)+0.5)/100</f>
        <v>0</v>
      </c>
      <c r="O200" s="149">
        <f aca="true" t="shared" si="34" ref="O200:O263">IF($J$2=0,IF(C200&lt;&gt;"13-930",(SUM(H200,J200,L200,N200,Z200,U200,T200)*$O$2),0),0)</f>
        <v>1025.484</v>
      </c>
      <c r="P200" s="149">
        <f aca="true" t="shared" si="35" ref="P200:P263">SUM(H200,J200,L200,N200,Z200,T200)*$J$2</f>
        <v>0</v>
      </c>
      <c r="Q200" s="148">
        <f>Valores!$C$14*D200</f>
        <v>1524.88</v>
      </c>
      <c r="R200" s="148">
        <f>IF(D200&lt;15,(Valores!$E$4*D200),Valores!$D$4)</f>
        <v>2013.1299999999999</v>
      </c>
      <c r="S200" s="149">
        <v>0</v>
      </c>
      <c r="T200" s="149">
        <f>IF(Valores!$C$45*D200&gt;Valores!$C$43,Valores!$C$43,Valores!$C$45*D200)</f>
        <v>456.75</v>
      </c>
      <c r="U200" s="148">
        <f>Valores!$C$22*D200</f>
        <v>531.7199999999999</v>
      </c>
      <c r="V200" s="149">
        <f t="shared" si="30"/>
        <v>531.7199999999999</v>
      </c>
      <c r="W200" s="149">
        <v>0</v>
      </c>
      <c r="X200" s="149">
        <v>0</v>
      </c>
      <c r="Y200" s="149">
        <v>0</v>
      </c>
      <c r="Z200" s="149">
        <f>Y200*Valores!$C$2</f>
        <v>0</v>
      </c>
      <c r="AA200" s="149">
        <v>0</v>
      </c>
      <c r="AB200" s="154">
        <f>IF((Valores!$C$32)*D200&gt;Valores!$F$32,Valores!$F$32,(Valores!$C$32)*D200)</f>
        <v>56.026880000000006</v>
      </c>
      <c r="AC200" s="149">
        <f t="shared" si="26"/>
        <v>0</v>
      </c>
      <c r="AD200" s="149">
        <f>IF(Valores!$C$33*D200&gt;Valores!$F$33,Valores!$F$33,Valores!$C$33*D200)</f>
        <v>46.63859200000001</v>
      </c>
      <c r="AE200" s="157">
        <v>0</v>
      </c>
      <c r="AF200" s="149">
        <f>INT(((AE200*Valores!$C$2)*100)+0.5)/100</f>
        <v>0</v>
      </c>
      <c r="AG200" s="149">
        <f>IF(Valores!$D$58*'Escala Docente'!D200&gt;Valores!$F$58,Valores!$F$58,Valores!$D$58*'Escala Docente'!D200)</f>
        <v>189.7168</v>
      </c>
      <c r="AH200" s="149">
        <f>IF(Valores!$D$60*D200&gt;Valores!$F$60,Valores!$F$60,Valores!$D$60*D200)</f>
        <v>54.2094</v>
      </c>
      <c r="AI200" s="163">
        <f t="shared" si="27"/>
        <v>11746.645671999999</v>
      </c>
      <c r="AJ200" s="148">
        <f>IF(Valores!$C$36*D200&gt;Valores!$F$36,Valores!$F$36,Valores!$C$36*D200)</f>
        <v>488.53000000000003</v>
      </c>
      <c r="AK200" s="149">
        <f>IF(Valores!$C$83*D200&gt;Valores!$C$82,Valores!$C$82,Valores!$C$83*D200)</f>
        <v>1137.5</v>
      </c>
      <c r="AL200" s="154">
        <f>IF(Valores!$C$56*D200&gt;Valores!$F$56,Valores!$F$56,Valores!$C$56*D200)</f>
        <v>99.39999999999999</v>
      </c>
      <c r="AM200" s="162">
        <f aca="true" t="shared" si="36" ref="AM200:AM263">IF($H$5="SI",SUM(AJ200:AL200),SUM(AJ200:AK200))</f>
        <v>1626.03</v>
      </c>
      <c r="AN200" s="148">
        <f>AI200*-Valores!$C$65</f>
        <v>-1350.8642522799998</v>
      </c>
      <c r="AO200" s="146">
        <f>AI200*-Valores!$C$66</f>
        <v>-528.5990552399999</v>
      </c>
      <c r="AP200" s="170">
        <v>-159.43</v>
      </c>
      <c r="AQ200" s="170">
        <f t="shared" si="28"/>
        <v>-53.83</v>
      </c>
      <c r="AR200" s="162">
        <f t="shared" si="29"/>
        <v>11279.95236448</v>
      </c>
    </row>
    <row r="201" spans="1:44" s="137" customFormat="1" ht="11.25" customHeight="1">
      <c r="A201" s="147">
        <v>199</v>
      </c>
      <c r="B201" s="147"/>
      <c r="C201" s="147" t="s">
        <v>493</v>
      </c>
      <c r="D201" s="147">
        <v>8</v>
      </c>
      <c r="E201" s="147">
        <f t="shared" si="33"/>
        <v>36</v>
      </c>
      <c r="F201" s="155" t="str">
        <f t="shared" si="31"/>
        <v>Hora Cátedra Enseñanza Superior 8 hs</v>
      </c>
      <c r="G201" s="152">
        <f t="shared" si="32"/>
        <v>792</v>
      </c>
      <c r="H201" s="149">
        <f>INT((G201*Valores!$C$2*100)+0.5)/100</f>
        <v>6683.53</v>
      </c>
      <c r="I201" s="159">
        <v>0</v>
      </c>
      <c r="J201" s="149">
        <f>INT((I201*Valores!$C$2*100)+0.5)/100</f>
        <v>0</v>
      </c>
      <c r="K201" s="151">
        <v>0</v>
      </c>
      <c r="L201" s="149">
        <f>INT((K201*Valores!$C$2*100)+0.5)/100</f>
        <v>0</v>
      </c>
      <c r="M201" s="158">
        <v>0</v>
      </c>
      <c r="N201" s="149">
        <f>INT((M201*Valores!$C$2*100)+0.5)/100</f>
        <v>0</v>
      </c>
      <c r="O201" s="149">
        <f t="shared" si="34"/>
        <v>1171.9814999999999</v>
      </c>
      <c r="P201" s="149">
        <f t="shared" si="35"/>
        <v>0</v>
      </c>
      <c r="Q201" s="148">
        <f>Valores!$C$14*D201</f>
        <v>1742.72</v>
      </c>
      <c r="R201" s="148">
        <f>IF(D201&lt;15,(Valores!$E$4*D201),Valores!$D$4)</f>
        <v>2300.72</v>
      </c>
      <c r="S201" s="149">
        <v>0</v>
      </c>
      <c r="T201" s="149">
        <f>IF(Valores!$C$45*D201&gt;Valores!$C$43,Valores!$C$43,Valores!$C$45*D201)</f>
        <v>522</v>
      </c>
      <c r="U201" s="148">
        <f>Valores!$C$22*D201</f>
        <v>607.68</v>
      </c>
      <c r="V201" s="149">
        <f t="shared" si="30"/>
        <v>607.68</v>
      </c>
      <c r="W201" s="149">
        <v>0</v>
      </c>
      <c r="X201" s="149">
        <v>0</v>
      </c>
      <c r="Y201" s="149">
        <v>0</v>
      </c>
      <c r="Z201" s="149">
        <f>Y201*Valores!$C$2</f>
        <v>0</v>
      </c>
      <c r="AA201" s="149">
        <v>0</v>
      </c>
      <c r="AB201" s="154">
        <f>IF((Valores!$C$32)*D201&gt;Valores!$F$32,Valores!$F$32,(Valores!$C$32)*D201)</f>
        <v>64.03072</v>
      </c>
      <c r="AC201" s="149">
        <f aca="true" t="shared" si="37" ref="AC201:AC264">SUM(H201,J201,L201,Z201,T201)*$H$3/100</f>
        <v>0</v>
      </c>
      <c r="AD201" s="149">
        <f>IF(Valores!$C$33*D201&gt;Valores!$F$33,Valores!$F$33,Valores!$C$33*D201)</f>
        <v>53.30124800000001</v>
      </c>
      <c r="AE201" s="157">
        <v>0</v>
      </c>
      <c r="AF201" s="149">
        <f>INT(((AE201*Valores!$C$2)*100)+0.5)/100</f>
        <v>0</v>
      </c>
      <c r="AG201" s="149">
        <f>IF(Valores!$D$58*'Escala Docente'!D201&gt;Valores!$F$58,Valores!$F$58,Valores!$D$58*'Escala Docente'!D201)</f>
        <v>216.8192</v>
      </c>
      <c r="AH201" s="149">
        <f>IF(Valores!$D$60*D201&gt;Valores!$F$60,Valores!$F$60,Valores!$D$60*D201)</f>
        <v>61.9536</v>
      </c>
      <c r="AI201" s="163">
        <f aca="true" t="shared" si="38" ref="AI201:AI264">SUM(H201,J201,L201,N201,O201,P201,Q201,R201,S201,V201,W201,X201,Z201,AA201,AB201,AC201,AD201,AF201,T201,AG201,AH201)</f>
        <v>13424.736268</v>
      </c>
      <c r="AJ201" s="148">
        <f>IF(Valores!$C$36*D201&gt;Valores!$F$36,Valores!$F$36,Valores!$C$36*D201)</f>
        <v>558.32</v>
      </c>
      <c r="AK201" s="149">
        <f>IF(Valores!$C$83*D201&gt;Valores!$C$82,Valores!$C$82,Valores!$C$83*D201)</f>
        <v>1300</v>
      </c>
      <c r="AL201" s="154">
        <f>IF(Valores!$C$56*D201&gt;Valores!$F$56,Valores!$F$56,Valores!$C$56*D201)</f>
        <v>113.6</v>
      </c>
      <c r="AM201" s="162">
        <f t="shared" si="36"/>
        <v>1858.3200000000002</v>
      </c>
      <c r="AN201" s="148">
        <f>AI201*-Valores!$C$65</f>
        <v>-1543.8446708200001</v>
      </c>
      <c r="AO201" s="146">
        <f>AI201*-Valores!$C$66</f>
        <v>-604.11313206</v>
      </c>
      <c r="AP201" s="170">
        <v>-159.43</v>
      </c>
      <c r="AQ201" s="170">
        <f aca="true" t="shared" si="39" ref="AQ201:AQ264">IF($H$4=0,-53.83,(-53.83+$H$4*(-53.83)))</f>
        <v>-53.83</v>
      </c>
      <c r="AR201" s="162">
        <f aca="true" t="shared" si="40" ref="AR201:AR264">AI201+AM201+AN201+AO201+AP201+AQ201</f>
        <v>12921.83846512</v>
      </c>
    </row>
    <row r="202" spans="1:44" s="137" customFormat="1" ht="11.25" customHeight="1">
      <c r="A202" s="147">
        <v>200</v>
      </c>
      <c r="B202" s="147" t="s">
        <v>135</v>
      </c>
      <c r="C202" s="147" t="s">
        <v>493</v>
      </c>
      <c r="D202" s="147">
        <v>9</v>
      </c>
      <c r="E202" s="147">
        <f t="shared" si="33"/>
        <v>36</v>
      </c>
      <c r="F202" s="155" t="str">
        <f t="shared" si="31"/>
        <v>Hora Cátedra Enseñanza Superior 9 hs</v>
      </c>
      <c r="G202" s="152">
        <f t="shared" si="32"/>
        <v>891</v>
      </c>
      <c r="H202" s="149">
        <f>INT((G202*Valores!$C$2*100)+0.5)/100</f>
        <v>7518.97</v>
      </c>
      <c r="I202" s="159">
        <v>0</v>
      </c>
      <c r="J202" s="149">
        <f>INT((I202*Valores!$C$2*100)+0.5)/100</f>
        <v>0</v>
      </c>
      <c r="K202" s="151">
        <v>0</v>
      </c>
      <c r="L202" s="149">
        <f>INT((K202*Valores!$C$2*100)+0.5)/100</f>
        <v>0</v>
      </c>
      <c r="M202" s="158">
        <v>0</v>
      </c>
      <c r="N202" s="149">
        <f>INT((M202*Valores!$C$2*100)+0.5)/100</f>
        <v>0</v>
      </c>
      <c r="O202" s="149">
        <f t="shared" si="34"/>
        <v>1318.479</v>
      </c>
      <c r="P202" s="149">
        <f t="shared" si="35"/>
        <v>0</v>
      </c>
      <c r="Q202" s="148">
        <f>Valores!$C$14*D202</f>
        <v>1960.56</v>
      </c>
      <c r="R202" s="148">
        <f>IF(D202&lt;15,(Valores!$E$4*D202),Valores!$D$4)</f>
        <v>2588.31</v>
      </c>
      <c r="S202" s="149">
        <v>0</v>
      </c>
      <c r="T202" s="149">
        <f>IF(Valores!$C$45*D202&gt;Valores!$C$43,Valores!$C$43,Valores!$C$45*D202)</f>
        <v>587.25</v>
      </c>
      <c r="U202" s="148">
        <f>Valores!$C$22*D202</f>
        <v>683.64</v>
      </c>
      <c r="V202" s="149">
        <f t="shared" si="30"/>
        <v>683.64</v>
      </c>
      <c r="W202" s="149">
        <v>0</v>
      </c>
      <c r="X202" s="149">
        <v>0</v>
      </c>
      <c r="Y202" s="149">
        <v>0</v>
      </c>
      <c r="Z202" s="149">
        <f>Y202*Valores!$C$2</f>
        <v>0</v>
      </c>
      <c r="AA202" s="149">
        <v>0</v>
      </c>
      <c r="AB202" s="154">
        <f>IF((Valores!$C$32)*D202&gt;Valores!$F$32,Valores!$F$32,(Valores!$C$32)*D202)</f>
        <v>72.03456</v>
      </c>
      <c r="AC202" s="149">
        <f t="shared" si="37"/>
        <v>0</v>
      </c>
      <c r="AD202" s="149">
        <f>IF(Valores!$C$33*D202&gt;Valores!$F$33,Valores!$F$33,Valores!$C$33*D202)</f>
        <v>59.96390400000001</v>
      </c>
      <c r="AE202" s="157">
        <v>0</v>
      </c>
      <c r="AF202" s="149">
        <f>INT(((AE202*Valores!$C$2)*100)+0.5)/100</f>
        <v>0</v>
      </c>
      <c r="AG202" s="149">
        <f>IF(Valores!$D$58*'Escala Docente'!D202&gt;Valores!$F$58,Valores!$F$58,Valores!$D$58*'Escala Docente'!D202)</f>
        <v>243.92159999999998</v>
      </c>
      <c r="AH202" s="149">
        <f>IF(Valores!$D$60*D202&gt;Valores!$F$60,Valores!$F$60,Valores!$D$60*D202)</f>
        <v>69.6978</v>
      </c>
      <c r="AI202" s="163">
        <f t="shared" si="38"/>
        <v>15102.826863999999</v>
      </c>
      <c r="AJ202" s="148">
        <f>IF(Valores!$C$36*D202&gt;Valores!$F$36,Valores!$F$36,Valores!$C$36*D202)</f>
        <v>628.11</v>
      </c>
      <c r="AK202" s="149">
        <f>IF(Valores!$C$83*D202&gt;Valores!$C$82,Valores!$C$82,Valores!$C$83*D202)</f>
        <v>1462.5</v>
      </c>
      <c r="AL202" s="154">
        <f>IF(Valores!$C$56*D202&gt;Valores!$F$56,Valores!$F$56,Valores!$C$56*D202)</f>
        <v>127.8</v>
      </c>
      <c r="AM202" s="162">
        <f t="shared" si="36"/>
        <v>2090.61</v>
      </c>
      <c r="AN202" s="148">
        <f>AI202*-Valores!$C$65</f>
        <v>-1736.82508936</v>
      </c>
      <c r="AO202" s="146">
        <f>AI202*-Valores!$C$66</f>
        <v>-679.6272088799999</v>
      </c>
      <c r="AP202" s="170">
        <v>-159.43</v>
      </c>
      <c r="AQ202" s="170">
        <f t="shared" si="39"/>
        <v>-53.83</v>
      </c>
      <c r="AR202" s="162">
        <f t="shared" si="40"/>
        <v>14563.72456576</v>
      </c>
    </row>
    <row r="203" spans="1:44" s="137" customFormat="1" ht="11.25" customHeight="1">
      <c r="A203" s="147">
        <v>201</v>
      </c>
      <c r="B203" s="147"/>
      <c r="C203" s="147" t="s">
        <v>493</v>
      </c>
      <c r="D203" s="147">
        <v>10</v>
      </c>
      <c r="E203" s="147">
        <f t="shared" si="33"/>
        <v>37</v>
      </c>
      <c r="F203" s="155" t="str">
        <f t="shared" si="31"/>
        <v>Hora Cátedra Enseñanza Superior 10 hs</v>
      </c>
      <c r="G203" s="152">
        <f t="shared" si="32"/>
        <v>990</v>
      </c>
      <c r="H203" s="149">
        <f>INT((G203*Valores!$C$2*100)+0.5)/100</f>
        <v>8354.41</v>
      </c>
      <c r="I203" s="159">
        <v>0</v>
      </c>
      <c r="J203" s="149">
        <f>INT((I203*Valores!$C$2*100)+0.5)/100</f>
        <v>0</v>
      </c>
      <c r="K203" s="151">
        <v>0</v>
      </c>
      <c r="L203" s="149">
        <f>INT((K203*Valores!$C$2*100)+0.5)/100</f>
        <v>0</v>
      </c>
      <c r="M203" s="158">
        <v>0</v>
      </c>
      <c r="N203" s="149">
        <f>INT((M203*Valores!$C$2*100)+0.5)/100</f>
        <v>0</v>
      </c>
      <c r="O203" s="149">
        <f t="shared" si="34"/>
        <v>1464.9765</v>
      </c>
      <c r="P203" s="149">
        <f t="shared" si="35"/>
        <v>0</v>
      </c>
      <c r="Q203" s="148">
        <f>Valores!$C$14*D203</f>
        <v>2178.4</v>
      </c>
      <c r="R203" s="148">
        <f>IF(D203&lt;15,(Valores!$E$4*D203),Valores!$D$4)</f>
        <v>2875.8999999999996</v>
      </c>
      <c r="S203" s="149">
        <v>0</v>
      </c>
      <c r="T203" s="149">
        <f>IF(Valores!$C$45*D203&gt;Valores!$C$43,Valores!$C$43,Valores!$C$45*D203)</f>
        <v>652.5</v>
      </c>
      <c r="U203" s="148">
        <f>Valores!$C$22*D203</f>
        <v>759.5999999999999</v>
      </c>
      <c r="V203" s="149">
        <f t="shared" si="30"/>
        <v>759.5999999999999</v>
      </c>
      <c r="W203" s="149">
        <v>0</v>
      </c>
      <c r="X203" s="149">
        <v>0</v>
      </c>
      <c r="Y203" s="149">
        <v>0</v>
      </c>
      <c r="Z203" s="149">
        <f>Y203*Valores!$C$2</f>
        <v>0</v>
      </c>
      <c r="AA203" s="149">
        <v>0</v>
      </c>
      <c r="AB203" s="154">
        <f>IF((Valores!$C$32)*D203&gt;Valores!$F$32,Valores!$F$32,(Valores!$C$32)*D203)</f>
        <v>80.0384</v>
      </c>
      <c r="AC203" s="149">
        <f t="shared" si="37"/>
        <v>0</v>
      </c>
      <c r="AD203" s="149">
        <f>IF(Valores!$C$33*D203&gt;Valores!$F$33,Valores!$F$33,Valores!$C$33*D203)</f>
        <v>66.62656000000001</v>
      </c>
      <c r="AE203" s="157">
        <v>0</v>
      </c>
      <c r="AF203" s="149">
        <f>INT(((AE203*Valores!$C$2)*100)+0.5)/100</f>
        <v>0</v>
      </c>
      <c r="AG203" s="149">
        <f>IF(Valores!$D$58*'Escala Docente'!D203&gt;Valores!$F$58,Valores!$F$58,Valores!$D$58*'Escala Docente'!D203)</f>
        <v>271.024</v>
      </c>
      <c r="AH203" s="149">
        <f>IF(Valores!$D$60*D203&gt;Valores!$F$60,Valores!$F$60,Valores!$D$60*D203)</f>
        <v>77.44200000000001</v>
      </c>
      <c r="AI203" s="163">
        <f t="shared" si="38"/>
        <v>16780.91746</v>
      </c>
      <c r="AJ203" s="148">
        <f>IF(Valores!$C$36*D203&gt;Valores!$F$36,Valores!$F$36,Valores!$C$36*D203)</f>
        <v>697.9000000000001</v>
      </c>
      <c r="AK203" s="149">
        <f>IF(Valores!$C$83*D203&gt;Valores!$C$82,Valores!$C$82,Valores!$C$83*D203)</f>
        <v>1625</v>
      </c>
      <c r="AL203" s="154">
        <f>IF(Valores!$C$56*D203&gt;Valores!$F$56,Valores!$F$56,Valores!$C$56*D203)</f>
        <v>142</v>
      </c>
      <c r="AM203" s="162">
        <f t="shared" si="36"/>
        <v>2322.9</v>
      </c>
      <c r="AN203" s="148">
        <f>AI203*-Valores!$C$65</f>
        <v>-1929.8055079</v>
      </c>
      <c r="AO203" s="146">
        <f>AI203*-Valores!$C$66</f>
        <v>-755.1412857</v>
      </c>
      <c r="AP203" s="170">
        <v>-159.43</v>
      </c>
      <c r="AQ203" s="170">
        <f t="shared" si="39"/>
        <v>-53.83</v>
      </c>
      <c r="AR203" s="162">
        <f t="shared" si="40"/>
        <v>16205.610666400002</v>
      </c>
    </row>
    <row r="204" spans="1:44" s="137" customFormat="1" ht="11.25" customHeight="1">
      <c r="A204" s="147">
        <v>202</v>
      </c>
      <c r="B204" s="147"/>
      <c r="C204" s="147" t="s">
        <v>493</v>
      </c>
      <c r="D204" s="147">
        <v>11</v>
      </c>
      <c r="E204" s="147">
        <f t="shared" si="33"/>
        <v>37</v>
      </c>
      <c r="F204" s="155" t="str">
        <f t="shared" si="31"/>
        <v>Hora Cátedra Enseñanza Superior 11 hs</v>
      </c>
      <c r="G204" s="152">
        <f t="shared" si="32"/>
        <v>1089</v>
      </c>
      <c r="H204" s="149">
        <f>INT((G204*Valores!$C$2*100)+0.5)/100</f>
        <v>9189.85</v>
      </c>
      <c r="I204" s="159">
        <v>0</v>
      </c>
      <c r="J204" s="149">
        <f>INT((I204*Valores!$C$2*100)+0.5)/100</f>
        <v>0</v>
      </c>
      <c r="K204" s="151">
        <v>0</v>
      </c>
      <c r="L204" s="149">
        <f>INT((K204*Valores!$C$2*100)+0.5)/100</f>
        <v>0</v>
      </c>
      <c r="M204" s="158">
        <v>0</v>
      </c>
      <c r="N204" s="149">
        <f>INT((M204*Valores!$C$2*100)+0.5)/100</f>
        <v>0</v>
      </c>
      <c r="O204" s="149">
        <f t="shared" si="34"/>
        <v>1611.474</v>
      </c>
      <c r="P204" s="149">
        <f t="shared" si="35"/>
        <v>0</v>
      </c>
      <c r="Q204" s="148">
        <f>Valores!$C$14*D204</f>
        <v>2396.2400000000002</v>
      </c>
      <c r="R204" s="148">
        <f>IF(D204&lt;15,(Valores!$E$4*D204),Valores!$D$4)</f>
        <v>3163.49</v>
      </c>
      <c r="S204" s="149">
        <v>0</v>
      </c>
      <c r="T204" s="149">
        <f>IF(Valores!$C$45*D204&gt;Valores!$C$43,Valores!$C$43,Valores!$C$45*D204)</f>
        <v>717.75</v>
      </c>
      <c r="U204" s="148">
        <f>Valores!$C$22*D204</f>
        <v>835.56</v>
      </c>
      <c r="V204" s="149">
        <f t="shared" si="30"/>
        <v>835.56</v>
      </c>
      <c r="W204" s="149">
        <v>0</v>
      </c>
      <c r="X204" s="149">
        <v>0</v>
      </c>
      <c r="Y204" s="149">
        <v>0</v>
      </c>
      <c r="Z204" s="149">
        <f>Y204*Valores!$C$2</f>
        <v>0</v>
      </c>
      <c r="AA204" s="149">
        <v>0</v>
      </c>
      <c r="AB204" s="154">
        <f>IF((Valores!$C$32)*D204&gt;Valores!$F$32,Valores!$F$32,(Valores!$C$32)*D204)</f>
        <v>88.04224</v>
      </c>
      <c r="AC204" s="149">
        <f t="shared" si="37"/>
        <v>0</v>
      </c>
      <c r="AD204" s="149">
        <f>IF(Valores!$C$33*D204&gt;Valores!$F$33,Valores!$F$33,Valores!$C$33*D204)</f>
        <v>73.28921600000001</v>
      </c>
      <c r="AE204" s="157">
        <v>0</v>
      </c>
      <c r="AF204" s="149">
        <f>INT(((AE204*Valores!$C$2)*100)+0.5)/100</f>
        <v>0</v>
      </c>
      <c r="AG204" s="149">
        <f>IF(Valores!$D$58*'Escala Docente'!D204&gt;Valores!$F$58,Valores!$F$58,Valores!$D$58*'Escala Docente'!D204)</f>
        <v>298.1264</v>
      </c>
      <c r="AH204" s="149">
        <f>IF(Valores!$D$60*D204&gt;Valores!$F$60,Valores!$F$60,Valores!$D$60*D204)</f>
        <v>85.1862</v>
      </c>
      <c r="AI204" s="163">
        <f t="shared" si="38"/>
        <v>18459.008056000002</v>
      </c>
      <c r="AJ204" s="148">
        <f>IF(Valores!$C$36*D204&gt;Valores!$F$36,Valores!$F$36,Valores!$C$36*D204)</f>
        <v>767.69</v>
      </c>
      <c r="AK204" s="149">
        <f>IF(Valores!$C$83*D204&gt;Valores!$C$82,Valores!$C$82,Valores!$C$83*D204)</f>
        <v>1787.5</v>
      </c>
      <c r="AL204" s="154">
        <f>IF(Valores!$C$56*D204&gt;Valores!$F$56,Valores!$F$56,Valores!$C$56*D204)</f>
        <v>156.2</v>
      </c>
      <c r="AM204" s="162">
        <f t="shared" si="36"/>
        <v>2555.19</v>
      </c>
      <c r="AN204" s="148">
        <f>AI204*-Valores!$C$65</f>
        <v>-2122.7859264400004</v>
      </c>
      <c r="AO204" s="146">
        <f>AI204*-Valores!$C$66</f>
        <v>-830.65536252</v>
      </c>
      <c r="AP204" s="170">
        <v>-159.43</v>
      </c>
      <c r="AQ204" s="170">
        <f t="shared" si="39"/>
        <v>-53.83</v>
      </c>
      <c r="AR204" s="162">
        <f t="shared" si="40"/>
        <v>17847.49676704</v>
      </c>
    </row>
    <row r="205" spans="1:44" s="137" customFormat="1" ht="11.25" customHeight="1">
      <c r="A205" s="147">
        <v>203</v>
      </c>
      <c r="B205" s="147"/>
      <c r="C205" s="147" t="s">
        <v>493</v>
      </c>
      <c r="D205" s="147">
        <v>12</v>
      </c>
      <c r="E205" s="147">
        <f t="shared" si="33"/>
        <v>37</v>
      </c>
      <c r="F205" s="155" t="str">
        <f t="shared" si="31"/>
        <v>Hora Cátedra Enseñanza Superior 12 hs</v>
      </c>
      <c r="G205" s="152">
        <f t="shared" si="32"/>
        <v>1188</v>
      </c>
      <c r="H205" s="149">
        <f>INT((G205*Valores!$C$2*100)+0.5)/100</f>
        <v>10025.29</v>
      </c>
      <c r="I205" s="159">
        <v>0</v>
      </c>
      <c r="J205" s="149">
        <f>INT((I205*Valores!$C$2*100)+0.5)/100</f>
        <v>0</v>
      </c>
      <c r="K205" s="151">
        <v>0</v>
      </c>
      <c r="L205" s="149">
        <f>INT((K205*Valores!$C$2*100)+0.5)/100</f>
        <v>0</v>
      </c>
      <c r="M205" s="158">
        <v>0</v>
      </c>
      <c r="N205" s="149">
        <f>INT((M205*Valores!$C$2*100)+0.5)/100</f>
        <v>0</v>
      </c>
      <c r="O205" s="149">
        <f t="shared" si="34"/>
        <v>1757.9715</v>
      </c>
      <c r="P205" s="149">
        <f t="shared" si="35"/>
        <v>0</v>
      </c>
      <c r="Q205" s="148">
        <f>Valores!$C$14*D205</f>
        <v>2614.08</v>
      </c>
      <c r="R205" s="148">
        <f>IF(D205&lt;15,(Valores!$E$4*D205),Valores!$D$4)</f>
        <v>3451.08</v>
      </c>
      <c r="S205" s="149">
        <v>0</v>
      </c>
      <c r="T205" s="149">
        <f>IF(Valores!$C$45*D205&gt;Valores!$C$43,Valores!$C$43,Valores!$C$45*D205)</f>
        <v>783</v>
      </c>
      <c r="U205" s="148">
        <f>Valores!$C$22*D205</f>
        <v>911.52</v>
      </c>
      <c r="V205" s="149">
        <f t="shared" si="30"/>
        <v>911.52</v>
      </c>
      <c r="W205" s="149">
        <v>0</v>
      </c>
      <c r="X205" s="149">
        <v>0</v>
      </c>
      <c r="Y205" s="149">
        <v>0</v>
      </c>
      <c r="Z205" s="149">
        <f>Y205*Valores!$C$2</f>
        <v>0</v>
      </c>
      <c r="AA205" s="149">
        <v>0</v>
      </c>
      <c r="AB205" s="154">
        <f>IF((Valores!$C$32)*D205&gt;Valores!$F$32,Valores!$F$32,(Valores!$C$32)*D205)</f>
        <v>96.04608</v>
      </c>
      <c r="AC205" s="149">
        <f t="shared" si="37"/>
        <v>0</v>
      </c>
      <c r="AD205" s="149">
        <f>IF(Valores!$C$33*D205&gt;Valores!$F$33,Valores!$F$33,Valores!$C$33*D205)</f>
        <v>79.95187200000001</v>
      </c>
      <c r="AE205" s="157">
        <v>0</v>
      </c>
      <c r="AF205" s="149">
        <f>INT(((AE205*Valores!$C$2)*100)+0.5)/100</f>
        <v>0</v>
      </c>
      <c r="AG205" s="149">
        <f>IF(Valores!$D$58*'Escala Docente'!D205&gt;Valores!$F$58,Valores!$F$58,Valores!$D$58*'Escala Docente'!D205)</f>
        <v>325.2288</v>
      </c>
      <c r="AH205" s="149">
        <f>IF(Valores!$D$60*D205&gt;Valores!$F$60,Valores!$F$60,Valores!$D$60*D205)</f>
        <v>92.9304</v>
      </c>
      <c r="AI205" s="163">
        <f t="shared" si="38"/>
        <v>20137.098652000004</v>
      </c>
      <c r="AJ205" s="148">
        <f>IF(Valores!$C$36*D205&gt;Valores!$F$36,Valores!$F$36,Valores!$C$36*D205)</f>
        <v>837.48</v>
      </c>
      <c r="AK205" s="149">
        <f>IF(Valores!$C$83*D205&gt;Valores!$C$82,Valores!$C$82,Valores!$C$83*D205)</f>
        <v>1950</v>
      </c>
      <c r="AL205" s="154">
        <f>IF(Valores!$C$56*D205&gt;Valores!$F$56,Valores!$F$56,Valores!$C$56*D205)</f>
        <v>170.39999999999998</v>
      </c>
      <c r="AM205" s="162">
        <f t="shared" si="36"/>
        <v>2787.48</v>
      </c>
      <c r="AN205" s="148">
        <f>AI205*-Valores!$C$65</f>
        <v>-2315.7663449800007</v>
      </c>
      <c r="AO205" s="146">
        <f>AI205*-Valores!$C$66</f>
        <v>-906.1694393400002</v>
      </c>
      <c r="AP205" s="170">
        <v>-159.43</v>
      </c>
      <c r="AQ205" s="170">
        <f t="shared" si="39"/>
        <v>-53.83</v>
      </c>
      <c r="AR205" s="162">
        <f t="shared" si="40"/>
        <v>19489.38286768</v>
      </c>
    </row>
    <row r="206" spans="1:44" s="137" customFormat="1" ht="11.25" customHeight="1">
      <c r="A206" s="147">
        <v>204</v>
      </c>
      <c r="B206" s="147"/>
      <c r="C206" s="147" t="s">
        <v>493</v>
      </c>
      <c r="D206" s="147">
        <v>13</v>
      </c>
      <c r="E206" s="147">
        <f t="shared" si="33"/>
        <v>37</v>
      </c>
      <c r="F206" s="155" t="str">
        <f t="shared" si="31"/>
        <v>Hora Cátedra Enseñanza Superior 13 hs</v>
      </c>
      <c r="G206" s="152">
        <f t="shared" si="32"/>
        <v>1287</v>
      </c>
      <c r="H206" s="149">
        <f>INT((G206*Valores!$C$2*100)+0.5)/100</f>
        <v>10860.74</v>
      </c>
      <c r="I206" s="159">
        <v>0</v>
      </c>
      <c r="J206" s="149">
        <f>INT((I206*Valores!$C$2*100)+0.5)/100</f>
        <v>0</v>
      </c>
      <c r="K206" s="151">
        <v>0</v>
      </c>
      <c r="L206" s="149">
        <f>INT((K206*Valores!$C$2*100)+0.5)/100</f>
        <v>0</v>
      </c>
      <c r="M206" s="158">
        <v>0</v>
      </c>
      <c r="N206" s="149">
        <f>INT((M206*Valores!$C$2*100)+0.5)/100</f>
        <v>0</v>
      </c>
      <c r="O206" s="149">
        <f t="shared" si="34"/>
        <v>1904.4705</v>
      </c>
      <c r="P206" s="149">
        <f t="shared" si="35"/>
        <v>0</v>
      </c>
      <c r="Q206" s="148">
        <f>Valores!$C$14*D206</f>
        <v>2831.92</v>
      </c>
      <c r="R206" s="148">
        <f>IF(D206&lt;15,(Valores!$E$4*D206),Valores!$D$4)</f>
        <v>3738.6699999999996</v>
      </c>
      <c r="S206" s="149">
        <v>0</v>
      </c>
      <c r="T206" s="149">
        <f>IF(Valores!$C$45*D206&gt;Valores!$C$43,Valores!$C$43,Valores!$C$45*D206)</f>
        <v>848.25</v>
      </c>
      <c r="U206" s="148">
        <f>Valores!$C$22*D206</f>
        <v>987.4799999999999</v>
      </c>
      <c r="V206" s="149">
        <f t="shared" si="30"/>
        <v>987.4799999999999</v>
      </c>
      <c r="W206" s="149">
        <v>0</v>
      </c>
      <c r="X206" s="149">
        <v>0</v>
      </c>
      <c r="Y206" s="149">
        <v>0</v>
      </c>
      <c r="Z206" s="149">
        <f>Y206*Valores!$C$2</f>
        <v>0</v>
      </c>
      <c r="AA206" s="149">
        <v>0</v>
      </c>
      <c r="AB206" s="154">
        <f>IF((Valores!$C$32)*D206&gt;Valores!$F$32,Valores!$F$32,(Valores!$C$32)*D206)</f>
        <v>104.04992</v>
      </c>
      <c r="AC206" s="149">
        <f t="shared" si="37"/>
        <v>0</v>
      </c>
      <c r="AD206" s="149">
        <f>IF(Valores!$C$33*D206&gt;Valores!$F$33,Valores!$F$33,Valores!$C$33*D206)</f>
        <v>86.614528</v>
      </c>
      <c r="AE206" s="157">
        <v>0</v>
      </c>
      <c r="AF206" s="149">
        <f>INT(((AE206*Valores!$C$2)*100)+0.5)/100</f>
        <v>0</v>
      </c>
      <c r="AG206" s="149">
        <f>IF(Valores!$D$58*'Escala Docente'!D206&gt;Valores!$F$58,Valores!$F$58,Valores!$D$58*'Escala Docente'!D206)</f>
        <v>352.33119999999997</v>
      </c>
      <c r="AH206" s="149">
        <f>IF(Valores!$D$60*D206&gt;Valores!$F$60,Valores!$F$60,Valores!$D$60*D206)</f>
        <v>100.6746</v>
      </c>
      <c r="AI206" s="163">
        <f t="shared" si="38"/>
        <v>21815.200747999996</v>
      </c>
      <c r="AJ206" s="148">
        <f>IF(Valores!$C$36*D206&gt;Valores!$F$36,Valores!$F$36,Valores!$C$36*D206)</f>
        <v>907.2700000000001</v>
      </c>
      <c r="AK206" s="149">
        <f>IF(Valores!$C$83*D206&gt;Valores!$C$82,Valores!$C$82,Valores!$C$83*D206)</f>
        <v>2112.5</v>
      </c>
      <c r="AL206" s="154">
        <f>IF(Valores!$C$56*D206&gt;Valores!$F$56,Valores!$F$56,Valores!$C$56*D206)</f>
        <v>184.6</v>
      </c>
      <c r="AM206" s="162">
        <f t="shared" si="36"/>
        <v>3019.77</v>
      </c>
      <c r="AN206" s="148">
        <f>AI206*-Valores!$C$65</f>
        <v>-2508.7480860199994</v>
      </c>
      <c r="AO206" s="146">
        <f>AI206*-Valores!$C$66</f>
        <v>-981.6840336599997</v>
      </c>
      <c r="AP206" s="170">
        <v>-159.43</v>
      </c>
      <c r="AQ206" s="170">
        <f t="shared" si="39"/>
        <v>-53.83</v>
      </c>
      <c r="AR206" s="162">
        <f t="shared" si="40"/>
        <v>21131.278628319997</v>
      </c>
    </row>
    <row r="207" spans="1:44" s="137" customFormat="1" ht="11.25" customHeight="1">
      <c r="A207" s="147">
        <v>205</v>
      </c>
      <c r="B207" s="147" t="s">
        <v>135</v>
      </c>
      <c r="C207" s="147" t="s">
        <v>493</v>
      </c>
      <c r="D207" s="147">
        <v>14</v>
      </c>
      <c r="E207" s="147">
        <f t="shared" si="33"/>
        <v>37</v>
      </c>
      <c r="F207" s="155" t="str">
        <f t="shared" si="31"/>
        <v>Hora Cátedra Enseñanza Superior 14 hs</v>
      </c>
      <c r="G207" s="152">
        <f t="shared" si="32"/>
        <v>1386</v>
      </c>
      <c r="H207" s="149">
        <f>INT((G207*Valores!$C$2*100)+0.5)/100</f>
        <v>11696.18</v>
      </c>
      <c r="I207" s="159">
        <v>0</v>
      </c>
      <c r="J207" s="149">
        <f>INT((I207*Valores!$C$2*100)+0.5)/100</f>
        <v>0</v>
      </c>
      <c r="K207" s="151">
        <v>0</v>
      </c>
      <c r="L207" s="149">
        <f>INT((K207*Valores!$C$2*100)+0.5)/100</f>
        <v>0</v>
      </c>
      <c r="M207" s="158">
        <v>0</v>
      </c>
      <c r="N207" s="149">
        <f>INT((M207*Valores!$C$2*100)+0.5)/100</f>
        <v>0</v>
      </c>
      <c r="O207" s="149">
        <f t="shared" si="34"/>
        <v>2050.968</v>
      </c>
      <c r="P207" s="149">
        <f t="shared" si="35"/>
        <v>0</v>
      </c>
      <c r="Q207" s="148">
        <f>Valores!$C$14*D207</f>
        <v>3049.76</v>
      </c>
      <c r="R207" s="148">
        <f>IF(D207&lt;15,(Valores!$E$4*D207),Valores!$D$4)</f>
        <v>4026.2599999999998</v>
      </c>
      <c r="S207" s="149">
        <v>0</v>
      </c>
      <c r="T207" s="149">
        <f>IF(Valores!$C$45*D207&gt;Valores!$C$43,Valores!$C$43,Valores!$C$45*D207)</f>
        <v>913.5</v>
      </c>
      <c r="U207" s="148">
        <f>Valores!$C$22*D207</f>
        <v>1063.4399999999998</v>
      </c>
      <c r="V207" s="149">
        <f t="shared" si="30"/>
        <v>1063.4399999999998</v>
      </c>
      <c r="W207" s="149">
        <v>0</v>
      </c>
      <c r="X207" s="149">
        <v>0</v>
      </c>
      <c r="Y207" s="149">
        <v>0</v>
      </c>
      <c r="Z207" s="149">
        <f>Y207*Valores!$C$2</f>
        <v>0</v>
      </c>
      <c r="AA207" s="149">
        <v>0</v>
      </c>
      <c r="AB207" s="154">
        <f>IF((Valores!$C$32)*D207&gt;Valores!$F$32,Valores!$F$32,(Valores!$C$32)*D207)</f>
        <v>112.05376000000001</v>
      </c>
      <c r="AC207" s="149">
        <f t="shared" si="37"/>
        <v>0</v>
      </c>
      <c r="AD207" s="149">
        <f>IF(Valores!$C$33*D207&gt;Valores!$F$33,Valores!$F$33,Valores!$C$33*D207)</f>
        <v>93.27718400000002</v>
      </c>
      <c r="AE207" s="157">
        <v>0</v>
      </c>
      <c r="AF207" s="149">
        <f>INT(((AE207*Valores!$C$2)*100)+0.5)/100</f>
        <v>0</v>
      </c>
      <c r="AG207" s="149">
        <f>IF(Valores!$D$58*'Escala Docente'!D207&gt;Valores!$F$58,Valores!$F$58,Valores!$D$58*'Escala Docente'!D207)</f>
        <v>379.4336</v>
      </c>
      <c r="AH207" s="149">
        <f>IF(Valores!$D$60*D207&gt;Valores!$F$60,Valores!$F$60,Valores!$D$60*D207)</f>
        <v>108.4188</v>
      </c>
      <c r="AI207" s="163">
        <f t="shared" si="38"/>
        <v>23493.291343999997</v>
      </c>
      <c r="AJ207" s="148">
        <f>IF(Valores!$C$36*D207&gt;Valores!$F$36,Valores!$F$36,Valores!$C$36*D207)</f>
        <v>977.0600000000001</v>
      </c>
      <c r="AK207" s="149">
        <f>IF(Valores!$C$83*D207&gt;Valores!$C$82,Valores!$C$82,Valores!$C$83*D207)</f>
        <v>2275</v>
      </c>
      <c r="AL207" s="154">
        <f>IF(Valores!$C$56*D207&gt;Valores!$F$56,Valores!$F$56,Valores!$C$56*D207)</f>
        <v>198.79999999999998</v>
      </c>
      <c r="AM207" s="162">
        <f t="shared" si="36"/>
        <v>3252.06</v>
      </c>
      <c r="AN207" s="148">
        <f>AI207*-Valores!$C$65</f>
        <v>-2701.7285045599997</v>
      </c>
      <c r="AO207" s="146">
        <f>AI207*-Valores!$C$66</f>
        <v>-1057.1981104799997</v>
      </c>
      <c r="AP207" s="170">
        <v>-159.43</v>
      </c>
      <c r="AQ207" s="170">
        <f t="shared" si="39"/>
        <v>-53.83</v>
      </c>
      <c r="AR207" s="162">
        <f t="shared" si="40"/>
        <v>22773.164728959997</v>
      </c>
    </row>
    <row r="208" spans="1:44" s="137" customFormat="1" ht="11.25" customHeight="1">
      <c r="A208" s="147">
        <v>206</v>
      </c>
      <c r="B208" s="147"/>
      <c r="C208" s="147" t="s">
        <v>493</v>
      </c>
      <c r="D208" s="147">
        <v>15</v>
      </c>
      <c r="E208" s="147">
        <f t="shared" si="33"/>
        <v>37</v>
      </c>
      <c r="F208" s="155" t="str">
        <f t="shared" si="31"/>
        <v>Hora Cátedra Enseñanza Superior 15 hs</v>
      </c>
      <c r="G208" s="152">
        <f t="shared" si="32"/>
        <v>1485</v>
      </c>
      <c r="H208" s="149">
        <f>INT((G208*Valores!$C$2*100)+0.5)/100</f>
        <v>12531.62</v>
      </c>
      <c r="I208" s="159">
        <v>0</v>
      </c>
      <c r="J208" s="149">
        <f>INT((I208*Valores!$C$2*100)+0.5)/100</f>
        <v>0</v>
      </c>
      <c r="K208" s="151">
        <v>0</v>
      </c>
      <c r="L208" s="149">
        <f>INT((K208*Valores!$C$2*100)+0.5)/100</f>
        <v>0</v>
      </c>
      <c r="M208" s="158">
        <v>0</v>
      </c>
      <c r="N208" s="149">
        <f>INT((M208*Valores!$C$2*100)+0.5)/100</f>
        <v>0</v>
      </c>
      <c r="O208" s="149">
        <f t="shared" si="34"/>
        <v>2197.4655</v>
      </c>
      <c r="P208" s="149">
        <f t="shared" si="35"/>
        <v>0</v>
      </c>
      <c r="Q208" s="148">
        <f>Valores!$C$14*D208</f>
        <v>3267.6</v>
      </c>
      <c r="R208" s="148">
        <f>IF(D208&lt;15,(Valores!$E$4*D208),Valores!$D$4)</f>
        <v>4313.91</v>
      </c>
      <c r="S208" s="149">
        <v>0</v>
      </c>
      <c r="T208" s="149">
        <f>IF(Valores!$C$45*D208&gt;Valores!$C$43,Valores!$C$43,Valores!$C$45*D208)</f>
        <v>978.75</v>
      </c>
      <c r="U208" s="148">
        <f>Valores!$C$22*D208</f>
        <v>1139.3999999999999</v>
      </c>
      <c r="V208" s="149">
        <f t="shared" si="30"/>
        <v>1139.3999999999999</v>
      </c>
      <c r="W208" s="149">
        <v>0</v>
      </c>
      <c r="X208" s="149">
        <v>0</v>
      </c>
      <c r="Y208" s="149">
        <v>0</v>
      </c>
      <c r="Z208" s="149">
        <f>Y208*Valores!$C$2</f>
        <v>0</v>
      </c>
      <c r="AA208" s="149">
        <v>0</v>
      </c>
      <c r="AB208" s="154">
        <f>IF((Valores!$C$32)*D208&gt;Valores!$F$32,Valores!$F$32,(Valores!$C$32)*D208)</f>
        <v>120.05760000000001</v>
      </c>
      <c r="AC208" s="149">
        <f t="shared" si="37"/>
        <v>0</v>
      </c>
      <c r="AD208" s="149">
        <f>IF(Valores!$C$33*D208&gt;Valores!$F$33,Valores!$F$33,Valores!$C$33*D208)</f>
        <v>99.93984000000002</v>
      </c>
      <c r="AE208" s="157">
        <v>0</v>
      </c>
      <c r="AF208" s="149">
        <f>INT(((AE208*Valores!$C$2)*100)+0.5)/100</f>
        <v>0</v>
      </c>
      <c r="AG208" s="149">
        <f>IF(Valores!$D$58*'Escala Docente'!D208&gt;Valores!$F$58,Valores!$F$58,Valores!$D$58*'Escala Docente'!D208)</f>
        <v>406.536</v>
      </c>
      <c r="AH208" s="149">
        <f>IF(Valores!$D$60*D208&gt;Valores!$F$60,Valores!$F$60,Valores!$D$60*D208)</f>
        <v>116.163</v>
      </c>
      <c r="AI208" s="163">
        <f t="shared" si="38"/>
        <v>25171.44194</v>
      </c>
      <c r="AJ208" s="148">
        <f>IF(Valores!$C$36*D208&gt;Valores!$F$36,Valores!$F$36,Valores!$C$36*D208)</f>
        <v>1046.8500000000001</v>
      </c>
      <c r="AK208" s="149">
        <f>IF(Valores!$C$83*D208&gt;Valores!$C$82,Valores!$C$82,Valores!$C$83*D208)</f>
        <v>2437.5</v>
      </c>
      <c r="AL208" s="154">
        <f>IF(Valores!$C$56*D208&gt;Valores!$F$56,Valores!$F$56,Valores!$C$56*D208)</f>
        <v>213</v>
      </c>
      <c r="AM208" s="162">
        <f t="shared" si="36"/>
        <v>3484.3500000000004</v>
      </c>
      <c r="AN208" s="148">
        <f>AI208*-Valores!$C$65</f>
        <v>-2894.7158231000003</v>
      </c>
      <c r="AO208" s="146">
        <f>AI208*-Valores!$C$66</f>
        <v>-1132.7148872999999</v>
      </c>
      <c r="AP208" s="170">
        <v>-159.43</v>
      </c>
      <c r="AQ208" s="170">
        <f t="shared" si="39"/>
        <v>-53.83</v>
      </c>
      <c r="AR208" s="162">
        <f t="shared" si="40"/>
        <v>24415.1012296</v>
      </c>
    </row>
    <row r="209" spans="1:44" s="137" customFormat="1" ht="11.25" customHeight="1">
      <c r="A209" s="147">
        <v>207</v>
      </c>
      <c r="B209" s="147"/>
      <c r="C209" s="147" t="s">
        <v>493</v>
      </c>
      <c r="D209" s="147">
        <v>16</v>
      </c>
      <c r="E209" s="147">
        <f t="shared" si="33"/>
        <v>37</v>
      </c>
      <c r="F209" s="155" t="str">
        <f t="shared" si="31"/>
        <v>Hora Cátedra Enseñanza Superior 16 hs</v>
      </c>
      <c r="G209" s="152">
        <f t="shared" si="32"/>
        <v>1584</v>
      </c>
      <c r="H209" s="149">
        <f>INT((G209*Valores!$C$2*100)+0.5)/100</f>
        <v>13367.06</v>
      </c>
      <c r="I209" s="159">
        <v>0</v>
      </c>
      <c r="J209" s="149">
        <f>INT((I209*Valores!$C$2*100)+0.5)/100</f>
        <v>0</v>
      </c>
      <c r="K209" s="151">
        <v>0</v>
      </c>
      <c r="L209" s="149">
        <f>INT((K209*Valores!$C$2*100)+0.5)/100</f>
        <v>0</v>
      </c>
      <c r="M209" s="158">
        <v>0</v>
      </c>
      <c r="N209" s="149">
        <f>INT((M209*Valores!$C$2*100)+0.5)/100</f>
        <v>0</v>
      </c>
      <c r="O209" s="149">
        <f t="shared" si="34"/>
        <v>2343.9629999999997</v>
      </c>
      <c r="P209" s="149">
        <f t="shared" si="35"/>
        <v>0</v>
      </c>
      <c r="Q209" s="148">
        <f>Valores!$C$14*D209</f>
        <v>3485.44</v>
      </c>
      <c r="R209" s="148">
        <f>IF(D209&lt;15,(Valores!$E$4*D209),Valores!$D$4)</f>
        <v>4313.91</v>
      </c>
      <c r="S209" s="149">
        <v>0</v>
      </c>
      <c r="T209" s="149">
        <f>IF(Valores!$C$45*D209&gt;Valores!$C$43,Valores!$C$43,Valores!$C$45*D209)</f>
        <v>1044</v>
      </c>
      <c r="U209" s="148">
        <f>Valores!$C$22*D209</f>
        <v>1215.36</v>
      </c>
      <c r="V209" s="149">
        <f t="shared" si="30"/>
        <v>1215.36</v>
      </c>
      <c r="W209" s="149">
        <v>0</v>
      </c>
      <c r="X209" s="149">
        <v>0</v>
      </c>
      <c r="Y209" s="149">
        <v>0</v>
      </c>
      <c r="Z209" s="149">
        <f>Y209*Valores!$C$2</f>
        <v>0</v>
      </c>
      <c r="AA209" s="149">
        <v>0</v>
      </c>
      <c r="AB209" s="154">
        <f>IF((Valores!$C$32)*D209&gt;Valores!$F$32,Valores!$F$32,(Valores!$C$32)*D209)</f>
        <v>128.06144</v>
      </c>
      <c r="AC209" s="149">
        <f t="shared" si="37"/>
        <v>0</v>
      </c>
      <c r="AD209" s="149">
        <f>IF(Valores!$C$33*D209&gt;Valores!$F$33,Valores!$F$33,Valores!$C$33*D209)</f>
        <v>106.60249600000002</v>
      </c>
      <c r="AE209" s="157">
        <v>0</v>
      </c>
      <c r="AF209" s="149">
        <f>INT(((AE209*Valores!$C$2)*100)+0.5)/100</f>
        <v>0</v>
      </c>
      <c r="AG209" s="149">
        <f>IF(Valores!$D$58*'Escala Docente'!D209&gt;Valores!$F$58,Valores!$F$58,Valores!$D$58*'Escala Docente'!D209)</f>
        <v>433.6384</v>
      </c>
      <c r="AH209" s="149">
        <f>IF(Valores!$D$60*D209&gt;Valores!$F$60,Valores!$F$60,Valores!$D$60*D209)</f>
        <v>123.9072</v>
      </c>
      <c r="AI209" s="163">
        <f t="shared" si="38"/>
        <v>26561.942536000002</v>
      </c>
      <c r="AJ209" s="148">
        <f>IF(Valores!$C$36*D209&gt;Valores!$F$36,Valores!$F$36,Valores!$C$36*D209)</f>
        <v>1116.64</v>
      </c>
      <c r="AK209" s="149">
        <f>IF(Valores!$C$83*D209&gt;Valores!$C$82,Valores!$C$82,Valores!$C$83*D209)</f>
        <v>2600</v>
      </c>
      <c r="AL209" s="154">
        <f>IF(Valores!$C$56*D209&gt;Valores!$F$56,Valores!$F$56,Valores!$C$56*D209)</f>
        <v>227.2</v>
      </c>
      <c r="AM209" s="162">
        <f t="shared" si="36"/>
        <v>3716.6400000000003</v>
      </c>
      <c r="AN209" s="148">
        <f>AI209*-Valores!$C$65</f>
        <v>-3054.6233916400006</v>
      </c>
      <c r="AO209" s="146">
        <f>AI209*-Valores!$C$66</f>
        <v>-1195.28741412</v>
      </c>
      <c r="AP209" s="170">
        <v>-159.43</v>
      </c>
      <c r="AQ209" s="170">
        <f t="shared" si="39"/>
        <v>-53.83</v>
      </c>
      <c r="AR209" s="162">
        <f t="shared" si="40"/>
        <v>25815.411730239997</v>
      </c>
    </row>
    <row r="210" spans="1:44" s="137" customFormat="1" ht="11.25" customHeight="1">
      <c r="A210" s="147">
        <v>208</v>
      </c>
      <c r="B210" s="147"/>
      <c r="C210" s="147" t="s">
        <v>493</v>
      </c>
      <c r="D210" s="147">
        <v>17</v>
      </c>
      <c r="E210" s="147">
        <f t="shared" si="33"/>
        <v>37</v>
      </c>
      <c r="F210" s="155" t="str">
        <f t="shared" si="31"/>
        <v>Hora Cátedra Enseñanza Superior 17 hs</v>
      </c>
      <c r="G210" s="152">
        <f t="shared" si="32"/>
        <v>1683</v>
      </c>
      <c r="H210" s="149">
        <f>INT((G210*Valores!$C$2*100)+0.5)/100</f>
        <v>14202.5</v>
      </c>
      <c r="I210" s="159">
        <v>0</v>
      </c>
      <c r="J210" s="149">
        <f>INT((I210*Valores!$C$2*100)+0.5)/100</f>
        <v>0</v>
      </c>
      <c r="K210" s="151">
        <v>0</v>
      </c>
      <c r="L210" s="149">
        <f>INT((K210*Valores!$C$2*100)+0.5)/100</f>
        <v>0</v>
      </c>
      <c r="M210" s="158">
        <v>0</v>
      </c>
      <c r="N210" s="149">
        <f>INT((M210*Valores!$C$2*100)+0.5)/100</f>
        <v>0</v>
      </c>
      <c r="O210" s="149">
        <f t="shared" si="34"/>
        <v>2490.4604999999997</v>
      </c>
      <c r="P210" s="149">
        <f t="shared" si="35"/>
        <v>0</v>
      </c>
      <c r="Q210" s="148">
        <f>Valores!$C$14*D210</f>
        <v>3703.28</v>
      </c>
      <c r="R210" s="148">
        <f>IF(D210&lt;15,(Valores!$E$4*D210),Valores!$D$4)</f>
        <v>4313.91</v>
      </c>
      <c r="S210" s="149">
        <v>0</v>
      </c>
      <c r="T210" s="149">
        <f>IF(Valores!$C$45*D210&gt;Valores!$C$43,Valores!$C$43,Valores!$C$45*D210)</f>
        <v>1109.25</v>
      </c>
      <c r="U210" s="148">
        <f>Valores!$C$22*D210</f>
        <v>1291.32</v>
      </c>
      <c r="V210" s="149">
        <f t="shared" si="30"/>
        <v>1291.32</v>
      </c>
      <c r="W210" s="149">
        <v>0</v>
      </c>
      <c r="X210" s="149">
        <v>0</v>
      </c>
      <c r="Y210" s="149">
        <v>0</v>
      </c>
      <c r="Z210" s="149">
        <f>Y210*Valores!$C$2</f>
        <v>0</v>
      </c>
      <c r="AA210" s="149">
        <v>0</v>
      </c>
      <c r="AB210" s="154">
        <f>IF((Valores!$C$32)*D210&gt;Valores!$F$32,Valores!$F$32,(Valores!$C$32)*D210)</f>
        <v>136.06528</v>
      </c>
      <c r="AC210" s="149">
        <f t="shared" si="37"/>
        <v>0</v>
      </c>
      <c r="AD210" s="149">
        <f>IF(Valores!$C$33*D210&gt;Valores!$F$33,Valores!$F$33,Valores!$C$33*D210)</f>
        <v>113.26515200000001</v>
      </c>
      <c r="AE210" s="157">
        <v>0</v>
      </c>
      <c r="AF210" s="149">
        <f>INT(((AE210*Valores!$C$2)*100)+0.5)/100</f>
        <v>0</v>
      </c>
      <c r="AG210" s="149">
        <f>IF(Valores!$D$58*'Escala Docente'!D210&gt;Valores!$F$58,Valores!$F$58,Valores!$D$58*'Escala Docente'!D210)</f>
        <v>460.7408</v>
      </c>
      <c r="AH210" s="149">
        <f>IF(Valores!$D$60*D210&gt;Valores!$F$60,Valores!$F$60,Valores!$D$60*D210)</f>
        <v>131.6514</v>
      </c>
      <c r="AI210" s="163">
        <f t="shared" si="38"/>
        <v>27952.443131999997</v>
      </c>
      <c r="AJ210" s="148">
        <f>IF(Valores!$C$36*D210&gt;Valores!$F$36,Valores!$F$36,Valores!$C$36*D210)</f>
        <v>1186.43</v>
      </c>
      <c r="AK210" s="149">
        <f>IF(Valores!$C$83*D210&gt;Valores!$C$82,Valores!$C$82,Valores!$C$83*D210)</f>
        <v>2762.5</v>
      </c>
      <c r="AL210" s="154">
        <f>IF(Valores!$C$56*D210&gt;Valores!$F$56,Valores!$F$56,Valores!$C$56*D210)</f>
        <v>241.39999999999998</v>
      </c>
      <c r="AM210" s="162">
        <f t="shared" si="36"/>
        <v>3948.9300000000003</v>
      </c>
      <c r="AN210" s="148">
        <f>AI210*-Valores!$C$65</f>
        <v>-3214.53096018</v>
      </c>
      <c r="AO210" s="146">
        <f>AI210*-Valores!$C$66</f>
        <v>-1257.85994094</v>
      </c>
      <c r="AP210" s="170">
        <v>-159.43</v>
      </c>
      <c r="AQ210" s="170">
        <f t="shared" si="39"/>
        <v>-53.83</v>
      </c>
      <c r="AR210" s="162">
        <f t="shared" si="40"/>
        <v>27215.722230879994</v>
      </c>
    </row>
    <row r="211" spans="1:44" s="137" customFormat="1" ht="11.25" customHeight="1">
      <c r="A211" s="147">
        <v>209</v>
      </c>
      <c r="B211" s="147"/>
      <c r="C211" s="147" t="s">
        <v>493</v>
      </c>
      <c r="D211" s="147">
        <v>18</v>
      </c>
      <c r="E211" s="147">
        <f t="shared" si="33"/>
        <v>37</v>
      </c>
      <c r="F211" s="155" t="str">
        <f t="shared" si="31"/>
        <v>Hora Cátedra Enseñanza Superior 18 hs</v>
      </c>
      <c r="G211" s="152">
        <f t="shared" si="32"/>
        <v>1782</v>
      </c>
      <c r="H211" s="149">
        <f>INT((G211*Valores!$C$2*100)+0.5)/100</f>
        <v>15037.94</v>
      </c>
      <c r="I211" s="159">
        <v>0</v>
      </c>
      <c r="J211" s="149">
        <f>INT((I211*Valores!$C$2*100)+0.5)/100</f>
        <v>0</v>
      </c>
      <c r="K211" s="151">
        <v>0</v>
      </c>
      <c r="L211" s="149">
        <f>INT((K211*Valores!$C$2*100)+0.5)/100</f>
        <v>0</v>
      </c>
      <c r="M211" s="158">
        <v>0</v>
      </c>
      <c r="N211" s="149">
        <f>INT((M211*Valores!$C$2*100)+0.5)/100</f>
        <v>0</v>
      </c>
      <c r="O211" s="149">
        <f t="shared" si="34"/>
        <v>2636.958</v>
      </c>
      <c r="P211" s="149">
        <f t="shared" si="35"/>
        <v>0</v>
      </c>
      <c r="Q211" s="148">
        <f>Valores!$C$14*D211</f>
        <v>3921.12</v>
      </c>
      <c r="R211" s="148">
        <f>IF(D211&lt;15,(Valores!$E$4*D211),Valores!$D$4)</f>
        <v>4313.91</v>
      </c>
      <c r="S211" s="149">
        <v>0</v>
      </c>
      <c r="T211" s="149">
        <f>IF(Valores!$C$45*D211&gt;Valores!$C$43,Valores!$C$43,Valores!$C$45*D211)</f>
        <v>1174.5</v>
      </c>
      <c r="U211" s="148">
        <f>Valores!$C$22*D211</f>
        <v>1367.28</v>
      </c>
      <c r="V211" s="149">
        <f t="shared" si="30"/>
        <v>1367.28</v>
      </c>
      <c r="W211" s="149">
        <v>0</v>
      </c>
      <c r="X211" s="149">
        <v>0</v>
      </c>
      <c r="Y211" s="149">
        <v>0</v>
      </c>
      <c r="Z211" s="149">
        <f>Y211*Valores!$C$2</f>
        <v>0</v>
      </c>
      <c r="AA211" s="149">
        <v>0</v>
      </c>
      <c r="AB211" s="154">
        <f>IF((Valores!$C$32)*D211&gt;Valores!$F$32,Valores!$F$32,(Valores!$C$32)*D211)</f>
        <v>144.06912</v>
      </c>
      <c r="AC211" s="149">
        <f t="shared" si="37"/>
        <v>0</v>
      </c>
      <c r="AD211" s="149">
        <f>IF(Valores!$C$33*D211&gt;Valores!$F$33,Valores!$F$33,Valores!$C$33*D211)</f>
        <v>119.92780800000001</v>
      </c>
      <c r="AE211" s="157">
        <v>0</v>
      </c>
      <c r="AF211" s="149">
        <f>INT(((AE211*Valores!$C$2)*100)+0.5)/100</f>
        <v>0</v>
      </c>
      <c r="AG211" s="149">
        <f>IF(Valores!$D$58*'Escala Docente'!D211&gt;Valores!$F$58,Valores!$F$58,Valores!$D$58*'Escala Docente'!D211)</f>
        <v>487.84319999999997</v>
      </c>
      <c r="AH211" s="149">
        <f>IF(Valores!$D$60*D211&gt;Valores!$F$60,Valores!$F$60,Valores!$D$60*D211)</f>
        <v>139.3956</v>
      </c>
      <c r="AI211" s="163">
        <f t="shared" si="38"/>
        <v>29342.943728</v>
      </c>
      <c r="AJ211" s="148">
        <f>IF(Valores!$C$36*D211&gt;Valores!$F$36,Valores!$F$36,Valores!$C$36*D211)</f>
        <v>1256.22</v>
      </c>
      <c r="AK211" s="149">
        <f>IF(Valores!$C$83*D211&gt;Valores!$C$82,Valores!$C$82,Valores!$C$83*D211)</f>
        <v>2925</v>
      </c>
      <c r="AL211" s="154">
        <f>IF(Valores!$C$56*D211&gt;Valores!$F$56,Valores!$F$56,Valores!$C$56*D211)</f>
        <v>255.6</v>
      </c>
      <c r="AM211" s="162">
        <f t="shared" si="36"/>
        <v>4181.22</v>
      </c>
      <c r="AN211" s="148">
        <f>AI211*-Valores!$C$65</f>
        <v>-3374.43852872</v>
      </c>
      <c r="AO211" s="146">
        <f>AI211*-Valores!$C$66</f>
        <v>-1320.4324677599998</v>
      </c>
      <c r="AP211" s="170">
        <v>-159.43</v>
      </c>
      <c r="AQ211" s="170">
        <f t="shared" si="39"/>
        <v>-53.83</v>
      </c>
      <c r="AR211" s="162">
        <f t="shared" si="40"/>
        <v>28616.032731519997</v>
      </c>
    </row>
    <row r="212" spans="1:44" s="137" customFormat="1" ht="11.25" customHeight="1">
      <c r="A212" s="147">
        <v>210</v>
      </c>
      <c r="B212" s="147" t="s">
        <v>135</v>
      </c>
      <c r="C212" s="147" t="s">
        <v>493</v>
      </c>
      <c r="D212" s="147">
        <v>19</v>
      </c>
      <c r="E212" s="147">
        <f t="shared" si="33"/>
        <v>37</v>
      </c>
      <c r="F212" s="155" t="str">
        <f t="shared" si="31"/>
        <v>Hora Cátedra Enseñanza Superior 19 hs</v>
      </c>
      <c r="G212" s="152">
        <f t="shared" si="32"/>
        <v>1881</v>
      </c>
      <c r="H212" s="149">
        <f>INT((G212*Valores!$C$2*100)+0.5)/100</f>
        <v>15873.38</v>
      </c>
      <c r="I212" s="159">
        <v>0</v>
      </c>
      <c r="J212" s="149">
        <f>INT((I212*Valores!$C$2*100)+0.5)/100</f>
        <v>0</v>
      </c>
      <c r="K212" s="151">
        <v>0</v>
      </c>
      <c r="L212" s="149">
        <f>INT((K212*Valores!$C$2*100)+0.5)/100</f>
        <v>0</v>
      </c>
      <c r="M212" s="158">
        <v>0</v>
      </c>
      <c r="N212" s="149">
        <f>INT((M212*Valores!$C$2*100)+0.5)/100</f>
        <v>0</v>
      </c>
      <c r="O212" s="149">
        <f t="shared" si="34"/>
        <v>2783.4554999999996</v>
      </c>
      <c r="P212" s="149">
        <f t="shared" si="35"/>
        <v>0</v>
      </c>
      <c r="Q212" s="148">
        <f>Valores!$C$14*D212</f>
        <v>4138.96</v>
      </c>
      <c r="R212" s="148">
        <f>IF(D212&lt;15,(Valores!$E$4*D212),Valores!$D$4)</f>
        <v>4313.91</v>
      </c>
      <c r="S212" s="149">
        <v>0</v>
      </c>
      <c r="T212" s="149">
        <f>IF(Valores!$C$45*D212&gt;Valores!$C$43,Valores!$C$43,Valores!$C$45*D212)</f>
        <v>1239.75</v>
      </c>
      <c r="U212" s="148">
        <f>Valores!$C$22*D212</f>
        <v>1443.2399999999998</v>
      </c>
      <c r="V212" s="149">
        <f t="shared" si="30"/>
        <v>1443.2399999999998</v>
      </c>
      <c r="W212" s="149">
        <v>0</v>
      </c>
      <c r="X212" s="149">
        <v>0</v>
      </c>
      <c r="Y212" s="149">
        <v>0</v>
      </c>
      <c r="Z212" s="149">
        <f>Y212*Valores!$C$2</f>
        <v>0</v>
      </c>
      <c r="AA212" s="149">
        <v>0</v>
      </c>
      <c r="AB212" s="154">
        <f>IF((Valores!$C$32)*D212&gt;Valores!$F$32,Valores!$F$32,(Valores!$C$32)*D212)</f>
        <v>152.07296</v>
      </c>
      <c r="AC212" s="149">
        <f t="shared" si="37"/>
        <v>0</v>
      </c>
      <c r="AD212" s="149">
        <f>IF(Valores!$C$33*D212&gt;Valores!$F$33,Valores!$F$33,Valores!$C$33*D212)</f>
        <v>126.59046400000003</v>
      </c>
      <c r="AE212" s="157">
        <v>0</v>
      </c>
      <c r="AF212" s="149">
        <f>INT(((AE212*Valores!$C$2)*100)+0.5)/100</f>
        <v>0</v>
      </c>
      <c r="AG212" s="149">
        <f>IF(Valores!$D$58*'Escala Docente'!D212&gt;Valores!$F$58,Valores!$F$58,Valores!$D$58*'Escala Docente'!D212)</f>
        <v>514.9456</v>
      </c>
      <c r="AH212" s="149">
        <f>IF(Valores!$D$60*D212&gt;Valores!$F$60,Valores!$F$60,Valores!$D$60*D212)</f>
        <v>147.1398</v>
      </c>
      <c r="AI212" s="163">
        <f t="shared" si="38"/>
        <v>30733.444323999996</v>
      </c>
      <c r="AJ212" s="148">
        <f>IF(Valores!$C$36*D212&gt;Valores!$F$36,Valores!$F$36,Valores!$C$36*D212)</f>
        <v>1326.0100000000002</v>
      </c>
      <c r="AK212" s="149">
        <f>IF(Valores!$C$83*D212&gt;Valores!$C$82,Valores!$C$82,Valores!$C$83*D212)</f>
        <v>3087.5</v>
      </c>
      <c r="AL212" s="154">
        <f>IF(Valores!$C$56*D212&gt;Valores!$F$56,Valores!$F$56,Valores!$C$56*D212)</f>
        <v>269.8</v>
      </c>
      <c r="AM212" s="162">
        <f t="shared" si="36"/>
        <v>4413.51</v>
      </c>
      <c r="AN212" s="148">
        <f>AI212*-Valores!$C$65</f>
        <v>-3534.3460972599996</v>
      </c>
      <c r="AO212" s="146">
        <f>AI212*-Valores!$C$66</f>
        <v>-1383.0049945799997</v>
      </c>
      <c r="AP212" s="170">
        <v>-159.43</v>
      </c>
      <c r="AQ212" s="170">
        <f t="shared" si="39"/>
        <v>-53.83</v>
      </c>
      <c r="AR212" s="162">
        <f t="shared" si="40"/>
        <v>30016.343232159998</v>
      </c>
    </row>
    <row r="213" spans="1:44" s="137" customFormat="1" ht="11.25" customHeight="1">
      <c r="A213" s="147">
        <v>211</v>
      </c>
      <c r="B213" s="147"/>
      <c r="C213" s="147" t="s">
        <v>493</v>
      </c>
      <c r="D213" s="147">
        <v>20</v>
      </c>
      <c r="E213" s="147">
        <f t="shared" si="33"/>
        <v>37</v>
      </c>
      <c r="F213" s="155" t="str">
        <f t="shared" si="31"/>
        <v>Hora Cátedra Enseñanza Superior 20 hs</v>
      </c>
      <c r="G213" s="152">
        <f t="shared" si="32"/>
        <v>1980</v>
      </c>
      <c r="H213" s="149">
        <f>INT((G213*Valores!$C$2*100)+0.5)/100</f>
        <v>16708.82</v>
      </c>
      <c r="I213" s="159">
        <v>0</v>
      </c>
      <c r="J213" s="149">
        <f>INT((I213*Valores!$C$2*100)+0.5)/100</f>
        <v>0</v>
      </c>
      <c r="K213" s="151">
        <v>0</v>
      </c>
      <c r="L213" s="149">
        <f>INT((K213*Valores!$C$2*100)+0.5)/100</f>
        <v>0</v>
      </c>
      <c r="M213" s="158">
        <v>0</v>
      </c>
      <c r="N213" s="149">
        <f>INT((M213*Valores!$C$2*100)+0.5)/100</f>
        <v>0</v>
      </c>
      <c r="O213" s="149">
        <f t="shared" si="34"/>
        <v>2929.953</v>
      </c>
      <c r="P213" s="149">
        <f t="shared" si="35"/>
        <v>0</v>
      </c>
      <c r="Q213" s="148">
        <f>Valores!$C$14*D213</f>
        <v>4356.8</v>
      </c>
      <c r="R213" s="148">
        <f>IF(D213&lt;15,(Valores!$E$4*D213),Valores!$D$4)</f>
        <v>4313.91</v>
      </c>
      <c r="S213" s="149">
        <v>0</v>
      </c>
      <c r="T213" s="149">
        <f>IF(Valores!$C$45*D213&gt;Valores!$C$43,Valores!$C$43,Valores!$C$45*D213)</f>
        <v>1305</v>
      </c>
      <c r="U213" s="148">
        <f>Valores!$C$22*D213</f>
        <v>1519.1999999999998</v>
      </c>
      <c r="V213" s="149">
        <f t="shared" si="30"/>
        <v>1519.1999999999998</v>
      </c>
      <c r="W213" s="149">
        <v>0</v>
      </c>
      <c r="X213" s="149">
        <v>0</v>
      </c>
      <c r="Y213" s="149">
        <v>0</v>
      </c>
      <c r="Z213" s="149">
        <f>Y213*Valores!$C$2</f>
        <v>0</v>
      </c>
      <c r="AA213" s="149">
        <v>0</v>
      </c>
      <c r="AB213" s="154">
        <f>IF((Valores!$C$32)*D213&gt;Valores!$F$32,Valores!$F$32,(Valores!$C$32)*D213)</f>
        <v>160.0768</v>
      </c>
      <c r="AC213" s="149">
        <f t="shared" si="37"/>
        <v>0</v>
      </c>
      <c r="AD213" s="149">
        <f>IF(Valores!$C$33*D213&gt;Valores!$F$33,Valores!$F$33,Valores!$C$33*D213)</f>
        <v>133.25312000000002</v>
      </c>
      <c r="AE213" s="157">
        <v>0</v>
      </c>
      <c r="AF213" s="149">
        <f>INT(((AE213*Valores!$C$2)*100)+0.5)/100</f>
        <v>0</v>
      </c>
      <c r="AG213" s="149">
        <f>IF(Valores!$D$58*'Escala Docente'!D213&gt;Valores!$F$58,Valores!$F$58,Valores!$D$58*'Escala Docente'!D213)</f>
        <v>542.048</v>
      </c>
      <c r="AH213" s="149">
        <f>IF(Valores!$D$60*D213&gt;Valores!$F$60,Valores!$F$60,Valores!$D$60*D213)</f>
        <v>154.88400000000001</v>
      </c>
      <c r="AI213" s="163">
        <f t="shared" si="38"/>
        <v>32123.94492</v>
      </c>
      <c r="AJ213" s="148">
        <f>IF(Valores!$C$36*D213&gt;Valores!$F$36,Valores!$F$36,Valores!$C$36*D213)</f>
        <v>1395.8000000000002</v>
      </c>
      <c r="AK213" s="149">
        <f>IF(Valores!$C$83*D213&gt;Valores!$C$82,Valores!$C$82,Valores!$C$83*D213)</f>
        <v>3250</v>
      </c>
      <c r="AL213" s="154">
        <f>IF(Valores!$C$56*D213&gt;Valores!$F$56,Valores!$F$56,Valores!$C$56*D213)</f>
        <v>284</v>
      </c>
      <c r="AM213" s="162">
        <f t="shared" si="36"/>
        <v>4645.8</v>
      </c>
      <c r="AN213" s="148">
        <f>AI213*-Valores!$C$65</f>
        <v>-3694.2536658000004</v>
      </c>
      <c r="AO213" s="146">
        <f>AI213*-Valores!$C$66</f>
        <v>-1445.5775214</v>
      </c>
      <c r="AP213" s="170">
        <v>-159.43</v>
      </c>
      <c r="AQ213" s="170">
        <f t="shared" si="39"/>
        <v>-53.83</v>
      </c>
      <c r="AR213" s="162">
        <f t="shared" si="40"/>
        <v>31416.6537328</v>
      </c>
    </row>
    <row r="214" spans="1:44" s="137" customFormat="1" ht="11.25" customHeight="1">
      <c r="A214" s="147">
        <v>212</v>
      </c>
      <c r="B214" s="147"/>
      <c r="C214" s="147" t="s">
        <v>493</v>
      </c>
      <c r="D214" s="147">
        <v>21</v>
      </c>
      <c r="E214" s="147">
        <f t="shared" si="33"/>
        <v>37</v>
      </c>
      <c r="F214" s="155" t="str">
        <f t="shared" si="31"/>
        <v>Hora Cátedra Enseñanza Superior 21 hs</v>
      </c>
      <c r="G214" s="152">
        <f t="shared" si="32"/>
        <v>2079</v>
      </c>
      <c r="H214" s="149">
        <f>INT((G214*Valores!$C$2*100)+0.5)/100</f>
        <v>17544.27</v>
      </c>
      <c r="I214" s="159">
        <v>0</v>
      </c>
      <c r="J214" s="149">
        <f>INT((I214*Valores!$C$2*100)+0.5)/100</f>
        <v>0</v>
      </c>
      <c r="K214" s="151">
        <v>0</v>
      </c>
      <c r="L214" s="149">
        <f>INT((K214*Valores!$C$2*100)+0.5)/100</f>
        <v>0</v>
      </c>
      <c r="M214" s="158">
        <v>0</v>
      </c>
      <c r="N214" s="149">
        <f>INT((M214*Valores!$C$2*100)+0.5)/100</f>
        <v>0</v>
      </c>
      <c r="O214" s="149">
        <f t="shared" si="34"/>
        <v>3076.4519999999998</v>
      </c>
      <c r="P214" s="149">
        <f t="shared" si="35"/>
        <v>0</v>
      </c>
      <c r="Q214" s="148">
        <f>Valores!$C$14*D214</f>
        <v>4574.64</v>
      </c>
      <c r="R214" s="148">
        <f>IF(D214&lt;15,(Valores!$E$4*D214),Valores!$D$4)</f>
        <v>4313.91</v>
      </c>
      <c r="S214" s="149">
        <v>0</v>
      </c>
      <c r="T214" s="149">
        <f>IF(Valores!$C$45*D214&gt;Valores!$C$43,Valores!$C$43,Valores!$C$45*D214)</f>
        <v>1370.25</v>
      </c>
      <c r="U214" s="148">
        <f>Valores!$C$22*D214</f>
        <v>1595.1599999999999</v>
      </c>
      <c r="V214" s="149">
        <f t="shared" si="30"/>
        <v>1595.1599999999999</v>
      </c>
      <c r="W214" s="149">
        <v>0</v>
      </c>
      <c r="X214" s="149">
        <v>0</v>
      </c>
      <c r="Y214" s="149">
        <v>0</v>
      </c>
      <c r="Z214" s="149">
        <f>Y214*Valores!$C$2</f>
        <v>0</v>
      </c>
      <c r="AA214" s="149">
        <v>0</v>
      </c>
      <c r="AB214" s="154">
        <f>IF((Valores!$C$32)*D214&gt;Valores!$F$32,Valores!$F$32,(Valores!$C$32)*D214)</f>
        <v>168.08064000000002</v>
      </c>
      <c r="AC214" s="149">
        <f t="shared" si="37"/>
        <v>0</v>
      </c>
      <c r="AD214" s="149">
        <f>IF(Valores!$C$33*D214&gt;Valores!$F$33,Valores!$F$33,Valores!$C$33*D214)</f>
        <v>139.91577600000002</v>
      </c>
      <c r="AE214" s="157">
        <v>0</v>
      </c>
      <c r="AF214" s="149">
        <f>INT(((AE214*Valores!$C$2)*100)+0.5)/100</f>
        <v>0</v>
      </c>
      <c r="AG214" s="149">
        <f>IF(Valores!$D$58*'Escala Docente'!D214&gt;Valores!$F$58,Valores!$F$58,Valores!$D$58*'Escala Docente'!D214)</f>
        <v>569.1504</v>
      </c>
      <c r="AH214" s="149">
        <f>IF(Valores!$D$60*D214&gt;Valores!$F$60,Valores!$F$60,Valores!$D$60*D214)</f>
        <v>162.6282</v>
      </c>
      <c r="AI214" s="163">
        <f t="shared" si="38"/>
        <v>33514.457016</v>
      </c>
      <c r="AJ214" s="148">
        <f>IF(Valores!$C$36*D214&gt;Valores!$F$36,Valores!$F$36,Valores!$C$36*D214)</f>
        <v>1465.5900000000001</v>
      </c>
      <c r="AK214" s="149">
        <f>IF(Valores!$C$83*D214&gt;Valores!$C$82,Valores!$C$82,Valores!$C$83*D214)</f>
        <v>3412.5</v>
      </c>
      <c r="AL214" s="154">
        <f>IF(Valores!$C$56*D214&gt;Valores!$F$56,Valores!$F$56,Valores!$C$56*D214)</f>
        <v>298.2</v>
      </c>
      <c r="AM214" s="162">
        <f t="shared" si="36"/>
        <v>4878.09</v>
      </c>
      <c r="AN214" s="148">
        <f>AI214*-Valores!$C$65</f>
        <v>-3854.16255684</v>
      </c>
      <c r="AO214" s="146">
        <f>AI214*-Valores!$C$66</f>
        <v>-1508.15056572</v>
      </c>
      <c r="AP214" s="170">
        <v>-159.43</v>
      </c>
      <c r="AQ214" s="170">
        <f t="shared" si="39"/>
        <v>-53.83</v>
      </c>
      <c r="AR214" s="162">
        <f t="shared" si="40"/>
        <v>32816.973893439994</v>
      </c>
    </row>
    <row r="215" spans="1:44" s="137" customFormat="1" ht="11.25" customHeight="1">
      <c r="A215" s="147">
        <v>213</v>
      </c>
      <c r="B215" s="147"/>
      <c r="C215" s="147" t="s">
        <v>493</v>
      </c>
      <c r="D215" s="147">
        <v>22</v>
      </c>
      <c r="E215" s="147">
        <f t="shared" si="33"/>
        <v>37</v>
      </c>
      <c r="F215" s="155" t="str">
        <f t="shared" si="31"/>
        <v>Hora Cátedra Enseñanza Superior 22 hs</v>
      </c>
      <c r="G215" s="152">
        <f t="shared" si="32"/>
        <v>2178</v>
      </c>
      <c r="H215" s="149">
        <f>INT((G215*Valores!$C$2*100)+0.5)/100</f>
        <v>18379.71</v>
      </c>
      <c r="I215" s="159">
        <v>0</v>
      </c>
      <c r="J215" s="149">
        <f>INT((I215*Valores!$C$2*100)+0.5)/100</f>
        <v>0</v>
      </c>
      <c r="K215" s="151">
        <v>0</v>
      </c>
      <c r="L215" s="149">
        <f>INT((K215*Valores!$C$2*100)+0.5)/100</f>
        <v>0</v>
      </c>
      <c r="M215" s="158">
        <v>0</v>
      </c>
      <c r="N215" s="149">
        <f>INT((M215*Valores!$C$2*100)+0.5)/100</f>
        <v>0</v>
      </c>
      <c r="O215" s="149">
        <f t="shared" si="34"/>
        <v>3222.9494999999997</v>
      </c>
      <c r="P215" s="149">
        <f t="shared" si="35"/>
        <v>0</v>
      </c>
      <c r="Q215" s="148">
        <f>Valores!$C$14*D215</f>
        <v>4792.4800000000005</v>
      </c>
      <c r="R215" s="148">
        <f>IF(D215&lt;15,(Valores!$E$4*D215),Valores!$D$4)</f>
        <v>4313.91</v>
      </c>
      <c r="S215" s="149">
        <v>0</v>
      </c>
      <c r="T215" s="149">
        <f>IF(Valores!$C$45*D215&gt;Valores!$C$43,Valores!$C$43,Valores!$C$45*D215)</f>
        <v>1435.5</v>
      </c>
      <c r="U215" s="148">
        <f>Valores!$C$22*D215</f>
        <v>1671.12</v>
      </c>
      <c r="V215" s="149">
        <f t="shared" si="30"/>
        <v>1671.12</v>
      </c>
      <c r="W215" s="149">
        <v>0</v>
      </c>
      <c r="X215" s="149">
        <v>0</v>
      </c>
      <c r="Y215" s="149">
        <v>0</v>
      </c>
      <c r="Z215" s="149">
        <f>Y215*Valores!$C$2</f>
        <v>0</v>
      </c>
      <c r="AA215" s="149">
        <v>0</v>
      </c>
      <c r="AB215" s="154">
        <f>IF((Valores!$C$32)*D215&gt;Valores!$F$32,Valores!$F$32,(Valores!$C$32)*D215)</f>
        <v>176.08448</v>
      </c>
      <c r="AC215" s="149">
        <f t="shared" si="37"/>
        <v>0</v>
      </c>
      <c r="AD215" s="149">
        <f>IF(Valores!$C$33*D215&gt;Valores!$F$33,Valores!$F$33,Valores!$C$33*D215)</f>
        <v>146.57843200000002</v>
      </c>
      <c r="AE215" s="157">
        <v>0</v>
      </c>
      <c r="AF215" s="149">
        <f>INT(((AE215*Valores!$C$2)*100)+0.5)/100</f>
        <v>0</v>
      </c>
      <c r="AG215" s="149">
        <f>IF(Valores!$D$58*'Escala Docente'!D215&gt;Valores!$F$58,Valores!$F$58,Valores!$D$58*'Escala Docente'!D215)</f>
        <v>596.2528</v>
      </c>
      <c r="AH215" s="149">
        <f>IF(Valores!$D$60*D215&gt;Valores!$F$60,Valores!$F$60,Valores!$D$60*D215)</f>
        <v>170.3724</v>
      </c>
      <c r="AI215" s="163">
        <f t="shared" si="38"/>
        <v>34904.957612</v>
      </c>
      <c r="AJ215" s="148">
        <f>IF(Valores!$C$36*D215&gt;Valores!$F$36,Valores!$F$36,Valores!$C$36*D215)</f>
        <v>1535.38</v>
      </c>
      <c r="AK215" s="149">
        <f>IF(Valores!$C$83*D215&gt;Valores!$C$82,Valores!$C$82,Valores!$C$83*D215)</f>
        <v>3575</v>
      </c>
      <c r="AL215" s="154">
        <f>IF(Valores!$C$56*D215&gt;Valores!$F$56,Valores!$F$56,Valores!$C$56*D215)</f>
        <v>312.4</v>
      </c>
      <c r="AM215" s="162">
        <f t="shared" si="36"/>
        <v>5110.38</v>
      </c>
      <c r="AN215" s="148">
        <f>AI215*-Valores!$C$65</f>
        <v>-4014.07012538</v>
      </c>
      <c r="AO215" s="146">
        <f>AI215*-Valores!$C$66</f>
        <v>-1570.72309254</v>
      </c>
      <c r="AP215" s="170">
        <v>-159.43</v>
      </c>
      <c r="AQ215" s="170">
        <f t="shared" si="39"/>
        <v>-53.83</v>
      </c>
      <c r="AR215" s="162">
        <f t="shared" si="40"/>
        <v>34217.284394079994</v>
      </c>
    </row>
    <row r="216" spans="1:44" s="137" customFormat="1" ht="11.25" customHeight="1">
      <c r="A216" s="147">
        <v>214</v>
      </c>
      <c r="B216" s="147"/>
      <c r="C216" s="147" t="s">
        <v>493</v>
      </c>
      <c r="D216" s="147">
        <v>23</v>
      </c>
      <c r="E216" s="147">
        <f t="shared" si="33"/>
        <v>37</v>
      </c>
      <c r="F216" s="155" t="str">
        <f t="shared" si="31"/>
        <v>Hora Cátedra Enseñanza Superior 23 hs</v>
      </c>
      <c r="G216" s="152">
        <f t="shared" si="32"/>
        <v>2277</v>
      </c>
      <c r="H216" s="149">
        <f>INT((G216*Valores!$C$2*100)+0.5)/100</f>
        <v>19215.15</v>
      </c>
      <c r="I216" s="159">
        <v>0</v>
      </c>
      <c r="J216" s="149">
        <f>INT((I216*Valores!$C$2*100)+0.5)/100</f>
        <v>0</v>
      </c>
      <c r="K216" s="151">
        <v>0</v>
      </c>
      <c r="L216" s="149">
        <f>INT((K216*Valores!$C$2*100)+0.5)/100</f>
        <v>0</v>
      </c>
      <c r="M216" s="158">
        <v>0</v>
      </c>
      <c r="N216" s="149">
        <f>INT((M216*Valores!$C$2*100)+0.5)/100</f>
        <v>0</v>
      </c>
      <c r="O216" s="149">
        <f t="shared" si="34"/>
        <v>3369.4470000000006</v>
      </c>
      <c r="P216" s="149">
        <f t="shared" si="35"/>
        <v>0</v>
      </c>
      <c r="Q216" s="148">
        <f>Valores!$C$14*D216</f>
        <v>5010.32</v>
      </c>
      <c r="R216" s="148">
        <f>IF(D216&lt;15,(Valores!$E$4*D216),Valores!$D$4)</f>
        <v>4313.91</v>
      </c>
      <c r="S216" s="149">
        <v>0</v>
      </c>
      <c r="T216" s="149">
        <f>IF(Valores!$C$45*D216&gt;Valores!$C$43,Valores!$C$43,Valores!$C$45*D216)</f>
        <v>1500.75</v>
      </c>
      <c r="U216" s="148">
        <f>Valores!$C$22*D216</f>
        <v>1747.08</v>
      </c>
      <c r="V216" s="149">
        <f t="shared" si="30"/>
        <v>1747.08</v>
      </c>
      <c r="W216" s="149">
        <v>0</v>
      </c>
      <c r="X216" s="149">
        <v>0</v>
      </c>
      <c r="Y216" s="149">
        <v>0</v>
      </c>
      <c r="Z216" s="149">
        <f>Y216*Valores!$C$2</f>
        <v>0</v>
      </c>
      <c r="AA216" s="149">
        <v>0</v>
      </c>
      <c r="AB216" s="154">
        <f>IF((Valores!$C$32)*D216&gt;Valores!$F$32,Valores!$F$32,(Valores!$C$32)*D216)</f>
        <v>184.08832</v>
      </c>
      <c r="AC216" s="149">
        <f t="shared" si="37"/>
        <v>0</v>
      </c>
      <c r="AD216" s="149">
        <f>IF(Valores!$C$33*D216&gt;Valores!$F$33,Valores!$F$33,Valores!$C$33*D216)</f>
        <v>153.24108800000002</v>
      </c>
      <c r="AE216" s="157">
        <v>0</v>
      </c>
      <c r="AF216" s="149">
        <f>INT(((AE216*Valores!$C$2)*100)+0.5)/100</f>
        <v>0</v>
      </c>
      <c r="AG216" s="149">
        <f>IF(Valores!$D$58*'Escala Docente'!D216&gt;Valores!$F$58,Valores!$F$58,Valores!$D$58*'Escala Docente'!D216)</f>
        <v>623.3552</v>
      </c>
      <c r="AH216" s="149">
        <f>IF(Valores!$D$60*D216&gt;Valores!$F$60,Valores!$F$60,Valores!$D$60*D216)</f>
        <v>178.1166</v>
      </c>
      <c r="AI216" s="163">
        <f t="shared" si="38"/>
        <v>36295.458208000004</v>
      </c>
      <c r="AJ216" s="148">
        <f>IF(Valores!$C$36*D216&gt;Valores!$F$36,Valores!$F$36,Valores!$C$36*D216)</f>
        <v>1605.17</v>
      </c>
      <c r="AK216" s="149">
        <f>IF(Valores!$C$83*D216&gt;Valores!$C$82,Valores!$C$82,Valores!$C$83*D216)</f>
        <v>3737.5</v>
      </c>
      <c r="AL216" s="154">
        <f>IF(Valores!$C$56*D216&gt;Valores!$F$56,Valores!$F$56,Valores!$C$56*D216)</f>
        <v>326.59999999999997</v>
      </c>
      <c r="AM216" s="162">
        <f t="shared" si="36"/>
        <v>5342.67</v>
      </c>
      <c r="AN216" s="148">
        <f>AI216*-Valores!$C$65</f>
        <v>-4173.977693920001</v>
      </c>
      <c r="AO216" s="146">
        <f>AI216*-Valores!$C$66</f>
        <v>-1633.29561936</v>
      </c>
      <c r="AP216" s="170">
        <v>-159.43</v>
      </c>
      <c r="AQ216" s="170">
        <f t="shared" si="39"/>
        <v>-53.83</v>
      </c>
      <c r="AR216" s="162">
        <f t="shared" si="40"/>
        <v>35617.59489472</v>
      </c>
    </row>
    <row r="217" spans="1:44" s="137" customFormat="1" ht="11.25" customHeight="1">
      <c r="A217" s="147">
        <v>215</v>
      </c>
      <c r="B217" s="147" t="s">
        <v>135</v>
      </c>
      <c r="C217" s="147" t="s">
        <v>493</v>
      </c>
      <c r="D217" s="147">
        <v>24</v>
      </c>
      <c r="E217" s="147">
        <f t="shared" si="33"/>
        <v>37</v>
      </c>
      <c r="F217" s="155" t="str">
        <f t="shared" si="31"/>
        <v>Hora Cátedra Enseñanza Superior 24 hs</v>
      </c>
      <c r="G217" s="152">
        <f t="shared" si="32"/>
        <v>2376</v>
      </c>
      <c r="H217" s="149">
        <f>INT((G217*Valores!$C$2*100)+0.5)/100</f>
        <v>20050.59</v>
      </c>
      <c r="I217" s="159">
        <v>0</v>
      </c>
      <c r="J217" s="149">
        <f>INT((I217*Valores!$C$2*100)+0.5)/100</f>
        <v>0</v>
      </c>
      <c r="K217" s="151">
        <v>0</v>
      </c>
      <c r="L217" s="149">
        <f>INT((K217*Valores!$C$2*100)+0.5)/100</f>
        <v>0</v>
      </c>
      <c r="M217" s="158">
        <v>0</v>
      </c>
      <c r="N217" s="149">
        <f>INT((M217*Valores!$C$2*100)+0.5)/100</f>
        <v>0</v>
      </c>
      <c r="O217" s="149">
        <f t="shared" si="34"/>
        <v>3515.9445</v>
      </c>
      <c r="P217" s="149">
        <f t="shared" si="35"/>
        <v>0</v>
      </c>
      <c r="Q217" s="148">
        <f>Valores!$C$14*D217</f>
        <v>5228.16</v>
      </c>
      <c r="R217" s="148">
        <f>IF(D217&lt;15,(Valores!$E$4*D217),Valores!$D$4)</f>
        <v>4313.91</v>
      </c>
      <c r="S217" s="149">
        <v>0</v>
      </c>
      <c r="T217" s="149">
        <f>IF(Valores!$C$45*D217&gt;Valores!$C$43,Valores!$C$43,Valores!$C$45*D217)</f>
        <v>1566</v>
      </c>
      <c r="U217" s="148">
        <f>Valores!$C$22*D217</f>
        <v>1823.04</v>
      </c>
      <c r="V217" s="149">
        <f t="shared" si="30"/>
        <v>1823.04</v>
      </c>
      <c r="W217" s="149">
        <v>0</v>
      </c>
      <c r="X217" s="149">
        <v>0</v>
      </c>
      <c r="Y217" s="149">
        <v>0</v>
      </c>
      <c r="Z217" s="149">
        <f>Y217*Valores!$C$2</f>
        <v>0</v>
      </c>
      <c r="AA217" s="149">
        <v>0</v>
      </c>
      <c r="AB217" s="154">
        <f>IF((Valores!$C$32)*D217&gt;Valores!$F$32,Valores!$F$32,(Valores!$C$32)*D217)</f>
        <v>192.09216</v>
      </c>
      <c r="AC217" s="149">
        <f t="shared" si="37"/>
        <v>0</v>
      </c>
      <c r="AD217" s="149">
        <f>IF(Valores!$C$33*D217&gt;Valores!$F$33,Valores!$F$33,Valores!$C$33*D217)</f>
        <v>159.90374400000002</v>
      </c>
      <c r="AE217" s="157">
        <v>0</v>
      </c>
      <c r="AF217" s="149">
        <f>INT(((AE217*Valores!$C$2)*100)+0.5)/100</f>
        <v>0</v>
      </c>
      <c r="AG217" s="149">
        <f>IF(Valores!$D$58*'Escala Docente'!D217&gt;Valores!$F$58,Valores!$F$58,Valores!$D$58*'Escala Docente'!D217)</f>
        <v>650.4576</v>
      </c>
      <c r="AH217" s="149">
        <f>IF(Valores!$D$60*D217&gt;Valores!$F$60,Valores!$F$60,Valores!$D$60*D217)</f>
        <v>185.8608</v>
      </c>
      <c r="AI217" s="163">
        <f t="shared" si="38"/>
        <v>37685.95880400001</v>
      </c>
      <c r="AJ217" s="148">
        <f>IF(Valores!$C$36*D217&gt;Valores!$F$36,Valores!$F$36,Valores!$C$36*D217)</f>
        <v>1674.96</v>
      </c>
      <c r="AK217" s="149">
        <f>IF(Valores!$C$83*D217&gt;Valores!$C$82,Valores!$C$82,Valores!$C$83*D217)</f>
        <v>3900</v>
      </c>
      <c r="AL217" s="154">
        <f>IF(Valores!$C$56*D217&gt;Valores!$F$56,Valores!$F$56,Valores!$C$56*D217)</f>
        <v>327.6</v>
      </c>
      <c r="AM217" s="162">
        <f t="shared" si="36"/>
        <v>5574.96</v>
      </c>
      <c r="AN217" s="148">
        <f>AI217*-Valores!$C$65</f>
        <v>-4333.885262460001</v>
      </c>
      <c r="AO217" s="146">
        <f>AI217*-Valores!$C$66</f>
        <v>-1695.8681461800004</v>
      </c>
      <c r="AP217" s="170">
        <v>-159.43</v>
      </c>
      <c r="AQ217" s="170">
        <f t="shared" si="39"/>
        <v>-53.83</v>
      </c>
      <c r="AR217" s="162">
        <f t="shared" si="40"/>
        <v>37017.90539536</v>
      </c>
    </row>
    <row r="218" spans="1:44" s="137" customFormat="1" ht="11.25" customHeight="1">
      <c r="A218" s="147">
        <v>216</v>
      </c>
      <c r="B218" s="147"/>
      <c r="C218" s="147" t="s">
        <v>493</v>
      </c>
      <c r="D218" s="147">
        <v>25</v>
      </c>
      <c r="E218" s="147">
        <f t="shared" si="33"/>
        <v>37</v>
      </c>
      <c r="F218" s="155" t="str">
        <f t="shared" si="31"/>
        <v>Hora Cátedra Enseñanza Superior 25 hs</v>
      </c>
      <c r="G218" s="152">
        <f t="shared" si="32"/>
        <v>2475</v>
      </c>
      <c r="H218" s="149">
        <f>INT((G218*Valores!$C$2*100)+0.5)/100</f>
        <v>20886.03</v>
      </c>
      <c r="I218" s="159">
        <v>0</v>
      </c>
      <c r="J218" s="149">
        <f>INT((I218*Valores!$C$2*100)+0.5)/100</f>
        <v>0</v>
      </c>
      <c r="K218" s="151">
        <v>0</v>
      </c>
      <c r="L218" s="149">
        <f>INT((K218*Valores!$C$2*100)+0.5)/100</f>
        <v>0</v>
      </c>
      <c r="M218" s="158">
        <v>0</v>
      </c>
      <c r="N218" s="149">
        <f>INT((M218*Valores!$C$2*100)+0.5)/100</f>
        <v>0</v>
      </c>
      <c r="O218" s="149">
        <f t="shared" si="34"/>
        <v>3662.4419999999996</v>
      </c>
      <c r="P218" s="149">
        <f t="shared" si="35"/>
        <v>0</v>
      </c>
      <c r="Q218" s="148">
        <f>Valores!$C$14*D218</f>
        <v>5446</v>
      </c>
      <c r="R218" s="148">
        <f>IF(D218&lt;15,(Valores!$E$4*D218),Valores!$D$4)</f>
        <v>4313.91</v>
      </c>
      <c r="S218" s="149">
        <v>0</v>
      </c>
      <c r="T218" s="149">
        <f>IF(Valores!$C$45*D218&gt;Valores!$C$43,Valores!$C$43,Valores!$C$45*D218)</f>
        <v>1631.25</v>
      </c>
      <c r="U218" s="148">
        <f>Valores!$C$22*D218</f>
        <v>1898.9999999999998</v>
      </c>
      <c r="V218" s="149">
        <f t="shared" si="30"/>
        <v>1898.9999999999998</v>
      </c>
      <c r="W218" s="149">
        <v>0</v>
      </c>
      <c r="X218" s="149">
        <v>0</v>
      </c>
      <c r="Y218" s="149">
        <v>0</v>
      </c>
      <c r="Z218" s="149">
        <f>Y218*Valores!$C$2</f>
        <v>0</v>
      </c>
      <c r="AA218" s="149">
        <v>0</v>
      </c>
      <c r="AB218" s="154">
        <f>IF((Valores!$C$32)*D218&gt;Valores!$F$32,Valores!$F$32,(Valores!$C$32)*D218)</f>
        <v>200.096</v>
      </c>
      <c r="AC218" s="149">
        <f t="shared" si="37"/>
        <v>0</v>
      </c>
      <c r="AD218" s="149">
        <f>IF(Valores!$C$33*D218&gt;Valores!$F$33,Valores!$F$33,Valores!$C$33*D218)</f>
        <v>166.56640000000002</v>
      </c>
      <c r="AE218" s="157">
        <v>0</v>
      </c>
      <c r="AF218" s="149">
        <f>INT(((AE218*Valores!$C$2)*100)+0.5)/100</f>
        <v>0</v>
      </c>
      <c r="AG218" s="149">
        <f>IF(Valores!$D$58*'Escala Docente'!D218&gt;Valores!$F$58,Valores!$F$58,Valores!$D$58*'Escala Docente'!D218)</f>
        <v>677.56</v>
      </c>
      <c r="AH218" s="149">
        <f>IF(Valores!$D$60*D218&gt;Valores!$F$60,Valores!$F$60,Valores!$D$60*D218)</f>
        <v>193.60500000000002</v>
      </c>
      <c r="AI218" s="163">
        <f t="shared" si="38"/>
        <v>39076.4594</v>
      </c>
      <c r="AJ218" s="148">
        <f>IF(Valores!$C$36*D218&gt;Valores!$F$36,Valores!$F$36,Valores!$C$36*D218)</f>
        <v>1744.7500000000002</v>
      </c>
      <c r="AK218" s="149">
        <f>IF(Valores!$C$83*D218&gt;Valores!$C$82,Valores!$C$82,Valores!$C$83*D218)</f>
        <v>4062.5</v>
      </c>
      <c r="AL218" s="154">
        <f>IF(Valores!$C$56*D218&gt;Valores!$F$56,Valores!$F$56,Valores!$C$56*D218)</f>
        <v>327.6</v>
      </c>
      <c r="AM218" s="162">
        <f t="shared" si="36"/>
        <v>5807.25</v>
      </c>
      <c r="AN218" s="148">
        <f>AI218*-Valores!$C$65</f>
        <v>-4493.792831</v>
      </c>
      <c r="AO218" s="146">
        <f>AI218*-Valores!$C$66</f>
        <v>-1758.4406729999998</v>
      </c>
      <c r="AP218" s="170">
        <v>-159.43</v>
      </c>
      <c r="AQ218" s="170">
        <f t="shared" si="39"/>
        <v>-53.83</v>
      </c>
      <c r="AR218" s="162">
        <f t="shared" si="40"/>
        <v>38418.215896</v>
      </c>
    </row>
    <row r="219" spans="1:44" s="137" customFormat="1" ht="11.25" customHeight="1">
      <c r="A219" s="147">
        <v>217</v>
      </c>
      <c r="B219" s="147"/>
      <c r="C219" s="147" t="s">
        <v>493</v>
      </c>
      <c r="D219" s="147">
        <v>26</v>
      </c>
      <c r="E219" s="147">
        <f t="shared" si="33"/>
        <v>37</v>
      </c>
      <c r="F219" s="155" t="str">
        <f t="shared" si="31"/>
        <v>Hora Cátedra Enseñanza Superior 26 hs</v>
      </c>
      <c r="G219" s="152">
        <f t="shared" si="32"/>
        <v>2574</v>
      </c>
      <c r="H219" s="149">
        <f>INT((G219*Valores!$C$2*100)+0.5)/100</f>
        <v>21721.47</v>
      </c>
      <c r="I219" s="159">
        <v>0</v>
      </c>
      <c r="J219" s="149">
        <f>INT((I219*Valores!$C$2*100)+0.5)/100</f>
        <v>0</v>
      </c>
      <c r="K219" s="151">
        <v>0</v>
      </c>
      <c r="L219" s="149">
        <f>INT((K219*Valores!$C$2*100)+0.5)/100</f>
        <v>0</v>
      </c>
      <c r="M219" s="158">
        <v>0</v>
      </c>
      <c r="N219" s="149">
        <f>INT((M219*Valores!$C$2*100)+0.5)/100</f>
        <v>0</v>
      </c>
      <c r="O219" s="149">
        <f t="shared" si="34"/>
        <v>3808.9395</v>
      </c>
      <c r="P219" s="149">
        <f t="shared" si="35"/>
        <v>0</v>
      </c>
      <c r="Q219" s="148">
        <f>Valores!$C$14*D219</f>
        <v>5663.84</v>
      </c>
      <c r="R219" s="148">
        <f>IF(D219&lt;15,(Valores!$E$4*D219),Valores!$D$4)</f>
        <v>4313.91</v>
      </c>
      <c r="S219" s="149">
        <v>0</v>
      </c>
      <c r="T219" s="149">
        <f>IF(Valores!$C$45*D219&gt;Valores!$C$43,Valores!$C$43,Valores!$C$45*D219)</f>
        <v>1696.5</v>
      </c>
      <c r="U219" s="148">
        <f>Valores!$C$22*D219</f>
        <v>1974.9599999999998</v>
      </c>
      <c r="V219" s="149">
        <f t="shared" si="30"/>
        <v>1974.9599999999998</v>
      </c>
      <c r="W219" s="149">
        <v>0</v>
      </c>
      <c r="X219" s="149">
        <v>0</v>
      </c>
      <c r="Y219" s="149">
        <v>0</v>
      </c>
      <c r="Z219" s="149">
        <f>Y219*Valores!$C$2</f>
        <v>0</v>
      </c>
      <c r="AA219" s="149">
        <v>0</v>
      </c>
      <c r="AB219" s="154">
        <f>IF((Valores!$C$32)*D219&gt;Valores!$F$32,Valores!$F$32,(Valores!$C$32)*D219)</f>
        <v>208.09984</v>
      </c>
      <c r="AC219" s="149">
        <f t="shared" si="37"/>
        <v>0</v>
      </c>
      <c r="AD219" s="149">
        <f>IF(Valores!$C$33*D219&gt;Valores!$F$33,Valores!$F$33,Valores!$C$33*D219)</f>
        <v>173.229056</v>
      </c>
      <c r="AE219" s="157">
        <v>0</v>
      </c>
      <c r="AF219" s="149">
        <f>INT(((AE219*Valores!$C$2)*100)+0.5)/100</f>
        <v>0</v>
      </c>
      <c r="AG219" s="149">
        <f>IF(Valores!$D$58*'Escala Docente'!D219&gt;Valores!$F$58,Valores!$F$58,Valores!$D$58*'Escala Docente'!D219)</f>
        <v>704.6623999999999</v>
      </c>
      <c r="AH219" s="149">
        <f>IF(Valores!$D$60*D219&gt;Valores!$F$60,Valores!$F$60,Valores!$D$60*D219)</f>
        <v>201.3492</v>
      </c>
      <c r="AI219" s="163">
        <f t="shared" si="38"/>
        <v>40466.959996</v>
      </c>
      <c r="AJ219" s="148">
        <f>IF(Valores!$C$36*D219&gt;Valores!$F$36,Valores!$F$36,Valores!$C$36*D219)</f>
        <v>1814.5400000000002</v>
      </c>
      <c r="AK219" s="149">
        <f>IF(Valores!$C$83*D219&gt;Valores!$C$82,Valores!$C$82,Valores!$C$83*D219)</f>
        <v>4225</v>
      </c>
      <c r="AL219" s="154">
        <f>IF(Valores!$C$56*D219&gt;Valores!$F$56,Valores!$F$56,Valores!$C$56*D219)</f>
        <v>327.6</v>
      </c>
      <c r="AM219" s="162">
        <f t="shared" si="36"/>
        <v>6039.54</v>
      </c>
      <c r="AN219" s="148">
        <f>AI219*-Valores!$C$65</f>
        <v>-4653.70039954</v>
      </c>
      <c r="AO219" s="146">
        <f>AI219*-Valores!$C$66</f>
        <v>-1821.0131998199997</v>
      </c>
      <c r="AP219" s="170">
        <v>-159.43</v>
      </c>
      <c r="AQ219" s="170">
        <f t="shared" si="39"/>
        <v>-53.83</v>
      </c>
      <c r="AR219" s="162">
        <f t="shared" si="40"/>
        <v>39818.526396639994</v>
      </c>
    </row>
    <row r="220" spans="1:44" s="137" customFormat="1" ht="11.25" customHeight="1">
      <c r="A220" s="147">
        <v>218</v>
      </c>
      <c r="B220" s="147"/>
      <c r="C220" s="147" t="s">
        <v>493</v>
      </c>
      <c r="D220" s="147">
        <v>27</v>
      </c>
      <c r="E220" s="147">
        <f t="shared" si="33"/>
        <v>37</v>
      </c>
      <c r="F220" s="155" t="str">
        <f t="shared" si="31"/>
        <v>Hora Cátedra Enseñanza Superior 27 hs</v>
      </c>
      <c r="G220" s="152">
        <f t="shared" si="32"/>
        <v>2673</v>
      </c>
      <c r="H220" s="149">
        <f>INT((G220*Valores!$C$2*100)+0.5)/100</f>
        <v>22556.91</v>
      </c>
      <c r="I220" s="159">
        <v>0</v>
      </c>
      <c r="J220" s="149">
        <f>INT((I220*Valores!$C$2*100)+0.5)/100</f>
        <v>0</v>
      </c>
      <c r="K220" s="151">
        <v>0</v>
      </c>
      <c r="L220" s="149">
        <f>INT((K220*Valores!$C$2*100)+0.5)/100</f>
        <v>0</v>
      </c>
      <c r="M220" s="158">
        <v>0</v>
      </c>
      <c r="N220" s="149">
        <f>INT((M220*Valores!$C$2*100)+0.5)/100</f>
        <v>0</v>
      </c>
      <c r="O220" s="149">
        <f t="shared" si="34"/>
        <v>3955.4369999999994</v>
      </c>
      <c r="P220" s="149">
        <f t="shared" si="35"/>
        <v>0</v>
      </c>
      <c r="Q220" s="148">
        <f>Valores!$C$14*D220</f>
        <v>5881.68</v>
      </c>
      <c r="R220" s="148">
        <f>IF(D220&lt;15,(Valores!$E$4*D220),Valores!$D$4)</f>
        <v>4313.91</v>
      </c>
      <c r="S220" s="149">
        <v>0</v>
      </c>
      <c r="T220" s="149">
        <f>IF(Valores!$C$45*D220&gt;Valores!$C$43,Valores!$C$43,Valores!$C$45*D220)</f>
        <v>1761.75</v>
      </c>
      <c r="U220" s="149">
        <f>Valores!$C$22*D220</f>
        <v>2050.9199999999996</v>
      </c>
      <c r="V220" s="149">
        <f t="shared" si="30"/>
        <v>2050.9199999999996</v>
      </c>
      <c r="W220" s="149">
        <v>0</v>
      </c>
      <c r="X220" s="149">
        <v>0</v>
      </c>
      <c r="Y220" s="149">
        <v>0</v>
      </c>
      <c r="Z220" s="149">
        <f>Y220*Valores!$C$2</f>
        <v>0</v>
      </c>
      <c r="AA220" s="149">
        <v>0</v>
      </c>
      <c r="AB220" s="154">
        <f>IF((Valores!$C$32)*D220&gt;Valores!$F$32,Valores!$F$32,(Valores!$C$32)*D220)</f>
        <v>216.10368</v>
      </c>
      <c r="AC220" s="149">
        <f t="shared" si="37"/>
        <v>0</v>
      </c>
      <c r="AD220" s="149">
        <f>IF(Valores!$C$33*D220&gt;Valores!$F$33,Valores!$F$33,Valores!$C$33*D220)</f>
        <v>179.89171200000004</v>
      </c>
      <c r="AE220" s="157">
        <v>0</v>
      </c>
      <c r="AF220" s="149">
        <f>INT(((AE220*Valores!$C$2)*100)+0.5)/100</f>
        <v>0</v>
      </c>
      <c r="AG220" s="149">
        <f>IF(Valores!$D$58*'Escala Docente'!D220&gt;Valores!$F$58,Valores!$F$58,Valores!$D$58*'Escala Docente'!D220)</f>
        <v>731.7648</v>
      </c>
      <c r="AH220" s="149">
        <f>IF(Valores!$D$60*D220&gt;Valores!$F$60,Valores!$F$60,Valores!$D$60*D220)</f>
        <v>209.0934</v>
      </c>
      <c r="AI220" s="163">
        <f t="shared" si="38"/>
        <v>41857.46059199999</v>
      </c>
      <c r="AJ220" s="148">
        <f>IF(Valores!$C$36*D220&gt;Valores!$F$36,Valores!$F$36,Valores!$C$36*D220)</f>
        <v>1884.3300000000002</v>
      </c>
      <c r="AK220" s="149">
        <f>IF(Valores!$C$83*D220&gt;Valores!$C$82,Valores!$C$82,Valores!$C$83*D220)</f>
        <v>4387.5</v>
      </c>
      <c r="AL220" s="154">
        <f>IF(Valores!$C$56*D220&gt;Valores!$F$56,Valores!$F$56,Valores!$C$56*D220)</f>
        <v>327.6</v>
      </c>
      <c r="AM220" s="162">
        <f t="shared" si="36"/>
        <v>6271.83</v>
      </c>
      <c r="AN220" s="148">
        <f>AI220*-Valores!$C$65</f>
        <v>-4813.6079680799985</v>
      </c>
      <c r="AO220" s="146">
        <f>AI220*-Valores!$C$66</f>
        <v>-1883.5857266399994</v>
      </c>
      <c r="AP220" s="170">
        <v>-159.43</v>
      </c>
      <c r="AQ220" s="170">
        <f t="shared" si="39"/>
        <v>-53.83</v>
      </c>
      <c r="AR220" s="162">
        <f t="shared" si="40"/>
        <v>41218.836897279994</v>
      </c>
    </row>
    <row r="221" spans="1:44" s="137" customFormat="1" ht="11.25" customHeight="1">
      <c r="A221" s="147">
        <v>219</v>
      </c>
      <c r="B221" s="147"/>
      <c r="C221" s="147" t="s">
        <v>493</v>
      </c>
      <c r="D221" s="147">
        <v>28</v>
      </c>
      <c r="E221" s="147">
        <f t="shared" si="33"/>
        <v>37</v>
      </c>
      <c r="F221" s="155" t="str">
        <f t="shared" si="31"/>
        <v>Hora Cátedra Enseñanza Superior 28 hs</v>
      </c>
      <c r="G221" s="152">
        <f t="shared" si="32"/>
        <v>2772</v>
      </c>
      <c r="H221" s="149">
        <f>INT((G221*Valores!$C$2*100)+0.5)/100</f>
        <v>23392.35</v>
      </c>
      <c r="I221" s="159">
        <v>0</v>
      </c>
      <c r="J221" s="149">
        <f>INT((I221*Valores!$C$2*100)+0.5)/100</f>
        <v>0</v>
      </c>
      <c r="K221" s="151">
        <v>0</v>
      </c>
      <c r="L221" s="149">
        <f>INT((K221*Valores!$C$2*100)+0.5)/100</f>
        <v>0</v>
      </c>
      <c r="M221" s="158">
        <v>0</v>
      </c>
      <c r="N221" s="149">
        <f>INT((M221*Valores!$C$2*100)+0.5)/100</f>
        <v>0</v>
      </c>
      <c r="O221" s="149">
        <f t="shared" si="34"/>
        <v>4101.934499999999</v>
      </c>
      <c r="P221" s="149">
        <f t="shared" si="35"/>
        <v>0</v>
      </c>
      <c r="Q221" s="148">
        <f>Valores!$C$14*D221</f>
        <v>6099.52</v>
      </c>
      <c r="R221" s="148">
        <f>IF(D221&lt;15,(Valores!$E$4*D221),Valores!$D$4)</f>
        <v>4313.91</v>
      </c>
      <c r="S221" s="149">
        <v>0</v>
      </c>
      <c r="T221" s="149">
        <f>IF(Valores!$C$45*D221&gt;Valores!$C$43,Valores!$C$43,Valores!$C$45*D221)</f>
        <v>1827</v>
      </c>
      <c r="U221" s="148">
        <f>Valores!$C$22*D221</f>
        <v>2126.8799999999997</v>
      </c>
      <c r="V221" s="149">
        <f t="shared" si="30"/>
        <v>2126.8799999999997</v>
      </c>
      <c r="W221" s="149">
        <v>0</v>
      </c>
      <c r="X221" s="149">
        <v>0</v>
      </c>
      <c r="Y221" s="149">
        <v>0</v>
      </c>
      <c r="Z221" s="149">
        <f>Y221*Valores!$C$2</f>
        <v>0</v>
      </c>
      <c r="AA221" s="149">
        <v>0</v>
      </c>
      <c r="AB221" s="154">
        <f>IF((Valores!$C$32)*D221&gt;Valores!$F$32,Valores!$F$32,(Valores!$C$32)*D221)</f>
        <v>224.10752000000002</v>
      </c>
      <c r="AC221" s="149">
        <f t="shared" si="37"/>
        <v>0</v>
      </c>
      <c r="AD221" s="149">
        <f>IF(Valores!$C$33*D221&gt;Valores!$F$33,Valores!$F$33,Valores!$C$33*D221)</f>
        <v>186.55436800000004</v>
      </c>
      <c r="AE221" s="157">
        <v>0</v>
      </c>
      <c r="AF221" s="149">
        <f>INT(((AE221*Valores!$C$2)*100)+0.5)/100</f>
        <v>0</v>
      </c>
      <c r="AG221" s="149">
        <f>IF(Valores!$D$58*'Escala Docente'!D221&gt;Valores!$F$58,Valores!$F$58,Valores!$D$58*'Escala Docente'!D221)</f>
        <v>758.8672</v>
      </c>
      <c r="AH221" s="149">
        <f>IF(Valores!$D$60*D221&gt;Valores!$F$60,Valores!$F$60,Valores!$D$60*D221)</f>
        <v>216.8376</v>
      </c>
      <c r="AI221" s="163">
        <f t="shared" si="38"/>
        <v>43247.961187999994</v>
      </c>
      <c r="AJ221" s="148">
        <f>IF(Valores!$C$36*D221&gt;Valores!$F$36,Valores!$F$36,Valores!$C$36*D221)</f>
        <v>1954.1200000000001</v>
      </c>
      <c r="AK221" s="149">
        <f>IF(Valores!$C$83*D221&gt;Valores!$C$82,Valores!$C$82,Valores!$C$83*D221)</f>
        <v>4550</v>
      </c>
      <c r="AL221" s="154">
        <f>IF(Valores!$C$56*D221&gt;Valores!$F$56,Valores!$F$56,Valores!$C$56*D221)</f>
        <v>327.6</v>
      </c>
      <c r="AM221" s="162">
        <f t="shared" si="36"/>
        <v>6504.12</v>
      </c>
      <c r="AN221" s="148">
        <f>AI221*-Valores!$C$65</f>
        <v>-4973.51553662</v>
      </c>
      <c r="AO221" s="146">
        <f>AI221*-Valores!$C$66</f>
        <v>-1946.1582534599997</v>
      </c>
      <c r="AP221" s="170">
        <v>-159.43</v>
      </c>
      <c r="AQ221" s="170">
        <f t="shared" si="39"/>
        <v>-53.83</v>
      </c>
      <c r="AR221" s="162">
        <f t="shared" si="40"/>
        <v>42619.147397919995</v>
      </c>
    </row>
    <row r="222" spans="1:44" s="137" customFormat="1" ht="11.25" customHeight="1">
      <c r="A222" s="147">
        <v>220</v>
      </c>
      <c r="B222" s="147" t="s">
        <v>135</v>
      </c>
      <c r="C222" s="147" t="s">
        <v>493</v>
      </c>
      <c r="D222" s="147">
        <v>29</v>
      </c>
      <c r="E222" s="147">
        <f t="shared" si="33"/>
        <v>37</v>
      </c>
      <c r="F222" s="155" t="str">
        <f t="shared" si="31"/>
        <v>Hora Cátedra Enseñanza Superior 29 hs</v>
      </c>
      <c r="G222" s="152">
        <f t="shared" si="32"/>
        <v>2871</v>
      </c>
      <c r="H222" s="149">
        <f>INT((G222*Valores!$C$2*100)+0.5)/100</f>
        <v>24227.79</v>
      </c>
      <c r="I222" s="159">
        <v>0</v>
      </c>
      <c r="J222" s="149">
        <f>INT((I222*Valores!$C$2*100)+0.5)/100</f>
        <v>0</v>
      </c>
      <c r="K222" s="151">
        <v>0</v>
      </c>
      <c r="L222" s="149">
        <f>INT((K222*Valores!$C$2*100)+0.5)/100</f>
        <v>0</v>
      </c>
      <c r="M222" s="158">
        <v>0</v>
      </c>
      <c r="N222" s="149">
        <f>INT((M222*Valores!$C$2*100)+0.5)/100</f>
        <v>0</v>
      </c>
      <c r="O222" s="149">
        <f t="shared" si="34"/>
        <v>4248.432</v>
      </c>
      <c r="P222" s="149">
        <f t="shared" si="35"/>
        <v>0</v>
      </c>
      <c r="Q222" s="148">
        <f>Valores!$C$14*D222</f>
        <v>6317.36</v>
      </c>
      <c r="R222" s="148">
        <f>IF(D222&lt;15,(Valores!$E$4*D222),Valores!$D$4)</f>
        <v>4313.91</v>
      </c>
      <c r="S222" s="149">
        <v>0</v>
      </c>
      <c r="T222" s="149">
        <f>IF(Valores!$C$45*D222&gt;Valores!$C$43,Valores!$C$43,Valores!$C$45*D222)</f>
        <v>1892.25</v>
      </c>
      <c r="U222" s="149">
        <f>Valores!$C$22*D222</f>
        <v>2202.8399999999997</v>
      </c>
      <c r="V222" s="149">
        <f t="shared" si="30"/>
        <v>2202.8399999999997</v>
      </c>
      <c r="W222" s="149">
        <v>0</v>
      </c>
      <c r="X222" s="149">
        <v>0</v>
      </c>
      <c r="Y222" s="149">
        <v>0</v>
      </c>
      <c r="Z222" s="149">
        <f>Y222*Valores!$C$2</f>
        <v>0</v>
      </c>
      <c r="AA222" s="149">
        <v>0</v>
      </c>
      <c r="AB222" s="154">
        <f>IF((Valores!$C$32)*D222&gt;Valores!$F$32,Valores!$F$32,(Valores!$C$32)*D222)</f>
        <v>232.11136000000002</v>
      </c>
      <c r="AC222" s="149">
        <f t="shared" si="37"/>
        <v>0</v>
      </c>
      <c r="AD222" s="149">
        <f>IF(Valores!$C$33*D222&gt;Valores!$F$33,Valores!$F$33,Valores!$C$33*D222)</f>
        <v>193.21702400000004</v>
      </c>
      <c r="AE222" s="157">
        <v>0</v>
      </c>
      <c r="AF222" s="149">
        <f>INT(((AE222*Valores!$C$2)*100)+0.5)/100</f>
        <v>0</v>
      </c>
      <c r="AG222" s="149">
        <f>IF(Valores!$D$58*'Escala Docente'!D222&gt;Valores!$F$58,Valores!$F$58,Valores!$D$58*'Escala Docente'!D222)</f>
        <v>785.9696</v>
      </c>
      <c r="AH222" s="149">
        <f>IF(Valores!$D$60*D222&gt;Valores!$F$60,Valores!$F$60,Valores!$D$60*D222)</f>
        <v>224.58180000000002</v>
      </c>
      <c r="AI222" s="163">
        <f t="shared" si="38"/>
        <v>44638.46178399999</v>
      </c>
      <c r="AJ222" s="148">
        <f>IF(Valores!$C$36*D222&gt;Valores!$F$36,Valores!$F$36,Valores!$C$36*D222)</f>
        <v>2023.91</v>
      </c>
      <c r="AK222" s="149">
        <f>IF(Valores!$C$83*D222&gt;Valores!$C$82,Valores!$C$82,Valores!$C$83*D222)</f>
        <v>4712.5</v>
      </c>
      <c r="AL222" s="154">
        <f>IF(Valores!$C$56*D222&gt;Valores!$F$56,Valores!$F$56,Valores!$C$56*D222)</f>
        <v>327.6</v>
      </c>
      <c r="AM222" s="162">
        <f t="shared" si="36"/>
        <v>6736.41</v>
      </c>
      <c r="AN222" s="148">
        <f>AI222*-Valores!$C$65</f>
        <v>-5133.423105159999</v>
      </c>
      <c r="AO222" s="146">
        <f>AI222*-Valores!$C$66</f>
        <v>-2008.7307802799996</v>
      </c>
      <c r="AP222" s="170">
        <v>-159.43</v>
      </c>
      <c r="AQ222" s="170">
        <f t="shared" si="39"/>
        <v>-53.83</v>
      </c>
      <c r="AR222" s="162">
        <f t="shared" si="40"/>
        <v>44019.45789855999</v>
      </c>
    </row>
    <row r="223" spans="1:44" s="137" customFormat="1" ht="11.25" customHeight="1">
      <c r="A223" s="147">
        <v>221</v>
      </c>
      <c r="B223" s="147"/>
      <c r="C223" s="147" t="s">
        <v>493</v>
      </c>
      <c r="D223" s="147">
        <v>30</v>
      </c>
      <c r="E223" s="147">
        <f t="shared" si="33"/>
        <v>37</v>
      </c>
      <c r="F223" s="155" t="str">
        <f t="shared" si="31"/>
        <v>Hora Cátedra Enseñanza Superior 30 hs</v>
      </c>
      <c r="G223" s="152">
        <f t="shared" si="32"/>
        <v>2970</v>
      </c>
      <c r="H223" s="149">
        <f>INT((G223*Valores!$C$2*100)+0.5)/100</f>
        <v>25063.24</v>
      </c>
      <c r="I223" s="159">
        <v>0</v>
      </c>
      <c r="J223" s="149">
        <f>INT((I223*Valores!$C$2*100)+0.5)/100</f>
        <v>0</v>
      </c>
      <c r="K223" s="151">
        <v>0</v>
      </c>
      <c r="L223" s="149">
        <f>INT((K223*Valores!$C$2*100)+0.5)/100</f>
        <v>0</v>
      </c>
      <c r="M223" s="158">
        <v>0</v>
      </c>
      <c r="N223" s="149">
        <f>INT((M223*Valores!$C$2*100)+0.5)/100</f>
        <v>0</v>
      </c>
      <c r="O223" s="149">
        <f t="shared" si="34"/>
        <v>4394.931</v>
      </c>
      <c r="P223" s="149">
        <f t="shared" si="35"/>
        <v>0</v>
      </c>
      <c r="Q223" s="148">
        <f>Valores!$C$14*D223</f>
        <v>6535.2</v>
      </c>
      <c r="R223" s="148">
        <f>IF(D223&lt;15,(Valores!$E$4*D223),Valores!$D$4)</f>
        <v>4313.91</v>
      </c>
      <c r="S223" s="149">
        <v>0</v>
      </c>
      <c r="T223" s="149">
        <f>IF(Valores!$C$45*D223&gt;Valores!$C$43,Valores!$C$43,Valores!$C$45*D223)</f>
        <v>1957.5</v>
      </c>
      <c r="U223" s="148">
        <f>Valores!$C$22*D223</f>
        <v>2278.7999999999997</v>
      </c>
      <c r="V223" s="149">
        <f t="shared" si="30"/>
        <v>2278.7999999999997</v>
      </c>
      <c r="W223" s="149">
        <v>0</v>
      </c>
      <c r="X223" s="149">
        <v>0</v>
      </c>
      <c r="Y223" s="149">
        <v>0</v>
      </c>
      <c r="Z223" s="149">
        <f>Y223*Valores!$C$2</f>
        <v>0</v>
      </c>
      <c r="AA223" s="149">
        <v>0</v>
      </c>
      <c r="AB223" s="154">
        <f>IF((Valores!$C$32)*D223&gt;Valores!$F$32,Valores!$F$32,(Valores!$C$32)*D223)</f>
        <v>240.11520000000002</v>
      </c>
      <c r="AC223" s="149">
        <f t="shared" si="37"/>
        <v>0</v>
      </c>
      <c r="AD223" s="149">
        <f>IF(Valores!$C$33*D223&gt;Valores!$F$33,Valores!$F$33,Valores!$C$33*D223)</f>
        <v>199.86</v>
      </c>
      <c r="AE223" s="157">
        <v>0</v>
      </c>
      <c r="AF223" s="149">
        <f>INT(((AE223*Valores!$C$2)*100)+0.5)/100</f>
        <v>0</v>
      </c>
      <c r="AG223" s="149">
        <f>IF(Valores!$D$58*'Escala Docente'!D223&gt;Valores!$F$58,Valores!$F$58,Valores!$D$58*'Escala Docente'!D223)</f>
        <v>813.06</v>
      </c>
      <c r="AH223" s="149">
        <f>IF(Valores!$D$60*D223&gt;Valores!$F$60,Valores!$F$60,Valores!$D$60*D223)</f>
        <v>232.3</v>
      </c>
      <c r="AI223" s="163">
        <f t="shared" si="38"/>
        <v>46028.91620000001</v>
      </c>
      <c r="AJ223" s="148">
        <f>IF(Valores!$C$36*D223&gt;Valores!$F$36,Valores!$F$36,Valores!$C$36*D223)</f>
        <v>2093.66</v>
      </c>
      <c r="AK223" s="149">
        <f>IF(Valores!$C$83*D223&gt;Valores!$C$82,Valores!$C$82,Valores!$C$83*D223)</f>
        <v>4875</v>
      </c>
      <c r="AL223" s="154">
        <f>IF(Valores!$C$56*D223&gt;Valores!$F$56,Valores!$F$56,Valores!$C$56*D223)</f>
        <v>327.6</v>
      </c>
      <c r="AM223" s="162">
        <f t="shared" si="36"/>
        <v>6968.66</v>
      </c>
      <c r="AN223" s="148">
        <f>AI223*-Valores!$C$65</f>
        <v>-5293.325363000001</v>
      </c>
      <c r="AO223" s="146">
        <f>AI223*-Valores!$C$66</f>
        <v>-2071.301229</v>
      </c>
      <c r="AP223" s="170">
        <v>-159.43</v>
      </c>
      <c r="AQ223" s="170">
        <f t="shared" si="39"/>
        <v>-53.83</v>
      </c>
      <c r="AR223" s="162">
        <f t="shared" si="40"/>
        <v>45419.68960800001</v>
      </c>
    </row>
    <row r="224" spans="1:44" s="137" customFormat="1" ht="11.25" customHeight="1">
      <c r="A224" s="147">
        <v>222</v>
      </c>
      <c r="B224" s="147"/>
      <c r="C224" s="147" t="s">
        <v>493</v>
      </c>
      <c r="D224" s="147">
        <v>31</v>
      </c>
      <c r="E224" s="147">
        <f t="shared" si="33"/>
        <v>37</v>
      </c>
      <c r="F224" s="155" t="str">
        <f t="shared" si="31"/>
        <v>Hora Cátedra Enseñanza Superior 31 hs</v>
      </c>
      <c r="G224" s="152">
        <f t="shared" si="32"/>
        <v>3069</v>
      </c>
      <c r="H224" s="149">
        <f>INT((G224*Valores!$C$2*100)+0.5)/100</f>
        <v>25898.68</v>
      </c>
      <c r="I224" s="159">
        <v>0</v>
      </c>
      <c r="J224" s="149">
        <f>INT((I224*Valores!$C$2*100)+0.5)/100</f>
        <v>0</v>
      </c>
      <c r="K224" s="151">
        <v>0</v>
      </c>
      <c r="L224" s="149">
        <f>INT((K224*Valores!$C$2*100)+0.5)/100</f>
        <v>0</v>
      </c>
      <c r="M224" s="158">
        <v>0</v>
      </c>
      <c r="N224" s="149">
        <f>INT((M224*Valores!$C$2*100)+0.5)/100</f>
        <v>0</v>
      </c>
      <c r="O224" s="149">
        <f t="shared" si="34"/>
        <v>4541.4285</v>
      </c>
      <c r="P224" s="149">
        <f t="shared" si="35"/>
        <v>0</v>
      </c>
      <c r="Q224" s="148">
        <f>Valores!$C$14*D224</f>
        <v>6753.04</v>
      </c>
      <c r="R224" s="148">
        <f>IF(D224&lt;15,(Valores!$E$4*D224),Valores!$D$4)</f>
        <v>4313.91</v>
      </c>
      <c r="S224" s="149">
        <v>0</v>
      </c>
      <c r="T224" s="149">
        <f>IF(Valores!$C$45*D224&gt;Valores!$C$43,Valores!$C$43,Valores!$C$45*D224)</f>
        <v>2022.75</v>
      </c>
      <c r="U224" s="149">
        <f>Valores!$C$22*D224</f>
        <v>2354.7599999999998</v>
      </c>
      <c r="V224" s="149">
        <f t="shared" si="30"/>
        <v>2354.7599999999998</v>
      </c>
      <c r="W224" s="149">
        <v>0</v>
      </c>
      <c r="X224" s="149">
        <v>0</v>
      </c>
      <c r="Y224" s="149">
        <v>0</v>
      </c>
      <c r="Z224" s="149">
        <f>Y224*Valores!$C$2</f>
        <v>0</v>
      </c>
      <c r="AA224" s="149">
        <v>0</v>
      </c>
      <c r="AB224" s="154">
        <f>IF((Valores!$C$32)*D224&gt;Valores!$F$32,Valores!$F$32,(Valores!$C$32)*D224)</f>
        <v>248.11904</v>
      </c>
      <c r="AC224" s="149">
        <f t="shared" si="37"/>
        <v>0</v>
      </c>
      <c r="AD224" s="149">
        <f>IF(Valores!$C$33*D224&gt;Valores!$F$33,Valores!$F$33,Valores!$C$33*D224)</f>
        <v>199.86</v>
      </c>
      <c r="AE224" s="157">
        <v>0</v>
      </c>
      <c r="AF224" s="149">
        <f>INT(((AE224*Valores!$C$2)*100)+0.5)/100</f>
        <v>0</v>
      </c>
      <c r="AG224" s="149">
        <f>IF(Valores!$D$58*'Escala Docente'!D224&gt;Valores!$F$58,Valores!$F$58,Valores!$D$58*'Escala Docente'!D224)</f>
        <v>813.06</v>
      </c>
      <c r="AH224" s="149">
        <f>IF(Valores!$D$60*D224&gt;Valores!$F$60,Valores!$F$60,Valores!$D$60*D224)</f>
        <v>232.3</v>
      </c>
      <c r="AI224" s="163">
        <f t="shared" si="38"/>
        <v>47377.90754</v>
      </c>
      <c r="AJ224" s="148">
        <f>IF(Valores!$C$36*D224&gt;Valores!$F$36,Valores!$F$36,Valores!$C$36*D224)</f>
        <v>2093.66</v>
      </c>
      <c r="AK224" s="149">
        <f>IF(Valores!$C$83*D224&gt;Valores!$C$82,Valores!$C$82,Valores!$C$83*D224)</f>
        <v>5037.5</v>
      </c>
      <c r="AL224" s="154">
        <f>IF(Valores!$C$56*D224&gt;Valores!$F$56,Valores!$F$56,Valores!$C$56*D224)</f>
        <v>327.6</v>
      </c>
      <c r="AM224" s="162">
        <f t="shared" si="36"/>
        <v>7131.16</v>
      </c>
      <c r="AN224" s="148">
        <f>AI224*-Valores!$C$65</f>
        <v>-5448.4593671</v>
      </c>
      <c r="AO224" s="146">
        <f>AI224*-Valores!$C$66</f>
        <v>-2132.0058393</v>
      </c>
      <c r="AP224" s="170">
        <v>-159.43</v>
      </c>
      <c r="AQ224" s="170">
        <f t="shared" si="39"/>
        <v>-53.83</v>
      </c>
      <c r="AR224" s="162">
        <f t="shared" si="40"/>
        <v>46715.3423336</v>
      </c>
    </row>
    <row r="225" spans="1:44" s="137" customFormat="1" ht="11.25" customHeight="1">
      <c r="A225" s="147">
        <v>223</v>
      </c>
      <c r="B225" s="147"/>
      <c r="C225" s="147" t="s">
        <v>493</v>
      </c>
      <c r="D225" s="147">
        <v>32</v>
      </c>
      <c r="E225" s="147">
        <f t="shared" si="33"/>
        <v>37</v>
      </c>
      <c r="F225" s="155" t="str">
        <f t="shared" si="31"/>
        <v>Hora Cátedra Enseñanza Superior 32 hs</v>
      </c>
      <c r="G225" s="152">
        <f t="shared" si="32"/>
        <v>3168</v>
      </c>
      <c r="H225" s="149">
        <f>INT((G225*Valores!$C$2*100)+0.5)/100</f>
        <v>26734.12</v>
      </c>
      <c r="I225" s="159">
        <v>0</v>
      </c>
      <c r="J225" s="149">
        <f>INT((I225*Valores!$C$2*100)+0.5)/100</f>
        <v>0</v>
      </c>
      <c r="K225" s="151">
        <v>0</v>
      </c>
      <c r="L225" s="149">
        <f>INT((K225*Valores!$C$2*100)+0.5)/100</f>
        <v>0</v>
      </c>
      <c r="M225" s="158">
        <v>0</v>
      </c>
      <c r="N225" s="149">
        <f>INT((M225*Valores!$C$2*100)+0.5)/100</f>
        <v>0</v>
      </c>
      <c r="O225" s="149">
        <f t="shared" si="34"/>
        <v>4687.9259999999995</v>
      </c>
      <c r="P225" s="149">
        <f t="shared" si="35"/>
        <v>0</v>
      </c>
      <c r="Q225" s="148">
        <f>Valores!$C$14*D225</f>
        <v>6970.88</v>
      </c>
      <c r="R225" s="148">
        <f>IF(D225&lt;15,(Valores!$E$4*D225),Valores!$D$4)</f>
        <v>4313.91</v>
      </c>
      <c r="S225" s="149">
        <v>0</v>
      </c>
      <c r="T225" s="149">
        <f>IF(Valores!$C$45*D225&gt;Valores!$C$43,Valores!$C$43,Valores!$C$45*D225)</f>
        <v>2088</v>
      </c>
      <c r="U225" s="148">
        <f>Valores!$C$22*D225</f>
        <v>2430.72</v>
      </c>
      <c r="V225" s="149">
        <f t="shared" si="30"/>
        <v>2430.72</v>
      </c>
      <c r="W225" s="149">
        <v>0</v>
      </c>
      <c r="X225" s="149">
        <v>0</v>
      </c>
      <c r="Y225" s="149">
        <v>0</v>
      </c>
      <c r="Z225" s="149">
        <f>Y225*Valores!$C$2</f>
        <v>0</v>
      </c>
      <c r="AA225" s="149">
        <v>0</v>
      </c>
      <c r="AB225" s="154">
        <f>IF((Valores!$C$32)*D225&gt;Valores!$F$32,Valores!$F$32,(Valores!$C$32)*D225)</f>
        <v>256.12288</v>
      </c>
      <c r="AC225" s="149">
        <f t="shared" si="37"/>
        <v>0</v>
      </c>
      <c r="AD225" s="149">
        <f>IF(Valores!$C$33*D225&gt;Valores!$F$33,Valores!$F$33,Valores!$C$33*D225)</f>
        <v>199.86</v>
      </c>
      <c r="AE225" s="157">
        <v>0</v>
      </c>
      <c r="AF225" s="149">
        <f>INT(((AE225*Valores!$C$2)*100)+0.5)/100</f>
        <v>0</v>
      </c>
      <c r="AG225" s="149">
        <f>IF(Valores!$D$58*'Escala Docente'!D225&gt;Valores!$F$58,Valores!$F$58,Valores!$D$58*'Escala Docente'!D225)</f>
        <v>813.06</v>
      </c>
      <c r="AH225" s="149">
        <f>IF(Valores!$D$60*D225&gt;Valores!$F$60,Valores!$F$60,Valores!$D$60*D225)</f>
        <v>232.3</v>
      </c>
      <c r="AI225" s="163">
        <f t="shared" si="38"/>
        <v>48726.89888</v>
      </c>
      <c r="AJ225" s="148">
        <f>IF(Valores!$C$36*D225&gt;Valores!$F$36,Valores!$F$36,Valores!$C$36*D225)</f>
        <v>2093.66</v>
      </c>
      <c r="AK225" s="149">
        <f>IF(Valores!$C$83*D225&gt;Valores!$C$82,Valores!$C$82,Valores!$C$83*D225)</f>
        <v>5200</v>
      </c>
      <c r="AL225" s="154">
        <f>IF(Valores!$C$56*D225&gt;Valores!$F$56,Valores!$F$56,Valores!$C$56*D225)</f>
        <v>327.6</v>
      </c>
      <c r="AM225" s="162">
        <f t="shared" si="36"/>
        <v>7293.66</v>
      </c>
      <c r="AN225" s="148">
        <f>AI225*-Valores!$C$65</f>
        <v>-5603.593371200001</v>
      </c>
      <c r="AO225" s="146">
        <f>AI225*-Valores!$C$66</f>
        <v>-2192.7104496</v>
      </c>
      <c r="AP225" s="170">
        <v>-159.43</v>
      </c>
      <c r="AQ225" s="170">
        <f t="shared" si="39"/>
        <v>-53.83</v>
      </c>
      <c r="AR225" s="162">
        <f t="shared" si="40"/>
        <v>48010.995059199995</v>
      </c>
    </row>
    <row r="226" spans="1:44" s="137" customFormat="1" ht="11.25" customHeight="1">
      <c r="A226" s="147">
        <v>224</v>
      </c>
      <c r="B226" s="147"/>
      <c r="C226" s="147" t="s">
        <v>493</v>
      </c>
      <c r="D226" s="147">
        <v>33</v>
      </c>
      <c r="E226" s="147">
        <f t="shared" si="33"/>
        <v>37</v>
      </c>
      <c r="F226" s="155" t="str">
        <f t="shared" si="31"/>
        <v>Hora Cátedra Enseñanza Superior 33 hs</v>
      </c>
      <c r="G226" s="152">
        <f t="shared" si="32"/>
        <v>3267</v>
      </c>
      <c r="H226" s="149">
        <f>INT((G226*Valores!$C$2*100)+0.5)/100</f>
        <v>27569.56</v>
      </c>
      <c r="I226" s="159">
        <v>0</v>
      </c>
      <c r="J226" s="149">
        <f>INT((I226*Valores!$C$2*100)+0.5)/100</f>
        <v>0</v>
      </c>
      <c r="K226" s="151">
        <v>0</v>
      </c>
      <c r="L226" s="149">
        <f>INT((K226*Valores!$C$2*100)+0.5)/100</f>
        <v>0</v>
      </c>
      <c r="M226" s="158">
        <v>0</v>
      </c>
      <c r="N226" s="149">
        <f>INT((M226*Valores!$C$2*100)+0.5)/100</f>
        <v>0</v>
      </c>
      <c r="O226" s="149">
        <f t="shared" si="34"/>
        <v>4834.4235</v>
      </c>
      <c r="P226" s="149">
        <f t="shared" si="35"/>
        <v>0</v>
      </c>
      <c r="Q226" s="148">
        <f>Valores!$C$14*D226</f>
        <v>7188.72</v>
      </c>
      <c r="R226" s="148">
        <f>IF(D226&lt;15,(Valores!$E$4*D226),Valores!$D$4)</f>
        <v>4313.91</v>
      </c>
      <c r="S226" s="149">
        <v>0</v>
      </c>
      <c r="T226" s="149">
        <f>IF(Valores!$C$45*D226&gt;Valores!$C$43,Valores!$C$43,Valores!$C$45*D226)</f>
        <v>2153.25</v>
      </c>
      <c r="U226" s="148">
        <f>Valores!$C$22*D226</f>
        <v>2506.68</v>
      </c>
      <c r="V226" s="149">
        <f t="shared" si="30"/>
        <v>2506.68</v>
      </c>
      <c r="W226" s="149">
        <v>0</v>
      </c>
      <c r="X226" s="149">
        <v>0</v>
      </c>
      <c r="Y226" s="149">
        <v>0</v>
      </c>
      <c r="Z226" s="149">
        <f>Y226*Valores!$C$2</f>
        <v>0</v>
      </c>
      <c r="AA226" s="149">
        <v>0</v>
      </c>
      <c r="AB226" s="154">
        <f>IF((Valores!$C$32)*D226&gt;Valores!$F$32,Valores!$F$32,(Valores!$C$32)*D226)</f>
        <v>264.12672000000003</v>
      </c>
      <c r="AC226" s="149">
        <f t="shared" si="37"/>
        <v>0</v>
      </c>
      <c r="AD226" s="149">
        <f>IF(Valores!$C$33*D226&gt;Valores!$F$33,Valores!$F$33,Valores!$C$33*D226)</f>
        <v>199.86</v>
      </c>
      <c r="AE226" s="157">
        <v>0</v>
      </c>
      <c r="AF226" s="149">
        <f>INT(((AE226*Valores!$C$2)*100)+0.5)/100</f>
        <v>0</v>
      </c>
      <c r="AG226" s="149">
        <f>IF(Valores!$D$58*'Escala Docente'!D226&gt;Valores!$F$58,Valores!$F$58,Valores!$D$58*'Escala Docente'!D226)</f>
        <v>813.06</v>
      </c>
      <c r="AH226" s="149">
        <f>IF(Valores!$D$60*D226&gt;Valores!$F$60,Valores!$F$60,Valores!$D$60*D226)</f>
        <v>232.3</v>
      </c>
      <c r="AI226" s="163">
        <f t="shared" si="38"/>
        <v>50075.89022000001</v>
      </c>
      <c r="AJ226" s="148">
        <f>IF(Valores!$C$36*D226&gt;Valores!$F$36,Valores!$F$36,Valores!$C$36*D226)</f>
        <v>2093.66</v>
      </c>
      <c r="AK226" s="149">
        <f>IF(Valores!$C$83*D226&gt;Valores!$C$82,Valores!$C$82,Valores!$C$83*D226)</f>
        <v>5362.5</v>
      </c>
      <c r="AL226" s="154">
        <f>IF(Valores!$C$56*D226&gt;Valores!$F$56,Valores!$F$56,Valores!$C$56*D226)</f>
        <v>327.6</v>
      </c>
      <c r="AM226" s="162">
        <f t="shared" si="36"/>
        <v>7456.16</v>
      </c>
      <c r="AN226" s="148">
        <f>AI226*-Valores!$C$65</f>
        <v>-5758.727375300001</v>
      </c>
      <c r="AO226" s="146">
        <f>AI226*-Valores!$C$66</f>
        <v>-2253.4150599000004</v>
      </c>
      <c r="AP226" s="170">
        <v>-159.43</v>
      </c>
      <c r="AQ226" s="170">
        <f t="shared" si="39"/>
        <v>-53.83</v>
      </c>
      <c r="AR226" s="162">
        <f t="shared" si="40"/>
        <v>49306.6477848</v>
      </c>
    </row>
    <row r="227" spans="1:44" s="137" customFormat="1" ht="11.25" customHeight="1">
      <c r="A227" s="147">
        <v>225</v>
      </c>
      <c r="B227" s="147" t="s">
        <v>135</v>
      </c>
      <c r="C227" s="147" t="s">
        <v>493</v>
      </c>
      <c r="D227" s="147">
        <v>34</v>
      </c>
      <c r="E227" s="147">
        <f t="shared" si="33"/>
        <v>37</v>
      </c>
      <c r="F227" s="155" t="str">
        <f t="shared" si="31"/>
        <v>Hora Cátedra Enseñanza Superior 34 hs</v>
      </c>
      <c r="G227" s="152">
        <f t="shared" si="32"/>
        <v>3366</v>
      </c>
      <c r="H227" s="149">
        <f>INT((G227*Valores!$C$2*100)+0.5)/100</f>
        <v>28405</v>
      </c>
      <c r="I227" s="159">
        <v>0</v>
      </c>
      <c r="J227" s="149">
        <f>INT((I227*Valores!$C$2*100)+0.5)/100</f>
        <v>0</v>
      </c>
      <c r="K227" s="151">
        <v>0</v>
      </c>
      <c r="L227" s="149">
        <f>INT((K227*Valores!$C$2*100)+0.5)/100</f>
        <v>0</v>
      </c>
      <c r="M227" s="158">
        <v>0</v>
      </c>
      <c r="N227" s="149">
        <f>INT((M227*Valores!$C$2*100)+0.5)/100</f>
        <v>0</v>
      </c>
      <c r="O227" s="149">
        <f t="shared" si="34"/>
        <v>4980.920999999999</v>
      </c>
      <c r="P227" s="149">
        <f t="shared" si="35"/>
        <v>0</v>
      </c>
      <c r="Q227" s="148">
        <f>Valores!$C$14*D227</f>
        <v>7406.56</v>
      </c>
      <c r="R227" s="148">
        <f>IF(D227&lt;15,(Valores!$E$4*D227),Valores!$D$4)</f>
        <v>4313.91</v>
      </c>
      <c r="S227" s="149">
        <v>0</v>
      </c>
      <c r="T227" s="149">
        <f>IF(Valores!$C$45*D227&gt;Valores!$C$43,Valores!$C$43,Valores!$C$45*D227)</f>
        <v>2218.5</v>
      </c>
      <c r="U227" s="148">
        <f>Valores!$C$22*D227</f>
        <v>2582.64</v>
      </c>
      <c r="V227" s="149">
        <f t="shared" si="30"/>
        <v>2582.64</v>
      </c>
      <c r="W227" s="149">
        <v>0</v>
      </c>
      <c r="X227" s="149">
        <v>0</v>
      </c>
      <c r="Y227" s="149">
        <v>0</v>
      </c>
      <c r="Z227" s="149">
        <f>Y227*Valores!$C$2</f>
        <v>0</v>
      </c>
      <c r="AA227" s="149">
        <v>0</v>
      </c>
      <c r="AB227" s="154">
        <f>IF((Valores!$C$32)*D227&gt;Valores!$F$32,Valores!$F$32,(Valores!$C$32)*D227)</f>
        <v>272.13056</v>
      </c>
      <c r="AC227" s="149">
        <f t="shared" si="37"/>
        <v>0</v>
      </c>
      <c r="AD227" s="149">
        <f>IF(Valores!$C$33*D227&gt;Valores!$F$33,Valores!$F$33,Valores!$C$33*D227)</f>
        <v>199.86</v>
      </c>
      <c r="AE227" s="157">
        <v>0</v>
      </c>
      <c r="AF227" s="149">
        <f>INT(((AE227*Valores!$C$2)*100)+0.5)/100</f>
        <v>0</v>
      </c>
      <c r="AG227" s="149">
        <f>IF(Valores!$D$58*'Escala Docente'!D227&gt;Valores!$F$58,Valores!$F$58,Valores!$D$58*'Escala Docente'!D227)</f>
        <v>813.06</v>
      </c>
      <c r="AH227" s="149">
        <f>IF(Valores!$D$60*D227&gt;Valores!$F$60,Valores!$F$60,Valores!$D$60*D227)</f>
        <v>232.3</v>
      </c>
      <c r="AI227" s="163">
        <f t="shared" si="38"/>
        <v>51424.88156</v>
      </c>
      <c r="AJ227" s="148">
        <f>IF(Valores!$C$36*D227&gt;Valores!$F$36,Valores!$F$36,Valores!$C$36*D227)</f>
        <v>2093.66</v>
      </c>
      <c r="AK227" s="149">
        <f>IF(Valores!$C$83*D227&gt;Valores!$C$82,Valores!$C$82,Valores!$C$83*D227)</f>
        <v>5525</v>
      </c>
      <c r="AL227" s="154">
        <f>IF(Valores!$C$56*D227&gt;Valores!$F$56,Valores!$F$56,Valores!$C$56*D227)</f>
        <v>327.6</v>
      </c>
      <c r="AM227" s="162">
        <f t="shared" si="36"/>
        <v>7618.66</v>
      </c>
      <c r="AN227" s="148">
        <f>AI227*-Valores!$C$65</f>
        <v>-5913.8613794</v>
      </c>
      <c r="AO227" s="146">
        <f>AI227*-Valores!$C$66</f>
        <v>-2314.1196702</v>
      </c>
      <c r="AP227" s="170">
        <v>-159.43</v>
      </c>
      <c r="AQ227" s="170">
        <f t="shared" si="39"/>
        <v>-53.83</v>
      </c>
      <c r="AR227" s="162">
        <f t="shared" si="40"/>
        <v>50602.3005104</v>
      </c>
    </row>
    <row r="228" spans="1:44" s="137" customFormat="1" ht="11.25" customHeight="1">
      <c r="A228" s="147">
        <v>226</v>
      </c>
      <c r="B228" s="147"/>
      <c r="C228" s="147" t="s">
        <v>493</v>
      </c>
      <c r="D228" s="147">
        <v>35</v>
      </c>
      <c r="E228" s="147">
        <f t="shared" si="33"/>
        <v>37</v>
      </c>
      <c r="F228" s="155" t="str">
        <f t="shared" si="31"/>
        <v>Hora Cátedra Enseñanza Superior 35 hs</v>
      </c>
      <c r="G228" s="152">
        <f t="shared" si="32"/>
        <v>3465</v>
      </c>
      <c r="H228" s="149">
        <f>INT((G228*Valores!$C$2*100)+0.5)/100</f>
        <v>29240.44</v>
      </c>
      <c r="I228" s="159">
        <v>0</v>
      </c>
      <c r="J228" s="149">
        <f>INT((I228*Valores!$C$2*100)+0.5)/100</f>
        <v>0</v>
      </c>
      <c r="K228" s="151">
        <v>0</v>
      </c>
      <c r="L228" s="149">
        <f>INT((K228*Valores!$C$2*100)+0.5)/100</f>
        <v>0</v>
      </c>
      <c r="M228" s="158">
        <v>0</v>
      </c>
      <c r="N228" s="149">
        <f>INT((M228*Valores!$C$2*100)+0.5)/100</f>
        <v>0</v>
      </c>
      <c r="O228" s="149">
        <f t="shared" si="34"/>
        <v>5127.418499999999</v>
      </c>
      <c r="P228" s="149">
        <f t="shared" si="35"/>
        <v>0</v>
      </c>
      <c r="Q228" s="148">
        <f>Valores!$C$14*D228</f>
        <v>7624.400000000001</v>
      </c>
      <c r="R228" s="148">
        <f>IF(D228&lt;15,(Valores!$E$4*D228),Valores!$D$4)</f>
        <v>4313.91</v>
      </c>
      <c r="S228" s="149">
        <v>0</v>
      </c>
      <c r="T228" s="149">
        <f>IF(Valores!$C$45*D228&gt;Valores!$C$43,Valores!$C$43,Valores!$C$45*D228)</f>
        <v>2283.75</v>
      </c>
      <c r="U228" s="148">
        <f>Valores!$C$22*D228</f>
        <v>2658.6</v>
      </c>
      <c r="V228" s="149">
        <f t="shared" si="30"/>
        <v>2658.6</v>
      </c>
      <c r="W228" s="149">
        <v>0</v>
      </c>
      <c r="X228" s="149">
        <v>0</v>
      </c>
      <c r="Y228" s="149">
        <v>0</v>
      </c>
      <c r="Z228" s="149">
        <f>Y228*Valores!$C$2</f>
        <v>0</v>
      </c>
      <c r="AA228" s="149">
        <v>0</v>
      </c>
      <c r="AB228" s="154">
        <f>IF((Valores!$C$32)*D228&gt;Valores!$F$32,Valores!$F$32,(Valores!$C$32)*D228)</f>
        <v>280.1344</v>
      </c>
      <c r="AC228" s="149">
        <f t="shared" si="37"/>
        <v>0</v>
      </c>
      <c r="AD228" s="149">
        <f>IF(Valores!$C$33*D228&gt;Valores!$F$33,Valores!$F$33,Valores!$C$33*D228)</f>
        <v>199.86</v>
      </c>
      <c r="AE228" s="157">
        <v>0</v>
      </c>
      <c r="AF228" s="149">
        <f>INT(((AE228*Valores!$C$2)*100)+0.5)/100</f>
        <v>0</v>
      </c>
      <c r="AG228" s="149">
        <f>IF(Valores!$D$58*'Escala Docente'!D228&gt;Valores!$F$58,Valores!$F$58,Valores!$D$58*'Escala Docente'!D228)</f>
        <v>813.06</v>
      </c>
      <c r="AH228" s="149">
        <f>IF(Valores!$D$60*D228&gt;Valores!$F$60,Valores!$F$60,Valores!$D$60*D228)</f>
        <v>232.3</v>
      </c>
      <c r="AI228" s="163">
        <f t="shared" si="38"/>
        <v>52773.8729</v>
      </c>
      <c r="AJ228" s="148">
        <f>IF(Valores!$C$36*D228&gt;Valores!$F$36,Valores!$F$36,Valores!$C$36*D228)</f>
        <v>2093.66</v>
      </c>
      <c r="AK228" s="149">
        <f>IF(Valores!$C$83*D228&gt;Valores!$C$82,Valores!$C$82,Valores!$C$83*D228)</f>
        <v>5687.5</v>
      </c>
      <c r="AL228" s="154">
        <f>IF(Valores!$C$56*D228&gt;Valores!$F$56,Valores!$F$56,Valores!$C$56*D228)</f>
        <v>327.6</v>
      </c>
      <c r="AM228" s="162">
        <f t="shared" si="36"/>
        <v>7781.16</v>
      </c>
      <c r="AN228" s="148">
        <f>AI228*-Valores!$C$65</f>
        <v>-6068.995383500001</v>
      </c>
      <c r="AO228" s="146">
        <f>AI228*-Valores!$C$66</f>
        <v>-2374.8242805</v>
      </c>
      <c r="AP228" s="170">
        <v>-159.43</v>
      </c>
      <c r="AQ228" s="170">
        <f t="shared" si="39"/>
        <v>-53.83</v>
      </c>
      <c r="AR228" s="162">
        <f t="shared" si="40"/>
        <v>51897.95323600001</v>
      </c>
    </row>
    <row r="229" spans="1:44" s="137" customFormat="1" ht="11.25" customHeight="1">
      <c r="A229" s="147">
        <v>227</v>
      </c>
      <c r="B229" s="147"/>
      <c r="C229" s="147" t="s">
        <v>493</v>
      </c>
      <c r="D229" s="147">
        <v>36</v>
      </c>
      <c r="E229" s="147">
        <f t="shared" si="33"/>
        <v>37</v>
      </c>
      <c r="F229" s="155" t="str">
        <f t="shared" si="31"/>
        <v>Hora Cátedra Enseñanza Superior 36 hs</v>
      </c>
      <c r="G229" s="152">
        <f t="shared" si="32"/>
        <v>3564</v>
      </c>
      <c r="H229" s="149">
        <f>INT((G229*Valores!$C$2*100)+0.5)/100</f>
        <v>30075.88</v>
      </c>
      <c r="I229" s="159">
        <v>0</v>
      </c>
      <c r="J229" s="149">
        <f>INT((I229*Valores!$C$2*100)+0.5)/100</f>
        <v>0</v>
      </c>
      <c r="K229" s="151">
        <v>0</v>
      </c>
      <c r="L229" s="149">
        <f>INT((K229*Valores!$C$2*100)+0.5)/100</f>
        <v>0</v>
      </c>
      <c r="M229" s="158">
        <v>0</v>
      </c>
      <c r="N229" s="149">
        <f>INT((M229*Valores!$C$2*100)+0.5)/100</f>
        <v>0</v>
      </c>
      <c r="O229" s="149">
        <f t="shared" si="34"/>
        <v>5270.2695</v>
      </c>
      <c r="P229" s="149">
        <f t="shared" si="35"/>
        <v>0</v>
      </c>
      <c r="Q229" s="148">
        <f>Valores!$C$14*D229</f>
        <v>7842.24</v>
      </c>
      <c r="R229" s="148">
        <f>IF(D229&lt;15,(Valores!$E$4*D229),Valores!$D$4)</f>
        <v>4313.91</v>
      </c>
      <c r="S229" s="149">
        <v>0</v>
      </c>
      <c r="T229" s="149">
        <f>IF(Valores!$C$45*D229&gt;Valores!$C$43,Valores!$C$43,Valores!$C$45*D229)</f>
        <v>2324.69</v>
      </c>
      <c r="U229" s="148">
        <f>Valores!$C$22*D229</f>
        <v>2734.56</v>
      </c>
      <c r="V229" s="149">
        <f t="shared" si="30"/>
        <v>2734.56</v>
      </c>
      <c r="W229" s="149">
        <v>0</v>
      </c>
      <c r="X229" s="149">
        <v>0</v>
      </c>
      <c r="Y229" s="149">
        <v>0</v>
      </c>
      <c r="Z229" s="149">
        <f>Y229*Valores!$C$2</f>
        <v>0</v>
      </c>
      <c r="AA229" s="149">
        <v>0</v>
      </c>
      <c r="AB229" s="154">
        <f>IF((Valores!$C$32)*D229&gt;Valores!$F$32,Valores!$F$32,(Valores!$C$32)*D229)</f>
        <v>288.13824</v>
      </c>
      <c r="AC229" s="149">
        <f t="shared" si="37"/>
        <v>0</v>
      </c>
      <c r="AD229" s="149">
        <f>IF(Valores!$C$33*D229&gt;Valores!$F$33,Valores!$F$33,Valores!$C$33*D229)</f>
        <v>199.86</v>
      </c>
      <c r="AE229" s="157">
        <v>0</v>
      </c>
      <c r="AF229" s="149">
        <f>INT(((AE229*Valores!$C$2)*100)+0.5)/100</f>
        <v>0</v>
      </c>
      <c r="AG229" s="149">
        <f>IF(Valores!$D$58*'Escala Docente'!D229&gt;Valores!$F$58,Valores!$F$58,Valores!$D$58*'Escala Docente'!D229)</f>
        <v>813.06</v>
      </c>
      <c r="AH229" s="149">
        <f>IF(Valores!$D$60*D229&gt;Valores!$F$60,Valores!$F$60,Valores!$D$60*D229)</f>
        <v>232.3</v>
      </c>
      <c r="AI229" s="163">
        <f t="shared" si="38"/>
        <v>54094.907739999995</v>
      </c>
      <c r="AJ229" s="148">
        <f>IF(Valores!$C$36*D229&gt;Valores!$F$36,Valores!$F$36,Valores!$C$36*D229)</f>
        <v>2093.66</v>
      </c>
      <c r="AK229" s="149">
        <f>IF(Valores!$C$83*D229&gt;Valores!$C$82,Valores!$C$82,Valores!$C$83*D229)</f>
        <v>5850</v>
      </c>
      <c r="AL229" s="154">
        <f>IF(Valores!$C$56*D229&gt;Valores!$F$56,Valores!$F$56,Valores!$C$56*D229)</f>
        <v>327.6</v>
      </c>
      <c r="AM229" s="162">
        <f t="shared" si="36"/>
        <v>7943.66</v>
      </c>
      <c r="AN229" s="148">
        <f>AI229*-Valores!$C$65</f>
        <v>-6220.9143901</v>
      </c>
      <c r="AO229" s="146">
        <f>AI229*-Valores!$C$66</f>
        <v>-2434.2708482999997</v>
      </c>
      <c r="AP229" s="170">
        <v>-159.43</v>
      </c>
      <c r="AQ229" s="170">
        <f t="shared" si="39"/>
        <v>-53.83</v>
      </c>
      <c r="AR229" s="162">
        <f t="shared" si="40"/>
        <v>53170.122501599995</v>
      </c>
    </row>
    <row r="230" spans="1:44" s="137" customFormat="1" ht="11.25" customHeight="1">
      <c r="A230" s="147">
        <v>228</v>
      </c>
      <c r="B230" s="147"/>
      <c r="C230" s="147" t="s">
        <v>494</v>
      </c>
      <c r="D230" s="147">
        <v>1</v>
      </c>
      <c r="E230" s="147">
        <f t="shared" si="33"/>
        <v>33</v>
      </c>
      <c r="F230" s="155" t="str">
        <f>CONCATENATE("Hora Cátedra Enseñanza Media ",D230," hs")</f>
        <v>Hora Cátedra Enseñanza Media 1 hs</v>
      </c>
      <c r="G230" s="152">
        <f aca="true" t="shared" si="41" ref="G230:G261">79*D230</f>
        <v>79</v>
      </c>
      <c r="H230" s="149">
        <f>INT((G230*Valores!$C$2*100)+0.49)/100</f>
        <v>666.67</v>
      </c>
      <c r="I230" s="159">
        <v>0</v>
      </c>
      <c r="J230" s="149">
        <f>INT((I230*Valores!$C$2*100)+0.5)/100</f>
        <v>0</v>
      </c>
      <c r="K230" s="151">
        <v>0</v>
      </c>
      <c r="L230" s="149">
        <f>INT((K230*Valores!$C$2*100)+0.5)/100</f>
        <v>0</v>
      </c>
      <c r="M230" s="158">
        <v>0</v>
      </c>
      <c r="N230" s="149">
        <f>INT((M230*Valores!$C$2*100)+0.5)/100</f>
        <v>0</v>
      </c>
      <c r="O230" s="149">
        <f t="shared" si="34"/>
        <v>121.18199999999999</v>
      </c>
      <c r="P230" s="149">
        <f t="shared" si="35"/>
        <v>0</v>
      </c>
      <c r="Q230" s="148">
        <f>Valores!$C$14*D230</f>
        <v>217.84</v>
      </c>
      <c r="R230" s="148">
        <f>IF(D230&lt;15,(Valores!$E$4*D230),Valores!$D$4)</f>
        <v>287.59</v>
      </c>
      <c r="S230" s="149">
        <v>0</v>
      </c>
      <c r="T230" s="149">
        <f>IF(Valores!$C$45*D230&gt;Valores!$C$43,Valores!$C$43,Valores!$C$45*D230)</f>
        <v>65.25</v>
      </c>
      <c r="U230" s="148">
        <f>Valores!$C$22*D230</f>
        <v>75.96</v>
      </c>
      <c r="V230" s="149">
        <f>U230*(1+$J$2)</f>
        <v>75.96</v>
      </c>
      <c r="W230" s="149">
        <v>0</v>
      </c>
      <c r="X230" s="149">
        <v>0</v>
      </c>
      <c r="Y230" s="149">
        <v>0</v>
      </c>
      <c r="Z230" s="149">
        <f>Y230*Valores!$C$2</f>
        <v>0</v>
      </c>
      <c r="AA230" s="149">
        <v>0</v>
      </c>
      <c r="AB230" s="154">
        <f>IF((Valores!$C$32)*D230&gt;Valores!$F$32,Valores!$F$32,(Valores!$C$32)*D230)</f>
        <v>8.00384</v>
      </c>
      <c r="AC230" s="149">
        <f t="shared" si="37"/>
        <v>0</v>
      </c>
      <c r="AD230" s="149">
        <f>IF(Valores!$C$33*D230&gt;Valores!$F$33,Valores!$F$33,Valores!$C$33*D230)</f>
        <v>6.662656000000001</v>
      </c>
      <c r="AE230" s="157">
        <v>0</v>
      </c>
      <c r="AF230" s="149">
        <f>INT(((AE230*Valores!$C$2)*100)+0.5)/100</f>
        <v>0</v>
      </c>
      <c r="AG230" s="149">
        <f>IF(Valores!$D$58*'Escala Docente'!D230&gt;Valores!$F$58,Valores!$F$58,Valores!$D$58*'Escala Docente'!D230)</f>
        <v>27.1024</v>
      </c>
      <c r="AH230" s="149">
        <f>IF(Valores!$D$60*D230&gt;Valores!$F$60,Valores!$F$60,Valores!$D$60*D230)</f>
        <v>7.7442</v>
      </c>
      <c r="AI230" s="163">
        <f t="shared" si="38"/>
        <v>1484.005096</v>
      </c>
      <c r="AJ230" s="148">
        <f>IF(Valores!$C$36*D230&gt;Valores!$F$36,Valores!$F$36,Valores!$C$36*D230)</f>
        <v>69.79</v>
      </c>
      <c r="AK230" s="149">
        <f>IF(Valores!$C$83*D230&gt;Valores!$C$82,Valores!$C$82,Valores!$C$83*D230)</f>
        <v>162.5</v>
      </c>
      <c r="AL230" s="154">
        <f>IF(Valores!$C$57*D230&gt;Valores!$F$57,Valores!$F$57,Valores!$C$57*D230)</f>
        <v>11.355</v>
      </c>
      <c r="AM230" s="162">
        <f t="shared" si="36"/>
        <v>232.29000000000002</v>
      </c>
      <c r="AN230" s="148">
        <f>AI230*-Valores!$C$65</f>
        <v>-170.66058604000003</v>
      </c>
      <c r="AO230" s="146">
        <f>AI230*-Valores!$C$66</f>
        <v>-66.78022932</v>
      </c>
      <c r="AP230" s="170">
        <v>-159.43</v>
      </c>
      <c r="AQ230" s="170">
        <f t="shared" si="39"/>
        <v>-53.83</v>
      </c>
      <c r="AR230" s="162">
        <f t="shared" si="40"/>
        <v>1265.59428064</v>
      </c>
    </row>
    <row r="231" spans="1:44" s="137" customFormat="1" ht="11.25" customHeight="1">
      <c r="A231" s="147">
        <v>229</v>
      </c>
      <c r="B231" s="147"/>
      <c r="C231" s="147" t="s">
        <v>494</v>
      </c>
      <c r="D231" s="147">
        <v>1</v>
      </c>
      <c r="E231" s="147">
        <f t="shared" si="33"/>
        <v>41</v>
      </c>
      <c r="F231" s="155" t="str">
        <f>CONCATENATE("Hora Cátedra Enseñanza Media ",D231," hs Esc Esp")</f>
        <v>Hora Cátedra Enseñanza Media 1 hs Esc Esp</v>
      </c>
      <c r="G231" s="152">
        <f t="shared" si="41"/>
        <v>79</v>
      </c>
      <c r="H231" s="149">
        <f>INT((G231*Valores!$C$2*100)+0.49)/100</f>
        <v>666.67</v>
      </c>
      <c r="I231" s="159">
        <v>0</v>
      </c>
      <c r="J231" s="149">
        <f>INT((I231*Valores!$C$2*100)+0.5)/100</f>
        <v>0</v>
      </c>
      <c r="K231" s="151">
        <v>0</v>
      </c>
      <c r="L231" s="149">
        <f>INT((K231*Valores!$C$2*100)+0.5)/100</f>
        <v>0</v>
      </c>
      <c r="M231" s="158">
        <v>0</v>
      </c>
      <c r="N231" s="149">
        <f>INT((M231*Valores!$C$2*100)+0.5)/100</f>
        <v>0</v>
      </c>
      <c r="O231" s="149">
        <f t="shared" si="34"/>
        <v>121.18199999999999</v>
      </c>
      <c r="P231" s="149">
        <f t="shared" si="35"/>
        <v>0</v>
      </c>
      <c r="Q231" s="148">
        <f>Valores!$C$14*D231</f>
        <v>217.84</v>
      </c>
      <c r="R231" s="148">
        <f>IF(D231&lt;15,(Valores!$E$4*D231),Valores!$D$4)</f>
        <v>287.59</v>
      </c>
      <c r="S231" s="149">
        <v>0</v>
      </c>
      <c r="T231" s="149">
        <f>IF(Valores!$C$45*D231&gt;Valores!$C$43,Valores!$C$43,Valores!$C$45*D231)</f>
        <v>65.25</v>
      </c>
      <c r="U231" s="148">
        <f>Valores!$C$22*D231</f>
        <v>75.96</v>
      </c>
      <c r="V231" s="149">
        <f t="shared" si="30"/>
        <v>75.96</v>
      </c>
      <c r="W231" s="149">
        <v>0</v>
      </c>
      <c r="X231" s="149">
        <v>0</v>
      </c>
      <c r="Y231" s="149">
        <v>0</v>
      </c>
      <c r="Z231" s="149">
        <f>Y231*Valores!$C$2</f>
        <v>0</v>
      </c>
      <c r="AA231" s="149">
        <v>0</v>
      </c>
      <c r="AB231" s="154">
        <f>IF((Valores!$C$32)*D231&gt;Valores!$F$32,Valores!$F$32,(Valores!$C$32)*D231)</f>
        <v>8.00384</v>
      </c>
      <c r="AC231" s="149">
        <f t="shared" si="37"/>
        <v>0</v>
      </c>
      <c r="AD231" s="149">
        <f>IF(Valores!$C$33*D231&gt;Valores!$F$33,Valores!$F$33,Valores!$C$33*D231)</f>
        <v>6.662656000000001</v>
      </c>
      <c r="AE231" s="157">
        <v>94</v>
      </c>
      <c r="AF231" s="149">
        <f>INT(((AE231*Valores!$C$2)*100)+0.5)/100</f>
        <v>793.25</v>
      </c>
      <c r="AG231" s="149">
        <f>IF(Valores!$D$58*'Escala Docente'!D231&gt;Valores!$F$58,Valores!$F$58,Valores!$D$58*'Escala Docente'!D231)</f>
        <v>27.1024</v>
      </c>
      <c r="AH231" s="149">
        <f>IF(Valores!$D$60*D231&gt;Valores!$F$60,Valores!$F$60,Valores!$D$60*D231)</f>
        <v>7.7442</v>
      </c>
      <c r="AI231" s="163">
        <f t="shared" si="38"/>
        <v>2277.2550960000003</v>
      </c>
      <c r="AJ231" s="148">
        <f>IF(Valores!$C$36*D231&gt;Valores!$F$36,Valores!$F$36,Valores!$C$36*D231)</f>
        <v>69.79</v>
      </c>
      <c r="AK231" s="149">
        <f>IF(Valores!$C$83*D231&gt;Valores!$C$82,Valores!$C$82,Valores!$C$83*D231)</f>
        <v>162.5</v>
      </c>
      <c r="AL231" s="154">
        <f>IF(Valores!$C$57*D231&gt;Valores!$F$57,Valores!$F$57,Valores!$C$57*D231)</f>
        <v>11.355</v>
      </c>
      <c r="AM231" s="162">
        <f t="shared" si="36"/>
        <v>232.29000000000002</v>
      </c>
      <c r="AN231" s="148">
        <f>AI231*-Valores!$C$65</f>
        <v>-261.88433604000005</v>
      </c>
      <c r="AO231" s="146">
        <f>AI231*-Valores!$C$66</f>
        <v>-102.47647932000001</v>
      </c>
      <c r="AP231" s="170">
        <v>-159.43</v>
      </c>
      <c r="AQ231" s="170">
        <f t="shared" si="39"/>
        <v>-53.83</v>
      </c>
      <c r="AR231" s="162">
        <f t="shared" si="40"/>
        <v>1931.92428064</v>
      </c>
    </row>
    <row r="232" spans="1:44" s="137" customFormat="1" ht="11.25" customHeight="1">
      <c r="A232" s="147">
        <v>230</v>
      </c>
      <c r="B232" s="147" t="s">
        <v>135</v>
      </c>
      <c r="C232" s="147" t="s">
        <v>494</v>
      </c>
      <c r="D232" s="147">
        <v>2</v>
      </c>
      <c r="E232" s="147">
        <f t="shared" si="33"/>
        <v>33</v>
      </c>
      <c r="F232" s="155" t="str">
        <f>CONCATENATE("Hora Cátedra Enseñanza Media ",D232," hs")</f>
        <v>Hora Cátedra Enseñanza Media 2 hs</v>
      </c>
      <c r="G232" s="152">
        <f t="shared" si="41"/>
        <v>158</v>
      </c>
      <c r="H232" s="149">
        <f>INT((G232*Valores!$C$2*100)+0.49)/100</f>
        <v>1333.33</v>
      </c>
      <c r="I232" s="159">
        <v>0</v>
      </c>
      <c r="J232" s="149">
        <f>INT((I232*Valores!$C$2*100)+0.5)/100</f>
        <v>0</v>
      </c>
      <c r="K232" s="151">
        <v>0</v>
      </c>
      <c r="L232" s="149">
        <f>INT((K232*Valores!$C$2*100)+0.5)/100</f>
        <v>0</v>
      </c>
      <c r="M232" s="158">
        <v>0</v>
      </c>
      <c r="N232" s="149">
        <f>INT((M232*Valores!$C$2*100)+0.5)/100</f>
        <v>0</v>
      </c>
      <c r="O232" s="149">
        <f t="shared" si="34"/>
        <v>222.7875</v>
      </c>
      <c r="P232" s="149">
        <f t="shared" si="35"/>
        <v>0</v>
      </c>
      <c r="Q232" s="148">
        <f>Valores!$C$14*D232</f>
        <v>435.68</v>
      </c>
      <c r="R232" s="148">
        <f>IF(D232&lt;15,(Valores!$E$4*D232),Valores!$D$4)</f>
        <v>575.18</v>
      </c>
      <c r="S232" s="149">
        <v>0</v>
      </c>
      <c r="T232" s="149"/>
      <c r="U232" s="148">
        <f>Valores!$C$22*D232</f>
        <v>151.92</v>
      </c>
      <c r="V232" s="149">
        <f t="shared" si="30"/>
        <v>151.92</v>
      </c>
      <c r="W232" s="149">
        <v>0</v>
      </c>
      <c r="X232" s="149">
        <v>0</v>
      </c>
      <c r="Y232" s="149">
        <v>0</v>
      </c>
      <c r="Z232" s="149">
        <f>Y232*Valores!$C$2</f>
        <v>0</v>
      </c>
      <c r="AA232" s="149">
        <v>0</v>
      </c>
      <c r="AB232" s="154">
        <f>IF((Valores!$C$32)*D232&gt;Valores!$F$32,Valores!$F$32,(Valores!$C$32)*D232)</f>
        <v>16.00768</v>
      </c>
      <c r="AC232" s="149">
        <f t="shared" si="37"/>
        <v>0</v>
      </c>
      <c r="AD232" s="149">
        <f>IF(Valores!$C$33*D232&gt;Valores!$F$33,Valores!$F$33,Valores!$C$33*D232)</f>
        <v>13.325312000000002</v>
      </c>
      <c r="AE232" s="157">
        <v>0</v>
      </c>
      <c r="AF232" s="149">
        <f>INT(((AE232*Valores!$C$2)*100)+0.5)/100</f>
        <v>0</v>
      </c>
      <c r="AG232" s="149">
        <f>IF(Valores!$D$58*'Escala Docente'!D232&gt;Valores!$F$58,Valores!$F$58,Valores!$D$58*'Escala Docente'!D232)</f>
        <v>54.2048</v>
      </c>
      <c r="AH232" s="149">
        <f>IF(Valores!$D$60*D232&gt;Valores!$F$60,Valores!$F$60,Valores!$D$60*D232)</f>
        <v>15.4884</v>
      </c>
      <c r="AI232" s="163">
        <f t="shared" si="38"/>
        <v>2817.9236920000003</v>
      </c>
      <c r="AJ232" s="148">
        <f>IF(Valores!$C$36*D232&gt;Valores!$F$36,Valores!$F$36,Valores!$C$36*D232)</f>
        <v>139.58</v>
      </c>
      <c r="AK232" s="149">
        <f>IF(Valores!$C$83*D232&gt;Valores!$C$82,Valores!$C$82,Valores!$C$83*D232)</f>
        <v>325</v>
      </c>
      <c r="AL232" s="154">
        <f>IF(Valores!$C$57*D232&gt;Valores!$F$57,Valores!$F$57,Valores!$C$57*D232)</f>
        <v>22.71</v>
      </c>
      <c r="AM232" s="162">
        <f t="shared" si="36"/>
        <v>464.58000000000004</v>
      </c>
      <c r="AN232" s="148">
        <f>AI232*-Valores!$C$65</f>
        <v>-324.06122458000004</v>
      </c>
      <c r="AO232" s="146">
        <f>AI232*-Valores!$C$66</f>
        <v>-126.80656614000002</v>
      </c>
      <c r="AP232" s="170">
        <v>-159.43</v>
      </c>
      <c r="AQ232" s="170">
        <f t="shared" si="39"/>
        <v>-53.83</v>
      </c>
      <c r="AR232" s="162">
        <f t="shared" si="40"/>
        <v>2618.37590128</v>
      </c>
    </row>
    <row r="233" spans="1:44" s="137" customFormat="1" ht="11.25" customHeight="1">
      <c r="A233" s="147">
        <v>231</v>
      </c>
      <c r="B233" s="147"/>
      <c r="C233" s="147" t="s">
        <v>494</v>
      </c>
      <c r="D233" s="147">
        <v>2</v>
      </c>
      <c r="E233" s="147">
        <f t="shared" si="33"/>
        <v>41</v>
      </c>
      <c r="F233" s="155" t="str">
        <f>CONCATENATE("Hora Cátedra Enseñanza Media ",D233," hs Esc Esp")</f>
        <v>Hora Cátedra Enseñanza Media 2 hs Esc Esp</v>
      </c>
      <c r="G233" s="152">
        <f t="shared" si="41"/>
        <v>158</v>
      </c>
      <c r="H233" s="149">
        <f>INT((G233*Valores!$C$2*100)+0.49)/100</f>
        <v>1333.33</v>
      </c>
      <c r="I233" s="159">
        <v>0</v>
      </c>
      <c r="J233" s="149">
        <f>INT((I233*Valores!$C$2*100)+0.5)/100</f>
        <v>0</v>
      </c>
      <c r="K233" s="151">
        <v>0</v>
      </c>
      <c r="L233" s="149">
        <f>INT((K233*Valores!$C$2*100)+0.5)/100</f>
        <v>0</v>
      </c>
      <c r="M233" s="158">
        <v>0</v>
      </c>
      <c r="N233" s="149">
        <f>INT((M233*Valores!$C$2*100)+0.5)/100</f>
        <v>0</v>
      </c>
      <c r="O233" s="149">
        <f t="shared" si="34"/>
        <v>242.36249999999998</v>
      </c>
      <c r="P233" s="149">
        <f t="shared" si="35"/>
        <v>0</v>
      </c>
      <c r="Q233" s="148">
        <f>Valores!$C$14*D233</f>
        <v>435.68</v>
      </c>
      <c r="R233" s="148">
        <f>IF(D233&lt;15,(Valores!$E$4*D233),Valores!$D$4)</f>
        <v>575.18</v>
      </c>
      <c r="S233" s="149">
        <v>0</v>
      </c>
      <c r="T233" s="149">
        <f>IF(Valores!$C$45*D233&gt;Valores!$C$43,Valores!$C$43,Valores!$C$45*D233)</f>
        <v>130.5</v>
      </c>
      <c r="U233" s="148">
        <f>Valores!$C$22*D233</f>
        <v>151.92</v>
      </c>
      <c r="V233" s="149">
        <f t="shared" si="30"/>
        <v>151.92</v>
      </c>
      <c r="W233" s="149">
        <v>0</v>
      </c>
      <c r="X233" s="149">
        <v>0</v>
      </c>
      <c r="Y233" s="149">
        <v>0</v>
      </c>
      <c r="Z233" s="149">
        <f>Y233*Valores!$C$2</f>
        <v>0</v>
      </c>
      <c r="AA233" s="149">
        <v>0</v>
      </c>
      <c r="AB233" s="154">
        <f>IF((Valores!$C$32)*D233&gt;Valores!$F$32,Valores!$F$32,(Valores!$C$32)*D233)</f>
        <v>16.00768</v>
      </c>
      <c r="AC233" s="149">
        <f t="shared" si="37"/>
        <v>0</v>
      </c>
      <c r="AD233" s="149">
        <f>IF(Valores!$C$33*D233&gt;Valores!$F$33,Valores!$F$33,Valores!$C$33*D233)</f>
        <v>13.325312000000002</v>
      </c>
      <c r="AE233" s="157">
        <v>94</v>
      </c>
      <c r="AF233" s="149">
        <f>INT(((AE233*Valores!$C$2)*100)+0.5)/100</f>
        <v>793.25</v>
      </c>
      <c r="AG233" s="149">
        <f>IF(Valores!$D$58*'Escala Docente'!D233&gt;Valores!$F$58,Valores!$F$58,Valores!$D$58*'Escala Docente'!D233)</f>
        <v>54.2048</v>
      </c>
      <c r="AH233" s="149">
        <f>IF(Valores!$D$60*D233&gt;Valores!$F$60,Valores!$F$60,Valores!$D$60*D233)</f>
        <v>15.4884</v>
      </c>
      <c r="AI233" s="163">
        <f t="shared" si="38"/>
        <v>3761.248692</v>
      </c>
      <c r="AJ233" s="148">
        <f>IF(Valores!$C$36*D233&gt;Valores!$F$36,Valores!$F$36,Valores!$C$36*D233)</f>
        <v>139.58</v>
      </c>
      <c r="AK233" s="149">
        <f>IF(Valores!$C$83*D233&gt;Valores!$C$82,Valores!$C$82,Valores!$C$83*D233)</f>
        <v>325</v>
      </c>
      <c r="AL233" s="154">
        <f>IF(Valores!$C$57*D233&gt;Valores!$F$57,Valores!$F$57,Valores!$C$57*D233)</f>
        <v>22.71</v>
      </c>
      <c r="AM233" s="162">
        <f t="shared" si="36"/>
        <v>464.58000000000004</v>
      </c>
      <c r="AN233" s="148">
        <f>AI233*-Valores!$C$65</f>
        <v>-432.54359958000003</v>
      </c>
      <c r="AO233" s="146">
        <f>AI233*-Valores!$C$66</f>
        <v>-169.25619114</v>
      </c>
      <c r="AP233" s="170">
        <v>-159.43</v>
      </c>
      <c r="AQ233" s="170">
        <f t="shared" si="39"/>
        <v>-53.83</v>
      </c>
      <c r="AR233" s="162">
        <f t="shared" si="40"/>
        <v>3410.7689012800006</v>
      </c>
    </row>
    <row r="234" spans="1:44" s="137" customFormat="1" ht="11.25" customHeight="1">
      <c r="A234" s="147">
        <v>232</v>
      </c>
      <c r="B234" s="147"/>
      <c r="C234" s="147" t="s">
        <v>494</v>
      </c>
      <c r="D234" s="147">
        <v>3</v>
      </c>
      <c r="E234" s="147">
        <f t="shared" si="33"/>
        <v>33</v>
      </c>
      <c r="F234" s="155" t="str">
        <f>CONCATENATE("Hora Cátedra Enseñanza Media ",D234," hs")</f>
        <v>Hora Cátedra Enseñanza Media 3 hs</v>
      </c>
      <c r="G234" s="152">
        <f t="shared" si="41"/>
        <v>237</v>
      </c>
      <c r="H234" s="149">
        <f>INT((G234*Valores!$C$2*100)+0.49)/100</f>
        <v>2000</v>
      </c>
      <c r="I234" s="159">
        <v>0</v>
      </c>
      <c r="J234" s="149">
        <f>INT((I234*Valores!$C$2*100)+0.5)/100</f>
        <v>0</v>
      </c>
      <c r="K234" s="151">
        <v>0</v>
      </c>
      <c r="L234" s="149">
        <f>INT((K234*Valores!$C$2*100)+0.5)/100</f>
        <v>0</v>
      </c>
      <c r="M234" s="158">
        <v>0</v>
      </c>
      <c r="N234" s="149">
        <f>INT((M234*Valores!$C$2*100)+0.5)/100</f>
        <v>0</v>
      </c>
      <c r="O234" s="149">
        <f t="shared" si="34"/>
        <v>363.5445</v>
      </c>
      <c r="P234" s="149">
        <f t="shared" si="35"/>
        <v>0</v>
      </c>
      <c r="Q234" s="148">
        <f>Valores!$C$14*D234</f>
        <v>653.52</v>
      </c>
      <c r="R234" s="148">
        <f>IF(D234&lt;15,(Valores!$E$4*D234),Valores!$D$4)</f>
        <v>862.77</v>
      </c>
      <c r="S234" s="149">
        <v>0</v>
      </c>
      <c r="T234" s="149">
        <f>IF(Valores!$C$45*D234&gt;Valores!$C$43,Valores!$C$43,Valores!$C$45*D234)</f>
        <v>195.75</v>
      </c>
      <c r="U234" s="148">
        <f>Valores!$C$22*D234</f>
        <v>227.88</v>
      </c>
      <c r="V234" s="149">
        <f t="shared" si="30"/>
        <v>227.88</v>
      </c>
      <c r="W234" s="149">
        <v>0</v>
      </c>
      <c r="X234" s="149">
        <v>0</v>
      </c>
      <c r="Y234" s="149">
        <v>0</v>
      </c>
      <c r="Z234" s="149">
        <f>Y234*Valores!$C$2</f>
        <v>0</v>
      </c>
      <c r="AA234" s="149">
        <v>0</v>
      </c>
      <c r="AB234" s="154">
        <f>IF((Valores!$C$32)*D234&gt;Valores!$F$32,Valores!$F$32,(Valores!$C$32)*D234)</f>
        <v>24.01152</v>
      </c>
      <c r="AC234" s="149">
        <f t="shared" si="37"/>
        <v>0</v>
      </c>
      <c r="AD234" s="149">
        <f>IF(Valores!$C$33*D234&gt;Valores!$F$33,Valores!$F$33,Valores!$C$33*D234)</f>
        <v>19.987968000000002</v>
      </c>
      <c r="AE234" s="157">
        <v>0</v>
      </c>
      <c r="AF234" s="149">
        <f>INT(((AE234*Valores!$C$2)*100)+0.5)/100</f>
        <v>0</v>
      </c>
      <c r="AG234" s="149">
        <f>IF(Valores!$D$58*'Escala Docente'!D234&gt;Valores!$F$58,Valores!$F$58,Valores!$D$58*'Escala Docente'!D234)</f>
        <v>81.3072</v>
      </c>
      <c r="AH234" s="149">
        <f>IF(Valores!$D$60*D234&gt;Valores!$F$60,Valores!$F$60,Valores!$D$60*D234)</f>
        <v>23.2326</v>
      </c>
      <c r="AI234" s="163">
        <f t="shared" si="38"/>
        <v>4452.003788000001</v>
      </c>
      <c r="AJ234" s="148">
        <f>IF(Valores!$C$36*D234&gt;Valores!$F$36,Valores!$F$36,Valores!$C$36*D234)</f>
        <v>209.37</v>
      </c>
      <c r="AK234" s="149">
        <f>IF(Valores!$C$83*D234&gt;Valores!$C$82,Valores!$C$82,Valores!$C$83*D234)</f>
        <v>487.5</v>
      </c>
      <c r="AL234" s="154">
        <f>IF(Valores!$C$57*D234&gt;Valores!$F$57,Valores!$F$57,Valores!$C$57*D234)</f>
        <v>34.065</v>
      </c>
      <c r="AM234" s="162">
        <f t="shared" si="36"/>
        <v>696.87</v>
      </c>
      <c r="AN234" s="148">
        <f>AI234*-Valores!$C$65</f>
        <v>-511.98043562000015</v>
      </c>
      <c r="AO234" s="146">
        <f>AI234*-Valores!$C$66</f>
        <v>-200.34017046000002</v>
      </c>
      <c r="AP234" s="170">
        <v>-159.43</v>
      </c>
      <c r="AQ234" s="170">
        <f t="shared" si="39"/>
        <v>-53.83</v>
      </c>
      <c r="AR234" s="162">
        <f t="shared" si="40"/>
        <v>4223.29318192</v>
      </c>
    </row>
    <row r="235" spans="1:44" s="137" customFormat="1" ht="11.25" customHeight="1">
      <c r="A235" s="147">
        <v>233</v>
      </c>
      <c r="B235" s="147"/>
      <c r="C235" s="147" t="s">
        <v>494</v>
      </c>
      <c r="D235" s="147">
        <v>3</v>
      </c>
      <c r="E235" s="147">
        <f t="shared" si="33"/>
        <v>41</v>
      </c>
      <c r="F235" s="155" t="str">
        <f>CONCATENATE("Hora Cátedra Enseñanza Media ",D235," hs Esc Esp")</f>
        <v>Hora Cátedra Enseñanza Media 3 hs Esc Esp</v>
      </c>
      <c r="G235" s="152">
        <f t="shared" si="41"/>
        <v>237</v>
      </c>
      <c r="H235" s="149">
        <f>INT((G235*Valores!$C$2*100)+0.49)/100</f>
        <v>2000</v>
      </c>
      <c r="I235" s="159">
        <v>0</v>
      </c>
      <c r="J235" s="149">
        <f>INT((I235*Valores!$C$2*100)+0.5)/100</f>
        <v>0</v>
      </c>
      <c r="K235" s="151">
        <v>0</v>
      </c>
      <c r="L235" s="149">
        <f>INT((K235*Valores!$C$2*100)+0.5)/100</f>
        <v>0</v>
      </c>
      <c r="M235" s="158">
        <v>0</v>
      </c>
      <c r="N235" s="149">
        <f>INT((M235*Valores!$C$2*100)+0.5)/100</f>
        <v>0</v>
      </c>
      <c r="O235" s="149">
        <f t="shared" si="34"/>
        <v>363.5445</v>
      </c>
      <c r="P235" s="149">
        <f t="shared" si="35"/>
        <v>0</v>
      </c>
      <c r="Q235" s="148">
        <f>Valores!$C$14*D235</f>
        <v>653.52</v>
      </c>
      <c r="R235" s="148">
        <f>IF(D235&lt;15,(Valores!$E$4*D235),Valores!$D$4)</f>
        <v>862.77</v>
      </c>
      <c r="S235" s="149">
        <v>0</v>
      </c>
      <c r="T235" s="149">
        <f>IF(Valores!$C$45*D235&gt;Valores!$C$43,Valores!$C$43,Valores!$C$45*D235)</f>
        <v>195.75</v>
      </c>
      <c r="U235" s="148">
        <f>Valores!$C$22*D235</f>
        <v>227.88</v>
      </c>
      <c r="V235" s="149">
        <f t="shared" si="30"/>
        <v>227.88</v>
      </c>
      <c r="W235" s="149">
        <v>0</v>
      </c>
      <c r="X235" s="149">
        <v>0</v>
      </c>
      <c r="Y235" s="149">
        <v>0</v>
      </c>
      <c r="Z235" s="149">
        <f>Y235*Valores!$C$2</f>
        <v>0</v>
      </c>
      <c r="AA235" s="149">
        <v>0</v>
      </c>
      <c r="AB235" s="154">
        <f>IF((Valores!$C$32)*D235&gt;Valores!$F$32,Valores!$F$32,(Valores!$C$32)*D235)</f>
        <v>24.01152</v>
      </c>
      <c r="AC235" s="149">
        <f t="shared" si="37"/>
        <v>0</v>
      </c>
      <c r="AD235" s="149">
        <f>IF(Valores!$C$33*D235&gt;Valores!$F$33,Valores!$F$33,Valores!$C$33*D235)</f>
        <v>19.987968000000002</v>
      </c>
      <c r="AE235" s="157">
        <v>94</v>
      </c>
      <c r="AF235" s="149">
        <f>INT(((AE235*Valores!$C$2)*100)+0.5)/100</f>
        <v>793.25</v>
      </c>
      <c r="AG235" s="149">
        <f>IF(Valores!$D$58*'Escala Docente'!D235&gt;Valores!$F$58,Valores!$F$58,Valores!$D$58*'Escala Docente'!D235)</f>
        <v>81.3072</v>
      </c>
      <c r="AH235" s="149">
        <f>IF(Valores!$D$60*D235&gt;Valores!$F$60,Valores!$F$60,Valores!$D$60*D235)</f>
        <v>23.2326</v>
      </c>
      <c r="AI235" s="163">
        <f t="shared" si="38"/>
        <v>5245.253788000001</v>
      </c>
      <c r="AJ235" s="148">
        <f>IF(Valores!$C$36*D235&gt;Valores!$F$36,Valores!$F$36,Valores!$C$36*D235)</f>
        <v>209.37</v>
      </c>
      <c r="AK235" s="149">
        <f>IF(Valores!$C$83*D235&gt;Valores!$C$82,Valores!$C$82,Valores!$C$83*D235)</f>
        <v>487.5</v>
      </c>
      <c r="AL235" s="154">
        <f>IF(Valores!$C$57*D235&gt;Valores!$F$57,Valores!$F$57,Valores!$C$57*D235)</f>
        <v>34.065</v>
      </c>
      <c r="AM235" s="162">
        <f t="shared" si="36"/>
        <v>696.87</v>
      </c>
      <c r="AN235" s="148">
        <f>AI235*-Valores!$C$65</f>
        <v>-603.2041856200001</v>
      </c>
      <c r="AO235" s="146">
        <f>AI235*-Valores!$C$66</f>
        <v>-236.03642046000004</v>
      </c>
      <c r="AP235" s="170">
        <v>-159.43</v>
      </c>
      <c r="AQ235" s="170">
        <f t="shared" si="39"/>
        <v>-53.83</v>
      </c>
      <c r="AR235" s="162">
        <f t="shared" si="40"/>
        <v>4889.62318192</v>
      </c>
    </row>
    <row r="236" spans="1:44" s="137" customFormat="1" ht="11.25" customHeight="1">
      <c r="A236" s="147">
        <v>234</v>
      </c>
      <c r="B236" s="147"/>
      <c r="C236" s="147" t="s">
        <v>494</v>
      </c>
      <c r="D236" s="147">
        <v>4</v>
      </c>
      <c r="E236" s="147">
        <f t="shared" si="33"/>
        <v>33</v>
      </c>
      <c r="F236" s="155" t="str">
        <f>CONCATENATE("Hora Cátedra Enseñanza Media ",D236," hs")</f>
        <v>Hora Cátedra Enseñanza Media 4 hs</v>
      </c>
      <c r="G236" s="152">
        <f t="shared" si="41"/>
        <v>316</v>
      </c>
      <c r="H236" s="149">
        <f>INT((G236*Valores!$C$2*100)+0.49)/100</f>
        <v>2666.66</v>
      </c>
      <c r="I236" s="159">
        <v>0</v>
      </c>
      <c r="J236" s="149">
        <f>INT((I236*Valores!$C$2*100)+0.5)/100</f>
        <v>0</v>
      </c>
      <c r="K236" s="151">
        <v>0</v>
      </c>
      <c r="L236" s="149">
        <f>INT((K236*Valores!$C$2*100)+0.5)/100</f>
        <v>0</v>
      </c>
      <c r="M236" s="158">
        <v>0</v>
      </c>
      <c r="N236" s="149">
        <f>INT((M236*Valores!$C$2*100)+0.5)/100</f>
        <v>0</v>
      </c>
      <c r="O236" s="149">
        <f t="shared" si="34"/>
        <v>484.72499999999997</v>
      </c>
      <c r="P236" s="149">
        <f t="shared" si="35"/>
        <v>0</v>
      </c>
      <c r="Q236" s="148">
        <f>Valores!$C$14*D236</f>
        <v>871.36</v>
      </c>
      <c r="R236" s="148">
        <f>IF(D236&lt;15,(Valores!$E$4*D236),Valores!$D$4)</f>
        <v>1150.36</v>
      </c>
      <c r="S236" s="149">
        <v>0</v>
      </c>
      <c r="T236" s="149">
        <f>IF(Valores!$C$45*D236&gt;Valores!$C$43,Valores!$C$43,Valores!$C$45*D236)</f>
        <v>261</v>
      </c>
      <c r="U236" s="148">
        <f>Valores!$C$22*D236</f>
        <v>303.84</v>
      </c>
      <c r="V236" s="149">
        <f t="shared" si="30"/>
        <v>303.84</v>
      </c>
      <c r="W236" s="149">
        <v>0</v>
      </c>
      <c r="X236" s="149">
        <v>0</v>
      </c>
      <c r="Y236" s="149">
        <v>0</v>
      </c>
      <c r="Z236" s="149">
        <f>Y236*Valores!$C$2</f>
        <v>0</v>
      </c>
      <c r="AA236" s="149">
        <v>0</v>
      </c>
      <c r="AB236" s="154">
        <f>IF((Valores!$C$32)*D236&gt;Valores!$F$32,Valores!$F$32,(Valores!$C$32)*D236)</f>
        <v>32.01536</v>
      </c>
      <c r="AC236" s="149">
        <f t="shared" si="37"/>
        <v>0</v>
      </c>
      <c r="AD236" s="149">
        <f>IF(Valores!$C$33*D236&gt;Valores!$F$33,Valores!$F$33,Valores!$C$33*D236)</f>
        <v>26.650624000000004</v>
      </c>
      <c r="AE236" s="157">
        <v>0</v>
      </c>
      <c r="AF236" s="149">
        <f>INT(((AE236*Valores!$C$2)*100)+0.5)/100</f>
        <v>0</v>
      </c>
      <c r="AG236" s="149">
        <f>IF(Valores!$D$58*'Escala Docente'!D236&gt;Valores!$F$58,Valores!$F$58,Valores!$D$58*'Escala Docente'!D236)</f>
        <v>108.4096</v>
      </c>
      <c r="AH236" s="149">
        <f>IF(Valores!$D$60*D236&gt;Valores!$F$60,Valores!$F$60,Valores!$D$60*D236)</f>
        <v>30.9768</v>
      </c>
      <c r="AI236" s="163">
        <f t="shared" si="38"/>
        <v>5935.997384</v>
      </c>
      <c r="AJ236" s="148">
        <f>IF(Valores!$C$36*D236&gt;Valores!$F$36,Valores!$F$36,Valores!$C$36*D236)</f>
        <v>279.16</v>
      </c>
      <c r="AK236" s="149">
        <f>IF(Valores!$C$83*D236&gt;Valores!$C$82,Valores!$C$82,Valores!$C$83*D236)</f>
        <v>650</v>
      </c>
      <c r="AL236" s="154">
        <f>IF(Valores!$C$57*D236&gt;Valores!$F$57,Valores!$F$57,Valores!$C$57*D236)</f>
        <v>45.42</v>
      </c>
      <c r="AM236" s="162">
        <f t="shared" si="36"/>
        <v>929.1600000000001</v>
      </c>
      <c r="AN236" s="148">
        <f>AI236*-Valores!$C$65</f>
        <v>-682.6396991600001</v>
      </c>
      <c r="AO236" s="146">
        <f>AI236*-Valores!$C$66</f>
        <v>-267.11988228</v>
      </c>
      <c r="AP236" s="170">
        <v>-159.43</v>
      </c>
      <c r="AQ236" s="170">
        <f t="shared" si="39"/>
        <v>-53.83</v>
      </c>
      <c r="AR236" s="162">
        <f t="shared" si="40"/>
        <v>5702.13780256</v>
      </c>
    </row>
    <row r="237" spans="1:44" s="137" customFormat="1" ht="11.25" customHeight="1">
      <c r="A237" s="147">
        <v>235</v>
      </c>
      <c r="B237" s="147" t="s">
        <v>135</v>
      </c>
      <c r="C237" s="147" t="s">
        <v>494</v>
      </c>
      <c r="D237" s="147">
        <v>4</v>
      </c>
      <c r="E237" s="147">
        <f t="shared" si="33"/>
        <v>41</v>
      </c>
      <c r="F237" s="155" t="str">
        <f>CONCATENATE("Hora Cátedra Enseñanza Media ",D237," hs Esc Esp")</f>
        <v>Hora Cátedra Enseñanza Media 4 hs Esc Esp</v>
      </c>
      <c r="G237" s="152">
        <f t="shared" si="41"/>
        <v>316</v>
      </c>
      <c r="H237" s="149">
        <f>INT((G237*Valores!$C$2*100)+0.49)/100</f>
        <v>2666.66</v>
      </c>
      <c r="I237" s="159">
        <v>0</v>
      </c>
      <c r="J237" s="149">
        <f>INT((I237*Valores!$C$2*100)+0.5)/100</f>
        <v>0</v>
      </c>
      <c r="K237" s="151">
        <v>0</v>
      </c>
      <c r="L237" s="149">
        <f>INT((K237*Valores!$C$2*100)+0.5)/100</f>
        <v>0</v>
      </c>
      <c r="M237" s="158">
        <v>0</v>
      </c>
      <c r="N237" s="149">
        <f>INT((M237*Valores!$C$2*100)+0.5)/100</f>
        <v>0</v>
      </c>
      <c r="O237" s="149">
        <f t="shared" si="34"/>
        <v>484.72499999999997</v>
      </c>
      <c r="P237" s="149">
        <f t="shared" si="35"/>
        <v>0</v>
      </c>
      <c r="Q237" s="148">
        <f>Valores!$C$14*D237</f>
        <v>871.36</v>
      </c>
      <c r="R237" s="148">
        <f>IF(D237&lt;15,(Valores!$E$4*D237),Valores!$D$4)</f>
        <v>1150.36</v>
      </c>
      <c r="S237" s="149">
        <v>0</v>
      </c>
      <c r="T237" s="149">
        <f>IF(Valores!$C$45*D237&gt;Valores!$C$43,Valores!$C$43,Valores!$C$45*D237)</f>
        <v>261</v>
      </c>
      <c r="U237" s="148">
        <f>Valores!$C$22*D237</f>
        <v>303.84</v>
      </c>
      <c r="V237" s="149">
        <f t="shared" si="30"/>
        <v>303.84</v>
      </c>
      <c r="W237" s="149">
        <v>0</v>
      </c>
      <c r="X237" s="149">
        <v>0</v>
      </c>
      <c r="Y237" s="149">
        <v>0</v>
      </c>
      <c r="Z237" s="149">
        <f>Y237*Valores!$C$2</f>
        <v>0</v>
      </c>
      <c r="AA237" s="149">
        <v>0</v>
      </c>
      <c r="AB237" s="154">
        <f>IF((Valores!$C$32)*D237&gt;Valores!$F$32,Valores!$F$32,(Valores!$C$32)*D237)</f>
        <v>32.01536</v>
      </c>
      <c r="AC237" s="149">
        <f t="shared" si="37"/>
        <v>0</v>
      </c>
      <c r="AD237" s="149">
        <f>IF(Valores!$C$33*D237&gt;Valores!$F$33,Valores!$F$33,Valores!$C$33*D237)</f>
        <v>26.650624000000004</v>
      </c>
      <c r="AE237" s="157">
        <v>94</v>
      </c>
      <c r="AF237" s="149">
        <f>INT(((AE237*Valores!$C$2)*100)+0.5)/100</f>
        <v>793.25</v>
      </c>
      <c r="AG237" s="149">
        <f>IF(Valores!$D$58*'Escala Docente'!D237&gt;Valores!$F$58,Valores!$F$58,Valores!$D$58*'Escala Docente'!D237)</f>
        <v>108.4096</v>
      </c>
      <c r="AH237" s="149">
        <f>IF(Valores!$D$60*D237&gt;Valores!$F$60,Valores!$F$60,Valores!$D$60*D237)</f>
        <v>30.9768</v>
      </c>
      <c r="AI237" s="163">
        <f t="shared" si="38"/>
        <v>6729.247384</v>
      </c>
      <c r="AJ237" s="148">
        <f>IF(Valores!$C$36*D237&gt;Valores!$F$36,Valores!$F$36,Valores!$C$36*D237)</f>
        <v>279.16</v>
      </c>
      <c r="AK237" s="149">
        <f>IF(Valores!$C$83*D237&gt;Valores!$C$82,Valores!$C$82,Valores!$C$83*D237)</f>
        <v>650</v>
      </c>
      <c r="AL237" s="154">
        <f>IF(Valores!$C$57*D237&gt;Valores!$F$57,Valores!$F$57,Valores!$C$57*D237)</f>
        <v>45.42</v>
      </c>
      <c r="AM237" s="162">
        <f t="shared" si="36"/>
        <v>929.1600000000001</v>
      </c>
      <c r="AN237" s="148">
        <f>AI237*-Valores!$C$65</f>
        <v>-773.8634491600001</v>
      </c>
      <c r="AO237" s="146">
        <f>AI237*-Valores!$C$66</f>
        <v>-302.81613228</v>
      </c>
      <c r="AP237" s="170">
        <v>-159.43</v>
      </c>
      <c r="AQ237" s="170">
        <f t="shared" si="39"/>
        <v>-53.83</v>
      </c>
      <c r="AR237" s="162">
        <f t="shared" si="40"/>
        <v>6368.46780256</v>
      </c>
    </row>
    <row r="238" spans="1:44" s="137" customFormat="1" ht="11.25" customHeight="1">
      <c r="A238" s="147">
        <v>236</v>
      </c>
      <c r="B238" s="147"/>
      <c r="C238" s="147" t="s">
        <v>494</v>
      </c>
      <c r="D238" s="147">
        <v>5</v>
      </c>
      <c r="E238" s="147">
        <f t="shared" si="33"/>
        <v>33</v>
      </c>
      <c r="F238" s="155" t="str">
        <f>CONCATENATE("Hora Cátedra Enseñanza Media ",D238," hs")</f>
        <v>Hora Cátedra Enseñanza Media 5 hs</v>
      </c>
      <c r="G238" s="152">
        <f t="shared" si="41"/>
        <v>395</v>
      </c>
      <c r="H238" s="149">
        <f>INT((G238*Valores!$C$2*100)+0.49)/100</f>
        <v>3333.33</v>
      </c>
      <c r="I238" s="159">
        <v>0</v>
      </c>
      <c r="J238" s="149">
        <f>INT((I238*Valores!$C$2*100)+0.5)/100</f>
        <v>0</v>
      </c>
      <c r="K238" s="151">
        <v>0</v>
      </c>
      <c r="L238" s="149">
        <f>INT((K238*Valores!$C$2*100)+0.5)/100</f>
        <v>0</v>
      </c>
      <c r="M238" s="158">
        <v>0</v>
      </c>
      <c r="N238" s="149">
        <f>INT((M238*Valores!$C$2*100)+0.5)/100</f>
        <v>0</v>
      </c>
      <c r="O238" s="149">
        <f t="shared" si="34"/>
        <v>605.907</v>
      </c>
      <c r="P238" s="149">
        <f t="shared" si="35"/>
        <v>0</v>
      </c>
      <c r="Q238" s="148">
        <f>Valores!$C$14*D238</f>
        <v>1089.2</v>
      </c>
      <c r="R238" s="148">
        <f>IF(D238&lt;15,(Valores!$E$4*D238),Valores!$D$4)</f>
        <v>1437.9499999999998</v>
      </c>
      <c r="S238" s="149">
        <v>0</v>
      </c>
      <c r="T238" s="149">
        <f>IF(Valores!$C$45*D238&gt;Valores!$C$43,Valores!$C$43,Valores!$C$45*D238)</f>
        <v>326.25</v>
      </c>
      <c r="U238" s="148">
        <f>Valores!$C$22*D238</f>
        <v>379.79999999999995</v>
      </c>
      <c r="V238" s="149">
        <f t="shared" si="30"/>
        <v>379.79999999999995</v>
      </c>
      <c r="W238" s="149">
        <v>0</v>
      </c>
      <c r="X238" s="149">
        <v>0</v>
      </c>
      <c r="Y238" s="149">
        <v>0</v>
      </c>
      <c r="Z238" s="149">
        <f>Y238*Valores!$C$2</f>
        <v>0</v>
      </c>
      <c r="AA238" s="149">
        <v>0</v>
      </c>
      <c r="AB238" s="154">
        <f>IF((Valores!$C$32)*D238&gt;Valores!$F$32,Valores!$F$32,(Valores!$C$32)*D238)</f>
        <v>40.0192</v>
      </c>
      <c r="AC238" s="149">
        <f t="shared" si="37"/>
        <v>0</v>
      </c>
      <c r="AD238" s="149">
        <f>IF(Valores!$C$33*D238&gt;Valores!$F$33,Valores!$F$33,Valores!$C$33*D238)</f>
        <v>33.313280000000006</v>
      </c>
      <c r="AE238" s="157">
        <v>0</v>
      </c>
      <c r="AF238" s="149">
        <f>INT(((AE238*Valores!$C$2)*100)+0.5)/100</f>
        <v>0</v>
      </c>
      <c r="AG238" s="149">
        <f>IF(Valores!$D$58*'Escala Docente'!D238&gt;Valores!$F$58,Valores!$F$58,Valores!$D$58*'Escala Docente'!D238)</f>
        <v>135.512</v>
      </c>
      <c r="AH238" s="149">
        <f>IF(Valores!$D$60*D238&gt;Valores!$F$60,Valores!$F$60,Valores!$D$60*D238)</f>
        <v>38.721000000000004</v>
      </c>
      <c r="AI238" s="163">
        <f t="shared" si="38"/>
        <v>7420.002479999999</v>
      </c>
      <c r="AJ238" s="148">
        <f>IF(Valores!$C$36*D238&gt;Valores!$F$36,Valores!$F$36,Valores!$C$36*D238)</f>
        <v>348.95000000000005</v>
      </c>
      <c r="AK238" s="149">
        <f>IF(Valores!$C$83*D238&gt;Valores!$C$82,Valores!$C$82,Valores!$C$83*D238)</f>
        <v>812.5</v>
      </c>
      <c r="AL238" s="154">
        <f>IF(Valores!$C$57*D238&gt;Valores!$F$57,Valores!$F$57,Valores!$C$57*D238)</f>
        <v>56.775000000000006</v>
      </c>
      <c r="AM238" s="162">
        <f t="shared" si="36"/>
        <v>1161.45</v>
      </c>
      <c r="AN238" s="148">
        <f>AI238*-Valores!$C$65</f>
        <v>-853.3002852</v>
      </c>
      <c r="AO238" s="146">
        <f>AI238*-Valores!$C$66</f>
        <v>-333.90011159999995</v>
      </c>
      <c r="AP238" s="170">
        <v>-159.43</v>
      </c>
      <c r="AQ238" s="170">
        <f t="shared" si="39"/>
        <v>-53.83</v>
      </c>
      <c r="AR238" s="162">
        <f t="shared" si="40"/>
        <v>7180.9920832</v>
      </c>
    </row>
    <row r="239" spans="1:44" s="137" customFormat="1" ht="11.25" customHeight="1">
      <c r="A239" s="147">
        <v>237</v>
      </c>
      <c r="B239" s="147"/>
      <c r="C239" s="147" t="s">
        <v>494</v>
      </c>
      <c r="D239" s="147">
        <v>5</v>
      </c>
      <c r="E239" s="147">
        <f t="shared" si="33"/>
        <v>41</v>
      </c>
      <c r="F239" s="155" t="str">
        <f>CONCATENATE("Hora Cátedra Enseñanza Media ",D239," hs Esc Esp")</f>
        <v>Hora Cátedra Enseñanza Media 5 hs Esc Esp</v>
      </c>
      <c r="G239" s="152">
        <f t="shared" si="41"/>
        <v>395</v>
      </c>
      <c r="H239" s="149">
        <f>INT((G239*Valores!$C$2*100)+0.49)/100</f>
        <v>3333.33</v>
      </c>
      <c r="I239" s="159">
        <v>0</v>
      </c>
      <c r="J239" s="149">
        <f>INT((I239*Valores!$C$2*100)+0.5)/100</f>
        <v>0</v>
      </c>
      <c r="K239" s="151">
        <v>0</v>
      </c>
      <c r="L239" s="149">
        <f>INT((K239*Valores!$C$2*100)+0.5)/100</f>
        <v>0</v>
      </c>
      <c r="M239" s="158">
        <v>0</v>
      </c>
      <c r="N239" s="149">
        <f>INT((M239*Valores!$C$2*100)+0.5)/100</f>
        <v>0</v>
      </c>
      <c r="O239" s="149">
        <f t="shared" si="34"/>
        <v>605.907</v>
      </c>
      <c r="P239" s="149">
        <f t="shared" si="35"/>
        <v>0</v>
      </c>
      <c r="Q239" s="148">
        <f>Valores!$C$14*D239</f>
        <v>1089.2</v>
      </c>
      <c r="R239" s="148">
        <f>IF(D239&lt;15,(Valores!$E$4*D239),Valores!$D$4)</f>
        <v>1437.9499999999998</v>
      </c>
      <c r="S239" s="149">
        <v>0</v>
      </c>
      <c r="T239" s="149">
        <f>IF(Valores!$C$45*D239&gt;Valores!$C$43,Valores!$C$43,Valores!$C$45*D239)</f>
        <v>326.25</v>
      </c>
      <c r="U239" s="148">
        <f>Valores!$C$22*D239</f>
        <v>379.79999999999995</v>
      </c>
      <c r="V239" s="149">
        <f aca="true" t="shared" si="42" ref="V239:V302">U239*(1+$J$2)</f>
        <v>379.79999999999995</v>
      </c>
      <c r="W239" s="149">
        <v>0</v>
      </c>
      <c r="X239" s="149">
        <v>0</v>
      </c>
      <c r="Y239" s="149">
        <v>0</v>
      </c>
      <c r="Z239" s="149">
        <f>Y239*Valores!$C$2</f>
        <v>0</v>
      </c>
      <c r="AA239" s="149">
        <v>0</v>
      </c>
      <c r="AB239" s="154">
        <f>IF((Valores!$C$32)*D239&gt;Valores!$F$32,Valores!$F$32,(Valores!$C$32)*D239)</f>
        <v>40.0192</v>
      </c>
      <c r="AC239" s="149">
        <f t="shared" si="37"/>
        <v>0</v>
      </c>
      <c r="AD239" s="149">
        <f>IF(Valores!$C$33*D239&gt;Valores!$F$33,Valores!$F$33,Valores!$C$33*D239)</f>
        <v>33.313280000000006</v>
      </c>
      <c r="AE239" s="157">
        <v>94</v>
      </c>
      <c r="AF239" s="149">
        <f>INT(((AE239*Valores!$C$2)*100)+0.5)/100</f>
        <v>793.25</v>
      </c>
      <c r="AG239" s="149">
        <f>IF(Valores!$D$58*'Escala Docente'!D239&gt;Valores!$F$58,Valores!$F$58,Valores!$D$58*'Escala Docente'!D239)</f>
        <v>135.512</v>
      </c>
      <c r="AH239" s="149">
        <f>IF(Valores!$D$60*D239&gt;Valores!$F$60,Valores!$F$60,Valores!$D$60*D239)</f>
        <v>38.721000000000004</v>
      </c>
      <c r="AI239" s="163">
        <f t="shared" si="38"/>
        <v>8213.25248</v>
      </c>
      <c r="AJ239" s="148">
        <f>IF(Valores!$C$36*D239&gt;Valores!$F$36,Valores!$F$36,Valores!$C$36*D239)</f>
        <v>348.95000000000005</v>
      </c>
      <c r="AK239" s="149">
        <f>IF(Valores!$C$83*D239&gt;Valores!$C$82,Valores!$C$82,Valores!$C$83*D239)</f>
        <v>812.5</v>
      </c>
      <c r="AL239" s="154">
        <f>IF(Valores!$C$57*D239&gt;Valores!$F$57,Valores!$F$57,Valores!$C$57*D239)</f>
        <v>56.775000000000006</v>
      </c>
      <c r="AM239" s="162">
        <f t="shared" si="36"/>
        <v>1161.45</v>
      </c>
      <c r="AN239" s="148">
        <f>AI239*-Valores!$C$65</f>
        <v>-944.5240352</v>
      </c>
      <c r="AO239" s="146">
        <f>AI239*-Valores!$C$66</f>
        <v>-369.59636159999997</v>
      </c>
      <c r="AP239" s="170">
        <v>-159.43</v>
      </c>
      <c r="AQ239" s="170">
        <f t="shared" si="39"/>
        <v>-53.83</v>
      </c>
      <c r="AR239" s="162">
        <f t="shared" si="40"/>
        <v>7847.3220832</v>
      </c>
    </row>
    <row r="240" spans="1:44" s="137" customFormat="1" ht="11.25" customHeight="1">
      <c r="A240" s="147">
        <v>238</v>
      </c>
      <c r="B240" s="147"/>
      <c r="C240" s="147" t="s">
        <v>494</v>
      </c>
      <c r="D240" s="147">
        <v>6</v>
      </c>
      <c r="E240" s="147">
        <f t="shared" si="33"/>
        <v>33</v>
      </c>
      <c r="F240" s="155" t="str">
        <f>CONCATENATE("Hora Cátedra Enseñanza Media ",D240," hs")</f>
        <v>Hora Cátedra Enseñanza Media 6 hs</v>
      </c>
      <c r="G240" s="152">
        <f t="shared" si="41"/>
        <v>474</v>
      </c>
      <c r="H240" s="149">
        <f>INT((G240*Valores!$C$2*100)+0.49)/100</f>
        <v>3999.99</v>
      </c>
      <c r="I240" s="159">
        <v>0</v>
      </c>
      <c r="J240" s="149">
        <f>INT((I240*Valores!$C$2*100)+0.5)/100</f>
        <v>0</v>
      </c>
      <c r="K240" s="151">
        <v>0</v>
      </c>
      <c r="L240" s="149">
        <f>INT((K240*Valores!$C$2*100)+0.5)/100</f>
        <v>0</v>
      </c>
      <c r="M240" s="158">
        <v>0</v>
      </c>
      <c r="N240" s="149">
        <f>INT((M240*Valores!$C$2*100)+0.5)/100</f>
        <v>0</v>
      </c>
      <c r="O240" s="149">
        <f t="shared" si="34"/>
        <v>727.0875</v>
      </c>
      <c r="P240" s="149">
        <f t="shared" si="35"/>
        <v>0</v>
      </c>
      <c r="Q240" s="148">
        <f>Valores!$C$14*D240</f>
        <v>1307.04</v>
      </c>
      <c r="R240" s="148">
        <f>IF(D240&lt;15,(Valores!$E$4*D240),Valores!$D$4)</f>
        <v>1725.54</v>
      </c>
      <c r="S240" s="149">
        <v>0</v>
      </c>
      <c r="T240" s="149">
        <f>IF(Valores!$C$45*D240&gt;Valores!$C$43,Valores!$C$43,Valores!$C$45*D240)</f>
        <v>391.5</v>
      </c>
      <c r="U240" s="148">
        <f>Valores!$C$22*D240</f>
        <v>455.76</v>
      </c>
      <c r="V240" s="149">
        <f t="shared" si="42"/>
        <v>455.76</v>
      </c>
      <c r="W240" s="149">
        <v>0</v>
      </c>
      <c r="X240" s="149">
        <v>0</v>
      </c>
      <c r="Y240" s="149">
        <v>0</v>
      </c>
      <c r="Z240" s="149">
        <f>Y240*Valores!$C$2</f>
        <v>0</v>
      </c>
      <c r="AA240" s="149">
        <v>0</v>
      </c>
      <c r="AB240" s="154">
        <f>IF((Valores!$C$32)*D240&gt;Valores!$F$32,Valores!$F$32,(Valores!$C$32)*D240)</f>
        <v>48.02304</v>
      </c>
      <c r="AC240" s="149">
        <f t="shared" si="37"/>
        <v>0</v>
      </c>
      <c r="AD240" s="149">
        <f>IF(Valores!$C$33*D240&gt;Valores!$F$33,Valores!$F$33,Valores!$C$33*D240)</f>
        <v>39.975936000000004</v>
      </c>
      <c r="AE240" s="157">
        <v>0</v>
      </c>
      <c r="AF240" s="149">
        <f>INT(((AE240*Valores!$C$2)*100)+0.5)/100</f>
        <v>0</v>
      </c>
      <c r="AG240" s="149">
        <f>IF(Valores!$D$58*'Escala Docente'!D240&gt;Valores!$F$58,Valores!$F$58,Valores!$D$58*'Escala Docente'!D240)</f>
        <v>162.6144</v>
      </c>
      <c r="AH240" s="149">
        <f>IF(Valores!$D$60*D240&gt;Valores!$F$60,Valores!$F$60,Valores!$D$60*D240)</f>
        <v>46.4652</v>
      </c>
      <c r="AI240" s="163">
        <f t="shared" si="38"/>
        <v>8903.996076000001</v>
      </c>
      <c r="AJ240" s="148">
        <f>IF(Valores!$C$36*D240&gt;Valores!$F$36,Valores!$F$36,Valores!$C$36*D240)</f>
        <v>418.74</v>
      </c>
      <c r="AK240" s="149">
        <f>IF(Valores!$C$83*D240&gt;Valores!$C$82,Valores!$C$82,Valores!$C$83*D240)</f>
        <v>975</v>
      </c>
      <c r="AL240" s="154">
        <f>IF(Valores!$C$57*D240&gt;Valores!$F$57,Valores!$F$57,Valores!$C$57*D240)</f>
        <v>68.13</v>
      </c>
      <c r="AM240" s="162">
        <f t="shared" si="36"/>
        <v>1393.74</v>
      </c>
      <c r="AN240" s="148">
        <f>AI240*-Valores!$C$65</f>
        <v>-1023.9595487400002</v>
      </c>
      <c r="AO240" s="146">
        <f>AI240*-Valores!$C$66</f>
        <v>-400.67982342000005</v>
      </c>
      <c r="AP240" s="170">
        <v>-159.43</v>
      </c>
      <c r="AQ240" s="170">
        <f t="shared" si="39"/>
        <v>-53.83</v>
      </c>
      <c r="AR240" s="162">
        <f t="shared" si="40"/>
        <v>8659.836703840001</v>
      </c>
    </row>
    <row r="241" spans="1:44" s="137" customFormat="1" ht="11.25" customHeight="1">
      <c r="A241" s="147">
        <v>239</v>
      </c>
      <c r="B241" s="147"/>
      <c r="C241" s="147" t="s">
        <v>494</v>
      </c>
      <c r="D241" s="147">
        <v>6</v>
      </c>
      <c r="E241" s="147">
        <f t="shared" si="33"/>
        <v>41</v>
      </c>
      <c r="F241" s="155" t="str">
        <f>CONCATENATE("Hora Cátedra Enseñanza Media ",D241," hs Esc Esp")</f>
        <v>Hora Cátedra Enseñanza Media 6 hs Esc Esp</v>
      </c>
      <c r="G241" s="152">
        <f t="shared" si="41"/>
        <v>474</v>
      </c>
      <c r="H241" s="149">
        <f>INT((G241*Valores!$C$2*100)+0.49)/100</f>
        <v>3999.99</v>
      </c>
      <c r="I241" s="159">
        <v>0</v>
      </c>
      <c r="J241" s="149">
        <f>INT((I241*Valores!$C$2*100)+0.5)/100</f>
        <v>0</v>
      </c>
      <c r="K241" s="151">
        <v>0</v>
      </c>
      <c r="L241" s="149">
        <f>INT((K241*Valores!$C$2*100)+0.5)/100</f>
        <v>0</v>
      </c>
      <c r="M241" s="158">
        <v>0</v>
      </c>
      <c r="N241" s="149">
        <f>INT((M241*Valores!$C$2*100)+0.5)/100</f>
        <v>0</v>
      </c>
      <c r="O241" s="149">
        <f t="shared" si="34"/>
        <v>727.0875</v>
      </c>
      <c r="P241" s="149">
        <f t="shared" si="35"/>
        <v>0</v>
      </c>
      <c r="Q241" s="148">
        <f>Valores!$C$14*D241</f>
        <v>1307.04</v>
      </c>
      <c r="R241" s="148">
        <f>IF(D241&lt;15,(Valores!$E$4*D241),Valores!$D$4)</f>
        <v>1725.54</v>
      </c>
      <c r="S241" s="149">
        <v>0</v>
      </c>
      <c r="T241" s="149">
        <f>IF(Valores!$C$45*D241&gt;Valores!$C$43,Valores!$C$43,Valores!$C$45*D241)</f>
        <v>391.5</v>
      </c>
      <c r="U241" s="148">
        <f>Valores!$C$22*D241</f>
        <v>455.76</v>
      </c>
      <c r="V241" s="149">
        <f t="shared" si="42"/>
        <v>455.76</v>
      </c>
      <c r="W241" s="149">
        <v>0</v>
      </c>
      <c r="X241" s="149">
        <v>0</v>
      </c>
      <c r="Y241" s="149">
        <v>0</v>
      </c>
      <c r="Z241" s="149">
        <f>Y241*Valores!$C$2</f>
        <v>0</v>
      </c>
      <c r="AA241" s="149">
        <v>0</v>
      </c>
      <c r="AB241" s="154">
        <f>IF((Valores!$C$32)*D241&gt;Valores!$F$32,Valores!$F$32,(Valores!$C$32)*D241)</f>
        <v>48.02304</v>
      </c>
      <c r="AC241" s="149">
        <f t="shared" si="37"/>
        <v>0</v>
      </c>
      <c r="AD241" s="149">
        <f>IF(Valores!$C$33*D241&gt;Valores!$F$33,Valores!$F$33,Valores!$C$33*D241)</f>
        <v>39.975936000000004</v>
      </c>
      <c r="AE241" s="157">
        <v>94</v>
      </c>
      <c r="AF241" s="149">
        <f>INT(((AE241*Valores!$C$2)*100)+0.5)/100</f>
        <v>793.25</v>
      </c>
      <c r="AG241" s="149">
        <f>IF(Valores!$D$58*'Escala Docente'!D241&gt;Valores!$F$58,Valores!$F$58,Valores!$D$58*'Escala Docente'!D241)</f>
        <v>162.6144</v>
      </c>
      <c r="AH241" s="149">
        <f>IF(Valores!$D$60*D241&gt;Valores!$F$60,Valores!$F$60,Valores!$D$60*D241)</f>
        <v>46.4652</v>
      </c>
      <c r="AI241" s="163">
        <f t="shared" si="38"/>
        <v>9697.246076000001</v>
      </c>
      <c r="AJ241" s="148">
        <f>IF(Valores!$C$36*D241&gt;Valores!$F$36,Valores!$F$36,Valores!$C$36*D241)</f>
        <v>418.74</v>
      </c>
      <c r="AK241" s="149">
        <f>IF(Valores!$C$83*D241&gt;Valores!$C$82,Valores!$C$82,Valores!$C$83*D241)</f>
        <v>975</v>
      </c>
      <c r="AL241" s="154">
        <f>IF(Valores!$C$57*D241&gt;Valores!$F$57,Valores!$F$57,Valores!$C$57*D241)</f>
        <v>68.13</v>
      </c>
      <c r="AM241" s="162">
        <f t="shared" si="36"/>
        <v>1393.74</v>
      </c>
      <c r="AN241" s="148">
        <f>AI241*-Valores!$C$65</f>
        <v>-1115.1832987400003</v>
      </c>
      <c r="AO241" s="146">
        <f>AI241*-Valores!$C$66</f>
        <v>-436.37607342000007</v>
      </c>
      <c r="AP241" s="170">
        <v>-159.43</v>
      </c>
      <c r="AQ241" s="170">
        <f t="shared" si="39"/>
        <v>-53.83</v>
      </c>
      <c r="AR241" s="162">
        <f t="shared" si="40"/>
        <v>9326.16670384</v>
      </c>
    </row>
    <row r="242" spans="1:44" s="137" customFormat="1" ht="11.25" customHeight="1">
      <c r="A242" s="147">
        <v>240</v>
      </c>
      <c r="B242" s="147" t="s">
        <v>135</v>
      </c>
      <c r="C242" s="147" t="s">
        <v>494</v>
      </c>
      <c r="D242" s="147">
        <v>7</v>
      </c>
      <c r="E242" s="147">
        <f t="shared" si="33"/>
        <v>33</v>
      </c>
      <c r="F242" s="155" t="str">
        <f>CONCATENATE("Hora Cátedra Enseñanza Media ",D242," hs")</f>
        <v>Hora Cátedra Enseñanza Media 7 hs</v>
      </c>
      <c r="G242" s="152">
        <f t="shared" si="41"/>
        <v>553</v>
      </c>
      <c r="H242" s="149">
        <f>INT((G242*Valores!$C$2*100)+0.49)/100</f>
        <v>4666.66</v>
      </c>
      <c r="I242" s="159">
        <v>0</v>
      </c>
      <c r="J242" s="149">
        <f>INT((I242*Valores!$C$2*100)+0.5)/100</f>
        <v>0</v>
      </c>
      <c r="K242" s="151">
        <v>0</v>
      </c>
      <c r="L242" s="149">
        <f>INT((K242*Valores!$C$2*100)+0.5)/100</f>
        <v>0</v>
      </c>
      <c r="M242" s="158">
        <v>0</v>
      </c>
      <c r="N242" s="149">
        <f>INT((M242*Valores!$C$2*100)+0.5)/100</f>
        <v>0</v>
      </c>
      <c r="O242" s="149">
        <f t="shared" si="34"/>
        <v>848.2695</v>
      </c>
      <c r="P242" s="149">
        <f t="shared" si="35"/>
        <v>0</v>
      </c>
      <c r="Q242" s="148">
        <f>Valores!$C$14*D242</f>
        <v>1524.88</v>
      </c>
      <c r="R242" s="148">
        <f>IF(D242&lt;15,(Valores!$E$4*D242),Valores!$D$4)</f>
        <v>2013.1299999999999</v>
      </c>
      <c r="S242" s="149">
        <v>0</v>
      </c>
      <c r="T242" s="149">
        <f>IF(Valores!$C$45*D242&gt;Valores!$C$43,Valores!$C$43,Valores!$C$45*D242)</f>
        <v>456.75</v>
      </c>
      <c r="U242" s="148">
        <f>Valores!$C$22*D242</f>
        <v>531.7199999999999</v>
      </c>
      <c r="V242" s="149">
        <f t="shared" si="42"/>
        <v>531.7199999999999</v>
      </c>
      <c r="W242" s="149">
        <v>0</v>
      </c>
      <c r="X242" s="149">
        <v>0</v>
      </c>
      <c r="Y242" s="149">
        <v>0</v>
      </c>
      <c r="Z242" s="149">
        <f>Y242*Valores!$C$2</f>
        <v>0</v>
      </c>
      <c r="AA242" s="149">
        <v>0</v>
      </c>
      <c r="AB242" s="154">
        <f>IF((Valores!$C$32)*D242&gt;Valores!$F$32,Valores!$F$32,(Valores!$C$32)*D242)</f>
        <v>56.026880000000006</v>
      </c>
      <c r="AC242" s="149">
        <f t="shared" si="37"/>
        <v>0</v>
      </c>
      <c r="AD242" s="149">
        <f>IF(Valores!$C$33*D242&gt;Valores!$F$33,Valores!$F$33,Valores!$C$33*D242)</f>
        <v>46.63859200000001</v>
      </c>
      <c r="AE242" s="157">
        <v>0</v>
      </c>
      <c r="AF242" s="149">
        <f>INT(((AE242*Valores!$C$2)*100)+0.5)/100</f>
        <v>0</v>
      </c>
      <c r="AG242" s="149">
        <f>IF(Valores!$D$58*'Escala Docente'!D242&gt;Valores!$F$58,Valores!$F$58,Valores!$D$58*'Escala Docente'!D242)</f>
        <v>189.7168</v>
      </c>
      <c r="AH242" s="149">
        <f>IF(Valores!$D$60*D242&gt;Valores!$F$60,Valores!$F$60,Valores!$D$60*D242)</f>
        <v>54.2094</v>
      </c>
      <c r="AI242" s="163">
        <f t="shared" si="38"/>
        <v>10388.001171999998</v>
      </c>
      <c r="AJ242" s="148">
        <f>IF(Valores!$C$36*D242&gt;Valores!$F$36,Valores!$F$36,Valores!$C$36*D242)</f>
        <v>488.53000000000003</v>
      </c>
      <c r="AK242" s="149">
        <f>IF(Valores!$C$83*D242&gt;Valores!$C$82,Valores!$C$82,Valores!$C$83*D242)</f>
        <v>1137.5</v>
      </c>
      <c r="AL242" s="154">
        <f>IF(Valores!$C$57*D242&gt;Valores!$F$57,Valores!$F$57,Valores!$C$57*D242)</f>
        <v>79.485</v>
      </c>
      <c r="AM242" s="162">
        <f t="shared" si="36"/>
        <v>1626.03</v>
      </c>
      <c r="AN242" s="148">
        <f>AI242*-Valores!$C$65</f>
        <v>-1194.62013478</v>
      </c>
      <c r="AO242" s="146">
        <f>AI242*-Valores!$C$66</f>
        <v>-467.4600527399999</v>
      </c>
      <c r="AP242" s="170">
        <v>-159.43</v>
      </c>
      <c r="AQ242" s="170">
        <f t="shared" si="39"/>
        <v>-53.83</v>
      </c>
      <c r="AR242" s="162">
        <f t="shared" si="40"/>
        <v>10138.69098448</v>
      </c>
    </row>
    <row r="243" spans="1:44" s="137" customFormat="1" ht="11.25" customHeight="1">
      <c r="A243" s="147">
        <v>241</v>
      </c>
      <c r="B243" s="147"/>
      <c r="C243" s="147" t="s">
        <v>494</v>
      </c>
      <c r="D243" s="147">
        <v>7</v>
      </c>
      <c r="E243" s="147">
        <f t="shared" si="33"/>
        <v>41</v>
      </c>
      <c r="F243" s="155" t="str">
        <f>CONCATENATE("Hora Cátedra Enseñanza Media ",D243," hs Esc Esp")</f>
        <v>Hora Cátedra Enseñanza Media 7 hs Esc Esp</v>
      </c>
      <c r="G243" s="152">
        <f t="shared" si="41"/>
        <v>553</v>
      </c>
      <c r="H243" s="149">
        <f>INT((G243*Valores!$C$2*100)+0.49)/100</f>
        <v>4666.66</v>
      </c>
      <c r="I243" s="159">
        <v>0</v>
      </c>
      <c r="J243" s="149">
        <f>INT((I243*Valores!$C$2*100)+0.5)/100</f>
        <v>0</v>
      </c>
      <c r="K243" s="151">
        <v>0</v>
      </c>
      <c r="L243" s="149">
        <f>INT((K243*Valores!$C$2*100)+0.5)/100</f>
        <v>0</v>
      </c>
      <c r="M243" s="158">
        <v>0</v>
      </c>
      <c r="N243" s="149">
        <f>INT((M243*Valores!$C$2*100)+0.5)/100</f>
        <v>0</v>
      </c>
      <c r="O243" s="149">
        <f t="shared" si="34"/>
        <v>848.2695</v>
      </c>
      <c r="P243" s="149">
        <f t="shared" si="35"/>
        <v>0</v>
      </c>
      <c r="Q243" s="148">
        <f>Valores!$C$14*D243</f>
        <v>1524.88</v>
      </c>
      <c r="R243" s="148">
        <f>IF(D243&lt;15,(Valores!$E$4*D243),Valores!$D$4)</f>
        <v>2013.1299999999999</v>
      </c>
      <c r="S243" s="149">
        <v>0</v>
      </c>
      <c r="T243" s="149">
        <f>IF(Valores!$C$45*D243&gt;Valores!$C$43,Valores!$C$43,Valores!$C$45*D243)</f>
        <v>456.75</v>
      </c>
      <c r="U243" s="148">
        <f>Valores!$C$22*D243</f>
        <v>531.7199999999999</v>
      </c>
      <c r="V243" s="149">
        <f t="shared" si="42"/>
        <v>531.7199999999999</v>
      </c>
      <c r="W243" s="149">
        <v>0</v>
      </c>
      <c r="X243" s="149">
        <v>0</v>
      </c>
      <c r="Y243" s="149">
        <v>0</v>
      </c>
      <c r="Z243" s="149">
        <f>Y243*Valores!$C$2</f>
        <v>0</v>
      </c>
      <c r="AA243" s="149">
        <v>0</v>
      </c>
      <c r="AB243" s="154">
        <f>IF((Valores!$C$32)*D243&gt;Valores!$F$32,Valores!$F$32,(Valores!$C$32)*D243)</f>
        <v>56.026880000000006</v>
      </c>
      <c r="AC243" s="149">
        <f t="shared" si="37"/>
        <v>0</v>
      </c>
      <c r="AD243" s="149">
        <f>IF(Valores!$C$33*D243&gt;Valores!$F$33,Valores!$F$33,Valores!$C$33*D243)</f>
        <v>46.63859200000001</v>
      </c>
      <c r="AE243" s="157">
        <v>94</v>
      </c>
      <c r="AF243" s="149">
        <f>INT(((AE243*Valores!$C$2)*100)+0.5)/100</f>
        <v>793.25</v>
      </c>
      <c r="AG243" s="149">
        <f>IF(Valores!$D$58*'Escala Docente'!D243&gt;Valores!$F$58,Valores!$F$58,Valores!$D$58*'Escala Docente'!D243)</f>
        <v>189.7168</v>
      </c>
      <c r="AH243" s="149">
        <f>IF(Valores!$D$60*D243&gt;Valores!$F$60,Valores!$F$60,Valores!$D$60*D243)</f>
        <v>54.2094</v>
      </c>
      <c r="AI243" s="163">
        <f t="shared" si="38"/>
        <v>11181.251171999998</v>
      </c>
      <c r="AJ243" s="148">
        <f>IF(Valores!$C$36*D243&gt;Valores!$F$36,Valores!$F$36,Valores!$C$36*D243)</f>
        <v>488.53000000000003</v>
      </c>
      <c r="AK243" s="149">
        <f>IF(Valores!$C$83*D243&gt;Valores!$C$82,Valores!$C$82,Valores!$C$83*D243)</f>
        <v>1137.5</v>
      </c>
      <c r="AL243" s="154">
        <f>IF(Valores!$C$57*D243&gt;Valores!$F$57,Valores!$F$57,Valores!$C$57*D243)</f>
        <v>79.485</v>
      </c>
      <c r="AM243" s="162">
        <f t="shared" si="36"/>
        <v>1626.03</v>
      </c>
      <c r="AN243" s="148">
        <f>AI243*-Valores!$C$65</f>
        <v>-1285.8438847799998</v>
      </c>
      <c r="AO243" s="146">
        <f>AI243*-Valores!$C$66</f>
        <v>-503.1563027399999</v>
      </c>
      <c r="AP243" s="170">
        <v>-159.43</v>
      </c>
      <c r="AQ243" s="170">
        <f t="shared" si="39"/>
        <v>-53.83</v>
      </c>
      <c r="AR243" s="162">
        <f t="shared" si="40"/>
        <v>10805.02098448</v>
      </c>
    </row>
    <row r="244" spans="1:44" s="137" customFormat="1" ht="11.25" customHeight="1">
      <c r="A244" s="147">
        <v>242</v>
      </c>
      <c r="B244" s="147"/>
      <c r="C244" s="147" t="s">
        <v>494</v>
      </c>
      <c r="D244" s="147">
        <v>8</v>
      </c>
      <c r="E244" s="147">
        <f t="shared" si="33"/>
        <v>33</v>
      </c>
      <c r="F244" s="155" t="str">
        <f>CONCATENATE("Hora Cátedra Enseñanza Media ",D244," hs")</f>
        <v>Hora Cátedra Enseñanza Media 8 hs</v>
      </c>
      <c r="G244" s="152">
        <f t="shared" si="41"/>
        <v>632</v>
      </c>
      <c r="H244" s="149">
        <f>INT((G244*Valores!$C$2*100)+0.49)/100</f>
        <v>5333.32</v>
      </c>
      <c r="I244" s="159">
        <v>0</v>
      </c>
      <c r="J244" s="149">
        <f>INT((I244*Valores!$C$2*100)+0.5)/100</f>
        <v>0</v>
      </c>
      <c r="K244" s="151">
        <v>0</v>
      </c>
      <c r="L244" s="149">
        <f>INT((K244*Valores!$C$2*100)+0.5)/100</f>
        <v>0</v>
      </c>
      <c r="M244" s="158">
        <v>0</v>
      </c>
      <c r="N244" s="149">
        <f>INT((M244*Valores!$C$2*100)+0.5)/100</f>
        <v>0</v>
      </c>
      <c r="O244" s="149">
        <f t="shared" si="34"/>
        <v>969.4499999999999</v>
      </c>
      <c r="P244" s="149">
        <f t="shared" si="35"/>
        <v>0</v>
      </c>
      <c r="Q244" s="148">
        <f>Valores!$C$14*D244</f>
        <v>1742.72</v>
      </c>
      <c r="R244" s="148">
        <f>IF(D244&lt;15,(Valores!$E$4*D244),Valores!$D$4)</f>
        <v>2300.72</v>
      </c>
      <c r="S244" s="149">
        <v>0</v>
      </c>
      <c r="T244" s="149">
        <f>IF(Valores!$C$45*D244&gt;Valores!$C$43,Valores!$C$43,Valores!$C$45*D244)</f>
        <v>522</v>
      </c>
      <c r="U244" s="148">
        <f>Valores!$C$22*D244</f>
        <v>607.68</v>
      </c>
      <c r="V244" s="149">
        <f t="shared" si="42"/>
        <v>607.68</v>
      </c>
      <c r="W244" s="149">
        <v>0</v>
      </c>
      <c r="X244" s="149">
        <v>0</v>
      </c>
      <c r="Y244" s="149">
        <v>0</v>
      </c>
      <c r="Z244" s="149">
        <f>Y244*Valores!$C$2</f>
        <v>0</v>
      </c>
      <c r="AA244" s="149">
        <v>0</v>
      </c>
      <c r="AB244" s="154">
        <f>IF((Valores!$C$32)*D244&gt;Valores!$F$32,Valores!$F$32,(Valores!$C$32)*D244)</f>
        <v>64.03072</v>
      </c>
      <c r="AC244" s="149">
        <f t="shared" si="37"/>
        <v>0</v>
      </c>
      <c r="AD244" s="149">
        <f>IF(Valores!$C$33*D244&gt;Valores!$F$33,Valores!$F$33,Valores!$C$33*D244)</f>
        <v>53.30124800000001</v>
      </c>
      <c r="AE244" s="157">
        <v>0</v>
      </c>
      <c r="AF244" s="149">
        <f>INT(((AE244*Valores!$C$2)*100)+0.5)/100</f>
        <v>0</v>
      </c>
      <c r="AG244" s="149">
        <f>IF(Valores!$D$58*'Escala Docente'!D244&gt;Valores!$F$58,Valores!$F$58,Valores!$D$58*'Escala Docente'!D244)</f>
        <v>216.8192</v>
      </c>
      <c r="AH244" s="149">
        <f>IF(Valores!$D$60*D244&gt;Valores!$F$60,Valores!$F$60,Valores!$D$60*D244)</f>
        <v>61.9536</v>
      </c>
      <c r="AI244" s="163">
        <f t="shared" si="38"/>
        <v>11871.994768</v>
      </c>
      <c r="AJ244" s="148">
        <f>IF(Valores!$C$36*D244&gt;Valores!$F$36,Valores!$F$36,Valores!$C$36*D244)</f>
        <v>558.32</v>
      </c>
      <c r="AK244" s="149">
        <f>IF(Valores!$C$83*D244&gt;Valores!$C$82,Valores!$C$82,Valores!$C$83*D244)</f>
        <v>1300</v>
      </c>
      <c r="AL244" s="154">
        <f>IF(Valores!$C$57*D244&gt;Valores!$F$57,Valores!$F$57,Valores!$C$57*D244)</f>
        <v>90.84</v>
      </c>
      <c r="AM244" s="162">
        <f t="shared" si="36"/>
        <v>1858.3200000000002</v>
      </c>
      <c r="AN244" s="148">
        <f>AI244*-Valores!$C$65</f>
        <v>-1365.2793983200002</v>
      </c>
      <c r="AO244" s="146">
        <f>AI244*-Valores!$C$66</f>
        <v>-534.23976456</v>
      </c>
      <c r="AP244" s="170">
        <v>-159.43</v>
      </c>
      <c r="AQ244" s="170">
        <f t="shared" si="39"/>
        <v>-53.83</v>
      </c>
      <c r="AR244" s="162">
        <f t="shared" si="40"/>
        <v>11617.53560512</v>
      </c>
    </row>
    <row r="245" spans="1:44" s="137" customFormat="1" ht="11.25" customHeight="1">
      <c r="A245" s="147">
        <v>243</v>
      </c>
      <c r="B245" s="147"/>
      <c r="C245" s="147" t="s">
        <v>494</v>
      </c>
      <c r="D245" s="147">
        <v>8</v>
      </c>
      <c r="E245" s="147">
        <f t="shared" si="33"/>
        <v>41</v>
      </c>
      <c r="F245" s="155" t="str">
        <f>CONCATENATE("Hora Cátedra Enseñanza Media ",D245," hs Esc Esp")</f>
        <v>Hora Cátedra Enseñanza Media 8 hs Esc Esp</v>
      </c>
      <c r="G245" s="152">
        <f t="shared" si="41"/>
        <v>632</v>
      </c>
      <c r="H245" s="149">
        <f>INT((G245*Valores!$C$2*100)+0.49)/100</f>
        <v>5333.32</v>
      </c>
      <c r="I245" s="159">
        <v>0</v>
      </c>
      <c r="J245" s="149">
        <f>INT((I245*Valores!$C$2*100)+0.5)/100</f>
        <v>0</v>
      </c>
      <c r="K245" s="151">
        <v>0</v>
      </c>
      <c r="L245" s="149">
        <f>INT((K245*Valores!$C$2*100)+0.5)/100</f>
        <v>0</v>
      </c>
      <c r="M245" s="158">
        <v>0</v>
      </c>
      <c r="N245" s="149">
        <f>INT((M245*Valores!$C$2*100)+0.5)/100</f>
        <v>0</v>
      </c>
      <c r="O245" s="149">
        <f t="shared" si="34"/>
        <v>969.4499999999999</v>
      </c>
      <c r="P245" s="149">
        <f t="shared" si="35"/>
        <v>0</v>
      </c>
      <c r="Q245" s="148">
        <f>Valores!$C$14*D245</f>
        <v>1742.72</v>
      </c>
      <c r="R245" s="148">
        <f>IF(D245&lt;15,(Valores!$E$4*D245),Valores!$D$4)</f>
        <v>2300.72</v>
      </c>
      <c r="S245" s="149">
        <v>0</v>
      </c>
      <c r="T245" s="149">
        <f>IF(Valores!$C$45*D245&gt;Valores!$C$43,Valores!$C$43,Valores!$C$45*D245)</f>
        <v>522</v>
      </c>
      <c r="U245" s="148">
        <f>Valores!$C$22*D245</f>
        <v>607.68</v>
      </c>
      <c r="V245" s="149">
        <f t="shared" si="42"/>
        <v>607.68</v>
      </c>
      <c r="W245" s="149">
        <v>0</v>
      </c>
      <c r="X245" s="149">
        <v>0</v>
      </c>
      <c r="Y245" s="149">
        <v>0</v>
      </c>
      <c r="Z245" s="149">
        <f>Y245*Valores!$C$2</f>
        <v>0</v>
      </c>
      <c r="AA245" s="149">
        <v>0</v>
      </c>
      <c r="AB245" s="154">
        <f>IF((Valores!$C$32)*D245&gt;Valores!$F$32,Valores!$F$32,(Valores!$C$32)*D245)</f>
        <v>64.03072</v>
      </c>
      <c r="AC245" s="149">
        <f t="shared" si="37"/>
        <v>0</v>
      </c>
      <c r="AD245" s="149">
        <f>IF(Valores!$C$33*D245&gt;Valores!$F$33,Valores!$F$33,Valores!$C$33*D245)</f>
        <v>53.30124800000001</v>
      </c>
      <c r="AE245" s="157">
        <v>94</v>
      </c>
      <c r="AF245" s="149">
        <f>INT(((AE245*Valores!$C$2)*100)+0.5)/100</f>
        <v>793.25</v>
      </c>
      <c r="AG245" s="149">
        <f>IF(Valores!$D$58*'Escala Docente'!D245&gt;Valores!$F$58,Valores!$F$58,Valores!$D$58*'Escala Docente'!D245)</f>
        <v>216.8192</v>
      </c>
      <c r="AH245" s="149">
        <f>IF(Valores!$D$60*D245&gt;Valores!$F$60,Valores!$F$60,Valores!$D$60*D245)</f>
        <v>61.9536</v>
      </c>
      <c r="AI245" s="163">
        <f t="shared" si="38"/>
        <v>12665.244768</v>
      </c>
      <c r="AJ245" s="148">
        <f>IF(Valores!$C$36*D245&gt;Valores!$F$36,Valores!$F$36,Valores!$C$36*D245)</f>
        <v>558.32</v>
      </c>
      <c r="AK245" s="149">
        <f>IF(Valores!$C$83*D245&gt;Valores!$C$82,Valores!$C$82,Valores!$C$83*D245)</f>
        <v>1300</v>
      </c>
      <c r="AL245" s="154">
        <f>IF(Valores!$C$57*D245&gt;Valores!$F$57,Valores!$F$57,Valores!$C$57*D245)</f>
        <v>90.84</v>
      </c>
      <c r="AM245" s="162">
        <f t="shared" si="36"/>
        <v>1858.3200000000002</v>
      </c>
      <c r="AN245" s="148">
        <f>AI245*-Valores!$C$65</f>
        <v>-1456.50314832</v>
      </c>
      <c r="AO245" s="146">
        <f>AI245*-Valores!$C$66</f>
        <v>-569.93601456</v>
      </c>
      <c r="AP245" s="170">
        <v>-159.43</v>
      </c>
      <c r="AQ245" s="170">
        <f t="shared" si="39"/>
        <v>-53.83</v>
      </c>
      <c r="AR245" s="162">
        <f t="shared" si="40"/>
        <v>12283.86560512</v>
      </c>
    </row>
    <row r="246" spans="1:44" s="137" customFormat="1" ht="11.25" customHeight="1">
      <c r="A246" s="147">
        <v>244</v>
      </c>
      <c r="B246" s="147"/>
      <c r="C246" s="147" t="s">
        <v>494</v>
      </c>
      <c r="D246" s="147">
        <v>9</v>
      </c>
      <c r="E246" s="147">
        <f t="shared" si="33"/>
        <v>33</v>
      </c>
      <c r="F246" s="155" t="str">
        <f>CONCATENATE("Hora Cátedra Enseñanza Media ",D246," hs")</f>
        <v>Hora Cátedra Enseñanza Media 9 hs</v>
      </c>
      <c r="G246" s="152">
        <f t="shared" si="41"/>
        <v>711</v>
      </c>
      <c r="H246" s="149">
        <f>INT((G246*Valores!$C$2*100)+0.49)/100</f>
        <v>5999.99</v>
      </c>
      <c r="I246" s="159">
        <v>0</v>
      </c>
      <c r="J246" s="149">
        <f>INT((I246*Valores!$C$2*100)+0.5)/100</f>
        <v>0</v>
      </c>
      <c r="K246" s="151">
        <v>0</v>
      </c>
      <c r="L246" s="149">
        <f>INT((K246*Valores!$C$2*100)+0.5)/100</f>
        <v>0</v>
      </c>
      <c r="M246" s="158">
        <v>0</v>
      </c>
      <c r="N246" s="149">
        <f>INT((M246*Valores!$C$2*100)+0.5)/100</f>
        <v>0</v>
      </c>
      <c r="O246" s="149">
        <f t="shared" si="34"/>
        <v>1090.632</v>
      </c>
      <c r="P246" s="149">
        <f t="shared" si="35"/>
        <v>0</v>
      </c>
      <c r="Q246" s="148">
        <f>Valores!$C$14*D246</f>
        <v>1960.56</v>
      </c>
      <c r="R246" s="148">
        <f>IF(D246&lt;15,(Valores!$E$4*D246),Valores!$D$4)</f>
        <v>2588.31</v>
      </c>
      <c r="S246" s="149">
        <v>0</v>
      </c>
      <c r="T246" s="149">
        <f>IF(Valores!$C$45*D246&gt;Valores!$C$43,Valores!$C$43,Valores!$C$45*D246)</f>
        <v>587.25</v>
      </c>
      <c r="U246" s="148">
        <f>Valores!$C$22*D246</f>
        <v>683.64</v>
      </c>
      <c r="V246" s="149">
        <f t="shared" si="42"/>
        <v>683.64</v>
      </c>
      <c r="W246" s="149">
        <v>0</v>
      </c>
      <c r="X246" s="149">
        <v>0</v>
      </c>
      <c r="Y246" s="149">
        <v>0</v>
      </c>
      <c r="Z246" s="149">
        <f>Y246*Valores!$C$2</f>
        <v>0</v>
      </c>
      <c r="AA246" s="149">
        <v>0</v>
      </c>
      <c r="AB246" s="154">
        <f>IF((Valores!$C$32)*D246&gt;Valores!$F$32,Valores!$F$32,(Valores!$C$32)*D246)</f>
        <v>72.03456</v>
      </c>
      <c r="AC246" s="149">
        <f t="shared" si="37"/>
        <v>0</v>
      </c>
      <c r="AD246" s="149">
        <f>IF(Valores!$C$33*D246&gt;Valores!$F$33,Valores!$F$33,Valores!$C$33*D246)</f>
        <v>59.96390400000001</v>
      </c>
      <c r="AE246" s="157">
        <v>0</v>
      </c>
      <c r="AF246" s="149">
        <f>INT(((AE246*Valores!$C$2)*100)+0.5)/100</f>
        <v>0</v>
      </c>
      <c r="AG246" s="149">
        <f>IF(Valores!$D$58*'Escala Docente'!D246&gt;Valores!$F$58,Valores!$F$58,Valores!$D$58*'Escala Docente'!D246)</f>
        <v>243.92159999999998</v>
      </c>
      <c r="AH246" s="149">
        <f>IF(Valores!$D$60*D246&gt;Valores!$F$60,Valores!$F$60,Valores!$D$60*D246)</f>
        <v>69.6978</v>
      </c>
      <c r="AI246" s="163">
        <f t="shared" si="38"/>
        <v>13355.999863999998</v>
      </c>
      <c r="AJ246" s="148">
        <f>IF(Valores!$C$36*D246&gt;Valores!$F$36,Valores!$F$36,Valores!$C$36*D246)</f>
        <v>628.11</v>
      </c>
      <c r="AK246" s="149">
        <f>IF(Valores!$C$83*D246&gt;Valores!$C$82,Valores!$C$82,Valores!$C$83*D246)</f>
        <v>1462.5</v>
      </c>
      <c r="AL246" s="154">
        <f>IF(Valores!$C$57*D246&gt;Valores!$F$57,Valores!$F$57,Valores!$C$57*D246)</f>
        <v>102.19500000000001</v>
      </c>
      <c r="AM246" s="162">
        <f t="shared" si="36"/>
        <v>2090.61</v>
      </c>
      <c r="AN246" s="148">
        <f>AI246*-Valores!$C$65</f>
        <v>-1535.9399843599997</v>
      </c>
      <c r="AO246" s="146">
        <f>AI246*-Valores!$C$66</f>
        <v>-601.0199938799999</v>
      </c>
      <c r="AP246" s="170">
        <v>-159.43</v>
      </c>
      <c r="AQ246" s="170">
        <f t="shared" si="39"/>
        <v>-53.83</v>
      </c>
      <c r="AR246" s="162">
        <f t="shared" si="40"/>
        <v>13096.389885759998</v>
      </c>
    </row>
    <row r="247" spans="1:44" s="137" customFormat="1" ht="11.25" customHeight="1">
      <c r="A247" s="147">
        <v>245</v>
      </c>
      <c r="B247" s="147" t="s">
        <v>135</v>
      </c>
      <c r="C247" s="147" t="s">
        <v>494</v>
      </c>
      <c r="D247" s="147">
        <v>9</v>
      </c>
      <c r="E247" s="147">
        <f t="shared" si="33"/>
        <v>41</v>
      </c>
      <c r="F247" s="155" t="str">
        <f>CONCATENATE("Hora Cátedra Enseñanza Media ",D247," hs Esc Esp")</f>
        <v>Hora Cátedra Enseñanza Media 9 hs Esc Esp</v>
      </c>
      <c r="G247" s="152">
        <f t="shared" si="41"/>
        <v>711</v>
      </c>
      <c r="H247" s="149">
        <f>INT((G247*Valores!$C$2*100)+0.49)/100</f>
        <v>5999.99</v>
      </c>
      <c r="I247" s="159">
        <v>0</v>
      </c>
      <c r="J247" s="149">
        <f>INT((I247*Valores!$C$2*100)+0.5)/100</f>
        <v>0</v>
      </c>
      <c r="K247" s="151">
        <v>0</v>
      </c>
      <c r="L247" s="149">
        <f>INT((K247*Valores!$C$2*100)+0.5)/100</f>
        <v>0</v>
      </c>
      <c r="M247" s="158">
        <v>0</v>
      </c>
      <c r="N247" s="149">
        <f>INT((M247*Valores!$C$2*100)+0.5)/100</f>
        <v>0</v>
      </c>
      <c r="O247" s="149">
        <f t="shared" si="34"/>
        <v>1090.632</v>
      </c>
      <c r="P247" s="149">
        <f t="shared" si="35"/>
        <v>0</v>
      </c>
      <c r="Q247" s="148">
        <f>Valores!$C$14*D247</f>
        <v>1960.56</v>
      </c>
      <c r="R247" s="148">
        <f>IF(D247&lt;15,(Valores!$E$4*D247),Valores!$D$4)</f>
        <v>2588.31</v>
      </c>
      <c r="S247" s="149">
        <v>0</v>
      </c>
      <c r="T247" s="149">
        <f>IF(Valores!$C$45*D247&gt;Valores!$C$43,Valores!$C$43,Valores!$C$45*D247)</f>
        <v>587.25</v>
      </c>
      <c r="U247" s="148">
        <f>Valores!$C$22*D247</f>
        <v>683.64</v>
      </c>
      <c r="V247" s="149">
        <f t="shared" si="42"/>
        <v>683.64</v>
      </c>
      <c r="W247" s="149">
        <v>0</v>
      </c>
      <c r="X247" s="149">
        <v>0</v>
      </c>
      <c r="Y247" s="149">
        <v>0</v>
      </c>
      <c r="Z247" s="149">
        <f>Y247*Valores!$C$2</f>
        <v>0</v>
      </c>
      <c r="AA247" s="149">
        <v>0</v>
      </c>
      <c r="AB247" s="154">
        <f>IF((Valores!$C$32)*D247&gt;Valores!$F$32,Valores!$F$32,(Valores!$C$32)*D247)</f>
        <v>72.03456</v>
      </c>
      <c r="AC247" s="149">
        <f t="shared" si="37"/>
        <v>0</v>
      </c>
      <c r="AD247" s="149">
        <f>IF(Valores!$C$33*D247&gt;Valores!$F$33,Valores!$F$33,Valores!$C$33*D247)</f>
        <v>59.96390400000001</v>
      </c>
      <c r="AE247" s="157">
        <v>94</v>
      </c>
      <c r="AF247" s="149">
        <f>INT(((AE247*Valores!$C$2)*100)+0.5)/100</f>
        <v>793.25</v>
      </c>
      <c r="AG247" s="149">
        <f>IF(Valores!$D$58*'Escala Docente'!D247&gt;Valores!$F$58,Valores!$F$58,Valores!$D$58*'Escala Docente'!D247)</f>
        <v>243.92159999999998</v>
      </c>
      <c r="AH247" s="149">
        <f>IF(Valores!$D$60*D247&gt;Valores!$F$60,Valores!$F$60,Valores!$D$60*D247)</f>
        <v>69.6978</v>
      </c>
      <c r="AI247" s="163">
        <f t="shared" si="38"/>
        <v>14149.249863999998</v>
      </c>
      <c r="AJ247" s="148">
        <f>IF(Valores!$C$36*D247&gt;Valores!$F$36,Valores!$F$36,Valores!$C$36*D247)</f>
        <v>628.11</v>
      </c>
      <c r="AK247" s="149">
        <f>IF(Valores!$C$83*D247&gt;Valores!$C$82,Valores!$C$82,Valores!$C$83*D247)</f>
        <v>1462.5</v>
      </c>
      <c r="AL247" s="154">
        <f>IF(Valores!$C$57*D247&gt;Valores!$F$57,Valores!$F$57,Valores!$C$57*D247)</f>
        <v>102.19500000000001</v>
      </c>
      <c r="AM247" s="162">
        <f t="shared" si="36"/>
        <v>2090.61</v>
      </c>
      <c r="AN247" s="148">
        <f>AI247*-Valores!$C$65</f>
        <v>-1627.1637343599998</v>
      </c>
      <c r="AO247" s="146">
        <f>AI247*-Valores!$C$66</f>
        <v>-636.7162438799999</v>
      </c>
      <c r="AP247" s="170">
        <v>-159.43</v>
      </c>
      <c r="AQ247" s="170">
        <f t="shared" si="39"/>
        <v>-53.83</v>
      </c>
      <c r="AR247" s="162">
        <f t="shared" si="40"/>
        <v>13762.719885759998</v>
      </c>
    </row>
    <row r="248" spans="1:44" s="137" customFormat="1" ht="11.25" customHeight="1">
      <c r="A248" s="147">
        <v>246</v>
      </c>
      <c r="B248" s="147"/>
      <c r="C248" s="147" t="s">
        <v>494</v>
      </c>
      <c r="D248" s="147">
        <v>10</v>
      </c>
      <c r="E248" s="147">
        <f t="shared" si="33"/>
        <v>34</v>
      </c>
      <c r="F248" s="155" t="str">
        <f>CONCATENATE("Hora Cátedra Enseñanza Media ",D248," hs")</f>
        <v>Hora Cátedra Enseñanza Media 10 hs</v>
      </c>
      <c r="G248" s="152">
        <f t="shared" si="41"/>
        <v>790</v>
      </c>
      <c r="H248" s="149">
        <f>INT((G248*Valores!$C$2*100)+0.49)/100</f>
        <v>6666.65</v>
      </c>
      <c r="I248" s="159">
        <v>0</v>
      </c>
      <c r="J248" s="149">
        <f>INT((I248*Valores!$C$2*100)+0.5)/100</f>
        <v>0</v>
      </c>
      <c r="K248" s="151">
        <v>0</v>
      </c>
      <c r="L248" s="149">
        <f>INT((K248*Valores!$C$2*100)+0.5)/100</f>
        <v>0</v>
      </c>
      <c r="M248" s="158">
        <v>0</v>
      </c>
      <c r="N248" s="149">
        <f>INT((M248*Valores!$C$2*100)+0.5)/100</f>
        <v>0</v>
      </c>
      <c r="O248" s="149">
        <f t="shared" si="34"/>
        <v>1211.8125</v>
      </c>
      <c r="P248" s="149">
        <f t="shared" si="35"/>
        <v>0</v>
      </c>
      <c r="Q248" s="148">
        <f>Valores!$C$14*D248</f>
        <v>2178.4</v>
      </c>
      <c r="R248" s="148">
        <f>IF(D248&lt;15,(Valores!$E$4*D248),Valores!$D$4)</f>
        <v>2875.8999999999996</v>
      </c>
      <c r="S248" s="149">
        <v>0</v>
      </c>
      <c r="T248" s="149">
        <f>IF(Valores!$C$45*D248&gt;Valores!$C$43,Valores!$C$43,Valores!$C$45*D248)</f>
        <v>652.5</v>
      </c>
      <c r="U248" s="148">
        <f>Valores!$C$22*D248</f>
        <v>759.5999999999999</v>
      </c>
      <c r="V248" s="149">
        <f t="shared" si="42"/>
        <v>759.5999999999999</v>
      </c>
      <c r="W248" s="149">
        <v>0</v>
      </c>
      <c r="X248" s="149">
        <v>0</v>
      </c>
      <c r="Y248" s="149">
        <v>0</v>
      </c>
      <c r="Z248" s="149">
        <f>Y248*Valores!$C$2</f>
        <v>0</v>
      </c>
      <c r="AA248" s="149">
        <v>0</v>
      </c>
      <c r="AB248" s="154">
        <f>IF((Valores!$C$32)*D248&gt;Valores!$F$32,Valores!$F$32,(Valores!$C$32)*D248)</f>
        <v>80.0384</v>
      </c>
      <c r="AC248" s="149">
        <f t="shared" si="37"/>
        <v>0</v>
      </c>
      <c r="AD248" s="149">
        <f>IF(Valores!$C$33*D248&gt;Valores!$F$33,Valores!$F$33,Valores!$C$33*D248)</f>
        <v>66.62656000000001</v>
      </c>
      <c r="AE248" s="157">
        <v>0</v>
      </c>
      <c r="AF248" s="149">
        <f>INT(((AE248*Valores!$C$2)*100)+0.5)/100</f>
        <v>0</v>
      </c>
      <c r="AG248" s="149">
        <f>IF(Valores!$D$58*'Escala Docente'!D248&gt;Valores!$F$58,Valores!$F$58,Valores!$D$58*'Escala Docente'!D248)</f>
        <v>271.024</v>
      </c>
      <c r="AH248" s="149">
        <f>IF(Valores!$D$60*D248&gt;Valores!$F$60,Valores!$F$60,Valores!$D$60*D248)</f>
        <v>77.44200000000001</v>
      </c>
      <c r="AI248" s="163">
        <f t="shared" si="38"/>
        <v>14839.993459999998</v>
      </c>
      <c r="AJ248" s="148">
        <f>IF(Valores!$C$36*D248&gt;Valores!$F$36,Valores!$F$36,Valores!$C$36*D248)</f>
        <v>697.9000000000001</v>
      </c>
      <c r="AK248" s="149">
        <f>IF(Valores!$C$83*D248&gt;Valores!$C$82,Valores!$C$82,Valores!$C$83*D248)</f>
        <v>1625</v>
      </c>
      <c r="AL248" s="154">
        <f>IF(Valores!$C$57*D248&gt;Valores!$F$57,Valores!$F$57,Valores!$C$57*D248)</f>
        <v>113.55000000000001</v>
      </c>
      <c r="AM248" s="162">
        <f t="shared" si="36"/>
        <v>2322.9</v>
      </c>
      <c r="AN248" s="148">
        <f>AI248*-Valores!$C$65</f>
        <v>-1706.5992479</v>
      </c>
      <c r="AO248" s="146">
        <f>AI248*-Valores!$C$66</f>
        <v>-667.7997056999999</v>
      </c>
      <c r="AP248" s="170">
        <v>-159.43</v>
      </c>
      <c r="AQ248" s="170">
        <f t="shared" si="39"/>
        <v>-53.83</v>
      </c>
      <c r="AR248" s="162">
        <f t="shared" si="40"/>
        <v>14575.2345064</v>
      </c>
    </row>
    <row r="249" spans="1:44" s="137" customFormat="1" ht="11.25" customHeight="1">
      <c r="A249" s="147">
        <v>247</v>
      </c>
      <c r="B249" s="147"/>
      <c r="C249" s="147" t="s">
        <v>494</v>
      </c>
      <c r="D249" s="147">
        <v>10</v>
      </c>
      <c r="E249" s="147">
        <f t="shared" si="33"/>
        <v>42</v>
      </c>
      <c r="F249" s="155" t="str">
        <f>CONCATENATE("Hora Cátedra Enseñanza Media ",D249," hs Esc Esp")</f>
        <v>Hora Cátedra Enseñanza Media 10 hs Esc Esp</v>
      </c>
      <c r="G249" s="152">
        <f t="shared" si="41"/>
        <v>790</v>
      </c>
      <c r="H249" s="149">
        <f>INT((G249*Valores!$C$2*100)+0.49)/100</f>
        <v>6666.65</v>
      </c>
      <c r="I249" s="159">
        <v>0</v>
      </c>
      <c r="J249" s="149">
        <f>INT((I249*Valores!$C$2*100)+0.5)/100</f>
        <v>0</v>
      </c>
      <c r="K249" s="151">
        <v>0</v>
      </c>
      <c r="L249" s="149">
        <f>INT((K249*Valores!$C$2*100)+0.5)/100</f>
        <v>0</v>
      </c>
      <c r="M249" s="158">
        <v>0</v>
      </c>
      <c r="N249" s="149">
        <f>INT((M249*Valores!$C$2*100)+0.5)/100</f>
        <v>0</v>
      </c>
      <c r="O249" s="149">
        <f t="shared" si="34"/>
        <v>1211.8125</v>
      </c>
      <c r="P249" s="149">
        <f t="shared" si="35"/>
        <v>0</v>
      </c>
      <c r="Q249" s="148">
        <f>Valores!$C$14*D249</f>
        <v>2178.4</v>
      </c>
      <c r="R249" s="148">
        <f>IF(D249&lt;15,(Valores!$E$4*D249),Valores!$D$4)</f>
        <v>2875.8999999999996</v>
      </c>
      <c r="S249" s="149">
        <v>0</v>
      </c>
      <c r="T249" s="149">
        <f>IF(Valores!$C$45*D249&gt;Valores!$C$43,Valores!$C$43,Valores!$C$45*D249)</f>
        <v>652.5</v>
      </c>
      <c r="U249" s="148">
        <f>Valores!$C$22*D249</f>
        <v>759.5999999999999</v>
      </c>
      <c r="V249" s="149">
        <f t="shared" si="42"/>
        <v>759.5999999999999</v>
      </c>
      <c r="W249" s="149">
        <v>0</v>
      </c>
      <c r="X249" s="149">
        <v>0</v>
      </c>
      <c r="Y249" s="149">
        <v>0</v>
      </c>
      <c r="Z249" s="149">
        <f>Y249*Valores!$C$2</f>
        <v>0</v>
      </c>
      <c r="AA249" s="149">
        <v>0</v>
      </c>
      <c r="AB249" s="154">
        <f>IF((Valores!$C$32)*D249&gt;Valores!$F$32,Valores!$F$32,(Valores!$C$32)*D249)</f>
        <v>80.0384</v>
      </c>
      <c r="AC249" s="149">
        <f t="shared" si="37"/>
        <v>0</v>
      </c>
      <c r="AD249" s="149">
        <f>IF(Valores!$C$33*D249&gt;Valores!$F$33,Valores!$F$33,Valores!$C$33*D249)</f>
        <v>66.62656000000001</v>
      </c>
      <c r="AE249" s="157">
        <v>94</v>
      </c>
      <c r="AF249" s="149">
        <f>INT(((AE249*Valores!$C$2)*100)+0.5)/100</f>
        <v>793.25</v>
      </c>
      <c r="AG249" s="149">
        <f>IF(Valores!$D$58*'Escala Docente'!D249&gt;Valores!$F$58,Valores!$F$58,Valores!$D$58*'Escala Docente'!D249)</f>
        <v>271.024</v>
      </c>
      <c r="AH249" s="149">
        <f>IF(Valores!$D$60*D249&gt;Valores!$F$60,Valores!$F$60,Valores!$D$60*D249)</f>
        <v>77.44200000000001</v>
      </c>
      <c r="AI249" s="163">
        <f t="shared" si="38"/>
        <v>15633.243459999998</v>
      </c>
      <c r="AJ249" s="148">
        <f>IF(Valores!$C$36*D249&gt;Valores!$F$36,Valores!$F$36,Valores!$C$36*D249)</f>
        <v>697.9000000000001</v>
      </c>
      <c r="AK249" s="149">
        <f>IF(Valores!$C$83*D249&gt;Valores!$C$82,Valores!$C$82,Valores!$C$83*D249)</f>
        <v>1625</v>
      </c>
      <c r="AL249" s="154">
        <f>IF(Valores!$C$57*D249&gt;Valores!$F$57,Valores!$F$57,Valores!$C$57*D249)</f>
        <v>113.55000000000001</v>
      </c>
      <c r="AM249" s="162">
        <f t="shared" si="36"/>
        <v>2322.9</v>
      </c>
      <c r="AN249" s="148">
        <f>AI249*-Valores!$C$65</f>
        <v>-1797.8229978999998</v>
      </c>
      <c r="AO249" s="146">
        <f>AI249*-Valores!$C$66</f>
        <v>-703.4959556999999</v>
      </c>
      <c r="AP249" s="170">
        <v>-159.43</v>
      </c>
      <c r="AQ249" s="170">
        <f t="shared" si="39"/>
        <v>-53.83</v>
      </c>
      <c r="AR249" s="162">
        <f t="shared" si="40"/>
        <v>15241.5645064</v>
      </c>
    </row>
    <row r="250" spans="1:44" s="137" customFormat="1" ht="11.25" customHeight="1">
      <c r="A250" s="147">
        <v>248</v>
      </c>
      <c r="B250" s="147"/>
      <c r="C250" s="147" t="s">
        <v>494</v>
      </c>
      <c r="D250" s="147">
        <v>11</v>
      </c>
      <c r="E250" s="147">
        <f t="shared" si="33"/>
        <v>34</v>
      </c>
      <c r="F250" s="155" t="str">
        <f>CONCATENATE("Hora Cátedra Enseñanza Media ",D250," hs")</f>
        <v>Hora Cátedra Enseñanza Media 11 hs</v>
      </c>
      <c r="G250" s="152">
        <f t="shared" si="41"/>
        <v>869</v>
      </c>
      <c r="H250" s="149">
        <f>INT((G250*Valores!$C$2*100)+0.49)/100</f>
        <v>7333.32</v>
      </c>
      <c r="I250" s="159">
        <v>0</v>
      </c>
      <c r="J250" s="149">
        <f>INT((I250*Valores!$C$2*100)+0.5)/100</f>
        <v>0</v>
      </c>
      <c r="K250" s="151">
        <v>0</v>
      </c>
      <c r="L250" s="149">
        <f>INT((K250*Valores!$C$2*100)+0.5)/100</f>
        <v>0</v>
      </c>
      <c r="M250" s="158">
        <v>0</v>
      </c>
      <c r="N250" s="149">
        <f>INT((M250*Valores!$C$2*100)+0.5)/100</f>
        <v>0</v>
      </c>
      <c r="O250" s="149">
        <f t="shared" si="34"/>
        <v>1332.9944999999998</v>
      </c>
      <c r="P250" s="149">
        <f t="shared" si="35"/>
        <v>0</v>
      </c>
      <c r="Q250" s="148">
        <f>Valores!$C$14*D250</f>
        <v>2396.2400000000002</v>
      </c>
      <c r="R250" s="148">
        <f>IF(D250&lt;15,(Valores!$E$4*D250),Valores!$D$4)</f>
        <v>3163.49</v>
      </c>
      <c r="S250" s="149">
        <v>0</v>
      </c>
      <c r="T250" s="149">
        <f>IF(Valores!$C$45*D250&gt;Valores!$C$43,Valores!$C$43,Valores!$C$45*D250)</f>
        <v>717.75</v>
      </c>
      <c r="U250" s="148">
        <f>Valores!$C$22*D250</f>
        <v>835.56</v>
      </c>
      <c r="V250" s="149">
        <f t="shared" si="42"/>
        <v>835.56</v>
      </c>
      <c r="W250" s="149">
        <v>0</v>
      </c>
      <c r="X250" s="149">
        <v>0</v>
      </c>
      <c r="Y250" s="149">
        <v>0</v>
      </c>
      <c r="Z250" s="149">
        <f>Y250*Valores!$C$2</f>
        <v>0</v>
      </c>
      <c r="AA250" s="149">
        <v>0</v>
      </c>
      <c r="AB250" s="154">
        <f>IF((Valores!$C$32)*D250&gt;Valores!$F$32,Valores!$F$32,(Valores!$C$32)*D250)</f>
        <v>88.04224</v>
      </c>
      <c r="AC250" s="149">
        <f t="shared" si="37"/>
        <v>0</v>
      </c>
      <c r="AD250" s="149">
        <f>IF(Valores!$C$33*D250&gt;Valores!$F$33,Valores!$F$33,Valores!$C$33*D250)</f>
        <v>73.28921600000001</v>
      </c>
      <c r="AE250" s="157">
        <v>0</v>
      </c>
      <c r="AF250" s="149">
        <f>INT(((AE250*Valores!$C$2)*100)+0.5)/100</f>
        <v>0</v>
      </c>
      <c r="AG250" s="149">
        <f>IF(Valores!$D$58*'Escala Docente'!D250&gt;Valores!$F$58,Valores!$F$58,Valores!$D$58*'Escala Docente'!D250)</f>
        <v>298.1264</v>
      </c>
      <c r="AH250" s="149">
        <f>IF(Valores!$D$60*D250&gt;Valores!$F$60,Valores!$F$60,Valores!$D$60*D250)</f>
        <v>85.1862</v>
      </c>
      <c r="AI250" s="163">
        <f t="shared" si="38"/>
        <v>16323.998555999999</v>
      </c>
      <c r="AJ250" s="148">
        <f>IF(Valores!$C$36*D250&gt;Valores!$F$36,Valores!$F$36,Valores!$C$36*D250)</f>
        <v>767.69</v>
      </c>
      <c r="AK250" s="149">
        <f>IF(Valores!$C$83*D250&gt;Valores!$C$82,Valores!$C$82,Valores!$C$83*D250)</f>
        <v>1787.5</v>
      </c>
      <c r="AL250" s="154">
        <f>IF(Valores!$C$57*D250&gt;Valores!$F$57,Valores!$F$57,Valores!$C$57*D250)</f>
        <v>124.905</v>
      </c>
      <c r="AM250" s="162">
        <f t="shared" si="36"/>
        <v>2555.19</v>
      </c>
      <c r="AN250" s="148">
        <f>AI250*-Valores!$C$65</f>
        <v>-1877.25983394</v>
      </c>
      <c r="AO250" s="146">
        <f>AI250*-Valores!$C$66</f>
        <v>-734.5799350199999</v>
      </c>
      <c r="AP250" s="170">
        <v>-159.43</v>
      </c>
      <c r="AQ250" s="170">
        <f t="shared" si="39"/>
        <v>-53.83</v>
      </c>
      <c r="AR250" s="162">
        <f t="shared" si="40"/>
        <v>16054.088787039998</v>
      </c>
    </row>
    <row r="251" spans="1:44" s="137" customFormat="1" ht="11.25" customHeight="1">
      <c r="A251" s="147">
        <v>249</v>
      </c>
      <c r="B251" s="147"/>
      <c r="C251" s="147" t="s">
        <v>494</v>
      </c>
      <c r="D251" s="147">
        <v>11</v>
      </c>
      <c r="E251" s="147">
        <f t="shared" si="33"/>
        <v>42</v>
      </c>
      <c r="F251" s="155" t="str">
        <f>CONCATENATE("Hora Cátedra Enseñanza Media ",D251," hs Esc Esp")</f>
        <v>Hora Cátedra Enseñanza Media 11 hs Esc Esp</v>
      </c>
      <c r="G251" s="152">
        <f t="shared" si="41"/>
        <v>869</v>
      </c>
      <c r="H251" s="149">
        <f>INT((G251*Valores!$C$2*100)+0.49)/100</f>
        <v>7333.32</v>
      </c>
      <c r="I251" s="159">
        <v>0</v>
      </c>
      <c r="J251" s="149">
        <f>INT((I251*Valores!$C$2*100)+0.5)/100</f>
        <v>0</v>
      </c>
      <c r="K251" s="151">
        <v>0</v>
      </c>
      <c r="L251" s="149">
        <f>INT((K251*Valores!$C$2*100)+0.5)/100</f>
        <v>0</v>
      </c>
      <c r="M251" s="158">
        <v>0</v>
      </c>
      <c r="N251" s="149">
        <f>INT((M251*Valores!$C$2*100)+0.5)/100</f>
        <v>0</v>
      </c>
      <c r="O251" s="149">
        <f t="shared" si="34"/>
        <v>1332.9944999999998</v>
      </c>
      <c r="P251" s="149">
        <f t="shared" si="35"/>
        <v>0</v>
      </c>
      <c r="Q251" s="148">
        <f>Valores!$C$14*D251</f>
        <v>2396.2400000000002</v>
      </c>
      <c r="R251" s="148">
        <f>IF(D251&lt;15,(Valores!$E$4*D251),Valores!$D$4)</f>
        <v>3163.49</v>
      </c>
      <c r="S251" s="149">
        <v>0</v>
      </c>
      <c r="T251" s="149">
        <f>IF(Valores!$C$45*D251&gt;Valores!$C$43,Valores!$C$43,Valores!$C$45*D251)</f>
        <v>717.75</v>
      </c>
      <c r="U251" s="148">
        <f>Valores!$C$22*D251</f>
        <v>835.56</v>
      </c>
      <c r="V251" s="149">
        <f t="shared" si="42"/>
        <v>835.56</v>
      </c>
      <c r="W251" s="149">
        <v>0</v>
      </c>
      <c r="X251" s="149">
        <v>0</v>
      </c>
      <c r="Y251" s="149">
        <v>0</v>
      </c>
      <c r="Z251" s="149">
        <f>Y251*Valores!$C$2</f>
        <v>0</v>
      </c>
      <c r="AA251" s="149">
        <v>0</v>
      </c>
      <c r="AB251" s="154">
        <f>IF((Valores!$C$32)*D251&gt;Valores!$F$32,Valores!$F$32,(Valores!$C$32)*D251)</f>
        <v>88.04224</v>
      </c>
      <c r="AC251" s="149">
        <f t="shared" si="37"/>
        <v>0</v>
      </c>
      <c r="AD251" s="149">
        <f>IF(Valores!$C$33*D251&gt;Valores!$F$33,Valores!$F$33,Valores!$C$33*D251)</f>
        <v>73.28921600000001</v>
      </c>
      <c r="AE251" s="157">
        <v>94</v>
      </c>
      <c r="AF251" s="149">
        <f>INT(((AE251*Valores!$C$2)*100)+0.5)/100</f>
        <v>793.25</v>
      </c>
      <c r="AG251" s="149">
        <f>IF(Valores!$D$58*'Escala Docente'!D251&gt;Valores!$F$58,Valores!$F$58,Valores!$D$58*'Escala Docente'!D251)</f>
        <v>298.1264</v>
      </c>
      <c r="AH251" s="149">
        <f>IF(Valores!$D$60*D251&gt;Valores!$F$60,Valores!$F$60,Valores!$D$60*D251)</f>
        <v>85.1862</v>
      </c>
      <c r="AI251" s="163">
        <f t="shared" si="38"/>
        <v>17117.248556000002</v>
      </c>
      <c r="AJ251" s="148">
        <f>IF(Valores!$C$36*D251&gt;Valores!$F$36,Valores!$F$36,Valores!$C$36*D251)</f>
        <v>767.69</v>
      </c>
      <c r="AK251" s="149">
        <f>IF(Valores!$C$83*D251&gt;Valores!$C$82,Valores!$C$82,Valores!$C$83*D251)</f>
        <v>1787.5</v>
      </c>
      <c r="AL251" s="154">
        <f>IF(Valores!$C$57*D251&gt;Valores!$F$57,Valores!$F$57,Valores!$C$57*D251)</f>
        <v>124.905</v>
      </c>
      <c r="AM251" s="162">
        <f t="shared" si="36"/>
        <v>2555.19</v>
      </c>
      <c r="AN251" s="148">
        <f>AI251*-Valores!$C$65</f>
        <v>-1968.4835839400002</v>
      </c>
      <c r="AO251" s="146">
        <f>AI251*-Valores!$C$66</f>
        <v>-770.2761850200001</v>
      </c>
      <c r="AP251" s="170">
        <v>-159.43</v>
      </c>
      <c r="AQ251" s="170">
        <f t="shared" si="39"/>
        <v>-53.83</v>
      </c>
      <c r="AR251" s="162">
        <f t="shared" si="40"/>
        <v>16720.41878704</v>
      </c>
    </row>
    <row r="252" spans="1:44" s="137" customFormat="1" ht="11.25" customHeight="1">
      <c r="A252" s="147">
        <v>250</v>
      </c>
      <c r="B252" s="147" t="s">
        <v>135</v>
      </c>
      <c r="C252" s="147" t="s">
        <v>494</v>
      </c>
      <c r="D252" s="147">
        <v>12</v>
      </c>
      <c r="E252" s="147">
        <f t="shared" si="33"/>
        <v>34</v>
      </c>
      <c r="F252" s="155" t="str">
        <f>CONCATENATE("Hora Cátedra Enseñanza Media ",D252," hs")</f>
        <v>Hora Cátedra Enseñanza Media 12 hs</v>
      </c>
      <c r="G252" s="152">
        <f t="shared" si="41"/>
        <v>948</v>
      </c>
      <c r="H252" s="149">
        <f>INT((G252*Valores!$C$2*100)+0.49)/100</f>
        <v>7999.98</v>
      </c>
      <c r="I252" s="159">
        <v>0</v>
      </c>
      <c r="J252" s="149">
        <f>INT((I252*Valores!$C$2*100)+0.5)/100</f>
        <v>0</v>
      </c>
      <c r="K252" s="151">
        <v>0</v>
      </c>
      <c r="L252" s="149">
        <f>INT((K252*Valores!$C$2*100)+0.5)/100</f>
        <v>0</v>
      </c>
      <c r="M252" s="158">
        <v>0</v>
      </c>
      <c r="N252" s="149">
        <f>INT((M252*Valores!$C$2*100)+0.5)/100</f>
        <v>0</v>
      </c>
      <c r="O252" s="149">
        <f t="shared" si="34"/>
        <v>1454.175</v>
      </c>
      <c r="P252" s="149">
        <f t="shared" si="35"/>
        <v>0</v>
      </c>
      <c r="Q252" s="148">
        <f>Valores!$C$14*D252</f>
        <v>2614.08</v>
      </c>
      <c r="R252" s="148">
        <f>IF(D252&lt;15,(Valores!$E$4*D252),Valores!$D$4)</f>
        <v>3451.08</v>
      </c>
      <c r="S252" s="149">
        <v>0</v>
      </c>
      <c r="T252" s="149">
        <f>IF(Valores!$C$45*D252&gt;Valores!$C$43,Valores!$C$43,Valores!$C$45*D252)</f>
        <v>783</v>
      </c>
      <c r="U252" s="148">
        <f>Valores!$C$22*D252</f>
        <v>911.52</v>
      </c>
      <c r="V252" s="149">
        <f t="shared" si="42"/>
        <v>911.52</v>
      </c>
      <c r="W252" s="149">
        <v>0</v>
      </c>
      <c r="X252" s="149">
        <v>0</v>
      </c>
      <c r="Y252" s="149">
        <v>0</v>
      </c>
      <c r="Z252" s="149">
        <f>Y252*Valores!$C$2</f>
        <v>0</v>
      </c>
      <c r="AA252" s="149">
        <v>0</v>
      </c>
      <c r="AB252" s="154">
        <f>IF((Valores!$C$32)*D252&gt;Valores!$F$32,Valores!$F$32,(Valores!$C$32)*D252)</f>
        <v>96.04608</v>
      </c>
      <c r="AC252" s="149">
        <f t="shared" si="37"/>
        <v>0</v>
      </c>
      <c r="AD252" s="149">
        <f>IF(Valores!$C$33*D252&gt;Valores!$F$33,Valores!$F$33,Valores!$C$33*D252)</f>
        <v>79.95187200000001</v>
      </c>
      <c r="AE252" s="157">
        <v>0</v>
      </c>
      <c r="AF252" s="149">
        <f>INT(((AE252*Valores!$C$2)*100)+0.5)/100</f>
        <v>0</v>
      </c>
      <c r="AG252" s="149">
        <f>IF(Valores!$D$58*'Escala Docente'!D252&gt;Valores!$F$58,Valores!$F$58,Valores!$D$58*'Escala Docente'!D252)</f>
        <v>325.2288</v>
      </c>
      <c r="AH252" s="149">
        <f>IF(Valores!$D$60*D252&gt;Valores!$F$60,Valores!$F$60,Valores!$D$60*D252)</f>
        <v>92.9304</v>
      </c>
      <c r="AI252" s="163">
        <f t="shared" si="38"/>
        <v>17807.992152000003</v>
      </c>
      <c r="AJ252" s="148">
        <f>IF(Valores!$C$36*D252&gt;Valores!$F$36,Valores!$F$36,Valores!$C$36*D252)</f>
        <v>837.48</v>
      </c>
      <c r="AK252" s="149">
        <f>IF(Valores!$C$83*D252&gt;Valores!$C$82,Valores!$C$82,Valores!$C$83*D252)</f>
        <v>1950</v>
      </c>
      <c r="AL252" s="154">
        <f>IF(Valores!$C$57*D252&gt;Valores!$F$57,Valores!$F$57,Valores!$C$57*D252)</f>
        <v>136.26</v>
      </c>
      <c r="AM252" s="162">
        <f t="shared" si="36"/>
        <v>2787.48</v>
      </c>
      <c r="AN252" s="148">
        <f>AI252*-Valores!$C$65</f>
        <v>-2047.9190974800003</v>
      </c>
      <c r="AO252" s="146">
        <f>AI252*-Valores!$C$66</f>
        <v>-801.3596468400001</v>
      </c>
      <c r="AP252" s="170">
        <v>-159.43</v>
      </c>
      <c r="AQ252" s="170">
        <f t="shared" si="39"/>
        <v>-53.83</v>
      </c>
      <c r="AR252" s="162">
        <f t="shared" si="40"/>
        <v>17532.93340768</v>
      </c>
    </row>
    <row r="253" spans="1:44" s="137" customFormat="1" ht="11.25" customHeight="1">
      <c r="A253" s="147">
        <v>251</v>
      </c>
      <c r="B253" s="147"/>
      <c r="C253" s="147" t="s">
        <v>494</v>
      </c>
      <c r="D253" s="147">
        <v>12</v>
      </c>
      <c r="E253" s="147">
        <f t="shared" si="33"/>
        <v>42</v>
      </c>
      <c r="F253" s="155" t="str">
        <f>CONCATENATE("Hora Cátedra Enseñanza Media ",D253," hs Esc Esp")</f>
        <v>Hora Cátedra Enseñanza Media 12 hs Esc Esp</v>
      </c>
      <c r="G253" s="152">
        <f t="shared" si="41"/>
        <v>948</v>
      </c>
      <c r="H253" s="149">
        <f>INT((G253*Valores!$C$2*100)+0.49)/100</f>
        <v>7999.98</v>
      </c>
      <c r="I253" s="159">
        <v>0</v>
      </c>
      <c r="J253" s="149">
        <f>INT((I253*Valores!$C$2*100)+0.5)/100</f>
        <v>0</v>
      </c>
      <c r="K253" s="151">
        <v>0</v>
      </c>
      <c r="L253" s="149">
        <f>INT((K253*Valores!$C$2*100)+0.5)/100</f>
        <v>0</v>
      </c>
      <c r="M253" s="158">
        <v>0</v>
      </c>
      <c r="N253" s="149">
        <f>INT((M253*Valores!$C$2*100)+0.5)/100</f>
        <v>0</v>
      </c>
      <c r="O253" s="149">
        <f t="shared" si="34"/>
        <v>1454.175</v>
      </c>
      <c r="P253" s="149">
        <f t="shared" si="35"/>
        <v>0</v>
      </c>
      <c r="Q253" s="148">
        <f>Valores!$C$14*D253</f>
        <v>2614.08</v>
      </c>
      <c r="R253" s="148">
        <f>IF(D253&lt;15,(Valores!$E$4*D253),Valores!$D$4)</f>
        <v>3451.08</v>
      </c>
      <c r="S253" s="149">
        <v>0</v>
      </c>
      <c r="T253" s="149">
        <f>IF(Valores!$C$45*D253&gt;Valores!$C$43,Valores!$C$43,Valores!$C$45*D253)</f>
        <v>783</v>
      </c>
      <c r="U253" s="148">
        <f>Valores!$C$22*D253</f>
        <v>911.52</v>
      </c>
      <c r="V253" s="149">
        <f t="shared" si="42"/>
        <v>911.52</v>
      </c>
      <c r="W253" s="149">
        <v>0</v>
      </c>
      <c r="X253" s="149">
        <v>0</v>
      </c>
      <c r="Y253" s="149">
        <v>0</v>
      </c>
      <c r="Z253" s="149">
        <f>Y253*Valores!$C$2</f>
        <v>0</v>
      </c>
      <c r="AA253" s="149">
        <v>0</v>
      </c>
      <c r="AB253" s="154">
        <f>IF((Valores!$C$32)*D253&gt;Valores!$F$32,Valores!$F$32,(Valores!$C$32)*D253)</f>
        <v>96.04608</v>
      </c>
      <c r="AC253" s="149">
        <f t="shared" si="37"/>
        <v>0</v>
      </c>
      <c r="AD253" s="149">
        <f>IF(Valores!$C$33*D253&gt;Valores!$F$33,Valores!$F$33,Valores!$C$33*D253)</f>
        <v>79.95187200000001</v>
      </c>
      <c r="AE253" s="157">
        <v>94</v>
      </c>
      <c r="AF253" s="149">
        <f>INT(((AE253*Valores!$C$2)*100)+0.5)/100</f>
        <v>793.25</v>
      </c>
      <c r="AG253" s="149">
        <f>IF(Valores!$D$58*'Escala Docente'!D253&gt;Valores!$F$58,Valores!$F$58,Valores!$D$58*'Escala Docente'!D253)</f>
        <v>325.2288</v>
      </c>
      <c r="AH253" s="149">
        <f>IF(Valores!$D$60*D253&gt;Valores!$F$60,Valores!$F$60,Valores!$D$60*D253)</f>
        <v>92.9304</v>
      </c>
      <c r="AI253" s="163">
        <f t="shared" si="38"/>
        <v>18601.242152000003</v>
      </c>
      <c r="AJ253" s="148">
        <f>IF(Valores!$C$36*D253&gt;Valores!$F$36,Valores!$F$36,Valores!$C$36*D253)</f>
        <v>837.48</v>
      </c>
      <c r="AK253" s="149">
        <f>IF(Valores!$C$83*D253&gt;Valores!$C$82,Valores!$C$82,Valores!$C$83*D253)</f>
        <v>1950</v>
      </c>
      <c r="AL253" s="154">
        <f>IF(Valores!$C$57*D253&gt;Valores!$F$57,Valores!$F$57,Valores!$C$57*D253)</f>
        <v>136.26</v>
      </c>
      <c r="AM253" s="162">
        <f t="shared" si="36"/>
        <v>2787.48</v>
      </c>
      <c r="AN253" s="148">
        <f>AI253*-Valores!$C$65</f>
        <v>-2139.1428474800005</v>
      </c>
      <c r="AO253" s="146">
        <f>AI253*-Valores!$C$66</f>
        <v>-837.0558968400001</v>
      </c>
      <c r="AP253" s="170">
        <v>-159.43</v>
      </c>
      <c r="AQ253" s="170">
        <f t="shared" si="39"/>
        <v>-53.83</v>
      </c>
      <c r="AR253" s="162">
        <f t="shared" si="40"/>
        <v>18199.26340768</v>
      </c>
    </row>
    <row r="254" spans="1:44" s="137" customFormat="1" ht="11.25" customHeight="1">
      <c r="A254" s="147">
        <v>252</v>
      </c>
      <c r="B254" s="147"/>
      <c r="C254" s="147" t="s">
        <v>494</v>
      </c>
      <c r="D254" s="147">
        <v>13</v>
      </c>
      <c r="E254" s="147">
        <f t="shared" si="33"/>
        <v>34</v>
      </c>
      <c r="F254" s="155" t="str">
        <f>CONCATENATE("Hora Cátedra Enseñanza Media ",D254," hs")</f>
        <v>Hora Cátedra Enseñanza Media 13 hs</v>
      </c>
      <c r="G254" s="152">
        <f t="shared" si="41"/>
        <v>1027</v>
      </c>
      <c r="H254" s="149">
        <f>INT((G254*Valores!$C$2*100)+0.49)/100</f>
        <v>8666.65</v>
      </c>
      <c r="I254" s="159">
        <v>0</v>
      </c>
      <c r="J254" s="149">
        <f>INT((I254*Valores!$C$2*100)+0.5)/100</f>
        <v>0</v>
      </c>
      <c r="K254" s="151">
        <v>0</v>
      </c>
      <c r="L254" s="149">
        <f>INT((K254*Valores!$C$2*100)+0.5)/100</f>
        <v>0</v>
      </c>
      <c r="M254" s="158">
        <v>0</v>
      </c>
      <c r="N254" s="149">
        <f>INT((M254*Valores!$C$2*100)+0.5)/100</f>
        <v>0</v>
      </c>
      <c r="O254" s="149">
        <f t="shared" si="34"/>
        <v>1575.3569999999997</v>
      </c>
      <c r="P254" s="149">
        <f t="shared" si="35"/>
        <v>0</v>
      </c>
      <c r="Q254" s="148">
        <f>Valores!$C$14*D254</f>
        <v>2831.92</v>
      </c>
      <c r="R254" s="148">
        <f>IF(D254&lt;15,(Valores!$E$4*D254),Valores!$D$4)</f>
        <v>3738.6699999999996</v>
      </c>
      <c r="S254" s="149">
        <v>0</v>
      </c>
      <c r="T254" s="149">
        <f>IF(Valores!$C$45*D254&gt;Valores!$C$43,Valores!$C$43,Valores!$C$45*D254)</f>
        <v>848.25</v>
      </c>
      <c r="U254" s="148">
        <f>Valores!$C$22*D254</f>
        <v>987.4799999999999</v>
      </c>
      <c r="V254" s="149">
        <f t="shared" si="42"/>
        <v>987.4799999999999</v>
      </c>
      <c r="W254" s="149">
        <v>0</v>
      </c>
      <c r="X254" s="149">
        <v>0</v>
      </c>
      <c r="Y254" s="149">
        <v>0</v>
      </c>
      <c r="Z254" s="149">
        <f>Y254*Valores!$C$2</f>
        <v>0</v>
      </c>
      <c r="AA254" s="149">
        <v>0</v>
      </c>
      <c r="AB254" s="154">
        <f>IF((Valores!$C$32)*D254&gt;Valores!$F$32,Valores!$F$32,(Valores!$C$32)*D254)</f>
        <v>104.04992</v>
      </c>
      <c r="AC254" s="149">
        <f t="shared" si="37"/>
        <v>0</v>
      </c>
      <c r="AD254" s="149">
        <f>IF(Valores!$C$33*D254&gt;Valores!$F$33,Valores!$F$33,Valores!$C$33*D254)</f>
        <v>86.614528</v>
      </c>
      <c r="AE254" s="157">
        <v>0</v>
      </c>
      <c r="AF254" s="149">
        <f>INT(((AE254*Valores!$C$2)*100)+0.5)/100</f>
        <v>0</v>
      </c>
      <c r="AG254" s="149">
        <f>IF(Valores!$D$58*'Escala Docente'!D254&gt;Valores!$F$58,Valores!$F$58,Valores!$D$58*'Escala Docente'!D254)</f>
        <v>352.33119999999997</v>
      </c>
      <c r="AH254" s="149">
        <f>IF(Valores!$D$60*D254&gt;Valores!$F$60,Valores!$F$60,Valores!$D$60*D254)</f>
        <v>100.6746</v>
      </c>
      <c r="AI254" s="163">
        <f t="shared" si="38"/>
        <v>19291.997247999996</v>
      </c>
      <c r="AJ254" s="148">
        <f>IF(Valores!$C$36*D254&gt;Valores!$F$36,Valores!$F$36,Valores!$C$36*D254)</f>
        <v>907.2700000000001</v>
      </c>
      <c r="AK254" s="149">
        <f>IF(Valores!$C$83*D254&gt;Valores!$C$82,Valores!$C$82,Valores!$C$83*D254)</f>
        <v>2112.5</v>
      </c>
      <c r="AL254" s="154">
        <f>IF(Valores!$C$57*D254&gt;Valores!$F$57,Valores!$F$57,Valores!$C$57*D254)</f>
        <v>147.615</v>
      </c>
      <c r="AM254" s="162">
        <f t="shared" si="36"/>
        <v>3019.77</v>
      </c>
      <c r="AN254" s="148">
        <f>AI254*-Valores!$C$65</f>
        <v>-2218.5796835199994</v>
      </c>
      <c r="AO254" s="146">
        <f>AI254*-Valores!$C$66</f>
        <v>-868.1398761599997</v>
      </c>
      <c r="AP254" s="170">
        <v>-159.43</v>
      </c>
      <c r="AQ254" s="170">
        <f t="shared" si="39"/>
        <v>-53.83</v>
      </c>
      <c r="AR254" s="162">
        <f t="shared" si="40"/>
        <v>19011.787688319997</v>
      </c>
    </row>
    <row r="255" spans="1:44" s="137" customFormat="1" ht="11.25" customHeight="1">
      <c r="A255" s="147">
        <v>253</v>
      </c>
      <c r="B255" s="147"/>
      <c r="C255" s="147" t="s">
        <v>494</v>
      </c>
      <c r="D255" s="147">
        <v>13</v>
      </c>
      <c r="E255" s="147">
        <f t="shared" si="33"/>
        <v>42</v>
      </c>
      <c r="F255" s="155" t="str">
        <f>CONCATENATE("Hora Cátedra Enseñanza Media ",D255," hs Esc Esp")</f>
        <v>Hora Cátedra Enseñanza Media 13 hs Esc Esp</v>
      </c>
      <c r="G255" s="152">
        <f t="shared" si="41"/>
        <v>1027</v>
      </c>
      <c r="H255" s="149">
        <f>INT((G255*Valores!$C$2*100)+0.49)/100</f>
        <v>8666.65</v>
      </c>
      <c r="I255" s="159">
        <v>0</v>
      </c>
      <c r="J255" s="149">
        <f>INT((I255*Valores!$C$2*100)+0.5)/100</f>
        <v>0</v>
      </c>
      <c r="K255" s="151">
        <v>0</v>
      </c>
      <c r="L255" s="149">
        <f>INT((K255*Valores!$C$2*100)+0.5)/100</f>
        <v>0</v>
      </c>
      <c r="M255" s="158">
        <v>0</v>
      </c>
      <c r="N255" s="149">
        <f>INT((M255*Valores!$C$2*100)+0.5)/100</f>
        <v>0</v>
      </c>
      <c r="O255" s="149">
        <f t="shared" si="34"/>
        <v>1575.3569999999997</v>
      </c>
      <c r="P255" s="149">
        <f t="shared" si="35"/>
        <v>0</v>
      </c>
      <c r="Q255" s="148">
        <f>Valores!$C$14*D255</f>
        <v>2831.92</v>
      </c>
      <c r="R255" s="148">
        <f>IF(D255&lt;15,(Valores!$E$4*D255),Valores!$D$4)</f>
        <v>3738.6699999999996</v>
      </c>
      <c r="S255" s="149">
        <v>0</v>
      </c>
      <c r="T255" s="149">
        <f>IF(Valores!$C$45*D255&gt;Valores!$C$43,Valores!$C$43,Valores!$C$45*D255)</f>
        <v>848.25</v>
      </c>
      <c r="U255" s="148">
        <f>Valores!$C$22*D255</f>
        <v>987.4799999999999</v>
      </c>
      <c r="V255" s="149">
        <f t="shared" si="42"/>
        <v>987.4799999999999</v>
      </c>
      <c r="W255" s="149">
        <v>0</v>
      </c>
      <c r="X255" s="149">
        <v>0</v>
      </c>
      <c r="Y255" s="149">
        <v>0</v>
      </c>
      <c r="Z255" s="149">
        <f>Y255*Valores!$C$2</f>
        <v>0</v>
      </c>
      <c r="AA255" s="149">
        <v>0</v>
      </c>
      <c r="AB255" s="154">
        <f>IF((Valores!$C$32)*D255&gt;Valores!$F$32,Valores!$F$32,(Valores!$C$32)*D255)</f>
        <v>104.04992</v>
      </c>
      <c r="AC255" s="149">
        <f t="shared" si="37"/>
        <v>0</v>
      </c>
      <c r="AD255" s="149">
        <f>IF(Valores!$C$33*D255&gt;Valores!$F$33,Valores!$F$33,Valores!$C$33*D255)</f>
        <v>86.614528</v>
      </c>
      <c r="AE255" s="157">
        <v>94</v>
      </c>
      <c r="AF255" s="149">
        <f>INT(((AE255*Valores!$C$2)*100)+0.5)/100</f>
        <v>793.25</v>
      </c>
      <c r="AG255" s="149">
        <f>IF(Valores!$D$58*'Escala Docente'!D255&gt;Valores!$F$58,Valores!$F$58,Valores!$D$58*'Escala Docente'!D255)</f>
        <v>352.33119999999997</v>
      </c>
      <c r="AH255" s="149">
        <f>IF(Valores!$D$60*D255&gt;Valores!$F$60,Valores!$F$60,Valores!$D$60*D255)</f>
        <v>100.6746</v>
      </c>
      <c r="AI255" s="163">
        <f t="shared" si="38"/>
        <v>20085.247247999996</v>
      </c>
      <c r="AJ255" s="148">
        <f>IF(Valores!$C$36*D255&gt;Valores!$F$36,Valores!$F$36,Valores!$C$36*D255)</f>
        <v>907.2700000000001</v>
      </c>
      <c r="AK255" s="149">
        <f>IF(Valores!$C$83*D255&gt;Valores!$C$82,Valores!$C$82,Valores!$C$83*D255)</f>
        <v>2112.5</v>
      </c>
      <c r="AL255" s="154">
        <f>IF(Valores!$C$57*D255&gt;Valores!$F$57,Valores!$F$57,Valores!$C$57*D255)</f>
        <v>147.615</v>
      </c>
      <c r="AM255" s="162">
        <f t="shared" si="36"/>
        <v>3019.77</v>
      </c>
      <c r="AN255" s="148">
        <f>AI255*-Valores!$C$65</f>
        <v>-2309.8034335199995</v>
      </c>
      <c r="AO255" s="146">
        <f>AI255*-Valores!$C$66</f>
        <v>-903.8361261599998</v>
      </c>
      <c r="AP255" s="170">
        <v>-159.43</v>
      </c>
      <c r="AQ255" s="170">
        <f t="shared" si="39"/>
        <v>-53.83</v>
      </c>
      <c r="AR255" s="162">
        <f t="shared" si="40"/>
        <v>19678.117688319995</v>
      </c>
    </row>
    <row r="256" spans="1:44" s="137" customFormat="1" ht="11.25" customHeight="1">
      <c r="A256" s="147">
        <v>254</v>
      </c>
      <c r="B256" s="147"/>
      <c r="C256" s="147" t="s">
        <v>494</v>
      </c>
      <c r="D256" s="147">
        <v>14</v>
      </c>
      <c r="E256" s="147">
        <f t="shared" si="33"/>
        <v>34</v>
      </c>
      <c r="F256" s="155" t="str">
        <f>CONCATENATE("Hora Cátedra Enseñanza Media ",D256," hs")</f>
        <v>Hora Cátedra Enseñanza Media 14 hs</v>
      </c>
      <c r="G256" s="152">
        <f t="shared" si="41"/>
        <v>1106</v>
      </c>
      <c r="H256" s="149">
        <f>INT((G256*Valores!$C$2*100)+0.49)/100</f>
        <v>9333.31</v>
      </c>
      <c r="I256" s="159">
        <v>0</v>
      </c>
      <c r="J256" s="149">
        <f>INT((I256*Valores!$C$2*100)+0.5)/100</f>
        <v>0</v>
      </c>
      <c r="K256" s="151">
        <v>0</v>
      </c>
      <c r="L256" s="149">
        <f>INT((K256*Valores!$C$2*100)+0.5)/100</f>
        <v>0</v>
      </c>
      <c r="M256" s="158">
        <v>0</v>
      </c>
      <c r="N256" s="149">
        <f>INT((M256*Valores!$C$2*100)+0.5)/100</f>
        <v>0</v>
      </c>
      <c r="O256" s="149">
        <f t="shared" si="34"/>
        <v>1696.5375</v>
      </c>
      <c r="P256" s="149">
        <f t="shared" si="35"/>
        <v>0</v>
      </c>
      <c r="Q256" s="148">
        <f>Valores!$C$14*D256</f>
        <v>3049.76</v>
      </c>
      <c r="R256" s="148">
        <f>IF(D256&lt;15,(Valores!$E$4*D256),Valores!$D$4)</f>
        <v>4026.2599999999998</v>
      </c>
      <c r="S256" s="149">
        <v>0</v>
      </c>
      <c r="T256" s="149">
        <f>IF(Valores!$C$45*D256&gt;Valores!$C$43,Valores!$C$43,Valores!$C$45*D256)</f>
        <v>913.5</v>
      </c>
      <c r="U256" s="148">
        <f>Valores!$C$22*D256</f>
        <v>1063.4399999999998</v>
      </c>
      <c r="V256" s="149">
        <f t="shared" si="42"/>
        <v>1063.4399999999998</v>
      </c>
      <c r="W256" s="149">
        <v>0</v>
      </c>
      <c r="X256" s="149">
        <v>0</v>
      </c>
      <c r="Y256" s="149">
        <v>0</v>
      </c>
      <c r="Z256" s="149">
        <f>Y256*Valores!$C$2</f>
        <v>0</v>
      </c>
      <c r="AA256" s="149">
        <v>0</v>
      </c>
      <c r="AB256" s="154">
        <f>IF((Valores!$C$32)*D256&gt;Valores!$F$32,Valores!$F$32,(Valores!$C$32)*D256)</f>
        <v>112.05376000000001</v>
      </c>
      <c r="AC256" s="149">
        <f t="shared" si="37"/>
        <v>0</v>
      </c>
      <c r="AD256" s="149">
        <f>IF(Valores!$C$33*D256&gt;Valores!$F$33,Valores!$F$33,Valores!$C$33*D256)</f>
        <v>93.27718400000002</v>
      </c>
      <c r="AE256" s="157">
        <v>0</v>
      </c>
      <c r="AF256" s="149">
        <f>INT(((AE256*Valores!$C$2)*100)+0.5)/100</f>
        <v>0</v>
      </c>
      <c r="AG256" s="149">
        <f>IF(Valores!$D$58*'Escala Docente'!D256&gt;Valores!$F$58,Valores!$F$58,Valores!$D$58*'Escala Docente'!D256)</f>
        <v>379.4336</v>
      </c>
      <c r="AH256" s="149">
        <f>IF(Valores!$D$60*D256&gt;Valores!$F$60,Valores!$F$60,Valores!$D$60*D256)</f>
        <v>108.4188</v>
      </c>
      <c r="AI256" s="163">
        <f t="shared" si="38"/>
        <v>20775.990843999996</v>
      </c>
      <c r="AJ256" s="148">
        <f>IF(Valores!$C$36*D256&gt;Valores!$F$36,Valores!$F$36,Valores!$C$36*D256)</f>
        <v>977.0600000000001</v>
      </c>
      <c r="AK256" s="149">
        <f>IF(Valores!$C$83*D256&gt;Valores!$C$82,Valores!$C$82,Valores!$C$83*D256)</f>
        <v>2275</v>
      </c>
      <c r="AL256" s="154">
        <f>IF(Valores!$C$57*D256&gt;Valores!$F$57,Valores!$F$57,Valores!$C$57*D256)</f>
        <v>158.97</v>
      </c>
      <c r="AM256" s="162">
        <f t="shared" si="36"/>
        <v>3252.06</v>
      </c>
      <c r="AN256" s="148">
        <f>AI256*-Valores!$C$65</f>
        <v>-2389.2389470599996</v>
      </c>
      <c r="AO256" s="146">
        <f>AI256*-Valores!$C$66</f>
        <v>-934.9195879799998</v>
      </c>
      <c r="AP256" s="170">
        <v>-159.43</v>
      </c>
      <c r="AQ256" s="170">
        <f t="shared" si="39"/>
        <v>-53.83</v>
      </c>
      <c r="AR256" s="162">
        <f t="shared" si="40"/>
        <v>20490.632308959997</v>
      </c>
    </row>
    <row r="257" spans="1:44" s="137" customFormat="1" ht="11.25" customHeight="1">
      <c r="A257" s="147">
        <v>255</v>
      </c>
      <c r="B257" s="147" t="s">
        <v>135</v>
      </c>
      <c r="C257" s="147" t="s">
        <v>494</v>
      </c>
      <c r="D257" s="147">
        <v>14</v>
      </c>
      <c r="E257" s="147">
        <f t="shared" si="33"/>
        <v>42</v>
      </c>
      <c r="F257" s="155" t="str">
        <f>CONCATENATE("Hora Cátedra Enseñanza Media ",D257," hs Esc Esp")</f>
        <v>Hora Cátedra Enseñanza Media 14 hs Esc Esp</v>
      </c>
      <c r="G257" s="152">
        <f t="shared" si="41"/>
        <v>1106</v>
      </c>
      <c r="H257" s="149">
        <f>INT((G257*Valores!$C$2*100)+0.49)/100</f>
        <v>9333.31</v>
      </c>
      <c r="I257" s="159">
        <v>0</v>
      </c>
      <c r="J257" s="149">
        <f>INT((I257*Valores!$C$2*100)+0.5)/100</f>
        <v>0</v>
      </c>
      <c r="K257" s="151">
        <v>0</v>
      </c>
      <c r="L257" s="149">
        <f>INT((K257*Valores!$C$2*100)+0.5)/100</f>
        <v>0</v>
      </c>
      <c r="M257" s="158">
        <v>0</v>
      </c>
      <c r="N257" s="149">
        <f>INT((M257*Valores!$C$2*100)+0.5)/100</f>
        <v>0</v>
      </c>
      <c r="O257" s="149">
        <f t="shared" si="34"/>
        <v>1696.5375</v>
      </c>
      <c r="P257" s="149">
        <f t="shared" si="35"/>
        <v>0</v>
      </c>
      <c r="Q257" s="148">
        <f>Valores!$C$14*D257</f>
        <v>3049.76</v>
      </c>
      <c r="R257" s="148">
        <f>IF(D257&lt;15,(Valores!$E$4*D257),Valores!$D$4)</f>
        <v>4026.2599999999998</v>
      </c>
      <c r="S257" s="149">
        <v>0</v>
      </c>
      <c r="T257" s="149">
        <f>IF(Valores!$C$45*D257&gt;Valores!$C$43,Valores!$C$43,Valores!$C$45*D257)</f>
        <v>913.5</v>
      </c>
      <c r="U257" s="148">
        <f>Valores!$C$22*D257</f>
        <v>1063.4399999999998</v>
      </c>
      <c r="V257" s="149">
        <f t="shared" si="42"/>
        <v>1063.4399999999998</v>
      </c>
      <c r="W257" s="149">
        <v>0</v>
      </c>
      <c r="X257" s="149">
        <v>0</v>
      </c>
      <c r="Y257" s="149">
        <v>0</v>
      </c>
      <c r="Z257" s="149">
        <f>Y257*Valores!$C$2</f>
        <v>0</v>
      </c>
      <c r="AA257" s="149">
        <v>0</v>
      </c>
      <c r="AB257" s="154">
        <f>IF((Valores!$C$32)*D257&gt;Valores!$F$32,Valores!$F$32,(Valores!$C$32)*D257)</f>
        <v>112.05376000000001</v>
      </c>
      <c r="AC257" s="149">
        <f t="shared" si="37"/>
        <v>0</v>
      </c>
      <c r="AD257" s="149">
        <f>IF(Valores!$C$33*D257&gt;Valores!$F$33,Valores!$F$33,Valores!$C$33*D257)</f>
        <v>93.27718400000002</v>
      </c>
      <c r="AE257" s="157">
        <v>94</v>
      </c>
      <c r="AF257" s="149">
        <f>INT(((AE257*Valores!$C$2)*100)+0.5)/100</f>
        <v>793.25</v>
      </c>
      <c r="AG257" s="149">
        <f>IF(Valores!$D$58*'Escala Docente'!D257&gt;Valores!$F$58,Valores!$F$58,Valores!$D$58*'Escala Docente'!D257)</f>
        <v>379.4336</v>
      </c>
      <c r="AH257" s="149">
        <f>IF(Valores!$D$60*D257&gt;Valores!$F$60,Valores!$F$60,Valores!$D$60*D257)</f>
        <v>108.4188</v>
      </c>
      <c r="AI257" s="163">
        <f t="shared" si="38"/>
        <v>21569.240843999996</v>
      </c>
      <c r="AJ257" s="148">
        <f>IF(Valores!$C$36*D257&gt;Valores!$F$36,Valores!$F$36,Valores!$C$36*D257)</f>
        <v>977.0600000000001</v>
      </c>
      <c r="AK257" s="149">
        <f>IF(Valores!$C$83*D257&gt;Valores!$C$82,Valores!$C$82,Valores!$C$83*D257)</f>
        <v>2275</v>
      </c>
      <c r="AL257" s="154">
        <f>IF(Valores!$C$57*D257&gt;Valores!$F$57,Valores!$F$57,Valores!$C$57*D257)</f>
        <v>158.97</v>
      </c>
      <c r="AM257" s="162">
        <f t="shared" si="36"/>
        <v>3252.06</v>
      </c>
      <c r="AN257" s="148">
        <f>AI257*-Valores!$C$65</f>
        <v>-2480.4626970599998</v>
      </c>
      <c r="AO257" s="146">
        <f>AI257*-Valores!$C$66</f>
        <v>-970.6158379799998</v>
      </c>
      <c r="AP257" s="170">
        <v>-159.43</v>
      </c>
      <c r="AQ257" s="170">
        <f t="shared" si="39"/>
        <v>-53.83</v>
      </c>
      <c r="AR257" s="162">
        <f t="shared" si="40"/>
        <v>21156.962308959995</v>
      </c>
    </row>
    <row r="258" spans="1:44" s="137" customFormat="1" ht="11.25" customHeight="1">
      <c r="A258" s="147">
        <v>256</v>
      </c>
      <c r="B258" s="147"/>
      <c r="C258" s="147" t="s">
        <v>494</v>
      </c>
      <c r="D258" s="147">
        <v>15</v>
      </c>
      <c r="E258" s="147">
        <f t="shared" si="33"/>
        <v>34</v>
      </c>
      <c r="F258" s="155" t="str">
        <f>CONCATENATE("Hora Cátedra Enseñanza Media ",D258," hs")</f>
        <v>Hora Cátedra Enseñanza Media 15 hs</v>
      </c>
      <c r="G258" s="152">
        <f t="shared" si="41"/>
        <v>1185</v>
      </c>
      <c r="H258" s="149">
        <f>INT((G258*Valores!$C$2*100)+0.49)/100</f>
        <v>9999.98</v>
      </c>
      <c r="I258" s="159">
        <v>0</v>
      </c>
      <c r="J258" s="149">
        <f>INT((I258*Valores!$C$2*100)+0.5)/100</f>
        <v>0</v>
      </c>
      <c r="K258" s="151">
        <v>0</v>
      </c>
      <c r="L258" s="149">
        <f>INT((K258*Valores!$C$2*100)+0.5)/100</f>
        <v>0</v>
      </c>
      <c r="M258" s="158">
        <v>0</v>
      </c>
      <c r="N258" s="149">
        <f>INT((M258*Valores!$C$2*100)+0.5)/100</f>
        <v>0</v>
      </c>
      <c r="O258" s="149">
        <f t="shared" si="34"/>
        <v>1817.7195</v>
      </c>
      <c r="P258" s="149">
        <f t="shared" si="35"/>
        <v>0</v>
      </c>
      <c r="Q258" s="148">
        <f>Valores!$C$14*D258</f>
        <v>3267.6</v>
      </c>
      <c r="R258" s="148">
        <f>IF(D258&lt;15,(Valores!$E$4*D258),Valores!$D$4)</f>
        <v>4313.91</v>
      </c>
      <c r="S258" s="149">
        <v>0</v>
      </c>
      <c r="T258" s="149">
        <f>IF(Valores!$C$45*D258&gt;Valores!$C$43,Valores!$C$43,Valores!$C$45*D258)</f>
        <v>978.75</v>
      </c>
      <c r="U258" s="148">
        <f>Valores!$C$22*D258</f>
        <v>1139.3999999999999</v>
      </c>
      <c r="V258" s="149">
        <f t="shared" si="42"/>
        <v>1139.3999999999999</v>
      </c>
      <c r="W258" s="149">
        <v>0</v>
      </c>
      <c r="X258" s="149">
        <v>0</v>
      </c>
      <c r="Y258" s="149">
        <v>0</v>
      </c>
      <c r="Z258" s="149">
        <f>Y258*Valores!$C$2</f>
        <v>0</v>
      </c>
      <c r="AA258" s="149">
        <v>0</v>
      </c>
      <c r="AB258" s="154">
        <f>IF((Valores!$C$32)*D258&gt;Valores!$F$32,Valores!$F$32,(Valores!$C$32)*D258)</f>
        <v>120.05760000000001</v>
      </c>
      <c r="AC258" s="149">
        <f t="shared" si="37"/>
        <v>0</v>
      </c>
      <c r="AD258" s="149">
        <f>IF(Valores!$C$33*D258&gt;Valores!$F$33,Valores!$F$33,Valores!$C$33*D258)</f>
        <v>99.93984000000002</v>
      </c>
      <c r="AE258" s="157">
        <v>0</v>
      </c>
      <c r="AF258" s="149">
        <f>INT(((AE258*Valores!$C$2)*100)+0.5)/100</f>
        <v>0</v>
      </c>
      <c r="AG258" s="149">
        <f>IF(Valores!$D$58*'Escala Docente'!D258&gt;Valores!$F$58,Valores!$F$58,Valores!$D$58*'Escala Docente'!D258)</f>
        <v>406.536</v>
      </c>
      <c r="AH258" s="149">
        <f>IF(Valores!$D$60*D258&gt;Valores!$F$60,Valores!$F$60,Valores!$D$60*D258)</f>
        <v>116.163</v>
      </c>
      <c r="AI258" s="163">
        <f t="shared" si="38"/>
        <v>22260.05594</v>
      </c>
      <c r="AJ258" s="148">
        <f>IF(Valores!$C$36*D258&gt;Valores!$F$36,Valores!$F$36,Valores!$C$36*D258)</f>
        <v>1046.8500000000001</v>
      </c>
      <c r="AK258" s="149">
        <f>IF(Valores!$C$83*D258&gt;Valores!$C$82,Valores!$C$82,Valores!$C$83*D258)</f>
        <v>2437.5</v>
      </c>
      <c r="AL258" s="154">
        <f>IF(Valores!$C$57*D258&gt;Valores!$F$57,Valores!$F$57,Valores!$C$57*D258)</f>
        <v>170.32500000000002</v>
      </c>
      <c r="AM258" s="162">
        <f t="shared" si="36"/>
        <v>3484.3500000000004</v>
      </c>
      <c r="AN258" s="148">
        <f>AI258*-Valores!$C$65</f>
        <v>-2559.9064331</v>
      </c>
      <c r="AO258" s="146">
        <f>AI258*-Valores!$C$66</f>
        <v>-1001.7025172999998</v>
      </c>
      <c r="AP258" s="170">
        <v>-159.43</v>
      </c>
      <c r="AQ258" s="170">
        <f t="shared" si="39"/>
        <v>-53.83</v>
      </c>
      <c r="AR258" s="162">
        <f t="shared" si="40"/>
        <v>21969.536989599994</v>
      </c>
    </row>
    <row r="259" spans="1:44" s="137" customFormat="1" ht="11.25" customHeight="1">
      <c r="A259" s="147">
        <v>257</v>
      </c>
      <c r="B259" s="147"/>
      <c r="C259" s="147" t="s">
        <v>494</v>
      </c>
      <c r="D259" s="147">
        <v>15</v>
      </c>
      <c r="E259" s="147">
        <f t="shared" si="33"/>
        <v>42</v>
      </c>
      <c r="F259" s="155" t="str">
        <f>CONCATENATE("Hora Cátedra Enseñanza Media ",D259," hs Esc Esp")</f>
        <v>Hora Cátedra Enseñanza Media 15 hs Esc Esp</v>
      </c>
      <c r="G259" s="152">
        <f t="shared" si="41"/>
        <v>1185</v>
      </c>
      <c r="H259" s="149">
        <f>INT((G259*Valores!$C$2*100)+0.49)/100</f>
        <v>9999.98</v>
      </c>
      <c r="I259" s="159">
        <v>0</v>
      </c>
      <c r="J259" s="149">
        <f>INT((I259*Valores!$C$2*100)+0.5)/100</f>
        <v>0</v>
      </c>
      <c r="K259" s="151">
        <v>0</v>
      </c>
      <c r="L259" s="149">
        <f>INT((K259*Valores!$C$2*100)+0.5)/100</f>
        <v>0</v>
      </c>
      <c r="M259" s="158">
        <v>0</v>
      </c>
      <c r="N259" s="149">
        <f>INT((M259*Valores!$C$2*100)+0.5)/100</f>
        <v>0</v>
      </c>
      <c r="O259" s="149">
        <f t="shared" si="34"/>
        <v>1817.7195</v>
      </c>
      <c r="P259" s="149">
        <f t="shared" si="35"/>
        <v>0</v>
      </c>
      <c r="Q259" s="148">
        <f>Valores!$C$14*D259</f>
        <v>3267.6</v>
      </c>
      <c r="R259" s="148">
        <f>IF(D259&lt;15,(Valores!$E$4*D259),Valores!$D$4)</f>
        <v>4313.91</v>
      </c>
      <c r="S259" s="149">
        <v>0</v>
      </c>
      <c r="T259" s="149">
        <f>IF(Valores!$C$45*D259&gt;Valores!$C$43,Valores!$C$43,Valores!$C$45*D259)</f>
        <v>978.75</v>
      </c>
      <c r="U259" s="148">
        <f>Valores!$C$22*D259</f>
        <v>1139.3999999999999</v>
      </c>
      <c r="V259" s="149">
        <f t="shared" si="42"/>
        <v>1139.3999999999999</v>
      </c>
      <c r="W259" s="149">
        <v>0</v>
      </c>
      <c r="X259" s="149">
        <v>0</v>
      </c>
      <c r="Y259" s="149">
        <v>0</v>
      </c>
      <c r="Z259" s="149">
        <f>Y259*Valores!$C$2</f>
        <v>0</v>
      </c>
      <c r="AA259" s="149">
        <v>0</v>
      </c>
      <c r="AB259" s="154">
        <f>IF((Valores!$C$32)*D259&gt;Valores!$F$32,Valores!$F$32,(Valores!$C$32)*D259)</f>
        <v>120.05760000000001</v>
      </c>
      <c r="AC259" s="149">
        <f t="shared" si="37"/>
        <v>0</v>
      </c>
      <c r="AD259" s="149">
        <f>IF(Valores!$C$33*D259&gt;Valores!$F$33,Valores!$F$33,Valores!$C$33*D259)</f>
        <v>99.93984000000002</v>
      </c>
      <c r="AE259" s="157">
        <v>94</v>
      </c>
      <c r="AF259" s="149">
        <f>INT(((AE259*Valores!$C$2)*100)+0.5)/100</f>
        <v>793.25</v>
      </c>
      <c r="AG259" s="149">
        <f>IF(Valores!$D$58*'Escala Docente'!D259&gt;Valores!$F$58,Valores!$F$58,Valores!$D$58*'Escala Docente'!D259)</f>
        <v>406.536</v>
      </c>
      <c r="AH259" s="149">
        <f>IF(Valores!$D$60*D259&gt;Valores!$F$60,Valores!$F$60,Valores!$D$60*D259)</f>
        <v>116.163</v>
      </c>
      <c r="AI259" s="163">
        <f t="shared" si="38"/>
        <v>23053.30594</v>
      </c>
      <c r="AJ259" s="148">
        <f>IF(Valores!$C$36*D259&gt;Valores!$F$36,Valores!$F$36,Valores!$C$36*D259)</f>
        <v>1046.8500000000001</v>
      </c>
      <c r="AK259" s="149">
        <f>IF(Valores!$C$83*D259&gt;Valores!$C$82,Valores!$C$82,Valores!$C$83*D259)</f>
        <v>2437.5</v>
      </c>
      <c r="AL259" s="154">
        <f>IF(Valores!$C$57*D259&gt;Valores!$F$57,Valores!$F$57,Valores!$C$57*D259)</f>
        <v>170.32500000000002</v>
      </c>
      <c r="AM259" s="162">
        <f t="shared" si="36"/>
        <v>3484.3500000000004</v>
      </c>
      <c r="AN259" s="148">
        <f>AI259*-Valores!$C$65</f>
        <v>-2651.1301831</v>
      </c>
      <c r="AO259" s="146">
        <f>AI259*-Valores!$C$66</f>
        <v>-1037.3987673</v>
      </c>
      <c r="AP259" s="170">
        <v>-159.43</v>
      </c>
      <c r="AQ259" s="170">
        <f t="shared" si="39"/>
        <v>-53.83</v>
      </c>
      <c r="AR259" s="162">
        <f t="shared" si="40"/>
        <v>22635.866989599992</v>
      </c>
    </row>
    <row r="260" spans="1:44" s="137" customFormat="1" ht="11.25" customHeight="1">
      <c r="A260" s="147">
        <v>258</v>
      </c>
      <c r="B260" s="147"/>
      <c r="C260" s="147" t="s">
        <v>494</v>
      </c>
      <c r="D260" s="147">
        <v>16</v>
      </c>
      <c r="E260" s="147">
        <f t="shared" si="33"/>
        <v>34</v>
      </c>
      <c r="F260" s="155" t="str">
        <f>CONCATENATE("Hora Cátedra Enseñanza Media ",D260," hs")</f>
        <v>Hora Cátedra Enseñanza Media 16 hs</v>
      </c>
      <c r="G260" s="152">
        <f t="shared" si="41"/>
        <v>1264</v>
      </c>
      <c r="H260" s="149">
        <f>INT((G260*Valores!$C$2*100)+0.49)/100</f>
        <v>10666.64</v>
      </c>
      <c r="I260" s="159">
        <v>0</v>
      </c>
      <c r="J260" s="149">
        <f>INT((I260*Valores!$C$2*100)+0.5)/100</f>
        <v>0</v>
      </c>
      <c r="K260" s="151">
        <v>0</v>
      </c>
      <c r="L260" s="149">
        <f>INT((K260*Valores!$C$2*100)+0.5)/100</f>
        <v>0</v>
      </c>
      <c r="M260" s="158">
        <v>0</v>
      </c>
      <c r="N260" s="149">
        <f>INT((M260*Valores!$C$2*100)+0.5)/100</f>
        <v>0</v>
      </c>
      <c r="O260" s="149">
        <f t="shared" si="34"/>
        <v>1938.8999999999999</v>
      </c>
      <c r="P260" s="149">
        <f t="shared" si="35"/>
        <v>0</v>
      </c>
      <c r="Q260" s="148">
        <f>Valores!$C$14*D260</f>
        <v>3485.44</v>
      </c>
      <c r="R260" s="148">
        <f>IF(D260&lt;15,(Valores!$E$4*D260),Valores!$D$4)</f>
        <v>4313.91</v>
      </c>
      <c r="S260" s="149">
        <v>0</v>
      </c>
      <c r="T260" s="149">
        <f>IF(Valores!$C$45*D260&gt;Valores!$C$43,Valores!$C$43,Valores!$C$45*D260)</f>
        <v>1044</v>
      </c>
      <c r="U260" s="148">
        <f>Valores!$C$22*D260</f>
        <v>1215.36</v>
      </c>
      <c r="V260" s="149">
        <f t="shared" si="42"/>
        <v>1215.36</v>
      </c>
      <c r="W260" s="149">
        <v>0</v>
      </c>
      <c r="X260" s="149">
        <v>0</v>
      </c>
      <c r="Y260" s="149">
        <v>0</v>
      </c>
      <c r="Z260" s="149">
        <f>Y260*Valores!$C$2</f>
        <v>0</v>
      </c>
      <c r="AA260" s="149">
        <v>0</v>
      </c>
      <c r="AB260" s="154">
        <f>IF((Valores!$C$32)*D260&gt;Valores!$F$32,Valores!$F$32,(Valores!$C$32)*D260)</f>
        <v>128.06144</v>
      </c>
      <c r="AC260" s="149">
        <f t="shared" si="37"/>
        <v>0</v>
      </c>
      <c r="AD260" s="149">
        <f>IF(Valores!$C$33*D260&gt;Valores!$F$33,Valores!$F$33,Valores!$C$33*D260)</f>
        <v>106.60249600000002</v>
      </c>
      <c r="AE260" s="157">
        <v>0</v>
      </c>
      <c r="AF260" s="149">
        <f>INT(((AE260*Valores!$C$2)*100)+0.5)/100</f>
        <v>0</v>
      </c>
      <c r="AG260" s="149">
        <f>IF(Valores!$D$58*'Escala Docente'!D260&gt;Valores!$F$58,Valores!$F$58,Valores!$D$58*'Escala Docente'!D260)</f>
        <v>433.6384</v>
      </c>
      <c r="AH260" s="149">
        <f>IF(Valores!$D$60*D260&gt;Valores!$F$60,Valores!$F$60,Valores!$D$60*D260)</f>
        <v>123.9072</v>
      </c>
      <c r="AI260" s="163">
        <f t="shared" si="38"/>
        <v>23456.459536000002</v>
      </c>
      <c r="AJ260" s="148">
        <f>IF(Valores!$C$36*D260&gt;Valores!$F$36,Valores!$F$36,Valores!$C$36*D260)</f>
        <v>1116.64</v>
      </c>
      <c r="AK260" s="149">
        <f>IF(Valores!$C$83*D260&gt;Valores!$C$82,Valores!$C$82,Valores!$C$83*D260)</f>
        <v>2600</v>
      </c>
      <c r="AL260" s="154">
        <f>IF(Valores!$C$57*D260&gt;Valores!$F$57,Valores!$F$57,Valores!$C$57*D260)</f>
        <v>181.68</v>
      </c>
      <c r="AM260" s="162">
        <f t="shared" si="36"/>
        <v>3716.6400000000003</v>
      </c>
      <c r="AN260" s="148">
        <f>AI260*-Valores!$C$65</f>
        <v>-2697.49284664</v>
      </c>
      <c r="AO260" s="146">
        <f>AI260*-Valores!$C$66</f>
        <v>-1055.54067912</v>
      </c>
      <c r="AP260" s="170">
        <v>-159.43</v>
      </c>
      <c r="AQ260" s="170">
        <f t="shared" si="39"/>
        <v>-53.83</v>
      </c>
      <c r="AR260" s="162">
        <f t="shared" si="40"/>
        <v>23206.806010239998</v>
      </c>
    </row>
    <row r="261" spans="1:44" s="137" customFormat="1" ht="11.25" customHeight="1">
      <c r="A261" s="147">
        <v>259</v>
      </c>
      <c r="B261" s="147"/>
      <c r="C261" s="147" t="s">
        <v>494</v>
      </c>
      <c r="D261" s="147">
        <v>16</v>
      </c>
      <c r="E261" s="147">
        <f t="shared" si="33"/>
        <v>42</v>
      </c>
      <c r="F261" s="155" t="str">
        <f>CONCATENATE("Hora Cátedra Enseñanza Media ",D261," hs Esc Esp")</f>
        <v>Hora Cátedra Enseñanza Media 16 hs Esc Esp</v>
      </c>
      <c r="G261" s="152">
        <f t="shared" si="41"/>
        <v>1264</v>
      </c>
      <c r="H261" s="149">
        <f>INT((G261*Valores!$C$2*100)+0.49)/100</f>
        <v>10666.64</v>
      </c>
      <c r="I261" s="159">
        <v>0</v>
      </c>
      <c r="J261" s="149">
        <f>INT((I261*Valores!$C$2*100)+0.5)/100</f>
        <v>0</v>
      </c>
      <c r="K261" s="151">
        <v>0</v>
      </c>
      <c r="L261" s="149">
        <f>INT((K261*Valores!$C$2*100)+0.5)/100</f>
        <v>0</v>
      </c>
      <c r="M261" s="158">
        <v>0</v>
      </c>
      <c r="N261" s="149">
        <f>INT((M261*Valores!$C$2*100)+0.5)/100</f>
        <v>0</v>
      </c>
      <c r="O261" s="149">
        <f t="shared" si="34"/>
        <v>1938.8999999999999</v>
      </c>
      <c r="P261" s="149">
        <f t="shared" si="35"/>
        <v>0</v>
      </c>
      <c r="Q261" s="148">
        <f>Valores!$C$14*D261</f>
        <v>3485.44</v>
      </c>
      <c r="R261" s="148">
        <f>IF(D261&lt;15,(Valores!$E$4*D261),Valores!$D$4)</f>
        <v>4313.91</v>
      </c>
      <c r="S261" s="149">
        <v>0</v>
      </c>
      <c r="T261" s="149">
        <f>IF(Valores!$C$45*D261&gt;Valores!$C$43,Valores!$C$43,Valores!$C$45*D261)</f>
        <v>1044</v>
      </c>
      <c r="U261" s="148">
        <f>Valores!$C$22*D261</f>
        <v>1215.36</v>
      </c>
      <c r="V261" s="149">
        <f t="shared" si="42"/>
        <v>1215.36</v>
      </c>
      <c r="W261" s="149">
        <v>0</v>
      </c>
      <c r="X261" s="149">
        <v>0</v>
      </c>
      <c r="Y261" s="149">
        <v>0</v>
      </c>
      <c r="Z261" s="149">
        <f>Y261*Valores!$C$2</f>
        <v>0</v>
      </c>
      <c r="AA261" s="149">
        <v>0</v>
      </c>
      <c r="AB261" s="154">
        <f>IF((Valores!$C$32)*D261&gt;Valores!$F$32,Valores!$F$32,(Valores!$C$32)*D261)</f>
        <v>128.06144</v>
      </c>
      <c r="AC261" s="149">
        <f t="shared" si="37"/>
        <v>0</v>
      </c>
      <c r="AD261" s="149">
        <f>IF(Valores!$C$33*D261&gt;Valores!$F$33,Valores!$F$33,Valores!$C$33*D261)</f>
        <v>106.60249600000002</v>
      </c>
      <c r="AE261" s="157">
        <v>94</v>
      </c>
      <c r="AF261" s="149">
        <f>INT(((AE261*Valores!$C$2)*100)+0.5)/100</f>
        <v>793.25</v>
      </c>
      <c r="AG261" s="149">
        <f>IF(Valores!$D$58*'Escala Docente'!D261&gt;Valores!$F$58,Valores!$F$58,Valores!$D$58*'Escala Docente'!D261)</f>
        <v>433.6384</v>
      </c>
      <c r="AH261" s="149">
        <f>IF(Valores!$D$60*D261&gt;Valores!$F$60,Valores!$F$60,Valores!$D$60*D261)</f>
        <v>123.9072</v>
      </c>
      <c r="AI261" s="163">
        <f t="shared" si="38"/>
        <v>24249.709536000002</v>
      </c>
      <c r="AJ261" s="148">
        <f>IF(Valores!$C$36*D261&gt;Valores!$F$36,Valores!$F$36,Valores!$C$36*D261)</f>
        <v>1116.64</v>
      </c>
      <c r="AK261" s="149">
        <f>IF(Valores!$C$83*D261&gt;Valores!$C$82,Valores!$C$82,Valores!$C$83*D261)</f>
        <v>2600</v>
      </c>
      <c r="AL261" s="154">
        <f>IF(Valores!$C$57*D261&gt;Valores!$F$57,Valores!$F$57,Valores!$C$57*D261)</f>
        <v>181.68</v>
      </c>
      <c r="AM261" s="162">
        <f t="shared" si="36"/>
        <v>3716.6400000000003</v>
      </c>
      <c r="AN261" s="148">
        <f>AI261*-Valores!$C$65</f>
        <v>-2788.7165966400003</v>
      </c>
      <c r="AO261" s="146">
        <f>AI261*-Valores!$C$66</f>
        <v>-1091.23692912</v>
      </c>
      <c r="AP261" s="170">
        <v>-159.43</v>
      </c>
      <c r="AQ261" s="170">
        <f t="shared" si="39"/>
        <v>-53.83</v>
      </c>
      <c r="AR261" s="162">
        <f t="shared" si="40"/>
        <v>23873.13601024</v>
      </c>
    </row>
    <row r="262" spans="1:44" s="137" customFormat="1" ht="11.25" customHeight="1">
      <c r="A262" s="147">
        <v>260</v>
      </c>
      <c r="B262" s="147" t="s">
        <v>135</v>
      </c>
      <c r="C262" s="147" t="s">
        <v>494</v>
      </c>
      <c r="D262" s="147">
        <v>17</v>
      </c>
      <c r="E262" s="147">
        <f t="shared" si="33"/>
        <v>34</v>
      </c>
      <c r="F262" s="155" t="str">
        <f>CONCATENATE("Hora Cátedra Enseñanza Media ",D262," hs")</f>
        <v>Hora Cátedra Enseñanza Media 17 hs</v>
      </c>
      <c r="G262" s="152">
        <f aca="true" t="shared" si="43" ref="G262:G293">79*D262</f>
        <v>1343</v>
      </c>
      <c r="H262" s="149">
        <f>INT((G262*Valores!$C$2*100)+0.49)/100</f>
        <v>11333.31</v>
      </c>
      <c r="I262" s="159">
        <v>0</v>
      </c>
      <c r="J262" s="149">
        <f>INT((I262*Valores!$C$2*100)+0.5)/100</f>
        <v>0</v>
      </c>
      <c r="K262" s="151">
        <v>0</v>
      </c>
      <c r="L262" s="149">
        <f>INT((K262*Valores!$C$2*100)+0.5)/100</f>
        <v>0</v>
      </c>
      <c r="M262" s="158">
        <v>0</v>
      </c>
      <c r="N262" s="149">
        <f>INT((M262*Valores!$C$2*100)+0.5)/100</f>
        <v>0</v>
      </c>
      <c r="O262" s="149">
        <f t="shared" si="34"/>
        <v>2060.082</v>
      </c>
      <c r="P262" s="149">
        <f t="shared" si="35"/>
        <v>0</v>
      </c>
      <c r="Q262" s="148">
        <f>Valores!$C$14*D262</f>
        <v>3703.28</v>
      </c>
      <c r="R262" s="148">
        <f>IF(D262&lt;15,(Valores!$E$4*D262),Valores!$D$4)</f>
        <v>4313.91</v>
      </c>
      <c r="S262" s="149">
        <v>0</v>
      </c>
      <c r="T262" s="149">
        <f>IF(Valores!$C$45*D262&gt;Valores!$C$43,Valores!$C$43,Valores!$C$45*D262)</f>
        <v>1109.25</v>
      </c>
      <c r="U262" s="148">
        <f>Valores!$C$22*D262</f>
        <v>1291.32</v>
      </c>
      <c r="V262" s="149">
        <f t="shared" si="42"/>
        <v>1291.32</v>
      </c>
      <c r="W262" s="149">
        <v>0</v>
      </c>
      <c r="X262" s="149">
        <v>0</v>
      </c>
      <c r="Y262" s="149">
        <v>0</v>
      </c>
      <c r="Z262" s="149">
        <f>Y262*Valores!$C$2</f>
        <v>0</v>
      </c>
      <c r="AA262" s="149">
        <v>0</v>
      </c>
      <c r="AB262" s="154">
        <f>IF((Valores!$C$32)*D262&gt;Valores!$F$32,Valores!$F$32,(Valores!$C$32)*D262)</f>
        <v>136.06528</v>
      </c>
      <c r="AC262" s="149">
        <f t="shared" si="37"/>
        <v>0</v>
      </c>
      <c r="AD262" s="149">
        <f>IF(Valores!$C$33*D262&gt;Valores!$F$33,Valores!$F$33,Valores!$C$33*D262)</f>
        <v>113.26515200000001</v>
      </c>
      <c r="AE262" s="157">
        <v>0</v>
      </c>
      <c r="AF262" s="149">
        <f>INT(((AE262*Valores!$C$2)*100)+0.5)/100</f>
        <v>0</v>
      </c>
      <c r="AG262" s="149">
        <f>IF(Valores!$D$58*'Escala Docente'!D262&gt;Valores!$F$58,Valores!$F$58,Valores!$D$58*'Escala Docente'!D262)</f>
        <v>460.7408</v>
      </c>
      <c r="AH262" s="149">
        <f>IF(Valores!$D$60*D262&gt;Valores!$F$60,Valores!$F$60,Valores!$D$60*D262)</f>
        <v>131.6514</v>
      </c>
      <c r="AI262" s="163">
        <f t="shared" si="38"/>
        <v>24652.874631999995</v>
      </c>
      <c r="AJ262" s="148">
        <f>IF(Valores!$C$36*D262&gt;Valores!$F$36,Valores!$F$36,Valores!$C$36*D262)</f>
        <v>1186.43</v>
      </c>
      <c r="AK262" s="149">
        <f>IF(Valores!$C$83*D262&gt;Valores!$C$82,Valores!$C$82,Valores!$C$83*D262)</f>
        <v>2762.5</v>
      </c>
      <c r="AL262" s="154">
        <f>IF(Valores!$C$57*D262&gt;Valores!$F$57,Valores!$F$57,Valores!$C$57*D262)</f>
        <v>193.035</v>
      </c>
      <c r="AM262" s="162">
        <f t="shared" si="36"/>
        <v>3948.9300000000003</v>
      </c>
      <c r="AN262" s="148">
        <f>AI262*-Valores!$C$65</f>
        <v>-2835.0805826799997</v>
      </c>
      <c r="AO262" s="146">
        <f>AI262*-Valores!$C$66</f>
        <v>-1109.3793584399998</v>
      </c>
      <c r="AP262" s="170">
        <v>-159.43</v>
      </c>
      <c r="AQ262" s="170">
        <f t="shared" si="39"/>
        <v>-53.83</v>
      </c>
      <c r="AR262" s="162">
        <f t="shared" si="40"/>
        <v>24444.084690879994</v>
      </c>
    </row>
    <row r="263" spans="1:44" s="137" customFormat="1" ht="11.25" customHeight="1">
      <c r="A263" s="147">
        <v>261</v>
      </c>
      <c r="B263" s="147"/>
      <c r="C263" s="147" t="s">
        <v>494</v>
      </c>
      <c r="D263" s="147">
        <v>17</v>
      </c>
      <c r="E263" s="147">
        <f t="shared" si="33"/>
        <v>42</v>
      </c>
      <c r="F263" s="155" t="str">
        <f>CONCATENATE("Hora Cátedra Enseñanza Media ",D263," hs Esc Esp")</f>
        <v>Hora Cátedra Enseñanza Media 17 hs Esc Esp</v>
      </c>
      <c r="G263" s="152">
        <f t="shared" si="43"/>
        <v>1343</v>
      </c>
      <c r="H263" s="149">
        <f>INT((G263*Valores!$C$2*100)+0.49)/100</f>
        <v>11333.31</v>
      </c>
      <c r="I263" s="159">
        <v>0</v>
      </c>
      <c r="J263" s="149">
        <f>INT((I263*Valores!$C$2*100)+0.5)/100</f>
        <v>0</v>
      </c>
      <c r="K263" s="151">
        <v>0</v>
      </c>
      <c r="L263" s="149">
        <f>INT((K263*Valores!$C$2*100)+0.5)/100</f>
        <v>0</v>
      </c>
      <c r="M263" s="158">
        <v>0</v>
      </c>
      <c r="N263" s="149">
        <f>INT((M263*Valores!$C$2*100)+0.5)/100</f>
        <v>0</v>
      </c>
      <c r="O263" s="149">
        <f t="shared" si="34"/>
        <v>2060.082</v>
      </c>
      <c r="P263" s="149">
        <f t="shared" si="35"/>
        <v>0</v>
      </c>
      <c r="Q263" s="148">
        <f>Valores!$C$14*D263</f>
        <v>3703.28</v>
      </c>
      <c r="R263" s="148">
        <f>IF(D263&lt;15,(Valores!$E$4*D263),Valores!$D$4)</f>
        <v>4313.91</v>
      </c>
      <c r="S263" s="149">
        <v>0</v>
      </c>
      <c r="T263" s="149">
        <f>IF(Valores!$C$45*D263&gt;Valores!$C$43,Valores!$C$43,Valores!$C$45*D263)</f>
        <v>1109.25</v>
      </c>
      <c r="U263" s="148">
        <f>Valores!$C$22*D263</f>
        <v>1291.32</v>
      </c>
      <c r="V263" s="149">
        <f t="shared" si="42"/>
        <v>1291.32</v>
      </c>
      <c r="W263" s="149">
        <v>0</v>
      </c>
      <c r="X263" s="149">
        <v>0</v>
      </c>
      <c r="Y263" s="149">
        <v>0</v>
      </c>
      <c r="Z263" s="149">
        <f>Y263*Valores!$C$2</f>
        <v>0</v>
      </c>
      <c r="AA263" s="149">
        <v>0</v>
      </c>
      <c r="AB263" s="154">
        <f>IF((Valores!$C$32)*D263&gt;Valores!$F$32,Valores!$F$32,(Valores!$C$32)*D263)</f>
        <v>136.06528</v>
      </c>
      <c r="AC263" s="149">
        <f t="shared" si="37"/>
        <v>0</v>
      </c>
      <c r="AD263" s="149">
        <f>IF(Valores!$C$33*D263&gt;Valores!$F$33,Valores!$F$33,Valores!$C$33*D263)</f>
        <v>113.26515200000001</v>
      </c>
      <c r="AE263" s="157">
        <v>94</v>
      </c>
      <c r="AF263" s="149">
        <f>INT(((AE263*Valores!$C$2)*100)+0.5)/100</f>
        <v>793.25</v>
      </c>
      <c r="AG263" s="149">
        <f>IF(Valores!$D$58*'Escala Docente'!D263&gt;Valores!$F$58,Valores!$F$58,Valores!$D$58*'Escala Docente'!D263)</f>
        <v>460.7408</v>
      </c>
      <c r="AH263" s="149">
        <f>IF(Valores!$D$60*D263&gt;Valores!$F$60,Valores!$F$60,Valores!$D$60*D263)</f>
        <v>131.6514</v>
      </c>
      <c r="AI263" s="163">
        <f t="shared" si="38"/>
        <v>25446.124631999995</v>
      </c>
      <c r="AJ263" s="148">
        <f>IF(Valores!$C$36*D263&gt;Valores!$F$36,Valores!$F$36,Valores!$C$36*D263)</f>
        <v>1186.43</v>
      </c>
      <c r="AK263" s="149">
        <f>IF(Valores!$C$83*D263&gt;Valores!$C$82,Valores!$C$82,Valores!$C$83*D263)</f>
        <v>2762.5</v>
      </c>
      <c r="AL263" s="154">
        <f>IF(Valores!$C$57*D263&gt;Valores!$F$57,Valores!$F$57,Valores!$C$57*D263)</f>
        <v>193.035</v>
      </c>
      <c r="AM263" s="162">
        <f t="shared" si="36"/>
        <v>3948.9300000000003</v>
      </c>
      <c r="AN263" s="148">
        <f>AI263*-Valores!$C$65</f>
        <v>-2926.30433268</v>
      </c>
      <c r="AO263" s="146">
        <f>AI263*-Valores!$C$66</f>
        <v>-1145.0756084399998</v>
      </c>
      <c r="AP263" s="170">
        <v>-159.43</v>
      </c>
      <c r="AQ263" s="170">
        <f t="shared" si="39"/>
        <v>-53.83</v>
      </c>
      <c r="AR263" s="162">
        <f t="shared" si="40"/>
        <v>25110.414690879996</v>
      </c>
    </row>
    <row r="264" spans="1:44" s="137" customFormat="1" ht="11.25" customHeight="1">
      <c r="A264" s="147">
        <v>262</v>
      </c>
      <c r="B264" s="147"/>
      <c r="C264" s="147" t="s">
        <v>494</v>
      </c>
      <c r="D264" s="147">
        <v>18</v>
      </c>
      <c r="E264" s="147">
        <f aca="true" t="shared" si="44" ref="E264:E327">LEN(F264)</f>
        <v>34</v>
      </c>
      <c r="F264" s="155" t="str">
        <f>CONCATENATE("Hora Cátedra Enseñanza Media ",D264," hs")</f>
        <v>Hora Cátedra Enseñanza Media 18 hs</v>
      </c>
      <c r="G264" s="152">
        <f t="shared" si="43"/>
        <v>1422</v>
      </c>
      <c r="H264" s="149">
        <f>INT((G264*Valores!$C$2*100)+0.49)/100</f>
        <v>11999.97</v>
      </c>
      <c r="I264" s="159">
        <v>0</v>
      </c>
      <c r="J264" s="149">
        <f>INT((I264*Valores!$C$2*100)+0.5)/100</f>
        <v>0</v>
      </c>
      <c r="K264" s="151">
        <v>0</v>
      </c>
      <c r="L264" s="149">
        <f>INT((K264*Valores!$C$2*100)+0.5)/100</f>
        <v>0</v>
      </c>
      <c r="M264" s="158">
        <v>0</v>
      </c>
      <c r="N264" s="149">
        <f>INT((M264*Valores!$C$2*100)+0.5)/100</f>
        <v>0</v>
      </c>
      <c r="O264" s="149">
        <f aca="true" t="shared" si="45" ref="O264:O327">IF($J$2=0,IF(C264&lt;&gt;"13-930",(SUM(H264,J264,L264,N264,Z264,U264,T264)*$O$2),0),0)</f>
        <v>2181.2625</v>
      </c>
      <c r="P264" s="149">
        <f aca="true" t="shared" si="46" ref="P264:P328">SUM(H264,J264,L264,N264,Z264,T264)*$J$2</f>
        <v>0</v>
      </c>
      <c r="Q264" s="148">
        <f>Valores!$C$14*D264</f>
        <v>3921.12</v>
      </c>
      <c r="R264" s="148">
        <f>IF(D264&lt;15,(Valores!$E$4*D264),Valores!$D$4)</f>
        <v>4313.91</v>
      </c>
      <c r="S264" s="149">
        <v>0</v>
      </c>
      <c r="T264" s="149">
        <f>IF(Valores!$C$45*D264&gt;Valores!$C$43,Valores!$C$43,Valores!$C$45*D264)</f>
        <v>1174.5</v>
      </c>
      <c r="U264" s="148">
        <f>Valores!$C$22*D264</f>
        <v>1367.28</v>
      </c>
      <c r="V264" s="149">
        <f t="shared" si="42"/>
        <v>1367.28</v>
      </c>
      <c r="W264" s="149">
        <v>0</v>
      </c>
      <c r="X264" s="149">
        <v>0</v>
      </c>
      <c r="Y264" s="149">
        <v>0</v>
      </c>
      <c r="Z264" s="149">
        <f>Y264*Valores!$C$2</f>
        <v>0</v>
      </c>
      <c r="AA264" s="149">
        <v>0</v>
      </c>
      <c r="AB264" s="154">
        <f>IF((Valores!$C$32)*D264&gt;Valores!$F$32,Valores!$F$32,(Valores!$C$32)*D264)</f>
        <v>144.06912</v>
      </c>
      <c r="AC264" s="149">
        <f t="shared" si="37"/>
        <v>0</v>
      </c>
      <c r="AD264" s="149">
        <f>IF(Valores!$C$33*D264&gt;Valores!$F$33,Valores!$F$33,Valores!$C$33*D264)</f>
        <v>119.92780800000001</v>
      </c>
      <c r="AE264" s="157">
        <v>0</v>
      </c>
      <c r="AF264" s="149">
        <f>INT(((AE264*Valores!$C$2)*100)+0.5)/100</f>
        <v>0</v>
      </c>
      <c r="AG264" s="149">
        <f>IF(Valores!$D$58*'Escala Docente'!D264&gt;Valores!$F$58,Valores!$F$58,Valores!$D$58*'Escala Docente'!D264)</f>
        <v>487.84319999999997</v>
      </c>
      <c r="AH264" s="149">
        <f>IF(Valores!$D$60*D264&gt;Valores!$F$60,Valores!$F$60,Valores!$D$60*D264)</f>
        <v>139.3956</v>
      </c>
      <c r="AI264" s="163">
        <f t="shared" si="38"/>
        <v>25849.278227999996</v>
      </c>
      <c r="AJ264" s="148">
        <f>IF(Valores!$C$36*D264&gt;Valores!$F$36,Valores!$F$36,Valores!$C$36*D264)</f>
        <v>1256.22</v>
      </c>
      <c r="AK264" s="149">
        <f>IF(Valores!$C$83*D264&gt;Valores!$C$82,Valores!$C$82,Valores!$C$83*D264)</f>
        <v>2925</v>
      </c>
      <c r="AL264" s="154">
        <f>IF(Valores!$C$57*D264&gt;Valores!$F$57,Valores!$F$57,Valores!$C$57*D264)</f>
        <v>204.39000000000001</v>
      </c>
      <c r="AM264" s="162">
        <f aca="true" t="shared" si="47" ref="AM264:AM327">IF($H$5="SI",SUM(AJ264:AL264),SUM(AJ264:AK264))</f>
        <v>4181.22</v>
      </c>
      <c r="AN264" s="148">
        <f>AI264*-Valores!$C$65</f>
        <v>-2972.6669962199994</v>
      </c>
      <c r="AO264" s="146">
        <f>AI264*-Valores!$C$66</f>
        <v>-1163.2175202599997</v>
      </c>
      <c r="AP264" s="170">
        <v>-159.43</v>
      </c>
      <c r="AQ264" s="170">
        <f t="shared" si="39"/>
        <v>-53.83</v>
      </c>
      <c r="AR264" s="162">
        <f t="shared" si="40"/>
        <v>25681.353711519994</v>
      </c>
    </row>
    <row r="265" spans="1:44" s="137" customFormat="1" ht="11.25" customHeight="1">
      <c r="A265" s="147">
        <v>263</v>
      </c>
      <c r="B265" s="147"/>
      <c r="C265" s="147" t="s">
        <v>494</v>
      </c>
      <c r="D265" s="147">
        <v>18</v>
      </c>
      <c r="E265" s="147">
        <f t="shared" si="44"/>
        <v>42</v>
      </c>
      <c r="F265" s="155" t="str">
        <f>CONCATENATE("Hora Cátedra Enseñanza Media ",D265," hs Esc Esp")</f>
        <v>Hora Cátedra Enseñanza Media 18 hs Esc Esp</v>
      </c>
      <c r="G265" s="152">
        <f t="shared" si="43"/>
        <v>1422</v>
      </c>
      <c r="H265" s="149">
        <f>INT((G265*Valores!$C$2*100)+0.49)/100</f>
        <v>11999.97</v>
      </c>
      <c r="I265" s="159">
        <v>0</v>
      </c>
      <c r="J265" s="149">
        <f>INT((I265*Valores!$C$2*100)+0.5)/100</f>
        <v>0</v>
      </c>
      <c r="K265" s="151">
        <v>0</v>
      </c>
      <c r="L265" s="149">
        <f>INT((K265*Valores!$C$2*100)+0.5)/100</f>
        <v>0</v>
      </c>
      <c r="M265" s="158">
        <v>0</v>
      </c>
      <c r="N265" s="149">
        <f>INT((M265*Valores!$C$2*100)+0.5)/100</f>
        <v>0</v>
      </c>
      <c r="O265" s="149">
        <f t="shared" si="45"/>
        <v>2181.2625</v>
      </c>
      <c r="P265" s="149">
        <f t="shared" si="46"/>
        <v>0</v>
      </c>
      <c r="Q265" s="148">
        <f>Valores!$C$14*D265</f>
        <v>3921.12</v>
      </c>
      <c r="R265" s="148">
        <f>IF(D265&lt;15,(Valores!$E$4*D265),Valores!$D$4)</f>
        <v>4313.91</v>
      </c>
      <c r="S265" s="149">
        <v>0</v>
      </c>
      <c r="T265" s="149">
        <f>IF(Valores!$C$45*D265&gt;Valores!$C$43,Valores!$C$43,Valores!$C$45*D265)</f>
        <v>1174.5</v>
      </c>
      <c r="U265" s="148">
        <f>Valores!$C$22*D265</f>
        <v>1367.28</v>
      </c>
      <c r="V265" s="149">
        <f t="shared" si="42"/>
        <v>1367.28</v>
      </c>
      <c r="W265" s="149">
        <v>0</v>
      </c>
      <c r="X265" s="149">
        <v>0</v>
      </c>
      <c r="Y265" s="149">
        <v>0</v>
      </c>
      <c r="Z265" s="149">
        <f>Y265*Valores!$C$2</f>
        <v>0</v>
      </c>
      <c r="AA265" s="149">
        <v>0</v>
      </c>
      <c r="AB265" s="154">
        <f>IF((Valores!$C$32)*D265&gt;Valores!$F$32,Valores!$F$32,(Valores!$C$32)*D265)</f>
        <v>144.06912</v>
      </c>
      <c r="AC265" s="149">
        <f aca="true" t="shared" si="48" ref="AC265:AC328">SUM(H265,J265,L265,Z265,T265)*$H$3/100</f>
        <v>0</v>
      </c>
      <c r="AD265" s="149">
        <f>IF(Valores!$C$33*D265&gt;Valores!$F$33,Valores!$F$33,Valores!$C$33*D265)</f>
        <v>119.92780800000001</v>
      </c>
      <c r="AE265" s="157">
        <v>94</v>
      </c>
      <c r="AF265" s="149">
        <f>INT(((AE265*Valores!$C$2)*100)+0.5)/100</f>
        <v>793.25</v>
      </c>
      <c r="AG265" s="149">
        <f>IF(Valores!$D$58*'Escala Docente'!D265&gt;Valores!$F$58,Valores!$F$58,Valores!$D$58*'Escala Docente'!D265)</f>
        <v>487.84319999999997</v>
      </c>
      <c r="AH265" s="149">
        <f>IF(Valores!$D$60*D265&gt;Valores!$F$60,Valores!$F$60,Valores!$D$60*D265)</f>
        <v>139.3956</v>
      </c>
      <c r="AI265" s="163">
        <f aca="true" t="shared" si="49" ref="AI265:AI328">SUM(H265,J265,L265,N265,O265,P265,Q265,R265,S265,V265,W265,X265,Z265,AA265,AB265,AC265,AD265,AF265,T265,AG265,AH265)</f>
        <v>26642.528227999996</v>
      </c>
      <c r="AJ265" s="148">
        <f>IF(Valores!$C$36*D265&gt;Valores!$F$36,Valores!$F$36,Valores!$C$36*D265)</f>
        <v>1256.22</v>
      </c>
      <c r="AK265" s="149">
        <f>IF(Valores!$C$83*D265&gt;Valores!$C$82,Valores!$C$82,Valores!$C$83*D265)</f>
        <v>2925</v>
      </c>
      <c r="AL265" s="154">
        <f>IF(Valores!$C$57*D265&gt;Valores!$F$57,Valores!$F$57,Valores!$C$57*D265)</f>
        <v>204.39000000000001</v>
      </c>
      <c r="AM265" s="162">
        <f t="shared" si="47"/>
        <v>4181.22</v>
      </c>
      <c r="AN265" s="148">
        <f>AI265*-Valores!$C$65</f>
        <v>-3063.8907462199995</v>
      </c>
      <c r="AO265" s="146">
        <f>AI265*-Valores!$C$66</f>
        <v>-1198.9137702599999</v>
      </c>
      <c r="AP265" s="170">
        <v>-159.43</v>
      </c>
      <c r="AQ265" s="170">
        <f aca="true" t="shared" si="50" ref="AQ265:AQ328">IF($H$4=0,-53.83,(-53.83+$H$4*(-53.83)))</f>
        <v>-53.83</v>
      </c>
      <c r="AR265" s="162">
        <f aca="true" t="shared" si="51" ref="AR265:AR328">AI265+AM265+AN265+AO265+AP265+AQ265</f>
        <v>26347.683711519996</v>
      </c>
    </row>
    <row r="266" spans="1:44" s="137" customFormat="1" ht="11.25" customHeight="1">
      <c r="A266" s="147">
        <v>264</v>
      </c>
      <c r="B266" s="147"/>
      <c r="C266" s="147" t="s">
        <v>494</v>
      </c>
      <c r="D266" s="147">
        <v>19</v>
      </c>
      <c r="E266" s="147">
        <f t="shared" si="44"/>
        <v>34</v>
      </c>
      <c r="F266" s="155" t="str">
        <f>CONCATENATE("Hora Cátedra Enseñanza Media ",D266," hs")</f>
        <v>Hora Cátedra Enseñanza Media 19 hs</v>
      </c>
      <c r="G266" s="152">
        <f t="shared" si="43"/>
        <v>1501</v>
      </c>
      <c r="H266" s="149">
        <f>INT((G266*Valores!$C$2*100)+0.49)/100</f>
        <v>12666.64</v>
      </c>
      <c r="I266" s="159">
        <v>0</v>
      </c>
      <c r="J266" s="149">
        <f>INT((I266*Valores!$C$2*100)+0.5)/100</f>
        <v>0</v>
      </c>
      <c r="K266" s="151">
        <v>0</v>
      </c>
      <c r="L266" s="149">
        <f>INT((K266*Valores!$C$2*100)+0.5)/100</f>
        <v>0</v>
      </c>
      <c r="M266" s="158">
        <v>0</v>
      </c>
      <c r="N266" s="149">
        <f>INT((M266*Valores!$C$2*100)+0.5)/100</f>
        <v>0</v>
      </c>
      <c r="O266" s="149">
        <f t="shared" si="45"/>
        <v>2302.4444999999996</v>
      </c>
      <c r="P266" s="149">
        <f t="shared" si="46"/>
        <v>0</v>
      </c>
      <c r="Q266" s="148">
        <f>Valores!$C$14*D266</f>
        <v>4138.96</v>
      </c>
      <c r="R266" s="148">
        <f>IF(D266&lt;15,(Valores!$E$4*D266),Valores!$D$4)</f>
        <v>4313.91</v>
      </c>
      <c r="S266" s="149">
        <v>0</v>
      </c>
      <c r="T266" s="149">
        <f>IF(Valores!$C$45*D266&gt;Valores!$C$43,Valores!$C$43,Valores!$C$45*D266)</f>
        <v>1239.75</v>
      </c>
      <c r="U266" s="148">
        <f>Valores!$C$22*D266</f>
        <v>1443.2399999999998</v>
      </c>
      <c r="V266" s="149">
        <f t="shared" si="42"/>
        <v>1443.2399999999998</v>
      </c>
      <c r="W266" s="149">
        <v>0</v>
      </c>
      <c r="X266" s="149">
        <v>0</v>
      </c>
      <c r="Y266" s="149">
        <v>0</v>
      </c>
      <c r="Z266" s="149">
        <f>Y266*Valores!$C$2</f>
        <v>0</v>
      </c>
      <c r="AA266" s="149">
        <v>0</v>
      </c>
      <c r="AB266" s="154">
        <f>IF((Valores!$C$32)*D266&gt;Valores!$F$32,Valores!$F$32,(Valores!$C$32)*D266)</f>
        <v>152.07296</v>
      </c>
      <c r="AC266" s="149">
        <f t="shared" si="48"/>
        <v>0</v>
      </c>
      <c r="AD266" s="149">
        <f>IF(Valores!$C$33*D266&gt;Valores!$F$33,Valores!$F$33,Valores!$C$33*D266)</f>
        <v>126.59046400000003</v>
      </c>
      <c r="AE266" s="157">
        <v>0</v>
      </c>
      <c r="AF266" s="149">
        <f>INT(((AE266*Valores!$C$2)*100)+0.5)/100</f>
        <v>0</v>
      </c>
      <c r="AG266" s="149">
        <f>IF(Valores!$D$58*'Escala Docente'!D266&gt;Valores!$F$58,Valores!$F$58,Valores!$D$58*'Escala Docente'!D266)</f>
        <v>514.9456</v>
      </c>
      <c r="AH266" s="149">
        <f>IF(Valores!$D$60*D266&gt;Valores!$F$60,Valores!$F$60,Valores!$D$60*D266)</f>
        <v>147.1398</v>
      </c>
      <c r="AI266" s="163">
        <f t="shared" si="49"/>
        <v>27045.693324</v>
      </c>
      <c r="AJ266" s="148">
        <f>IF(Valores!$C$36*D266&gt;Valores!$F$36,Valores!$F$36,Valores!$C$36*D266)</f>
        <v>1326.0100000000002</v>
      </c>
      <c r="AK266" s="149">
        <f>IF(Valores!$C$83*D266&gt;Valores!$C$82,Valores!$C$82,Valores!$C$83*D266)</f>
        <v>3087.5</v>
      </c>
      <c r="AL266" s="154">
        <f>IF(Valores!$C$57*D266&gt;Valores!$F$57,Valores!$F$57,Valores!$C$57*D266)</f>
        <v>215.745</v>
      </c>
      <c r="AM266" s="162">
        <f t="shared" si="47"/>
        <v>4413.51</v>
      </c>
      <c r="AN266" s="148">
        <f>AI266*-Valores!$C$65</f>
        <v>-3110.2547322600003</v>
      </c>
      <c r="AO266" s="146">
        <f>AI266*-Valores!$C$66</f>
        <v>-1217.0561995799999</v>
      </c>
      <c r="AP266" s="170">
        <v>-159.43</v>
      </c>
      <c r="AQ266" s="170">
        <f t="shared" si="50"/>
        <v>-53.83</v>
      </c>
      <c r="AR266" s="162">
        <f t="shared" si="51"/>
        <v>26918.632392159998</v>
      </c>
    </row>
    <row r="267" spans="1:44" s="137" customFormat="1" ht="11.25" customHeight="1">
      <c r="A267" s="147">
        <v>265</v>
      </c>
      <c r="B267" s="147" t="s">
        <v>135</v>
      </c>
      <c r="C267" s="147" t="s">
        <v>494</v>
      </c>
      <c r="D267" s="147">
        <v>19</v>
      </c>
      <c r="E267" s="147">
        <f t="shared" si="44"/>
        <v>42</v>
      </c>
      <c r="F267" s="155" t="str">
        <f>CONCATENATE("Hora Cátedra Enseñanza Media ",D267," hs Esc Esp")</f>
        <v>Hora Cátedra Enseñanza Media 19 hs Esc Esp</v>
      </c>
      <c r="G267" s="152">
        <f t="shared" si="43"/>
        <v>1501</v>
      </c>
      <c r="H267" s="149">
        <f>INT((G267*Valores!$C$2*100)+0.49)/100</f>
        <v>12666.64</v>
      </c>
      <c r="I267" s="159">
        <v>0</v>
      </c>
      <c r="J267" s="149">
        <f>INT((I267*Valores!$C$2*100)+0.5)/100</f>
        <v>0</v>
      </c>
      <c r="K267" s="151">
        <v>0</v>
      </c>
      <c r="L267" s="149">
        <f>INT((K267*Valores!$C$2*100)+0.5)/100</f>
        <v>0</v>
      </c>
      <c r="M267" s="158">
        <v>0</v>
      </c>
      <c r="N267" s="149">
        <f>INT((M267*Valores!$C$2*100)+0.5)/100</f>
        <v>0</v>
      </c>
      <c r="O267" s="149">
        <f t="shared" si="45"/>
        <v>2302.4444999999996</v>
      </c>
      <c r="P267" s="149">
        <f t="shared" si="46"/>
        <v>0</v>
      </c>
      <c r="Q267" s="148">
        <f>Valores!$C$14*D267</f>
        <v>4138.96</v>
      </c>
      <c r="R267" s="148">
        <f>IF(D267&lt;15,(Valores!$E$4*D267),Valores!$D$4)</f>
        <v>4313.91</v>
      </c>
      <c r="S267" s="149">
        <v>0</v>
      </c>
      <c r="T267" s="149">
        <f>IF(Valores!$C$45*D267&gt;Valores!$C$43,Valores!$C$43,Valores!$C$45*D267)</f>
        <v>1239.75</v>
      </c>
      <c r="U267" s="148">
        <f>Valores!$C$22*D267</f>
        <v>1443.2399999999998</v>
      </c>
      <c r="V267" s="149">
        <f t="shared" si="42"/>
        <v>1443.2399999999998</v>
      </c>
      <c r="W267" s="149">
        <v>0</v>
      </c>
      <c r="X267" s="149">
        <v>0</v>
      </c>
      <c r="Y267" s="149">
        <v>0</v>
      </c>
      <c r="Z267" s="149">
        <f>Y267*Valores!$C$2</f>
        <v>0</v>
      </c>
      <c r="AA267" s="149">
        <v>0</v>
      </c>
      <c r="AB267" s="154">
        <f>IF((Valores!$C$32)*D267&gt;Valores!$F$32,Valores!$F$32,(Valores!$C$32)*D267)</f>
        <v>152.07296</v>
      </c>
      <c r="AC267" s="149">
        <f t="shared" si="48"/>
        <v>0</v>
      </c>
      <c r="AD267" s="149">
        <f>IF(Valores!$C$33*D267&gt;Valores!$F$33,Valores!$F$33,Valores!$C$33*D267)</f>
        <v>126.59046400000003</v>
      </c>
      <c r="AE267" s="157">
        <v>94</v>
      </c>
      <c r="AF267" s="149">
        <f>INT(((AE267*Valores!$C$2)*100)+0.5)/100</f>
        <v>793.25</v>
      </c>
      <c r="AG267" s="149">
        <f>IF(Valores!$D$58*'Escala Docente'!D267&gt;Valores!$F$58,Valores!$F$58,Valores!$D$58*'Escala Docente'!D267)</f>
        <v>514.9456</v>
      </c>
      <c r="AH267" s="149">
        <f>IF(Valores!$D$60*D267&gt;Valores!$F$60,Valores!$F$60,Valores!$D$60*D267)</f>
        <v>147.1398</v>
      </c>
      <c r="AI267" s="163">
        <f t="shared" si="49"/>
        <v>27838.943324</v>
      </c>
      <c r="AJ267" s="148">
        <f>IF(Valores!$C$36*D267&gt;Valores!$F$36,Valores!$F$36,Valores!$C$36*D267)</f>
        <v>1326.0100000000002</v>
      </c>
      <c r="AK267" s="149">
        <f>IF(Valores!$C$83*D267&gt;Valores!$C$82,Valores!$C$82,Valores!$C$83*D267)</f>
        <v>3087.5</v>
      </c>
      <c r="AL267" s="154">
        <f>IF(Valores!$C$57*D267&gt;Valores!$F$57,Valores!$F$57,Valores!$C$57*D267)</f>
        <v>215.745</v>
      </c>
      <c r="AM267" s="162">
        <f t="shared" si="47"/>
        <v>4413.51</v>
      </c>
      <c r="AN267" s="148">
        <f>AI267*-Valores!$C$65</f>
        <v>-3201.47848226</v>
      </c>
      <c r="AO267" s="146">
        <f>AI267*-Valores!$C$66</f>
        <v>-1252.7524495799998</v>
      </c>
      <c r="AP267" s="170">
        <v>-159.43</v>
      </c>
      <c r="AQ267" s="170">
        <f t="shared" si="50"/>
        <v>-53.83</v>
      </c>
      <c r="AR267" s="162">
        <f t="shared" si="51"/>
        <v>27584.96239216</v>
      </c>
    </row>
    <row r="268" spans="1:44" s="137" customFormat="1" ht="11.25" customHeight="1">
      <c r="A268" s="147">
        <v>266</v>
      </c>
      <c r="B268" s="147"/>
      <c r="C268" s="147" t="s">
        <v>494</v>
      </c>
      <c r="D268" s="147">
        <v>20</v>
      </c>
      <c r="E268" s="147">
        <f t="shared" si="44"/>
        <v>34</v>
      </c>
      <c r="F268" s="155" t="str">
        <f>CONCATENATE("Hora Cátedra Enseñanza Media ",D268," hs")</f>
        <v>Hora Cátedra Enseñanza Media 20 hs</v>
      </c>
      <c r="G268" s="152">
        <f t="shared" si="43"/>
        <v>1580</v>
      </c>
      <c r="H268" s="149">
        <f>INT((G268*Valores!$C$2*100)+0.49)/100</f>
        <v>13333.3</v>
      </c>
      <c r="I268" s="159">
        <v>0</v>
      </c>
      <c r="J268" s="149">
        <f>INT((I268*Valores!$C$2*100)+0.5)/100</f>
        <v>0</v>
      </c>
      <c r="K268" s="151">
        <v>0</v>
      </c>
      <c r="L268" s="149">
        <f>INT((K268*Valores!$C$2*100)+0.5)/100</f>
        <v>0</v>
      </c>
      <c r="M268" s="158">
        <v>0</v>
      </c>
      <c r="N268" s="149">
        <f>INT((M268*Valores!$C$2*100)+0.5)/100</f>
        <v>0</v>
      </c>
      <c r="O268" s="149">
        <f t="shared" si="45"/>
        <v>2423.625</v>
      </c>
      <c r="P268" s="149">
        <f t="shared" si="46"/>
        <v>0</v>
      </c>
      <c r="Q268" s="148">
        <f>Valores!$C$14*D268</f>
        <v>4356.8</v>
      </c>
      <c r="R268" s="148">
        <f>IF(D268&lt;15,(Valores!$E$4*D268),Valores!$D$4)</f>
        <v>4313.91</v>
      </c>
      <c r="S268" s="149">
        <v>0</v>
      </c>
      <c r="T268" s="149">
        <f>IF(Valores!$C$45*D268&gt;Valores!$C$43,Valores!$C$43,Valores!$C$45*D268)</f>
        <v>1305</v>
      </c>
      <c r="U268" s="148">
        <f>Valores!$C$22*D268</f>
        <v>1519.1999999999998</v>
      </c>
      <c r="V268" s="149">
        <f t="shared" si="42"/>
        <v>1519.1999999999998</v>
      </c>
      <c r="W268" s="149">
        <v>0</v>
      </c>
      <c r="X268" s="149">
        <v>0</v>
      </c>
      <c r="Y268" s="149">
        <v>0</v>
      </c>
      <c r="Z268" s="149">
        <f>Y268*Valores!$C$2</f>
        <v>0</v>
      </c>
      <c r="AA268" s="149">
        <v>0</v>
      </c>
      <c r="AB268" s="154">
        <f>IF((Valores!$C$32)*D268&gt;Valores!$F$32,Valores!$F$32,(Valores!$C$32)*D268)</f>
        <v>160.0768</v>
      </c>
      <c r="AC268" s="149">
        <f t="shared" si="48"/>
        <v>0</v>
      </c>
      <c r="AD268" s="149">
        <f>IF(Valores!$C$33*D268&gt;Valores!$F$33,Valores!$F$33,Valores!$C$33*D268)</f>
        <v>133.25312000000002</v>
      </c>
      <c r="AE268" s="157">
        <v>0</v>
      </c>
      <c r="AF268" s="149">
        <f>INT(((AE268*Valores!$C$2)*100)+0.5)/100</f>
        <v>0</v>
      </c>
      <c r="AG268" s="149">
        <f>IF(Valores!$D$58*'Escala Docente'!D268&gt;Valores!$F$58,Valores!$F$58,Valores!$D$58*'Escala Docente'!D268)</f>
        <v>542.048</v>
      </c>
      <c r="AH268" s="149">
        <f>IF(Valores!$D$60*D268&gt;Valores!$F$60,Valores!$F$60,Valores!$D$60*D268)</f>
        <v>154.88400000000001</v>
      </c>
      <c r="AI268" s="163">
        <f t="shared" si="49"/>
        <v>28242.096919999996</v>
      </c>
      <c r="AJ268" s="148">
        <f>IF(Valores!$C$36*D268&gt;Valores!$F$36,Valores!$F$36,Valores!$C$36*D268)</f>
        <v>1395.8000000000002</v>
      </c>
      <c r="AK268" s="149">
        <f>IF(Valores!$C$83*D268&gt;Valores!$C$82,Valores!$C$82,Valores!$C$83*D268)</f>
        <v>3250</v>
      </c>
      <c r="AL268" s="154">
        <f>IF(Valores!$C$57*D268&gt;Valores!$F$57,Valores!$F$57,Valores!$C$57*D268)</f>
        <v>227.10000000000002</v>
      </c>
      <c r="AM268" s="162">
        <f t="shared" si="47"/>
        <v>4645.8</v>
      </c>
      <c r="AN268" s="148">
        <f>AI268*-Valores!$C$65</f>
        <v>-3247.8411457999996</v>
      </c>
      <c r="AO268" s="146">
        <f>AI268*-Valores!$C$66</f>
        <v>-1270.8943613999998</v>
      </c>
      <c r="AP268" s="170">
        <v>-159.43</v>
      </c>
      <c r="AQ268" s="170">
        <f t="shared" si="50"/>
        <v>-53.83</v>
      </c>
      <c r="AR268" s="162">
        <f t="shared" si="51"/>
        <v>28155.901412799998</v>
      </c>
    </row>
    <row r="269" spans="1:44" s="137" customFormat="1" ht="11.25" customHeight="1">
      <c r="A269" s="147">
        <v>267</v>
      </c>
      <c r="B269" s="147"/>
      <c r="C269" s="147" t="s">
        <v>494</v>
      </c>
      <c r="D269" s="147">
        <v>20</v>
      </c>
      <c r="E269" s="147">
        <f t="shared" si="44"/>
        <v>42</v>
      </c>
      <c r="F269" s="155" t="str">
        <f>CONCATENATE("Hora Cátedra Enseñanza Media ",D269," hs Esc Esp")</f>
        <v>Hora Cátedra Enseñanza Media 20 hs Esc Esp</v>
      </c>
      <c r="G269" s="152">
        <f t="shared" si="43"/>
        <v>1580</v>
      </c>
      <c r="H269" s="149">
        <f>INT((G269*Valores!$C$2*100)+0.49)/100</f>
        <v>13333.3</v>
      </c>
      <c r="I269" s="159">
        <v>0</v>
      </c>
      <c r="J269" s="149">
        <f>INT((I269*Valores!$C$2*100)+0.5)/100</f>
        <v>0</v>
      </c>
      <c r="K269" s="151">
        <v>0</v>
      </c>
      <c r="L269" s="149">
        <f>INT((K269*Valores!$C$2*100)+0.5)/100</f>
        <v>0</v>
      </c>
      <c r="M269" s="158">
        <v>0</v>
      </c>
      <c r="N269" s="149">
        <f>INT((M269*Valores!$C$2*100)+0.5)/100</f>
        <v>0</v>
      </c>
      <c r="O269" s="149">
        <f t="shared" si="45"/>
        <v>2423.625</v>
      </c>
      <c r="P269" s="149">
        <f t="shared" si="46"/>
        <v>0</v>
      </c>
      <c r="Q269" s="148">
        <f>Valores!$C$14*D269</f>
        <v>4356.8</v>
      </c>
      <c r="R269" s="148">
        <f>IF(D269&lt;15,(Valores!$E$4*D269),Valores!$D$4)</f>
        <v>4313.91</v>
      </c>
      <c r="S269" s="149">
        <v>0</v>
      </c>
      <c r="T269" s="149">
        <f>IF(Valores!$C$45*D269&gt;Valores!$C$43,Valores!$C$43,Valores!$C$45*D269)</f>
        <v>1305</v>
      </c>
      <c r="U269" s="148">
        <f>Valores!$C$22*D269</f>
        <v>1519.1999999999998</v>
      </c>
      <c r="V269" s="149">
        <f t="shared" si="42"/>
        <v>1519.1999999999998</v>
      </c>
      <c r="W269" s="149">
        <v>0</v>
      </c>
      <c r="X269" s="149">
        <v>0</v>
      </c>
      <c r="Y269" s="149">
        <v>0</v>
      </c>
      <c r="Z269" s="149">
        <f>Y269*Valores!$C$2</f>
        <v>0</v>
      </c>
      <c r="AA269" s="149">
        <v>0</v>
      </c>
      <c r="AB269" s="154">
        <f>IF((Valores!$C$32)*D269&gt;Valores!$F$32,Valores!$F$32,(Valores!$C$32)*D269)</f>
        <v>160.0768</v>
      </c>
      <c r="AC269" s="149">
        <f t="shared" si="48"/>
        <v>0</v>
      </c>
      <c r="AD269" s="149">
        <f>IF(Valores!$C$33*D269&gt;Valores!$F$33,Valores!$F$33,Valores!$C$33*D269)</f>
        <v>133.25312000000002</v>
      </c>
      <c r="AE269" s="157">
        <v>94</v>
      </c>
      <c r="AF269" s="149">
        <f>INT(((AE269*Valores!$C$2)*100)+0.5)/100</f>
        <v>793.25</v>
      </c>
      <c r="AG269" s="149">
        <f>IF(Valores!$D$58*'Escala Docente'!D269&gt;Valores!$F$58,Valores!$F$58,Valores!$D$58*'Escala Docente'!D269)</f>
        <v>542.048</v>
      </c>
      <c r="AH269" s="149">
        <f>IF(Valores!$D$60*D269&gt;Valores!$F$60,Valores!$F$60,Valores!$D$60*D269)</f>
        <v>154.88400000000001</v>
      </c>
      <c r="AI269" s="163">
        <f t="shared" si="49"/>
        <v>29035.346919999996</v>
      </c>
      <c r="AJ269" s="148">
        <f>IF(Valores!$C$36*D269&gt;Valores!$F$36,Valores!$F$36,Valores!$C$36*D269)</f>
        <v>1395.8000000000002</v>
      </c>
      <c r="AK269" s="149">
        <f>IF(Valores!$C$83*D269&gt;Valores!$C$82,Valores!$C$82,Valores!$C$83*D269)</f>
        <v>3250</v>
      </c>
      <c r="AL269" s="154">
        <f>IF(Valores!$C$57*D269&gt;Valores!$F$57,Valores!$F$57,Valores!$C$57*D269)</f>
        <v>227.10000000000002</v>
      </c>
      <c r="AM269" s="162">
        <f t="shared" si="47"/>
        <v>4645.8</v>
      </c>
      <c r="AN269" s="148">
        <f>AI269*-Valores!$C$65</f>
        <v>-3339.0648957999997</v>
      </c>
      <c r="AO269" s="146">
        <f>AI269*-Valores!$C$66</f>
        <v>-1306.5906113999997</v>
      </c>
      <c r="AP269" s="170">
        <v>-159.43</v>
      </c>
      <c r="AQ269" s="170">
        <f t="shared" si="50"/>
        <v>-53.83</v>
      </c>
      <c r="AR269" s="162">
        <f t="shared" si="51"/>
        <v>28822.2314128</v>
      </c>
    </row>
    <row r="270" spans="1:44" s="137" customFormat="1" ht="11.25" customHeight="1">
      <c r="A270" s="147">
        <v>268</v>
      </c>
      <c r="B270" s="147"/>
      <c r="C270" s="147" t="s">
        <v>494</v>
      </c>
      <c r="D270" s="147">
        <v>21</v>
      </c>
      <c r="E270" s="147">
        <f t="shared" si="44"/>
        <v>34</v>
      </c>
      <c r="F270" s="155" t="str">
        <f>CONCATENATE("Hora Cátedra Enseñanza Media ",D270," hs")</f>
        <v>Hora Cátedra Enseñanza Media 21 hs</v>
      </c>
      <c r="G270" s="152">
        <f t="shared" si="43"/>
        <v>1659</v>
      </c>
      <c r="H270" s="149">
        <f>INT((G270*Valores!$C$2*100)+0.49)/100</f>
        <v>13999.97</v>
      </c>
      <c r="I270" s="159">
        <v>0</v>
      </c>
      <c r="J270" s="149">
        <f>INT((I270*Valores!$C$2*100)+0.5)/100</f>
        <v>0</v>
      </c>
      <c r="K270" s="151">
        <v>0</v>
      </c>
      <c r="L270" s="149">
        <f>INT((K270*Valores!$C$2*100)+0.5)/100</f>
        <v>0</v>
      </c>
      <c r="M270" s="158">
        <v>0</v>
      </c>
      <c r="N270" s="149">
        <f>INT((M270*Valores!$C$2*100)+0.5)/100</f>
        <v>0</v>
      </c>
      <c r="O270" s="149">
        <f t="shared" si="45"/>
        <v>2544.8069999999993</v>
      </c>
      <c r="P270" s="149">
        <f t="shared" si="46"/>
        <v>0</v>
      </c>
      <c r="Q270" s="148">
        <f>Valores!$C$14*D270</f>
        <v>4574.64</v>
      </c>
      <c r="R270" s="148">
        <f>IF(D270&lt;15,(Valores!$E$4*D270),Valores!$D$4)</f>
        <v>4313.91</v>
      </c>
      <c r="S270" s="149">
        <v>0</v>
      </c>
      <c r="T270" s="149">
        <f>IF(Valores!$C$45*D270&gt;Valores!$C$43,Valores!$C$43,Valores!$C$45*D270)</f>
        <v>1370.25</v>
      </c>
      <c r="U270" s="148">
        <f>Valores!$C$22*D270</f>
        <v>1595.1599999999999</v>
      </c>
      <c r="V270" s="149">
        <f t="shared" si="42"/>
        <v>1595.1599999999999</v>
      </c>
      <c r="W270" s="149">
        <v>0</v>
      </c>
      <c r="X270" s="149">
        <v>0</v>
      </c>
      <c r="Y270" s="149">
        <v>0</v>
      </c>
      <c r="Z270" s="149">
        <f>Y270*Valores!$C$2</f>
        <v>0</v>
      </c>
      <c r="AA270" s="149">
        <v>0</v>
      </c>
      <c r="AB270" s="154">
        <f>IF((Valores!$C$32)*D270&gt;Valores!$F$32,Valores!$F$32,(Valores!$C$32)*D270)</f>
        <v>168.08064000000002</v>
      </c>
      <c r="AC270" s="149">
        <f t="shared" si="48"/>
        <v>0</v>
      </c>
      <c r="AD270" s="149">
        <f>IF(Valores!$C$33*D270&gt;Valores!$F$33,Valores!$F$33,Valores!$C$33*D270)</f>
        <v>139.91577600000002</v>
      </c>
      <c r="AE270" s="157">
        <v>0</v>
      </c>
      <c r="AF270" s="149">
        <f>INT(((AE270*Valores!$C$2)*100)+0.5)/100</f>
        <v>0</v>
      </c>
      <c r="AG270" s="149">
        <f>IF(Valores!$D$58*'Escala Docente'!D270&gt;Valores!$F$58,Valores!$F$58,Valores!$D$58*'Escala Docente'!D270)</f>
        <v>569.1504</v>
      </c>
      <c r="AH270" s="149">
        <f>IF(Valores!$D$60*D270&gt;Valores!$F$60,Valores!$F$60,Valores!$D$60*D270)</f>
        <v>162.6282</v>
      </c>
      <c r="AI270" s="163">
        <f t="shared" si="49"/>
        <v>29438.512015999997</v>
      </c>
      <c r="AJ270" s="148">
        <f>IF(Valores!$C$36*D270&gt;Valores!$F$36,Valores!$F$36,Valores!$C$36*D270)</f>
        <v>1465.5900000000001</v>
      </c>
      <c r="AK270" s="149">
        <f>IF(Valores!$C$83*D270&gt;Valores!$C$82,Valores!$C$82,Valores!$C$83*D270)</f>
        <v>3412.5</v>
      </c>
      <c r="AL270" s="154">
        <f>IF(Valores!$C$57*D270&gt;Valores!$F$57,Valores!$F$57,Valores!$C$57*D270)</f>
        <v>238.455</v>
      </c>
      <c r="AM270" s="162">
        <f t="shared" si="47"/>
        <v>4878.09</v>
      </c>
      <c r="AN270" s="148">
        <f>AI270*-Valores!$C$65</f>
        <v>-3385.4288818399996</v>
      </c>
      <c r="AO270" s="146">
        <f>AI270*-Valores!$C$66</f>
        <v>-1324.7330407199997</v>
      </c>
      <c r="AP270" s="170">
        <v>-159.43</v>
      </c>
      <c r="AQ270" s="170">
        <f t="shared" si="50"/>
        <v>-53.83</v>
      </c>
      <c r="AR270" s="162">
        <f t="shared" si="51"/>
        <v>29393.180093439998</v>
      </c>
    </row>
    <row r="271" spans="1:44" s="137" customFormat="1" ht="11.25" customHeight="1">
      <c r="A271" s="147">
        <v>269</v>
      </c>
      <c r="B271" s="147"/>
      <c r="C271" s="147" t="s">
        <v>494</v>
      </c>
      <c r="D271" s="147">
        <v>21</v>
      </c>
      <c r="E271" s="147">
        <f t="shared" si="44"/>
        <v>42</v>
      </c>
      <c r="F271" s="155" t="str">
        <f>CONCATENATE("Hora Cátedra Enseñanza Media ",D271," hs Esc Esp")</f>
        <v>Hora Cátedra Enseñanza Media 21 hs Esc Esp</v>
      </c>
      <c r="G271" s="152">
        <f t="shared" si="43"/>
        <v>1659</v>
      </c>
      <c r="H271" s="149">
        <f>INT((G271*Valores!$C$2*100)+0.49)/100</f>
        <v>13999.97</v>
      </c>
      <c r="I271" s="159">
        <v>0</v>
      </c>
      <c r="J271" s="149">
        <f>INT((I271*Valores!$C$2*100)+0.5)/100</f>
        <v>0</v>
      </c>
      <c r="K271" s="151">
        <v>0</v>
      </c>
      <c r="L271" s="149">
        <f>INT((K271*Valores!$C$2*100)+0.5)/100</f>
        <v>0</v>
      </c>
      <c r="M271" s="158">
        <v>0</v>
      </c>
      <c r="N271" s="149">
        <f>INT((M271*Valores!$C$2*100)+0.5)/100</f>
        <v>0</v>
      </c>
      <c r="O271" s="149">
        <f t="shared" si="45"/>
        <v>2544.8069999999993</v>
      </c>
      <c r="P271" s="149">
        <f t="shared" si="46"/>
        <v>0</v>
      </c>
      <c r="Q271" s="148">
        <f>Valores!$C$14*D271</f>
        <v>4574.64</v>
      </c>
      <c r="R271" s="148">
        <f>IF(D271&lt;15,(Valores!$E$4*D271),Valores!$D$4)</f>
        <v>4313.91</v>
      </c>
      <c r="S271" s="149">
        <v>0</v>
      </c>
      <c r="T271" s="149">
        <f>IF(Valores!$C$45*D271&gt;Valores!$C$43,Valores!$C$43,Valores!$C$45*D271)</f>
        <v>1370.25</v>
      </c>
      <c r="U271" s="148">
        <f>Valores!$C$22*D271</f>
        <v>1595.1599999999999</v>
      </c>
      <c r="V271" s="149">
        <f t="shared" si="42"/>
        <v>1595.1599999999999</v>
      </c>
      <c r="W271" s="149">
        <v>0</v>
      </c>
      <c r="X271" s="149">
        <v>0</v>
      </c>
      <c r="Y271" s="149">
        <v>0</v>
      </c>
      <c r="Z271" s="149">
        <f>Y271*Valores!$C$2</f>
        <v>0</v>
      </c>
      <c r="AA271" s="149">
        <v>0</v>
      </c>
      <c r="AB271" s="154">
        <f>IF((Valores!$C$32)*D271&gt;Valores!$F$32,Valores!$F$32,(Valores!$C$32)*D271)</f>
        <v>168.08064000000002</v>
      </c>
      <c r="AC271" s="149">
        <f t="shared" si="48"/>
        <v>0</v>
      </c>
      <c r="AD271" s="149">
        <f>IF(Valores!$C$33*D271&gt;Valores!$F$33,Valores!$F$33,Valores!$C$33*D271)</f>
        <v>139.91577600000002</v>
      </c>
      <c r="AE271" s="157">
        <v>94</v>
      </c>
      <c r="AF271" s="149">
        <f>INT(((AE271*Valores!$C$2)*100)+0.5)/100</f>
        <v>793.25</v>
      </c>
      <c r="AG271" s="149">
        <f>IF(Valores!$D$58*'Escala Docente'!D271&gt;Valores!$F$58,Valores!$F$58,Valores!$D$58*'Escala Docente'!D271)</f>
        <v>569.1504</v>
      </c>
      <c r="AH271" s="149">
        <f>IF(Valores!$D$60*D271&gt;Valores!$F$60,Valores!$F$60,Valores!$D$60*D271)</f>
        <v>162.6282</v>
      </c>
      <c r="AI271" s="163">
        <f t="shared" si="49"/>
        <v>30231.762015999997</v>
      </c>
      <c r="AJ271" s="148">
        <f>IF(Valores!$C$36*D271&gt;Valores!$F$36,Valores!$F$36,Valores!$C$36*D271)</f>
        <v>1465.5900000000001</v>
      </c>
      <c r="AK271" s="149">
        <f>IF(Valores!$C$83*D271&gt;Valores!$C$82,Valores!$C$82,Valores!$C$83*D271)</f>
        <v>3412.5</v>
      </c>
      <c r="AL271" s="154">
        <f>IF(Valores!$C$57*D271&gt;Valores!$F$57,Valores!$F$57,Valores!$C$57*D271)</f>
        <v>238.455</v>
      </c>
      <c r="AM271" s="162">
        <f t="shared" si="47"/>
        <v>4878.09</v>
      </c>
      <c r="AN271" s="148">
        <f>AI271*-Valores!$C$65</f>
        <v>-3476.6526318399997</v>
      </c>
      <c r="AO271" s="146">
        <f>AI271*-Valores!$C$66</f>
        <v>-1360.4292907199997</v>
      </c>
      <c r="AP271" s="170">
        <v>-159.43</v>
      </c>
      <c r="AQ271" s="170">
        <f t="shared" si="50"/>
        <v>-53.83</v>
      </c>
      <c r="AR271" s="162">
        <f t="shared" si="51"/>
        <v>30059.510093439996</v>
      </c>
    </row>
    <row r="272" spans="1:44" s="137" customFormat="1" ht="11.25" customHeight="1">
      <c r="A272" s="147">
        <v>270</v>
      </c>
      <c r="B272" s="147" t="s">
        <v>135</v>
      </c>
      <c r="C272" s="147" t="s">
        <v>494</v>
      </c>
      <c r="D272" s="147">
        <v>22</v>
      </c>
      <c r="E272" s="147">
        <f t="shared" si="44"/>
        <v>34</v>
      </c>
      <c r="F272" s="155" t="str">
        <f>CONCATENATE("Hora Cátedra Enseñanza Media ",D272," hs")</f>
        <v>Hora Cátedra Enseñanza Media 22 hs</v>
      </c>
      <c r="G272" s="152">
        <f t="shared" si="43"/>
        <v>1738</v>
      </c>
      <c r="H272" s="149">
        <f>INT((G272*Valores!$C$2*100)+0.49)/100</f>
        <v>14666.63</v>
      </c>
      <c r="I272" s="159">
        <v>0</v>
      </c>
      <c r="J272" s="149">
        <f>INT((I272*Valores!$C$2*100)+0.5)/100</f>
        <v>0</v>
      </c>
      <c r="K272" s="151">
        <v>0</v>
      </c>
      <c r="L272" s="149">
        <f>INT((K272*Valores!$C$2*100)+0.5)/100</f>
        <v>0</v>
      </c>
      <c r="M272" s="158">
        <v>0</v>
      </c>
      <c r="N272" s="149">
        <f>INT((M272*Valores!$C$2*100)+0.5)/100</f>
        <v>0</v>
      </c>
      <c r="O272" s="149">
        <f t="shared" si="45"/>
        <v>2665.9874999999997</v>
      </c>
      <c r="P272" s="149">
        <f t="shared" si="46"/>
        <v>0</v>
      </c>
      <c r="Q272" s="148">
        <f>Valores!$C$14*D272</f>
        <v>4792.4800000000005</v>
      </c>
      <c r="R272" s="148">
        <f>IF(D272&lt;15,(Valores!$E$4*D272),Valores!$D$4)</f>
        <v>4313.91</v>
      </c>
      <c r="S272" s="149">
        <v>0</v>
      </c>
      <c r="T272" s="149">
        <f>IF(Valores!$C$45*D272&gt;Valores!$C$43,Valores!$C$43,Valores!$C$45*D272)</f>
        <v>1435.5</v>
      </c>
      <c r="U272" s="148">
        <f>Valores!$C$22*D272</f>
        <v>1671.12</v>
      </c>
      <c r="V272" s="149">
        <f t="shared" si="42"/>
        <v>1671.12</v>
      </c>
      <c r="W272" s="149">
        <v>0</v>
      </c>
      <c r="X272" s="149">
        <v>0</v>
      </c>
      <c r="Y272" s="149">
        <v>0</v>
      </c>
      <c r="Z272" s="149">
        <f>Y272*Valores!$C$2</f>
        <v>0</v>
      </c>
      <c r="AA272" s="149">
        <v>0</v>
      </c>
      <c r="AB272" s="154">
        <f>IF((Valores!$C$32)*D272&gt;Valores!$F$32,Valores!$F$32,(Valores!$C$32)*D272)</f>
        <v>176.08448</v>
      </c>
      <c r="AC272" s="149">
        <f t="shared" si="48"/>
        <v>0</v>
      </c>
      <c r="AD272" s="149">
        <f>IF(Valores!$C$33*D272&gt;Valores!$F$33,Valores!$F$33,Valores!$C$33*D272)</f>
        <v>146.57843200000002</v>
      </c>
      <c r="AE272" s="157">
        <v>0</v>
      </c>
      <c r="AF272" s="149">
        <f>INT(((AE272*Valores!$C$2)*100)+0.5)/100</f>
        <v>0</v>
      </c>
      <c r="AG272" s="149">
        <f>IF(Valores!$D$58*'Escala Docente'!D272&gt;Valores!$F$58,Valores!$F$58,Valores!$D$58*'Escala Docente'!D272)</f>
        <v>596.2528</v>
      </c>
      <c r="AH272" s="149">
        <f>IF(Valores!$D$60*D272&gt;Valores!$F$60,Valores!$F$60,Valores!$D$60*D272)</f>
        <v>170.3724</v>
      </c>
      <c r="AI272" s="163">
        <f t="shared" si="49"/>
        <v>30634.915611999997</v>
      </c>
      <c r="AJ272" s="148">
        <f>IF(Valores!$C$36*D272&gt;Valores!$F$36,Valores!$F$36,Valores!$C$36*D272)</f>
        <v>1535.38</v>
      </c>
      <c r="AK272" s="149">
        <f>IF(Valores!$C$83*D272&gt;Valores!$C$82,Valores!$C$82,Valores!$C$83*D272)</f>
        <v>3575</v>
      </c>
      <c r="AL272" s="154">
        <f>IF(Valores!$C$57*D272&gt;Valores!$F$57,Valores!$F$57,Valores!$C$57*D272)</f>
        <v>249.81</v>
      </c>
      <c r="AM272" s="162">
        <f t="shared" si="47"/>
        <v>5110.38</v>
      </c>
      <c r="AN272" s="148">
        <f>AI272*-Valores!$C$65</f>
        <v>-3523.0152953799998</v>
      </c>
      <c r="AO272" s="146">
        <f>AI272*-Valores!$C$66</f>
        <v>-1378.5712025399998</v>
      </c>
      <c r="AP272" s="170">
        <v>-159.43</v>
      </c>
      <c r="AQ272" s="170">
        <f t="shared" si="50"/>
        <v>-53.83</v>
      </c>
      <c r="AR272" s="162">
        <f t="shared" si="51"/>
        <v>30630.449114079995</v>
      </c>
    </row>
    <row r="273" spans="1:44" s="137" customFormat="1" ht="11.25" customHeight="1">
      <c r="A273" s="147">
        <v>271</v>
      </c>
      <c r="B273" s="147"/>
      <c r="C273" s="147" t="s">
        <v>494</v>
      </c>
      <c r="D273" s="147">
        <v>22</v>
      </c>
      <c r="E273" s="147">
        <f t="shared" si="44"/>
        <v>42</v>
      </c>
      <c r="F273" s="155" t="str">
        <f>CONCATENATE("Hora Cátedra Enseñanza Media ",D273," hs Esc Esp")</f>
        <v>Hora Cátedra Enseñanza Media 22 hs Esc Esp</v>
      </c>
      <c r="G273" s="152">
        <f t="shared" si="43"/>
        <v>1738</v>
      </c>
      <c r="H273" s="149">
        <f>INT((G273*Valores!$C$2*100)+0.49)/100</f>
        <v>14666.63</v>
      </c>
      <c r="I273" s="159">
        <v>0</v>
      </c>
      <c r="J273" s="149">
        <f>INT((I273*Valores!$C$2*100)+0.5)/100</f>
        <v>0</v>
      </c>
      <c r="K273" s="151">
        <v>0</v>
      </c>
      <c r="L273" s="149">
        <f>INT((K273*Valores!$C$2*100)+0.5)/100</f>
        <v>0</v>
      </c>
      <c r="M273" s="158">
        <v>0</v>
      </c>
      <c r="N273" s="149">
        <f>INT((M273*Valores!$C$2*100)+0.5)/100</f>
        <v>0</v>
      </c>
      <c r="O273" s="149">
        <f t="shared" si="45"/>
        <v>2665.9874999999997</v>
      </c>
      <c r="P273" s="149">
        <f t="shared" si="46"/>
        <v>0</v>
      </c>
      <c r="Q273" s="148">
        <f>Valores!$C$14*D273</f>
        <v>4792.4800000000005</v>
      </c>
      <c r="R273" s="148">
        <f>IF(D273&lt;15,(Valores!$E$4*D273),Valores!$D$4)</f>
        <v>4313.91</v>
      </c>
      <c r="S273" s="149">
        <v>0</v>
      </c>
      <c r="T273" s="149">
        <f>IF(Valores!$C$45*D273&gt;Valores!$C$43,Valores!$C$43,Valores!$C$45*D273)</f>
        <v>1435.5</v>
      </c>
      <c r="U273" s="148">
        <f>Valores!$C$22*D273</f>
        <v>1671.12</v>
      </c>
      <c r="V273" s="149">
        <f t="shared" si="42"/>
        <v>1671.12</v>
      </c>
      <c r="W273" s="149">
        <v>0</v>
      </c>
      <c r="X273" s="149">
        <v>0</v>
      </c>
      <c r="Y273" s="149">
        <v>0</v>
      </c>
      <c r="Z273" s="149">
        <f>Y273*Valores!$C$2</f>
        <v>0</v>
      </c>
      <c r="AA273" s="149">
        <v>0</v>
      </c>
      <c r="AB273" s="154">
        <f>IF((Valores!$C$32)*D273&gt;Valores!$F$32,Valores!$F$32,(Valores!$C$32)*D273)</f>
        <v>176.08448</v>
      </c>
      <c r="AC273" s="149">
        <f t="shared" si="48"/>
        <v>0</v>
      </c>
      <c r="AD273" s="149">
        <f>IF(Valores!$C$33*D273&gt;Valores!$F$33,Valores!$F$33,Valores!$C$33*D273)</f>
        <v>146.57843200000002</v>
      </c>
      <c r="AE273" s="157">
        <v>94</v>
      </c>
      <c r="AF273" s="149">
        <f>INT(((AE273*Valores!$C$2)*100)+0.5)/100</f>
        <v>793.25</v>
      </c>
      <c r="AG273" s="149">
        <f>IF(Valores!$D$58*'Escala Docente'!D273&gt;Valores!$F$58,Valores!$F$58,Valores!$D$58*'Escala Docente'!D273)</f>
        <v>596.2528</v>
      </c>
      <c r="AH273" s="149">
        <f>IF(Valores!$D$60*D273&gt;Valores!$F$60,Valores!$F$60,Valores!$D$60*D273)</f>
        <v>170.3724</v>
      </c>
      <c r="AI273" s="163">
        <f t="shared" si="49"/>
        <v>31428.165611999997</v>
      </c>
      <c r="AJ273" s="148">
        <f>IF(Valores!$C$36*D273&gt;Valores!$F$36,Valores!$F$36,Valores!$C$36*D273)</f>
        <v>1535.38</v>
      </c>
      <c r="AK273" s="149">
        <f>IF(Valores!$C$83*D273&gt;Valores!$C$82,Valores!$C$82,Valores!$C$83*D273)</f>
        <v>3575</v>
      </c>
      <c r="AL273" s="154">
        <f>IF(Valores!$C$57*D273&gt;Valores!$F$57,Valores!$F$57,Valores!$C$57*D273)</f>
        <v>249.81</v>
      </c>
      <c r="AM273" s="162">
        <f t="shared" si="47"/>
        <v>5110.38</v>
      </c>
      <c r="AN273" s="148">
        <f>AI273*-Valores!$C$65</f>
        <v>-3614.23904538</v>
      </c>
      <c r="AO273" s="146">
        <f>AI273*-Valores!$C$66</f>
        <v>-1414.2674525399998</v>
      </c>
      <c r="AP273" s="170">
        <v>-159.43</v>
      </c>
      <c r="AQ273" s="170">
        <f t="shared" si="50"/>
        <v>-53.83</v>
      </c>
      <c r="AR273" s="162">
        <f t="shared" si="51"/>
        <v>31296.779114079996</v>
      </c>
    </row>
    <row r="274" spans="1:44" s="137" customFormat="1" ht="11.25" customHeight="1">
      <c r="A274" s="147">
        <v>272</v>
      </c>
      <c r="B274" s="147"/>
      <c r="C274" s="147" t="s">
        <v>494</v>
      </c>
      <c r="D274" s="147">
        <v>23</v>
      </c>
      <c r="E274" s="147">
        <f t="shared" si="44"/>
        <v>34</v>
      </c>
      <c r="F274" s="155" t="str">
        <f>CONCATENATE("Hora Cátedra Enseñanza Media ",D274," hs")</f>
        <v>Hora Cátedra Enseñanza Media 23 hs</v>
      </c>
      <c r="G274" s="152">
        <f t="shared" si="43"/>
        <v>1817</v>
      </c>
      <c r="H274" s="149">
        <f>INT((G274*Valores!$C$2*100)+0.49)/100</f>
        <v>15333.3</v>
      </c>
      <c r="I274" s="159">
        <v>0</v>
      </c>
      <c r="J274" s="149">
        <f>INT((I274*Valores!$C$2*100)+0.5)/100</f>
        <v>0</v>
      </c>
      <c r="K274" s="151">
        <v>0</v>
      </c>
      <c r="L274" s="149">
        <f>INT((K274*Valores!$C$2*100)+0.5)/100</f>
        <v>0</v>
      </c>
      <c r="M274" s="158">
        <v>0</v>
      </c>
      <c r="N274" s="149">
        <f>INT((M274*Valores!$C$2*100)+0.5)/100</f>
        <v>0</v>
      </c>
      <c r="O274" s="149">
        <f t="shared" si="45"/>
        <v>2787.1694999999995</v>
      </c>
      <c r="P274" s="149">
        <f t="shared" si="46"/>
        <v>0</v>
      </c>
      <c r="Q274" s="148">
        <f>Valores!$C$14*D274</f>
        <v>5010.32</v>
      </c>
      <c r="R274" s="148">
        <f>IF(D274&lt;15,(Valores!$E$4*D274),Valores!$D$4)</f>
        <v>4313.91</v>
      </c>
      <c r="S274" s="149">
        <v>0</v>
      </c>
      <c r="T274" s="149">
        <f>IF(Valores!$C$45*D274&gt;Valores!$C$43,Valores!$C$43,Valores!$C$45*D274)</f>
        <v>1500.75</v>
      </c>
      <c r="U274" s="148">
        <f>Valores!$C$22*D274</f>
        <v>1747.08</v>
      </c>
      <c r="V274" s="149">
        <f t="shared" si="42"/>
        <v>1747.08</v>
      </c>
      <c r="W274" s="149">
        <v>0</v>
      </c>
      <c r="X274" s="149">
        <v>0</v>
      </c>
      <c r="Y274" s="149">
        <v>0</v>
      </c>
      <c r="Z274" s="149">
        <f>Y274*Valores!$C$2</f>
        <v>0</v>
      </c>
      <c r="AA274" s="149">
        <v>0</v>
      </c>
      <c r="AB274" s="154">
        <f>IF((Valores!$C$32)*D274&gt;Valores!$F$32,Valores!$F$32,(Valores!$C$32)*D274)</f>
        <v>184.08832</v>
      </c>
      <c r="AC274" s="149">
        <f t="shared" si="48"/>
        <v>0</v>
      </c>
      <c r="AD274" s="149">
        <f>IF(Valores!$C$33*D274&gt;Valores!$F$33,Valores!$F$33,Valores!$C$33*D274)</f>
        <v>153.24108800000002</v>
      </c>
      <c r="AE274" s="157">
        <v>0</v>
      </c>
      <c r="AF274" s="149">
        <f>INT(((AE274*Valores!$C$2)*100)+0.5)/100</f>
        <v>0</v>
      </c>
      <c r="AG274" s="149">
        <f>IF(Valores!$D$58*'Escala Docente'!D274&gt;Valores!$F$58,Valores!$F$58,Valores!$D$58*'Escala Docente'!D274)</f>
        <v>623.3552</v>
      </c>
      <c r="AH274" s="149">
        <f>IF(Valores!$D$60*D274&gt;Valores!$F$60,Valores!$F$60,Valores!$D$60*D274)</f>
        <v>178.1166</v>
      </c>
      <c r="AI274" s="163">
        <f t="shared" si="49"/>
        <v>31831.330707999994</v>
      </c>
      <c r="AJ274" s="148">
        <f>IF(Valores!$C$36*D274&gt;Valores!$F$36,Valores!$F$36,Valores!$C$36*D274)</f>
        <v>1605.17</v>
      </c>
      <c r="AK274" s="149">
        <f>IF(Valores!$C$83*D274&gt;Valores!$C$82,Valores!$C$82,Valores!$C$83*D274)</f>
        <v>3737.5</v>
      </c>
      <c r="AL274" s="154">
        <f>IF(Valores!$C$57*D274&gt;Valores!$F$57,Valores!$F$57,Valores!$C$57*D274)</f>
        <v>261.165</v>
      </c>
      <c r="AM274" s="162">
        <f t="shared" si="47"/>
        <v>5342.67</v>
      </c>
      <c r="AN274" s="148">
        <f>AI274*-Valores!$C$65</f>
        <v>-3660.6030314199993</v>
      </c>
      <c r="AO274" s="146">
        <f>AI274*-Valores!$C$66</f>
        <v>-1432.4098818599996</v>
      </c>
      <c r="AP274" s="170">
        <v>-159.43</v>
      </c>
      <c r="AQ274" s="170">
        <f t="shared" si="50"/>
        <v>-53.83</v>
      </c>
      <c r="AR274" s="162">
        <f t="shared" si="51"/>
        <v>31867.727794719995</v>
      </c>
    </row>
    <row r="275" spans="1:44" s="137" customFormat="1" ht="11.25" customHeight="1">
      <c r="A275" s="147">
        <v>273</v>
      </c>
      <c r="B275" s="147"/>
      <c r="C275" s="147" t="s">
        <v>494</v>
      </c>
      <c r="D275" s="147">
        <v>23</v>
      </c>
      <c r="E275" s="147">
        <f t="shared" si="44"/>
        <v>42</v>
      </c>
      <c r="F275" s="155" t="str">
        <f>CONCATENATE("Hora Cátedra Enseñanza Media ",D275," hs Esc Esp")</f>
        <v>Hora Cátedra Enseñanza Media 23 hs Esc Esp</v>
      </c>
      <c r="G275" s="152">
        <f t="shared" si="43"/>
        <v>1817</v>
      </c>
      <c r="H275" s="149">
        <f>INT((G275*Valores!$C$2*100)+0.49)/100</f>
        <v>15333.3</v>
      </c>
      <c r="I275" s="159">
        <v>0</v>
      </c>
      <c r="J275" s="149">
        <f>INT((I275*Valores!$C$2*100)+0.5)/100</f>
        <v>0</v>
      </c>
      <c r="K275" s="151">
        <v>0</v>
      </c>
      <c r="L275" s="149">
        <f>INT((K275*Valores!$C$2*100)+0.5)/100</f>
        <v>0</v>
      </c>
      <c r="M275" s="158">
        <v>0</v>
      </c>
      <c r="N275" s="149">
        <f>INT((M275*Valores!$C$2*100)+0.5)/100</f>
        <v>0</v>
      </c>
      <c r="O275" s="149">
        <f t="shared" si="45"/>
        <v>2787.1694999999995</v>
      </c>
      <c r="P275" s="149">
        <f t="shared" si="46"/>
        <v>0</v>
      </c>
      <c r="Q275" s="148">
        <f>Valores!$C$14*D275</f>
        <v>5010.32</v>
      </c>
      <c r="R275" s="148">
        <f>IF(D275&lt;15,(Valores!$E$4*D275),Valores!$D$4)</f>
        <v>4313.91</v>
      </c>
      <c r="S275" s="149">
        <v>0</v>
      </c>
      <c r="T275" s="149">
        <f>IF(Valores!$C$45*D275&gt;Valores!$C$43,Valores!$C$43,Valores!$C$45*D275)</f>
        <v>1500.75</v>
      </c>
      <c r="U275" s="148">
        <f>Valores!$C$22*D275</f>
        <v>1747.08</v>
      </c>
      <c r="V275" s="149">
        <f t="shared" si="42"/>
        <v>1747.08</v>
      </c>
      <c r="W275" s="149">
        <v>0</v>
      </c>
      <c r="X275" s="149">
        <v>0</v>
      </c>
      <c r="Y275" s="149">
        <v>0</v>
      </c>
      <c r="Z275" s="149">
        <f>Y275*Valores!$C$2</f>
        <v>0</v>
      </c>
      <c r="AA275" s="149">
        <v>0</v>
      </c>
      <c r="AB275" s="154">
        <f>IF((Valores!$C$32)*D275&gt;Valores!$F$32,Valores!$F$32,(Valores!$C$32)*D275)</f>
        <v>184.08832</v>
      </c>
      <c r="AC275" s="149">
        <f t="shared" si="48"/>
        <v>0</v>
      </c>
      <c r="AD275" s="149">
        <f>IF(Valores!$C$33*D275&gt;Valores!$F$33,Valores!$F$33,Valores!$C$33*D275)</f>
        <v>153.24108800000002</v>
      </c>
      <c r="AE275" s="157">
        <v>94</v>
      </c>
      <c r="AF275" s="149">
        <f>INT(((AE275*Valores!$C$2)*100)+0.5)/100</f>
        <v>793.25</v>
      </c>
      <c r="AG275" s="149">
        <f>IF(Valores!$D$58*'Escala Docente'!D275&gt;Valores!$F$58,Valores!$F$58,Valores!$D$58*'Escala Docente'!D275)</f>
        <v>623.3552</v>
      </c>
      <c r="AH275" s="149">
        <f>IF(Valores!$D$60*D275&gt;Valores!$F$60,Valores!$F$60,Valores!$D$60*D275)</f>
        <v>178.1166</v>
      </c>
      <c r="AI275" s="163">
        <f t="shared" si="49"/>
        <v>32624.580707999994</v>
      </c>
      <c r="AJ275" s="148">
        <f>IF(Valores!$C$36*D275&gt;Valores!$F$36,Valores!$F$36,Valores!$C$36*D275)</f>
        <v>1605.17</v>
      </c>
      <c r="AK275" s="149">
        <f>IF(Valores!$C$83*D275&gt;Valores!$C$82,Valores!$C$82,Valores!$C$83*D275)</f>
        <v>3737.5</v>
      </c>
      <c r="AL275" s="154">
        <f>IF(Valores!$C$57*D275&gt;Valores!$F$57,Valores!$F$57,Valores!$C$57*D275)</f>
        <v>261.165</v>
      </c>
      <c r="AM275" s="162">
        <f t="shared" si="47"/>
        <v>5342.67</v>
      </c>
      <c r="AN275" s="148">
        <f>AI275*-Valores!$C$65</f>
        <v>-3751.8267814199994</v>
      </c>
      <c r="AO275" s="146">
        <f>AI275*-Valores!$C$66</f>
        <v>-1468.1061318599998</v>
      </c>
      <c r="AP275" s="170">
        <v>-159.43</v>
      </c>
      <c r="AQ275" s="170">
        <f t="shared" si="50"/>
        <v>-53.83</v>
      </c>
      <c r="AR275" s="162">
        <f t="shared" si="51"/>
        <v>32534.05779471999</v>
      </c>
    </row>
    <row r="276" spans="1:44" s="137" customFormat="1" ht="11.25" customHeight="1">
      <c r="A276" s="147">
        <v>274</v>
      </c>
      <c r="B276" s="147"/>
      <c r="C276" s="147" t="s">
        <v>494</v>
      </c>
      <c r="D276" s="147">
        <v>24</v>
      </c>
      <c r="E276" s="147">
        <f t="shared" si="44"/>
        <v>34</v>
      </c>
      <c r="F276" s="155" t="str">
        <f>CONCATENATE("Hora Cátedra Enseñanza Media ",D276," hs")</f>
        <v>Hora Cátedra Enseñanza Media 24 hs</v>
      </c>
      <c r="G276" s="152">
        <f t="shared" si="43"/>
        <v>1896</v>
      </c>
      <c r="H276" s="149">
        <f>INT((G276*Valores!$C$2*100)+0.49)/100</f>
        <v>15999.96</v>
      </c>
      <c r="I276" s="159">
        <v>0</v>
      </c>
      <c r="J276" s="149">
        <f>INT((I276*Valores!$C$2*100)+0.5)/100</f>
        <v>0</v>
      </c>
      <c r="K276" s="151">
        <v>0</v>
      </c>
      <c r="L276" s="149">
        <f>INT((K276*Valores!$C$2*100)+0.5)/100</f>
        <v>0</v>
      </c>
      <c r="M276" s="158">
        <v>0</v>
      </c>
      <c r="N276" s="149">
        <f>INT((M276*Valores!$C$2*100)+0.5)/100</f>
        <v>0</v>
      </c>
      <c r="O276" s="149">
        <f t="shared" si="45"/>
        <v>2908.35</v>
      </c>
      <c r="P276" s="149">
        <f t="shared" si="46"/>
        <v>0</v>
      </c>
      <c r="Q276" s="148">
        <f>Valores!$C$14*D276</f>
        <v>5228.16</v>
      </c>
      <c r="R276" s="148">
        <f>IF(D276&lt;15,(Valores!$E$4*D276),Valores!$D$4)</f>
        <v>4313.91</v>
      </c>
      <c r="S276" s="149">
        <v>0</v>
      </c>
      <c r="T276" s="149">
        <f>IF(Valores!$C$45*D276&gt;Valores!$C$43,Valores!$C$43,Valores!$C$45*D276)</f>
        <v>1566</v>
      </c>
      <c r="U276" s="148">
        <f>Valores!$C$22*D276</f>
        <v>1823.04</v>
      </c>
      <c r="V276" s="149">
        <f t="shared" si="42"/>
        <v>1823.04</v>
      </c>
      <c r="W276" s="149">
        <v>0</v>
      </c>
      <c r="X276" s="149">
        <v>0</v>
      </c>
      <c r="Y276" s="149">
        <v>0</v>
      </c>
      <c r="Z276" s="149">
        <f>Y276*Valores!$C$2</f>
        <v>0</v>
      </c>
      <c r="AA276" s="149">
        <v>0</v>
      </c>
      <c r="AB276" s="154">
        <f>IF((Valores!$C$32)*D276&gt;Valores!$F$32,Valores!$F$32,(Valores!$C$32)*D276)</f>
        <v>192.09216</v>
      </c>
      <c r="AC276" s="149">
        <f t="shared" si="48"/>
        <v>0</v>
      </c>
      <c r="AD276" s="149">
        <f>IF(Valores!$C$33*D276&gt;Valores!$F$33,Valores!$F$33,Valores!$C$33*D276)</f>
        <v>159.90374400000002</v>
      </c>
      <c r="AE276" s="157">
        <v>0</v>
      </c>
      <c r="AF276" s="149">
        <f>INT(((AE276*Valores!$C$2)*100)+0.5)/100</f>
        <v>0</v>
      </c>
      <c r="AG276" s="149">
        <f>IF(Valores!$D$58*'Escala Docente'!D276&gt;Valores!$F$58,Valores!$F$58,Valores!$D$58*'Escala Docente'!D276)</f>
        <v>650.4576</v>
      </c>
      <c r="AH276" s="149">
        <f>IF(Valores!$D$60*D276&gt;Valores!$F$60,Valores!$F$60,Valores!$D$60*D276)</f>
        <v>185.8608</v>
      </c>
      <c r="AI276" s="163">
        <f t="shared" si="49"/>
        <v>33027.734304</v>
      </c>
      <c r="AJ276" s="148">
        <f>IF(Valores!$C$36*D276&gt;Valores!$F$36,Valores!$F$36,Valores!$C$36*D276)</f>
        <v>1674.96</v>
      </c>
      <c r="AK276" s="149">
        <f>IF(Valores!$C$83*D276&gt;Valores!$C$82,Valores!$C$82,Valores!$C$83*D276)</f>
        <v>3900</v>
      </c>
      <c r="AL276" s="154">
        <f>IF(Valores!$C$57*D276&gt;Valores!$F$57,Valores!$F$57,Valores!$C$57*D276)</f>
        <v>272.52</v>
      </c>
      <c r="AM276" s="162">
        <f t="shared" si="47"/>
        <v>5574.96</v>
      </c>
      <c r="AN276" s="148">
        <f>AI276*-Valores!$C$65</f>
        <v>-3798.18944496</v>
      </c>
      <c r="AO276" s="146">
        <f>AI276*-Valores!$C$66</f>
        <v>-1486.24804368</v>
      </c>
      <c r="AP276" s="170">
        <v>-159.43</v>
      </c>
      <c r="AQ276" s="170">
        <f t="shared" si="50"/>
        <v>-53.83</v>
      </c>
      <c r="AR276" s="162">
        <f t="shared" si="51"/>
        <v>33104.99681535999</v>
      </c>
    </row>
    <row r="277" spans="1:44" s="137" customFormat="1" ht="11.25" customHeight="1">
      <c r="A277" s="147">
        <v>275</v>
      </c>
      <c r="B277" s="147" t="s">
        <v>135</v>
      </c>
      <c r="C277" s="147" t="s">
        <v>494</v>
      </c>
      <c r="D277" s="147">
        <v>24</v>
      </c>
      <c r="E277" s="147">
        <f t="shared" si="44"/>
        <v>42</v>
      </c>
      <c r="F277" s="155" t="str">
        <f>CONCATENATE("Hora Cátedra Enseñanza Media ",D277," hs Esc Esp")</f>
        <v>Hora Cátedra Enseñanza Media 24 hs Esc Esp</v>
      </c>
      <c r="G277" s="152">
        <f t="shared" si="43"/>
        <v>1896</v>
      </c>
      <c r="H277" s="149">
        <f>INT((G277*Valores!$C$2*100)+0.49)/100</f>
        <v>15999.96</v>
      </c>
      <c r="I277" s="159">
        <v>0</v>
      </c>
      <c r="J277" s="149">
        <f>INT((I277*Valores!$C$2*100)+0.5)/100</f>
        <v>0</v>
      </c>
      <c r="K277" s="151">
        <v>0</v>
      </c>
      <c r="L277" s="149">
        <f>INT((K277*Valores!$C$2*100)+0.5)/100</f>
        <v>0</v>
      </c>
      <c r="M277" s="158">
        <v>0</v>
      </c>
      <c r="N277" s="149">
        <f>INT((M277*Valores!$C$2*100)+0.5)/100</f>
        <v>0</v>
      </c>
      <c r="O277" s="149">
        <f t="shared" si="45"/>
        <v>2908.35</v>
      </c>
      <c r="P277" s="149">
        <f t="shared" si="46"/>
        <v>0</v>
      </c>
      <c r="Q277" s="148">
        <f>Valores!$C$14*D277</f>
        <v>5228.16</v>
      </c>
      <c r="R277" s="148">
        <f>IF(D277&lt;15,(Valores!$E$4*D277),Valores!$D$4)</f>
        <v>4313.91</v>
      </c>
      <c r="S277" s="149">
        <v>0</v>
      </c>
      <c r="T277" s="149">
        <f>IF(Valores!$C$45*D277&gt;Valores!$C$43,Valores!$C$43,Valores!$C$45*D277)</f>
        <v>1566</v>
      </c>
      <c r="U277" s="148">
        <f>Valores!$C$22*D277</f>
        <v>1823.04</v>
      </c>
      <c r="V277" s="149">
        <f t="shared" si="42"/>
        <v>1823.04</v>
      </c>
      <c r="W277" s="149">
        <v>0</v>
      </c>
      <c r="X277" s="149">
        <v>0</v>
      </c>
      <c r="Y277" s="149">
        <v>0</v>
      </c>
      <c r="Z277" s="149">
        <f>Y277*Valores!$C$2</f>
        <v>0</v>
      </c>
      <c r="AA277" s="149">
        <v>0</v>
      </c>
      <c r="AB277" s="154">
        <f>IF((Valores!$C$32)*D277&gt;Valores!$F$32,Valores!$F$32,(Valores!$C$32)*D277)</f>
        <v>192.09216</v>
      </c>
      <c r="AC277" s="149">
        <f t="shared" si="48"/>
        <v>0</v>
      </c>
      <c r="AD277" s="149">
        <f>IF(Valores!$C$33*D277&gt;Valores!$F$33,Valores!$F$33,Valores!$C$33*D277)</f>
        <v>159.90374400000002</v>
      </c>
      <c r="AE277" s="157">
        <v>94</v>
      </c>
      <c r="AF277" s="149">
        <f>INT(((AE277*Valores!$C$2)*100)+0.5)/100</f>
        <v>793.25</v>
      </c>
      <c r="AG277" s="149">
        <f>IF(Valores!$D$58*'Escala Docente'!D277&gt;Valores!$F$58,Valores!$F$58,Valores!$D$58*'Escala Docente'!D277)</f>
        <v>650.4576</v>
      </c>
      <c r="AH277" s="149">
        <f>IF(Valores!$D$60*D277&gt;Valores!$F$60,Valores!$F$60,Valores!$D$60*D277)</f>
        <v>185.8608</v>
      </c>
      <c r="AI277" s="163">
        <f t="shared" si="49"/>
        <v>33820.984304</v>
      </c>
      <c r="AJ277" s="148">
        <f>IF(Valores!$C$36*D277&gt;Valores!$F$36,Valores!$F$36,Valores!$C$36*D277)</f>
        <v>1674.96</v>
      </c>
      <c r="AK277" s="149">
        <f>IF(Valores!$C$83*D277&gt;Valores!$C$82,Valores!$C$82,Valores!$C$83*D277)</f>
        <v>3900</v>
      </c>
      <c r="AL277" s="154">
        <f>IF(Valores!$C$57*D277&gt;Valores!$F$57,Valores!$F$57,Valores!$C$57*D277)</f>
        <v>272.52</v>
      </c>
      <c r="AM277" s="162">
        <f t="shared" si="47"/>
        <v>5574.96</v>
      </c>
      <c r="AN277" s="148">
        <f>AI277*-Valores!$C$65</f>
        <v>-3889.41319496</v>
      </c>
      <c r="AO277" s="146">
        <f>AI277*-Valores!$C$66</f>
        <v>-1521.9442936799999</v>
      </c>
      <c r="AP277" s="170">
        <v>-159.43</v>
      </c>
      <c r="AQ277" s="170">
        <f t="shared" si="50"/>
        <v>-53.83</v>
      </c>
      <c r="AR277" s="162">
        <f t="shared" si="51"/>
        <v>33771.32681536</v>
      </c>
    </row>
    <row r="278" spans="1:44" s="137" customFormat="1" ht="11.25" customHeight="1">
      <c r="A278" s="147">
        <v>276</v>
      </c>
      <c r="B278" s="147"/>
      <c r="C278" s="147" t="s">
        <v>494</v>
      </c>
      <c r="D278" s="147">
        <v>25</v>
      </c>
      <c r="E278" s="147">
        <f t="shared" si="44"/>
        <v>34</v>
      </c>
      <c r="F278" s="155" t="str">
        <f>CONCATENATE("Hora Cátedra Enseñanza Media ",D278," hs")</f>
        <v>Hora Cátedra Enseñanza Media 25 hs</v>
      </c>
      <c r="G278" s="152">
        <f t="shared" si="43"/>
        <v>1975</v>
      </c>
      <c r="H278" s="149">
        <f>INT((G278*Valores!$C$2*100)+0.49)/100</f>
        <v>16666.63</v>
      </c>
      <c r="I278" s="159">
        <v>0</v>
      </c>
      <c r="J278" s="149">
        <f>INT((I278*Valores!$C$2*100)+0.5)/100</f>
        <v>0</v>
      </c>
      <c r="K278" s="151">
        <v>0</v>
      </c>
      <c r="L278" s="149">
        <f>INT((K278*Valores!$C$2*100)+0.5)/100</f>
        <v>0</v>
      </c>
      <c r="M278" s="158">
        <v>0</v>
      </c>
      <c r="N278" s="149">
        <f>INT((M278*Valores!$C$2*100)+0.5)/100</f>
        <v>0</v>
      </c>
      <c r="O278" s="149">
        <f t="shared" si="45"/>
        <v>3029.532</v>
      </c>
      <c r="P278" s="149">
        <f t="shared" si="46"/>
        <v>0</v>
      </c>
      <c r="Q278" s="148">
        <f>Valores!$C$14*D278</f>
        <v>5446</v>
      </c>
      <c r="R278" s="148">
        <f>IF(D278&lt;15,(Valores!$E$4*D278),Valores!$D$4)</f>
        <v>4313.91</v>
      </c>
      <c r="S278" s="149">
        <v>0</v>
      </c>
      <c r="T278" s="149">
        <f>IF(Valores!$C$45*D278&gt;Valores!$C$43,Valores!$C$43,Valores!$C$45*D278)</f>
        <v>1631.25</v>
      </c>
      <c r="U278" s="148">
        <f>Valores!$C$22*D278</f>
        <v>1898.9999999999998</v>
      </c>
      <c r="V278" s="149">
        <f t="shared" si="42"/>
        <v>1898.9999999999998</v>
      </c>
      <c r="W278" s="149">
        <v>0</v>
      </c>
      <c r="X278" s="149">
        <v>0</v>
      </c>
      <c r="Y278" s="149">
        <v>0</v>
      </c>
      <c r="Z278" s="149">
        <f>Y278*Valores!$C$2</f>
        <v>0</v>
      </c>
      <c r="AA278" s="149">
        <v>0</v>
      </c>
      <c r="AB278" s="154">
        <f>IF((Valores!$C$32)*D278&gt;Valores!$F$32,Valores!$F$32,(Valores!$C$32)*D278)</f>
        <v>200.096</v>
      </c>
      <c r="AC278" s="149">
        <f t="shared" si="48"/>
        <v>0</v>
      </c>
      <c r="AD278" s="149">
        <f>IF(Valores!$C$33*D278&gt;Valores!$F$33,Valores!$F$33,Valores!$C$33*D278)</f>
        <v>166.56640000000002</v>
      </c>
      <c r="AE278" s="157">
        <v>0</v>
      </c>
      <c r="AF278" s="149">
        <f>INT(((AE278*Valores!$C$2)*100)+0.5)/100</f>
        <v>0</v>
      </c>
      <c r="AG278" s="149">
        <f>IF(Valores!$D$58*'Escala Docente'!D278&gt;Valores!$F$58,Valores!$F$58,Valores!$D$58*'Escala Docente'!D278)</f>
        <v>677.56</v>
      </c>
      <c r="AH278" s="149">
        <f>IF(Valores!$D$60*D278&gt;Valores!$F$60,Valores!$F$60,Valores!$D$60*D278)</f>
        <v>193.60500000000002</v>
      </c>
      <c r="AI278" s="163">
        <f t="shared" si="49"/>
        <v>34224.1494</v>
      </c>
      <c r="AJ278" s="148">
        <f>IF(Valores!$C$36*D278&gt;Valores!$F$36,Valores!$F$36,Valores!$C$36*D278)</f>
        <v>1744.7500000000002</v>
      </c>
      <c r="AK278" s="149">
        <f>IF(Valores!$C$83*D278&gt;Valores!$C$82,Valores!$C$82,Valores!$C$83*D278)</f>
        <v>4062.5</v>
      </c>
      <c r="AL278" s="154">
        <f>IF(Valores!$C$57*D278&gt;Valores!$F$57,Valores!$F$57,Valores!$C$57*D278)</f>
        <v>283.875</v>
      </c>
      <c r="AM278" s="162">
        <f t="shared" si="47"/>
        <v>5807.25</v>
      </c>
      <c r="AN278" s="148">
        <f>AI278*-Valores!$C$65</f>
        <v>-3935.7771810000004</v>
      </c>
      <c r="AO278" s="146">
        <f>AI278*-Valores!$C$66</f>
        <v>-1540.0867230000001</v>
      </c>
      <c r="AP278" s="170">
        <v>-159.43</v>
      </c>
      <c r="AQ278" s="170">
        <f t="shared" si="50"/>
        <v>-53.83</v>
      </c>
      <c r="AR278" s="162">
        <f t="shared" si="51"/>
        <v>34342.275496</v>
      </c>
    </row>
    <row r="279" spans="1:44" s="137" customFormat="1" ht="11.25" customHeight="1">
      <c r="A279" s="147">
        <v>277</v>
      </c>
      <c r="B279" s="147"/>
      <c r="C279" s="147" t="s">
        <v>494</v>
      </c>
      <c r="D279" s="147">
        <v>25</v>
      </c>
      <c r="E279" s="147">
        <f t="shared" si="44"/>
        <v>42</v>
      </c>
      <c r="F279" s="155" t="str">
        <f>CONCATENATE("Hora Cátedra Enseñanza Media ",D279," hs Esc Esp")</f>
        <v>Hora Cátedra Enseñanza Media 25 hs Esc Esp</v>
      </c>
      <c r="G279" s="152">
        <f t="shared" si="43"/>
        <v>1975</v>
      </c>
      <c r="H279" s="149">
        <f>INT((G279*Valores!$C$2*100)+0.49)/100</f>
        <v>16666.63</v>
      </c>
      <c r="I279" s="159">
        <v>0</v>
      </c>
      <c r="J279" s="149">
        <f>INT((I279*Valores!$C$2*100)+0.5)/100</f>
        <v>0</v>
      </c>
      <c r="K279" s="151">
        <v>0</v>
      </c>
      <c r="L279" s="149">
        <f>INT((K279*Valores!$C$2*100)+0.5)/100</f>
        <v>0</v>
      </c>
      <c r="M279" s="158">
        <v>0</v>
      </c>
      <c r="N279" s="149">
        <f>INT((M279*Valores!$C$2*100)+0.5)/100</f>
        <v>0</v>
      </c>
      <c r="O279" s="149">
        <f t="shared" si="45"/>
        <v>3029.532</v>
      </c>
      <c r="P279" s="149">
        <f t="shared" si="46"/>
        <v>0</v>
      </c>
      <c r="Q279" s="148">
        <f>Valores!$C$14*D279</f>
        <v>5446</v>
      </c>
      <c r="R279" s="148">
        <f>IF(D279&lt;15,(Valores!$E$4*D279),Valores!$D$4)</f>
        <v>4313.91</v>
      </c>
      <c r="S279" s="149">
        <v>0</v>
      </c>
      <c r="T279" s="149">
        <f>IF(Valores!$C$45*D279&gt;Valores!$C$43,Valores!$C$43,Valores!$C$45*D279)</f>
        <v>1631.25</v>
      </c>
      <c r="U279" s="148">
        <f>Valores!$C$22*D279</f>
        <v>1898.9999999999998</v>
      </c>
      <c r="V279" s="149">
        <f t="shared" si="42"/>
        <v>1898.9999999999998</v>
      </c>
      <c r="W279" s="149">
        <v>0</v>
      </c>
      <c r="X279" s="149">
        <v>0</v>
      </c>
      <c r="Y279" s="149">
        <v>0</v>
      </c>
      <c r="Z279" s="149">
        <f>Y279*Valores!$C$2</f>
        <v>0</v>
      </c>
      <c r="AA279" s="149">
        <v>0</v>
      </c>
      <c r="AB279" s="154">
        <f>IF((Valores!$C$32)*D279&gt;Valores!$F$32,Valores!$F$32,(Valores!$C$32)*D279)</f>
        <v>200.096</v>
      </c>
      <c r="AC279" s="149">
        <f t="shared" si="48"/>
        <v>0</v>
      </c>
      <c r="AD279" s="149">
        <f>IF(Valores!$C$33*D279&gt;Valores!$F$33,Valores!$F$33,Valores!$C$33*D279)</f>
        <v>166.56640000000002</v>
      </c>
      <c r="AE279" s="157">
        <v>94</v>
      </c>
      <c r="AF279" s="149">
        <f>INT(((AE279*Valores!$C$2)*100)+0.5)/100</f>
        <v>793.25</v>
      </c>
      <c r="AG279" s="149">
        <f>IF(Valores!$D$58*'Escala Docente'!D279&gt;Valores!$F$58,Valores!$F$58,Valores!$D$58*'Escala Docente'!D279)</f>
        <v>677.56</v>
      </c>
      <c r="AH279" s="149">
        <f>IF(Valores!$D$60*D279&gt;Valores!$F$60,Valores!$F$60,Valores!$D$60*D279)</f>
        <v>193.60500000000002</v>
      </c>
      <c r="AI279" s="163">
        <f t="shared" si="49"/>
        <v>35017.3994</v>
      </c>
      <c r="AJ279" s="148">
        <f>IF(Valores!$C$36*D279&gt;Valores!$F$36,Valores!$F$36,Valores!$C$36*D279)</f>
        <v>1744.7500000000002</v>
      </c>
      <c r="AK279" s="149">
        <f>IF(Valores!$C$83*D279&gt;Valores!$C$82,Valores!$C$82,Valores!$C$83*D279)</f>
        <v>4062.5</v>
      </c>
      <c r="AL279" s="154">
        <f>IF(Valores!$C$57*D279&gt;Valores!$F$57,Valores!$F$57,Valores!$C$57*D279)</f>
        <v>283.875</v>
      </c>
      <c r="AM279" s="162">
        <f t="shared" si="47"/>
        <v>5807.25</v>
      </c>
      <c r="AN279" s="148">
        <f>AI279*-Valores!$C$65</f>
        <v>-4027.0009310000005</v>
      </c>
      <c r="AO279" s="146">
        <f>AI279*-Valores!$C$66</f>
        <v>-1575.782973</v>
      </c>
      <c r="AP279" s="170">
        <v>-159.43</v>
      </c>
      <c r="AQ279" s="170">
        <f t="shared" si="50"/>
        <v>-53.83</v>
      </c>
      <c r="AR279" s="162">
        <f t="shared" si="51"/>
        <v>35008.605496</v>
      </c>
    </row>
    <row r="280" spans="1:44" s="137" customFormat="1" ht="11.25" customHeight="1">
      <c r="A280" s="147">
        <v>278</v>
      </c>
      <c r="B280" s="147"/>
      <c r="C280" s="147" t="s">
        <v>494</v>
      </c>
      <c r="D280" s="147">
        <v>26</v>
      </c>
      <c r="E280" s="147">
        <f t="shared" si="44"/>
        <v>34</v>
      </c>
      <c r="F280" s="155" t="str">
        <f>CONCATENATE("Hora Cátedra Enseñanza Media ",D280," hs")</f>
        <v>Hora Cátedra Enseñanza Media 26 hs</v>
      </c>
      <c r="G280" s="152">
        <f t="shared" si="43"/>
        <v>2054</v>
      </c>
      <c r="H280" s="149">
        <f>INT((G280*Valores!$C$2*100)+0.49)/100</f>
        <v>17333.3</v>
      </c>
      <c r="I280" s="159">
        <v>0</v>
      </c>
      <c r="J280" s="149">
        <f>INT((I280*Valores!$C$2*100)+0.5)/100</f>
        <v>0</v>
      </c>
      <c r="K280" s="151">
        <v>0</v>
      </c>
      <c r="L280" s="149">
        <f>INT((K280*Valores!$C$2*100)+0.5)/100</f>
        <v>0</v>
      </c>
      <c r="M280" s="158">
        <v>0</v>
      </c>
      <c r="N280" s="149">
        <f>INT((M280*Valores!$C$2*100)+0.5)/100</f>
        <v>0</v>
      </c>
      <c r="O280" s="149">
        <f t="shared" si="45"/>
        <v>3150.7139999999995</v>
      </c>
      <c r="P280" s="149">
        <f t="shared" si="46"/>
        <v>0</v>
      </c>
      <c r="Q280" s="148">
        <f>Valores!$C$14*D280</f>
        <v>5663.84</v>
      </c>
      <c r="R280" s="148">
        <f>IF(D280&lt;15,(Valores!$E$4*D280),Valores!$D$4)</f>
        <v>4313.91</v>
      </c>
      <c r="S280" s="149">
        <v>0</v>
      </c>
      <c r="T280" s="149">
        <f>IF(Valores!$C$45*D280&gt;Valores!$C$43,Valores!$C$43,Valores!$C$45*D280)</f>
        <v>1696.5</v>
      </c>
      <c r="U280" s="148">
        <f>Valores!$C$22*D280</f>
        <v>1974.9599999999998</v>
      </c>
      <c r="V280" s="149">
        <f t="shared" si="42"/>
        <v>1974.9599999999998</v>
      </c>
      <c r="W280" s="149">
        <v>0</v>
      </c>
      <c r="X280" s="149">
        <v>0</v>
      </c>
      <c r="Y280" s="149">
        <v>0</v>
      </c>
      <c r="Z280" s="149">
        <f>Y280*Valores!$C$2</f>
        <v>0</v>
      </c>
      <c r="AA280" s="149">
        <v>0</v>
      </c>
      <c r="AB280" s="154">
        <f>IF((Valores!$C$32)*D280&gt;Valores!$F$32,Valores!$F$32,(Valores!$C$32)*D280)</f>
        <v>208.09984</v>
      </c>
      <c r="AC280" s="149">
        <f t="shared" si="48"/>
        <v>0</v>
      </c>
      <c r="AD280" s="149">
        <f>IF(Valores!$C$33*D280&gt;Valores!$F$33,Valores!$F$33,Valores!$C$33*D280)</f>
        <v>173.229056</v>
      </c>
      <c r="AE280" s="157">
        <v>0</v>
      </c>
      <c r="AF280" s="149">
        <f>INT(((AE280*Valores!$C$2)*100)+0.5)/100</f>
        <v>0</v>
      </c>
      <c r="AG280" s="149">
        <f>IF(Valores!$D$58*'Escala Docente'!D280&gt;Valores!$F$58,Valores!$F$58,Valores!$D$58*'Escala Docente'!D280)</f>
        <v>704.6623999999999</v>
      </c>
      <c r="AH280" s="149">
        <f>IF(Valores!$D$60*D280&gt;Valores!$F$60,Valores!$F$60,Valores!$D$60*D280)</f>
        <v>201.3492</v>
      </c>
      <c r="AI280" s="163">
        <f t="shared" si="49"/>
        <v>35420.56449599999</v>
      </c>
      <c r="AJ280" s="148">
        <f>IF(Valores!$C$36*D280&gt;Valores!$F$36,Valores!$F$36,Valores!$C$36*D280)</f>
        <v>1814.5400000000002</v>
      </c>
      <c r="AK280" s="149">
        <f>IF(Valores!$C$83*D280&gt;Valores!$C$82,Valores!$C$82,Valores!$C$83*D280)</f>
        <v>4225</v>
      </c>
      <c r="AL280" s="154">
        <f>IF(Valores!$C$57*D280&gt;Valores!$F$57,Valores!$F$57,Valores!$C$57*D280)</f>
        <v>295.23</v>
      </c>
      <c r="AM280" s="162">
        <f t="shared" si="47"/>
        <v>6039.54</v>
      </c>
      <c r="AN280" s="148">
        <f>AI280*-Valores!$C$65</f>
        <v>-4073.3649170399995</v>
      </c>
      <c r="AO280" s="146">
        <f>AI280*-Valores!$C$66</f>
        <v>-1593.9254023199996</v>
      </c>
      <c r="AP280" s="170">
        <v>-159.43</v>
      </c>
      <c r="AQ280" s="170">
        <f t="shared" si="50"/>
        <v>-53.83</v>
      </c>
      <c r="AR280" s="162">
        <f t="shared" si="51"/>
        <v>35579.55417663999</v>
      </c>
    </row>
    <row r="281" spans="1:44" s="137" customFormat="1" ht="11.25" customHeight="1">
      <c r="A281" s="147">
        <v>279</v>
      </c>
      <c r="B281" s="147"/>
      <c r="C281" s="147" t="s">
        <v>494</v>
      </c>
      <c r="D281" s="147">
        <v>26</v>
      </c>
      <c r="E281" s="147">
        <f t="shared" si="44"/>
        <v>42</v>
      </c>
      <c r="F281" s="155" t="str">
        <f>CONCATENATE("Hora Cátedra Enseñanza Media ",D281," hs Esc Esp")</f>
        <v>Hora Cátedra Enseñanza Media 26 hs Esc Esp</v>
      </c>
      <c r="G281" s="152">
        <f t="shared" si="43"/>
        <v>2054</v>
      </c>
      <c r="H281" s="149">
        <f>INT((G281*Valores!$C$2*100)+0.49)/100</f>
        <v>17333.3</v>
      </c>
      <c r="I281" s="159">
        <v>0</v>
      </c>
      <c r="J281" s="149">
        <f>INT((I281*Valores!$C$2*100)+0.5)/100</f>
        <v>0</v>
      </c>
      <c r="K281" s="151">
        <v>0</v>
      </c>
      <c r="L281" s="149">
        <f>INT((K281*Valores!$C$2*100)+0.5)/100</f>
        <v>0</v>
      </c>
      <c r="M281" s="158">
        <v>0</v>
      </c>
      <c r="N281" s="149">
        <f>INT((M281*Valores!$C$2*100)+0.5)/100</f>
        <v>0</v>
      </c>
      <c r="O281" s="149">
        <f t="shared" si="45"/>
        <v>3150.7139999999995</v>
      </c>
      <c r="P281" s="149">
        <f t="shared" si="46"/>
        <v>0</v>
      </c>
      <c r="Q281" s="148">
        <f>Valores!$C$14*D281</f>
        <v>5663.84</v>
      </c>
      <c r="R281" s="148">
        <f>IF(D281&lt;15,(Valores!$E$4*D281),Valores!$D$4)</f>
        <v>4313.91</v>
      </c>
      <c r="S281" s="149">
        <v>0</v>
      </c>
      <c r="T281" s="149">
        <f>IF(Valores!$C$45*D281&gt;Valores!$C$43,Valores!$C$43,Valores!$C$45*D281)</f>
        <v>1696.5</v>
      </c>
      <c r="U281" s="148">
        <f>Valores!$C$22*D281</f>
        <v>1974.9599999999998</v>
      </c>
      <c r="V281" s="149">
        <f t="shared" si="42"/>
        <v>1974.9599999999998</v>
      </c>
      <c r="W281" s="149">
        <v>0</v>
      </c>
      <c r="X281" s="149">
        <v>0</v>
      </c>
      <c r="Y281" s="149">
        <v>0</v>
      </c>
      <c r="Z281" s="149">
        <f>Y281*Valores!$C$2</f>
        <v>0</v>
      </c>
      <c r="AA281" s="149">
        <v>0</v>
      </c>
      <c r="AB281" s="154">
        <f>IF((Valores!$C$32)*D281&gt;Valores!$F$32,Valores!$F$32,(Valores!$C$32)*D281)</f>
        <v>208.09984</v>
      </c>
      <c r="AC281" s="149">
        <f t="shared" si="48"/>
        <v>0</v>
      </c>
      <c r="AD281" s="149">
        <f>IF(Valores!$C$33*D281&gt;Valores!$F$33,Valores!$F$33,Valores!$C$33*D281)</f>
        <v>173.229056</v>
      </c>
      <c r="AE281" s="157">
        <v>94</v>
      </c>
      <c r="AF281" s="149">
        <f>INT(((AE281*Valores!$C$2)*100)+0.5)/100</f>
        <v>793.25</v>
      </c>
      <c r="AG281" s="149">
        <f>IF(Valores!$D$58*'Escala Docente'!D281&gt;Valores!$F$58,Valores!$F$58,Valores!$D$58*'Escala Docente'!D281)</f>
        <v>704.6623999999999</v>
      </c>
      <c r="AH281" s="149">
        <f>IF(Valores!$D$60*D281&gt;Valores!$F$60,Valores!$F$60,Valores!$D$60*D281)</f>
        <v>201.3492</v>
      </c>
      <c r="AI281" s="163">
        <f t="shared" si="49"/>
        <v>36213.81449599999</v>
      </c>
      <c r="AJ281" s="148">
        <f>IF(Valores!$C$36*D281&gt;Valores!$F$36,Valores!$F$36,Valores!$C$36*D281)</f>
        <v>1814.5400000000002</v>
      </c>
      <c r="AK281" s="149">
        <f>IF(Valores!$C$83*D281&gt;Valores!$C$82,Valores!$C$82,Valores!$C$83*D281)</f>
        <v>4225</v>
      </c>
      <c r="AL281" s="154">
        <f>IF(Valores!$C$57*D281&gt;Valores!$F$57,Valores!$F$57,Valores!$C$57*D281)</f>
        <v>295.23</v>
      </c>
      <c r="AM281" s="162">
        <f t="shared" si="47"/>
        <v>6039.54</v>
      </c>
      <c r="AN281" s="148">
        <f>AI281*-Valores!$C$65</f>
        <v>-4164.58866704</v>
      </c>
      <c r="AO281" s="146">
        <f>AI281*-Valores!$C$66</f>
        <v>-1629.6216523199996</v>
      </c>
      <c r="AP281" s="170">
        <v>-159.43</v>
      </c>
      <c r="AQ281" s="170">
        <f t="shared" si="50"/>
        <v>-53.83</v>
      </c>
      <c r="AR281" s="162">
        <f t="shared" si="51"/>
        <v>36245.88417663999</v>
      </c>
    </row>
    <row r="282" spans="1:44" s="137" customFormat="1" ht="11.25" customHeight="1">
      <c r="A282" s="147">
        <v>280</v>
      </c>
      <c r="B282" s="147" t="s">
        <v>135</v>
      </c>
      <c r="C282" s="147" t="s">
        <v>494</v>
      </c>
      <c r="D282" s="147">
        <v>27</v>
      </c>
      <c r="E282" s="147">
        <f t="shared" si="44"/>
        <v>34</v>
      </c>
      <c r="F282" s="155" t="str">
        <f>CONCATENATE("Hora Cátedra Enseñanza Media ",D282," hs")</f>
        <v>Hora Cátedra Enseñanza Media 27 hs</v>
      </c>
      <c r="G282" s="152">
        <f t="shared" si="43"/>
        <v>2133</v>
      </c>
      <c r="H282" s="149">
        <f>INT((G282*Valores!$C$2*100)+0.49)/100</f>
        <v>17999.96</v>
      </c>
      <c r="I282" s="159">
        <v>0</v>
      </c>
      <c r="J282" s="149">
        <f>INT((I282*Valores!$C$2*100)+0.5)/100</f>
        <v>0</v>
      </c>
      <c r="K282" s="151">
        <v>0</v>
      </c>
      <c r="L282" s="149">
        <f>INT((K282*Valores!$C$2*100)+0.5)/100</f>
        <v>0</v>
      </c>
      <c r="M282" s="158">
        <v>0</v>
      </c>
      <c r="N282" s="149">
        <f>INT((M282*Valores!$C$2*100)+0.5)/100</f>
        <v>0</v>
      </c>
      <c r="O282" s="149">
        <f t="shared" si="45"/>
        <v>3271.8944999999994</v>
      </c>
      <c r="P282" s="149">
        <f t="shared" si="46"/>
        <v>0</v>
      </c>
      <c r="Q282" s="148">
        <f>Valores!$C$14*D282</f>
        <v>5881.68</v>
      </c>
      <c r="R282" s="148">
        <f>IF(D282&lt;15,(Valores!$E$4*D282),Valores!$D$4)</f>
        <v>4313.91</v>
      </c>
      <c r="S282" s="149">
        <v>0</v>
      </c>
      <c r="T282" s="149">
        <f>IF(Valores!$C$45*D282&gt;Valores!$C$43,Valores!$C$43,Valores!$C$45*D282)</f>
        <v>1761.75</v>
      </c>
      <c r="U282" s="148">
        <f>Valores!$C$22*D282</f>
        <v>2050.9199999999996</v>
      </c>
      <c r="V282" s="149">
        <f t="shared" si="42"/>
        <v>2050.9199999999996</v>
      </c>
      <c r="W282" s="149">
        <v>0</v>
      </c>
      <c r="X282" s="149">
        <v>0</v>
      </c>
      <c r="Y282" s="149">
        <v>0</v>
      </c>
      <c r="Z282" s="149">
        <f>Y282*Valores!$C$2</f>
        <v>0</v>
      </c>
      <c r="AA282" s="149">
        <v>0</v>
      </c>
      <c r="AB282" s="154">
        <f>IF((Valores!$C$32)*D282&gt;Valores!$F$32,Valores!$F$32,(Valores!$C$32)*D282)</f>
        <v>216.10368</v>
      </c>
      <c r="AC282" s="149">
        <f t="shared" si="48"/>
        <v>0</v>
      </c>
      <c r="AD282" s="149">
        <f>IF(Valores!$C$33*D282&gt;Valores!$F$33,Valores!$F$33,Valores!$C$33*D282)</f>
        <v>179.89171200000004</v>
      </c>
      <c r="AE282" s="157">
        <v>0</v>
      </c>
      <c r="AF282" s="149">
        <f>INT(((AE282*Valores!$C$2)*100)+0.5)/100</f>
        <v>0</v>
      </c>
      <c r="AG282" s="149">
        <f>IF(Valores!$D$58*'Escala Docente'!D282&gt;Valores!$F$58,Valores!$F$58,Valores!$D$58*'Escala Docente'!D282)</f>
        <v>731.7648</v>
      </c>
      <c r="AH282" s="149">
        <f>IF(Valores!$D$60*D282&gt;Valores!$F$60,Valores!$F$60,Valores!$D$60*D282)</f>
        <v>209.0934</v>
      </c>
      <c r="AI282" s="163">
        <f t="shared" si="49"/>
        <v>36616.96809199999</v>
      </c>
      <c r="AJ282" s="148">
        <f>IF(Valores!$C$36*D282&gt;Valores!$F$36,Valores!$F$36,Valores!$C$36*D282)</f>
        <v>1884.3300000000002</v>
      </c>
      <c r="AK282" s="149">
        <f>IF(Valores!$C$83*D282&gt;Valores!$C$82,Valores!$C$82,Valores!$C$83*D282)</f>
        <v>4387.5</v>
      </c>
      <c r="AL282" s="154">
        <f>IF(Valores!$C$57*D282&gt;Valores!$F$57,Valores!$F$57,Valores!$C$57*D282)</f>
        <v>306.58500000000004</v>
      </c>
      <c r="AM282" s="162">
        <f t="shared" si="47"/>
        <v>6271.83</v>
      </c>
      <c r="AN282" s="148">
        <f>AI282*-Valores!$C$65</f>
        <v>-4210.951330579999</v>
      </c>
      <c r="AO282" s="146">
        <f>AI282*-Valores!$C$66</f>
        <v>-1647.7635641399995</v>
      </c>
      <c r="AP282" s="170">
        <v>-159.43</v>
      </c>
      <c r="AQ282" s="170">
        <f t="shared" si="50"/>
        <v>-53.83</v>
      </c>
      <c r="AR282" s="162">
        <f t="shared" si="51"/>
        <v>36816.82319727999</v>
      </c>
    </row>
    <row r="283" spans="1:44" s="137" customFormat="1" ht="11.25" customHeight="1">
      <c r="A283" s="147">
        <v>281</v>
      </c>
      <c r="B283" s="147"/>
      <c r="C283" s="147" t="s">
        <v>494</v>
      </c>
      <c r="D283" s="147">
        <v>27</v>
      </c>
      <c r="E283" s="147">
        <f t="shared" si="44"/>
        <v>42</v>
      </c>
      <c r="F283" s="155" t="str">
        <f>CONCATENATE("Hora Cátedra Enseñanza Media ",D283," hs Esc Esp")</f>
        <v>Hora Cátedra Enseñanza Media 27 hs Esc Esp</v>
      </c>
      <c r="G283" s="152">
        <f t="shared" si="43"/>
        <v>2133</v>
      </c>
      <c r="H283" s="149">
        <f>INT((G283*Valores!$C$2*100)+0.49)/100</f>
        <v>17999.96</v>
      </c>
      <c r="I283" s="159">
        <v>0</v>
      </c>
      <c r="J283" s="149">
        <f>INT((I283*Valores!$C$2*100)+0.5)/100</f>
        <v>0</v>
      </c>
      <c r="K283" s="151">
        <v>0</v>
      </c>
      <c r="L283" s="149">
        <f>INT((K283*Valores!$C$2*100)+0.5)/100</f>
        <v>0</v>
      </c>
      <c r="M283" s="158">
        <v>0</v>
      </c>
      <c r="N283" s="149">
        <f>INT((M283*Valores!$C$2*100)+0.5)/100</f>
        <v>0</v>
      </c>
      <c r="O283" s="149">
        <f t="shared" si="45"/>
        <v>3271.8944999999994</v>
      </c>
      <c r="P283" s="149">
        <f t="shared" si="46"/>
        <v>0</v>
      </c>
      <c r="Q283" s="148">
        <f>Valores!$C$14*D283</f>
        <v>5881.68</v>
      </c>
      <c r="R283" s="148">
        <f>IF(D283&lt;15,(Valores!$E$4*D283),Valores!$D$4)</f>
        <v>4313.91</v>
      </c>
      <c r="S283" s="149">
        <v>0</v>
      </c>
      <c r="T283" s="149">
        <f>IF(Valores!$C$45*D283&gt;Valores!$C$43,Valores!$C$43,Valores!$C$45*D283)</f>
        <v>1761.75</v>
      </c>
      <c r="U283" s="148">
        <f>Valores!$C$22*D283</f>
        <v>2050.9199999999996</v>
      </c>
      <c r="V283" s="149">
        <f t="shared" si="42"/>
        <v>2050.9199999999996</v>
      </c>
      <c r="W283" s="149">
        <v>0</v>
      </c>
      <c r="X283" s="149">
        <v>0</v>
      </c>
      <c r="Y283" s="149">
        <v>0</v>
      </c>
      <c r="Z283" s="149">
        <f>Y283*Valores!$C$2</f>
        <v>0</v>
      </c>
      <c r="AA283" s="149">
        <v>0</v>
      </c>
      <c r="AB283" s="154">
        <f>IF((Valores!$C$32)*D283&gt;Valores!$F$32,Valores!$F$32,(Valores!$C$32)*D283)</f>
        <v>216.10368</v>
      </c>
      <c r="AC283" s="149">
        <f t="shared" si="48"/>
        <v>0</v>
      </c>
      <c r="AD283" s="149">
        <f>IF(Valores!$C$33*D283&gt;Valores!$F$33,Valores!$F$33,Valores!$C$33*D283)</f>
        <v>179.89171200000004</v>
      </c>
      <c r="AE283" s="157">
        <v>94</v>
      </c>
      <c r="AF283" s="149">
        <f>INT(((AE283*Valores!$C$2)*100)+0.5)/100</f>
        <v>793.25</v>
      </c>
      <c r="AG283" s="149">
        <f>IF(Valores!$D$58*'Escala Docente'!D283&gt;Valores!$F$58,Valores!$F$58,Valores!$D$58*'Escala Docente'!D283)</f>
        <v>731.7648</v>
      </c>
      <c r="AH283" s="149">
        <f>IF(Valores!$D$60*D283&gt;Valores!$F$60,Valores!$F$60,Valores!$D$60*D283)</f>
        <v>209.0934</v>
      </c>
      <c r="AI283" s="163">
        <f t="shared" si="49"/>
        <v>37410.21809199999</v>
      </c>
      <c r="AJ283" s="148">
        <f>IF(Valores!$C$36*D283&gt;Valores!$F$36,Valores!$F$36,Valores!$C$36*D283)</f>
        <v>1884.3300000000002</v>
      </c>
      <c r="AK283" s="149">
        <f>IF(Valores!$C$83*D283&gt;Valores!$C$82,Valores!$C$82,Valores!$C$83*D283)</f>
        <v>4387.5</v>
      </c>
      <c r="AL283" s="154">
        <f>IF(Valores!$C$57*D283&gt;Valores!$F$57,Valores!$F$57,Valores!$C$57*D283)</f>
        <v>306.58500000000004</v>
      </c>
      <c r="AM283" s="162">
        <f t="shared" si="47"/>
        <v>6271.83</v>
      </c>
      <c r="AN283" s="148">
        <f>AI283*-Valores!$C$65</f>
        <v>-4302.175080579998</v>
      </c>
      <c r="AO283" s="146">
        <f>AI283*-Valores!$C$66</f>
        <v>-1683.4598141399995</v>
      </c>
      <c r="AP283" s="170">
        <v>-159.43</v>
      </c>
      <c r="AQ283" s="170">
        <f t="shared" si="50"/>
        <v>-53.83</v>
      </c>
      <c r="AR283" s="162">
        <f t="shared" si="51"/>
        <v>37483.15319727999</v>
      </c>
    </row>
    <row r="284" spans="1:44" s="137" customFormat="1" ht="11.25" customHeight="1">
      <c r="A284" s="147">
        <v>282</v>
      </c>
      <c r="B284" s="147"/>
      <c r="C284" s="147" t="s">
        <v>494</v>
      </c>
      <c r="D284" s="147">
        <v>28</v>
      </c>
      <c r="E284" s="147">
        <f t="shared" si="44"/>
        <v>34</v>
      </c>
      <c r="F284" s="155" t="str">
        <f>CONCATENATE("Hora Cátedra Enseñanza Media ",D284," hs")</f>
        <v>Hora Cátedra Enseñanza Media 28 hs</v>
      </c>
      <c r="G284" s="152">
        <f t="shared" si="43"/>
        <v>2212</v>
      </c>
      <c r="H284" s="149">
        <f>INT((G284*Valores!$C$2*100)+0.49)/100</f>
        <v>18666.63</v>
      </c>
      <c r="I284" s="159">
        <v>0</v>
      </c>
      <c r="J284" s="149">
        <f>INT((I284*Valores!$C$2*100)+0.5)/100</f>
        <v>0</v>
      </c>
      <c r="K284" s="151">
        <v>0</v>
      </c>
      <c r="L284" s="149">
        <f>INT((K284*Valores!$C$2*100)+0.5)/100</f>
        <v>0</v>
      </c>
      <c r="M284" s="158">
        <v>0</v>
      </c>
      <c r="N284" s="149">
        <f>INT((M284*Valores!$C$2*100)+0.5)/100</f>
        <v>0</v>
      </c>
      <c r="O284" s="149">
        <f t="shared" si="45"/>
        <v>3393.0765</v>
      </c>
      <c r="P284" s="149">
        <f t="shared" si="46"/>
        <v>0</v>
      </c>
      <c r="Q284" s="148">
        <f>Valores!$C$14*D284</f>
        <v>6099.52</v>
      </c>
      <c r="R284" s="148">
        <f>IF(D284&lt;15,(Valores!$E$4*D284),Valores!$D$4)</f>
        <v>4313.91</v>
      </c>
      <c r="S284" s="149">
        <v>0</v>
      </c>
      <c r="T284" s="149">
        <f>IF(Valores!$C$45*D284&gt;Valores!$C$43,Valores!$C$43,Valores!$C$45*D284)</f>
        <v>1827</v>
      </c>
      <c r="U284" s="148">
        <f>Valores!$C$22*D284</f>
        <v>2126.8799999999997</v>
      </c>
      <c r="V284" s="149">
        <f t="shared" si="42"/>
        <v>2126.8799999999997</v>
      </c>
      <c r="W284" s="149">
        <v>0</v>
      </c>
      <c r="X284" s="149">
        <v>0</v>
      </c>
      <c r="Y284" s="149">
        <v>0</v>
      </c>
      <c r="Z284" s="149">
        <f>Y284*Valores!$C$2</f>
        <v>0</v>
      </c>
      <c r="AA284" s="149">
        <v>0</v>
      </c>
      <c r="AB284" s="154">
        <f>IF((Valores!$C$32)*D284&gt;Valores!$F$32,Valores!$F$32,(Valores!$C$32)*D284)</f>
        <v>224.10752000000002</v>
      </c>
      <c r="AC284" s="149">
        <f t="shared" si="48"/>
        <v>0</v>
      </c>
      <c r="AD284" s="149">
        <f>IF(Valores!$C$33*D284&gt;Valores!$F$33,Valores!$F$33,Valores!$C$33*D284)</f>
        <v>186.55436800000004</v>
      </c>
      <c r="AE284" s="157">
        <v>0</v>
      </c>
      <c r="AF284" s="149">
        <f>INT(((AE284*Valores!$C$2)*100)+0.5)/100</f>
        <v>0</v>
      </c>
      <c r="AG284" s="149">
        <f>IF(Valores!$D$58*'Escala Docente'!D284&gt;Valores!$F$58,Valores!$F$58,Valores!$D$58*'Escala Docente'!D284)</f>
        <v>758.8672</v>
      </c>
      <c r="AH284" s="149">
        <f>IF(Valores!$D$60*D284&gt;Valores!$F$60,Valores!$F$60,Valores!$D$60*D284)</f>
        <v>216.8376</v>
      </c>
      <c r="AI284" s="163">
        <f t="shared" si="49"/>
        <v>37813.38318799999</v>
      </c>
      <c r="AJ284" s="148">
        <f>IF(Valores!$C$36*D284&gt;Valores!$F$36,Valores!$F$36,Valores!$C$36*D284)</f>
        <v>1954.1200000000001</v>
      </c>
      <c r="AK284" s="149">
        <f>IF(Valores!$C$83*D284&gt;Valores!$C$82,Valores!$C$82,Valores!$C$83*D284)</f>
        <v>4550</v>
      </c>
      <c r="AL284" s="154">
        <f>IF(Valores!$C$57*D284&gt;Valores!$F$57,Valores!$F$57,Valores!$C$57*D284)</f>
        <v>317.94</v>
      </c>
      <c r="AM284" s="162">
        <f t="shared" si="47"/>
        <v>6504.12</v>
      </c>
      <c r="AN284" s="148">
        <f>AI284*-Valores!$C$65</f>
        <v>-4348.539066619999</v>
      </c>
      <c r="AO284" s="146">
        <f>AI284*-Valores!$C$66</f>
        <v>-1701.6022434599995</v>
      </c>
      <c r="AP284" s="170">
        <v>-159.43</v>
      </c>
      <c r="AQ284" s="170">
        <f t="shared" si="50"/>
        <v>-53.83</v>
      </c>
      <c r="AR284" s="162">
        <f t="shared" si="51"/>
        <v>38054.101877919995</v>
      </c>
    </row>
    <row r="285" spans="1:44" s="137" customFormat="1" ht="11.25" customHeight="1">
      <c r="A285" s="147">
        <v>283</v>
      </c>
      <c r="B285" s="147"/>
      <c r="C285" s="147" t="s">
        <v>494</v>
      </c>
      <c r="D285" s="147">
        <v>28</v>
      </c>
      <c r="E285" s="147">
        <f t="shared" si="44"/>
        <v>42</v>
      </c>
      <c r="F285" s="155" t="str">
        <f>CONCATENATE("Hora Cátedra Enseñanza Media ",D285," hs Esc Esp")</f>
        <v>Hora Cátedra Enseñanza Media 28 hs Esc Esp</v>
      </c>
      <c r="G285" s="152">
        <f t="shared" si="43"/>
        <v>2212</v>
      </c>
      <c r="H285" s="149">
        <f>INT((G285*Valores!$C$2*100)+0.49)/100</f>
        <v>18666.63</v>
      </c>
      <c r="I285" s="159">
        <v>0</v>
      </c>
      <c r="J285" s="149">
        <f>INT((I285*Valores!$C$2*100)+0.5)/100</f>
        <v>0</v>
      </c>
      <c r="K285" s="151">
        <v>0</v>
      </c>
      <c r="L285" s="149">
        <f>INT((K285*Valores!$C$2*100)+0.5)/100</f>
        <v>0</v>
      </c>
      <c r="M285" s="158">
        <v>0</v>
      </c>
      <c r="N285" s="149">
        <f>INT((M285*Valores!$C$2*100)+0.5)/100</f>
        <v>0</v>
      </c>
      <c r="O285" s="149">
        <f t="shared" si="45"/>
        <v>3393.0765</v>
      </c>
      <c r="P285" s="149">
        <f t="shared" si="46"/>
        <v>0</v>
      </c>
      <c r="Q285" s="148">
        <f>Valores!$C$14*D285</f>
        <v>6099.52</v>
      </c>
      <c r="R285" s="148">
        <f>IF(D285&lt;15,(Valores!$E$4*D285),Valores!$D$4)</f>
        <v>4313.91</v>
      </c>
      <c r="S285" s="149">
        <v>0</v>
      </c>
      <c r="T285" s="149">
        <f>IF(Valores!$C$45*D285&gt;Valores!$C$43,Valores!$C$43,Valores!$C$45*D285)</f>
        <v>1827</v>
      </c>
      <c r="U285" s="148">
        <f>Valores!$C$22*D285</f>
        <v>2126.8799999999997</v>
      </c>
      <c r="V285" s="149">
        <f t="shared" si="42"/>
        <v>2126.8799999999997</v>
      </c>
      <c r="W285" s="149">
        <v>0</v>
      </c>
      <c r="X285" s="149">
        <v>0</v>
      </c>
      <c r="Y285" s="149">
        <v>0</v>
      </c>
      <c r="Z285" s="149">
        <f>Y285*Valores!$C$2</f>
        <v>0</v>
      </c>
      <c r="AA285" s="149">
        <v>0</v>
      </c>
      <c r="AB285" s="154">
        <f>IF((Valores!$C$32)*D285&gt;Valores!$F$32,Valores!$F$32,(Valores!$C$32)*D285)</f>
        <v>224.10752000000002</v>
      </c>
      <c r="AC285" s="149">
        <f t="shared" si="48"/>
        <v>0</v>
      </c>
      <c r="AD285" s="149">
        <f>IF(Valores!$C$33*D285&gt;Valores!$F$33,Valores!$F$33,Valores!$C$33*D285)</f>
        <v>186.55436800000004</v>
      </c>
      <c r="AE285" s="157">
        <v>94</v>
      </c>
      <c r="AF285" s="149">
        <f>INT(((AE285*Valores!$C$2)*100)+0.5)/100</f>
        <v>793.25</v>
      </c>
      <c r="AG285" s="149">
        <f>IF(Valores!$D$58*'Escala Docente'!D285&gt;Valores!$F$58,Valores!$F$58,Valores!$D$58*'Escala Docente'!D285)</f>
        <v>758.8672</v>
      </c>
      <c r="AH285" s="149">
        <f>IF(Valores!$D$60*D285&gt;Valores!$F$60,Valores!$F$60,Valores!$D$60*D285)</f>
        <v>216.8376</v>
      </c>
      <c r="AI285" s="163">
        <f t="shared" si="49"/>
        <v>38606.63318799999</v>
      </c>
      <c r="AJ285" s="148">
        <f>IF(Valores!$C$36*D285&gt;Valores!$F$36,Valores!$F$36,Valores!$C$36*D285)</f>
        <v>1954.1200000000001</v>
      </c>
      <c r="AK285" s="149">
        <f>IF(Valores!$C$83*D285&gt;Valores!$C$82,Valores!$C$82,Valores!$C$83*D285)</f>
        <v>4550</v>
      </c>
      <c r="AL285" s="154">
        <f>IF(Valores!$C$57*D285&gt;Valores!$F$57,Valores!$F$57,Valores!$C$57*D285)</f>
        <v>317.94</v>
      </c>
      <c r="AM285" s="162">
        <f t="shared" si="47"/>
        <v>6504.12</v>
      </c>
      <c r="AN285" s="148">
        <f>AI285*-Valores!$C$65</f>
        <v>-4439.762816619999</v>
      </c>
      <c r="AO285" s="146">
        <f>AI285*-Valores!$C$66</f>
        <v>-1737.2984934599997</v>
      </c>
      <c r="AP285" s="170">
        <v>-159.43</v>
      </c>
      <c r="AQ285" s="170">
        <f t="shared" si="50"/>
        <v>-53.83</v>
      </c>
      <c r="AR285" s="162">
        <f t="shared" si="51"/>
        <v>38720.43187791999</v>
      </c>
    </row>
    <row r="286" spans="1:44" s="137" customFormat="1" ht="11.25" customHeight="1">
      <c r="A286" s="147">
        <v>284</v>
      </c>
      <c r="B286" s="147"/>
      <c r="C286" s="147" t="s">
        <v>494</v>
      </c>
      <c r="D286" s="147">
        <v>29</v>
      </c>
      <c r="E286" s="147">
        <f t="shared" si="44"/>
        <v>34</v>
      </c>
      <c r="F286" s="155" t="str">
        <f>CONCATENATE("Hora Cátedra Enseñanza Media ",D286," hs")</f>
        <v>Hora Cátedra Enseñanza Media 29 hs</v>
      </c>
      <c r="G286" s="152">
        <f t="shared" si="43"/>
        <v>2291</v>
      </c>
      <c r="H286" s="149">
        <f>INT((G286*Valores!$C$2*100)+0.49)/100</f>
        <v>19333.29</v>
      </c>
      <c r="I286" s="159">
        <v>0</v>
      </c>
      <c r="J286" s="149">
        <f>INT((I286*Valores!$C$2*100)+0.5)/100</f>
        <v>0</v>
      </c>
      <c r="K286" s="151">
        <v>0</v>
      </c>
      <c r="L286" s="149">
        <f>INT((K286*Valores!$C$2*100)+0.5)/100</f>
        <v>0</v>
      </c>
      <c r="M286" s="158">
        <v>0</v>
      </c>
      <c r="N286" s="149">
        <f>INT((M286*Valores!$C$2*100)+0.5)/100</f>
        <v>0</v>
      </c>
      <c r="O286" s="149">
        <f t="shared" si="45"/>
        <v>3514.257</v>
      </c>
      <c r="P286" s="149">
        <f t="shared" si="46"/>
        <v>0</v>
      </c>
      <c r="Q286" s="148">
        <f>Valores!$C$14*D286</f>
        <v>6317.36</v>
      </c>
      <c r="R286" s="148">
        <f>IF(D286&lt;15,(Valores!$E$4*D286),Valores!$D$4)</f>
        <v>4313.91</v>
      </c>
      <c r="S286" s="149">
        <v>0</v>
      </c>
      <c r="T286" s="149">
        <f>IF(Valores!$C$45*D286&gt;Valores!$C$43,Valores!$C$43,Valores!$C$45*D286)</f>
        <v>1892.25</v>
      </c>
      <c r="U286" s="148">
        <f>Valores!$C$22*D286</f>
        <v>2202.8399999999997</v>
      </c>
      <c r="V286" s="149">
        <f t="shared" si="42"/>
        <v>2202.8399999999997</v>
      </c>
      <c r="W286" s="149">
        <v>0</v>
      </c>
      <c r="X286" s="149">
        <v>0</v>
      </c>
      <c r="Y286" s="149">
        <v>0</v>
      </c>
      <c r="Z286" s="149">
        <f>Y286*Valores!$C$2</f>
        <v>0</v>
      </c>
      <c r="AA286" s="149">
        <v>0</v>
      </c>
      <c r="AB286" s="154">
        <f>IF((Valores!$C$32)*D286&gt;Valores!$F$32,Valores!$F$32,(Valores!$C$32)*D286)</f>
        <v>232.11136000000002</v>
      </c>
      <c r="AC286" s="149">
        <f t="shared" si="48"/>
        <v>0</v>
      </c>
      <c r="AD286" s="149">
        <f>IF(Valores!$C$33*D286&gt;Valores!$F$33,Valores!$F$33,Valores!$C$33*D286)</f>
        <v>193.21702400000004</v>
      </c>
      <c r="AE286" s="157">
        <v>0</v>
      </c>
      <c r="AF286" s="149">
        <f>INT(((AE286*Valores!$C$2)*100)+0.5)/100</f>
        <v>0</v>
      </c>
      <c r="AG286" s="149">
        <f>IF(Valores!$D$58*'Escala Docente'!D286&gt;Valores!$F$58,Valores!$F$58,Valores!$D$58*'Escala Docente'!D286)</f>
        <v>785.9696</v>
      </c>
      <c r="AH286" s="149">
        <f>IF(Valores!$D$60*D286&gt;Valores!$F$60,Valores!$F$60,Valores!$D$60*D286)</f>
        <v>224.58180000000002</v>
      </c>
      <c r="AI286" s="163">
        <f t="shared" si="49"/>
        <v>39009.786783999996</v>
      </c>
      <c r="AJ286" s="148">
        <f>IF(Valores!$C$36*D286&gt;Valores!$F$36,Valores!$F$36,Valores!$C$36*D286)</f>
        <v>2023.91</v>
      </c>
      <c r="AK286" s="149">
        <f>IF(Valores!$C$83*D286&gt;Valores!$C$82,Valores!$C$82,Valores!$C$83*D286)</f>
        <v>4712.5</v>
      </c>
      <c r="AL286" s="154">
        <f>IF(Valores!$C$57*D286&gt;Valores!$F$57,Valores!$F$57,Valores!$C$57*D286)</f>
        <v>327.6</v>
      </c>
      <c r="AM286" s="162">
        <f t="shared" si="47"/>
        <v>6736.41</v>
      </c>
      <c r="AN286" s="148">
        <f>AI286*-Valores!$C$65</f>
        <v>-4486.12548016</v>
      </c>
      <c r="AO286" s="146">
        <f>AI286*-Valores!$C$66</f>
        <v>-1755.4404052799998</v>
      </c>
      <c r="AP286" s="170">
        <v>-159.43</v>
      </c>
      <c r="AQ286" s="170">
        <f t="shared" si="50"/>
        <v>-53.83</v>
      </c>
      <c r="AR286" s="162">
        <f t="shared" si="51"/>
        <v>39291.370898559995</v>
      </c>
    </row>
    <row r="287" spans="1:44" s="137" customFormat="1" ht="11.25" customHeight="1">
      <c r="A287" s="147">
        <v>285</v>
      </c>
      <c r="B287" s="147" t="s">
        <v>135</v>
      </c>
      <c r="C287" s="147" t="s">
        <v>494</v>
      </c>
      <c r="D287" s="147">
        <v>29</v>
      </c>
      <c r="E287" s="147">
        <f t="shared" si="44"/>
        <v>42</v>
      </c>
      <c r="F287" s="155" t="str">
        <f>CONCATENATE("Hora Cátedra Enseñanza Media ",D287," hs Esc Esp")</f>
        <v>Hora Cátedra Enseñanza Media 29 hs Esc Esp</v>
      </c>
      <c r="G287" s="152">
        <f t="shared" si="43"/>
        <v>2291</v>
      </c>
      <c r="H287" s="149">
        <f>INT((G287*Valores!$C$2*100)+0.49)/100</f>
        <v>19333.29</v>
      </c>
      <c r="I287" s="159">
        <v>0</v>
      </c>
      <c r="J287" s="149">
        <f>INT((I287*Valores!$C$2*100)+0.5)/100</f>
        <v>0</v>
      </c>
      <c r="K287" s="151">
        <v>0</v>
      </c>
      <c r="L287" s="149">
        <f>INT((K287*Valores!$C$2*100)+0.5)/100</f>
        <v>0</v>
      </c>
      <c r="M287" s="158">
        <v>0</v>
      </c>
      <c r="N287" s="149">
        <f>INT((M287*Valores!$C$2*100)+0.5)/100</f>
        <v>0</v>
      </c>
      <c r="O287" s="149">
        <f t="shared" si="45"/>
        <v>3514.257</v>
      </c>
      <c r="P287" s="149">
        <f t="shared" si="46"/>
        <v>0</v>
      </c>
      <c r="Q287" s="148">
        <f>Valores!$C$14*D287</f>
        <v>6317.36</v>
      </c>
      <c r="R287" s="148">
        <f>IF(D287&lt;15,(Valores!$E$4*D287),Valores!$D$4)</f>
        <v>4313.91</v>
      </c>
      <c r="S287" s="149">
        <v>0</v>
      </c>
      <c r="T287" s="149">
        <f>IF(Valores!$C$45*D287&gt;Valores!$C$43,Valores!$C$43,Valores!$C$45*D287)</f>
        <v>1892.25</v>
      </c>
      <c r="U287" s="148">
        <f>Valores!$C$22*D287</f>
        <v>2202.8399999999997</v>
      </c>
      <c r="V287" s="149">
        <f t="shared" si="42"/>
        <v>2202.8399999999997</v>
      </c>
      <c r="W287" s="149">
        <v>0</v>
      </c>
      <c r="X287" s="149">
        <v>0</v>
      </c>
      <c r="Y287" s="149">
        <v>0</v>
      </c>
      <c r="Z287" s="149">
        <f>Y287*Valores!$C$2</f>
        <v>0</v>
      </c>
      <c r="AA287" s="149">
        <v>0</v>
      </c>
      <c r="AB287" s="154">
        <f>IF((Valores!$C$32)*D287&gt;Valores!$F$32,Valores!$F$32,(Valores!$C$32)*D287)</f>
        <v>232.11136000000002</v>
      </c>
      <c r="AC287" s="149">
        <f t="shared" si="48"/>
        <v>0</v>
      </c>
      <c r="AD287" s="149">
        <f>IF(Valores!$C$33*D287&gt;Valores!$F$33,Valores!$F$33,Valores!$C$33*D287)</f>
        <v>193.21702400000004</v>
      </c>
      <c r="AE287" s="157">
        <v>94</v>
      </c>
      <c r="AF287" s="149">
        <f>INT(((AE287*Valores!$C$2)*100)+0.5)/100</f>
        <v>793.25</v>
      </c>
      <c r="AG287" s="149">
        <f>IF(Valores!$D$58*'Escala Docente'!D287&gt;Valores!$F$58,Valores!$F$58,Valores!$D$58*'Escala Docente'!D287)</f>
        <v>785.9696</v>
      </c>
      <c r="AH287" s="149">
        <f>IF(Valores!$D$60*D287&gt;Valores!$F$60,Valores!$F$60,Valores!$D$60*D287)</f>
        <v>224.58180000000002</v>
      </c>
      <c r="AI287" s="163">
        <f t="shared" si="49"/>
        <v>39803.036783999996</v>
      </c>
      <c r="AJ287" s="148">
        <f>IF(Valores!$C$36*D287&gt;Valores!$F$36,Valores!$F$36,Valores!$C$36*D287)</f>
        <v>2023.91</v>
      </c>
      <c r="AK287" s="149">
        <f>IF(Valores!$C$83*D287&gt;Valores!$C$82,Valores!$C$82,Valores!$C$83*D287)</f>
        <v>4712.5</v>
      </c>
      <c r="AL287" s="154">
        <f>IF(Valores!$C$57*D287&gt;Valores!$F$57,Valores!$F$57,Valores!$C$57*D287)</f>
        <v>327.6</v>
      </c>
      <c r="AM287" s="162">
        <f t="shared" si="47"/>
        <v>6736.41</v>
      </c>
      <c r="AN287" s="148">
        <f>AI287*-Valores!$C$65</f>
        <v>-4577.34923016</v>
      </c>
      <c r="AO287" s="146">
        <f>AI287*-Valores!$C$66</f>
        <v>-1791.1366552799998</v>
      </c>
      <c r="AP287" s="170">
        <v>-159.43</v>
      </c>
      <c r="AQ287" s="170">
        <f t="shared" si="50"/>
        <v>-53.83</v>
      </c>
      <c r="AR287" s="162">
        <f t="shared" si="51"/>
        <v>39957.70089856</v>
      </c>
    </row>
    <row r="288" spans="1:44" s="137" customFormat="1" ht="11.25" customHeight="1">
      <c r="A288" s="147">
        <v>286</v>
      </c>
      <c r="B288" s="147"/>
      <c r="C288" s="147" t="s">
        <v>494</v>
      </c>
      <c r="D288" s="147">
        <v>30</v>
      </c>
      <c r="E288" s="147">
        <f t="shared" si="44"/>
        <v>34</v>
      </c>
      <c r="F288" s="155" t="str">
        <f>CONCATENATE("Hora Cátedra Enseñanza Media ",D288," hs")</f>
        <v>Hora Cátedra Enseñanza Media 30 hs</v>
      </c>
      <c r="G288" s="152">
        <f t="shared" si="43"/>
        <v>2370</v>
      </c>
      <c r="H288" s="149">
        <f>INT((G288*Valores!$C$2*100)+0.49)/100</f>
        <v>19999.96</v>
      </c>
      <c r="I288" s="159">
        <v>0</v>
      </c>
      <c r="J288" s="149">
        <f>INT((I288*Valores!$C$2*100)+0.5)/100</f>
        <v>0</v>
      </c>
      <c r="K288" s="151">
        <v>0</v>
      </c>
      <c r="L288" s="149">
        <f>INT((K288*Valores!$C$2*100)+0.5)/100</f>
        <v>0</v>
      </c>
      <c r="M288" s="158">
        <v>0</v>
      </c>
      <c r="N288" s="149">
        <f>INT((M288*Valores!$C$2*100)+0.5)/100</f>
        <v>0</v>
      </c>
      <c r="O288" s="149">
        <f t="shared" si="45"/>
        <v>3635.439</v>
      </c>
      <c r="P288" s="149">
        <f t="shared" si="46"/>
        <v>0</v>
      </c>
      <c r="Q288" s="148">
        <f>Valores!$C$14*D288</f>
        <v>6535.2</v>
      </c>
      <c r="R288" s="148">
        <f>IF(D288&lt;15,(Valores!$E$4*D288),Valores!$D$4)</f>
        <v>4313.91</v>
      </c>
      <c r="S288" s="149">
        <v>0</v>
      </c>
      <c r="T288" s="149">
        <f>IF(Valores!$C$45*D288&gt;Valores!$C$43,Valores!$C$43,Valores!$C$45*D288)</f>
        <v>1957.5</v>
      </c>
      <c r="U288" s="148">
        <f>Valores!$C$22*D288</f>
        <v>2278.7999999999997</v>
      </c>
      <c r="V288" s="149">
        <f t="shared" si="42"/>
        <v>2278.7999999999997</v>
      </c>
      <c r="W288" s="149">
        <v>0</v>
      </c>
      <c r="X288" s="149">
        <v>0</v>
      </c>
      <c r="Y288" s="149">
        <v>0</v>
      </c>
      <c r="Z288" s="149">
        <f>Y288*Valores!$C$2</f>
        <v>0</v>
      </c>
      <c r="AA288" s="149">
        <v>0</v>
      </c>
      <c r="AB288" s="154">
        <f>IF((Valores!$C$32)*D288&gt;Valores!$F$32,Valores!$F$32,(Valores!$C$32)*D288)</f>
        <v>240.11520000000002</v>
      </c>
      <c r="AC288" s="149">
        <f t="shared" si="48"/>
        <v>0</v>
      </c>
      <c r="AD288" s="149">
        <f>IF(Valores!$C$33*D288&gt;Valores!$F$33,Valores!$F$33,Valores!$C$33*D288)</f>
        <v>199.86</v>
      </c>
      <c r="AE288" s="157">
        <v>0</v>
      </c>
      <c r="AF288" s="149">
        <f>INT(((AE288*Valores!$C$2)*100)+0.5)/100</f>
        <v>0</v>
      </c>
      <c r="AG288" s="149">
        <f>IF(Valores!$D$58*'Escala Docente'!D288&gt;Valores!$F$58,Valores!$F$58,Valores!$D$58*'Escala Docente'!D288)</f>
        <v>813.06</v>
      </c>
      <c r="AH288" s="149">
        <f>IF(Valores!$D$60*D288&gt;Valores!$F$60,Valores!$F$60,Valores!$D$60*D288)</f>
        <v>232.3</v>
      </c>
      <c r="AI288" s="163">
        <f t="shared" si="49"/>
        <v>40206.1442</v>
      </c>
      <c r="AJ288" s="148">
        <f>IF(Valores!$C$36*D288&gt;Valores!$F$36,Valores!$F$36,Valores!$C$36*D288)</f>
        <v>2093.66</v>
      </c>
      <c r="AK288" s="149">
        <f>IF(Valores!$C$83*D288&gt;Valores!$C$82,Valores!$C$82,Valores!$C$83*D288)</f>
        <v>4875</v>
      </c>
      <c r="AL288" s="154">
        <f>IF(Valores!$C$57*D288&gt;Valores!$F$57,Valores!$F$57,Valores!$C$57*D288)</f>
        <v>327.6</v>
      </c>
      <c r="AM288" s="162">
        <f t="shared" si="47"/>
        <v>6968.66</v>
      </c>
      <c r="AN288" s="148">
        <f>AI288*-Valores!$C$65</f>
        <v>-4623.706583</v>
      </c>
      <c r="AO288" s="146">
        <f>AI288*-Valores!$C$66</f>
        <v>-1809.276489</v>
      </c>
      <c r="AP288" s="170">
        <v>-159.43</v>
      </c>
      <c r="AQ288" s="170">
        <f t="shared" si="50"/>
        <v>-53.83</v>
      </c>
      <c r="AR288" s="162">
        <f t="shared" si="51"/>
        <v>40528.561127999994</v>
      </c>
    </row>
    <row r="289" spans="1:44" s="137" customFormat="1" ht="11.25" customHeight="1">
      <c r="A289" s="147">
        <v>287</v>
      </c>
      <c r="B289" s="147"/>
      <c r="C289" s="147" t="s">
        <v>494</v>
      </c>
      <c r="D289" s="147">
        <v>30</v>
      </c>
      <c r="E289" s="147">
        <f t="shared" si="44"/>
        <v>42</v>
      </c>
      <c r="F289" s="155" t="str">
        <f>CONCATENATE("Hora Cátedra Enseñanza Media ",D289," hs Esc Esp")</f>
        <v>Hora Cátedra Enseñanza Media 30 hs Esc Esp</v>
      </c>
      <c r="G289" s="152">
        <f t="shared" si="43"/>
        <v>2370</v>
      </c>
      <c r="H289" s="149">
        <f>INT((G289*Valores!$C$2*100)+0.49)/100</f>
        <v>19999.96</v>
      </c>
      <c r="I289" s="159">
        <v>0</v>
      </c>
      <c r="J289" s="149">
        <f>INT((I289*Valores!$C$2*100)+0.5)/100</f>
        <v>0</v>
      </c>
      <c r="K289" s="151">
        <v>0</v>
      </c>
      <c r="L289" s="149">
        <f>INT((K289*Valores!$C$2*100)+0.5)/100</f>
        <v>0</v>
      </c>
      <c r="M289" s="158">
        <v>0</v>
      </c>
      <c r="N289" s="149">
        <f>INT((M289*Valores!$C$2*100)+0.5)/100</f>
        <v>0</v>
      </c>
      <c r="O289" s="149">
        <f t="shared" si="45"/>
        <v>3635.439</v>
      </c>
      <c r="P289" s="149">
        <f t="shared" si="46"/>
        <v>0</v>
      </c>
      <c r="Q289" s="148">
        <f>Valores!$C$14*D289</f>
        <v>6535.2</v>
      </c>
      <c r="R289" s="148">
        <f>IF(D289&lt;15,(Valores!$E$4*D289),Valores!$D$4)</f>
        <v>4313.91</v>
      </c>
      <c r="S289" s="149">
        <v>0</v>
      </c>
      <c r="T289" s="149">
        <f>IF(Valores!$C$45*D289&gt;Valores!$C$43,Valores!$C$43,Valores!$C$45*D289)</f>
        <v>1957.5</v>
      </c>
      <c r="U289" s="148">
        <f>Valores!$C$22*D289</f>
        <v>2278.7999999999997</v>
      </c>
      <c r="V289" s="149">
        <f t="shared" si="42"/>
        <v>2278.7999999999997</v>
      </c>
      <c r="W289" s="149">
        <v>0</v>
      </c>
      <c r="X289" s="149">
        <v>0</v>
      </c>
      <c r="Y289" s="149">
        <v>0</v>
      </c>
      <c r="Z289" s="149">
        <f>Y289*Valores!$C$2</f>
        <v>0</v>
      </c>
      <c r="AA289" s="149">
        <v>0</v>
      </c>
      <c r="AB289" s="154">
        <f>IF((Valores!$C$32)*D289&gt;Valores!$F$32,Valores!$F$32,(Valores!$C$32)*D289)</f>
        <v>240.11520000000002</v>
      </c>
      <c r="AC289" s="149">
        <f t="shared" si="48"/>
        <v>0</v>
      </c>
      <c r="AD289" s="149">
        <f>IF(Valores!$C$33*D289&gt;Valores!$F$33,Valores!$F$33,Valores!$C$33*D289)</f>
        <v>199.86</v>
      </c>
      <c r="AE289" s="157">
        <v>94</v>
      </c>
      <c r="AF289" s="149">
        <f>INT(((AE289*Valores!$C$2)*100)+0.5)/100</f>
        <v>793.25</v>
      </c>
      <c r="AG289" s="149">
        <f>IF(Valores!$D$58*'Escala Docente'!D289&gt;Valores!$F$58,Valores!$F$58,Valores!$D$58*'Escala Docente'!D289)</f>
        <v>813.06</v>
      </c>
      <c r="AH289" s="149">
        <f>IF(Valores!$D$60*D289&gt;Valores!$F$60,Valores!$F$60,Valores!$D$60*D289)</f>
        <v>232.3</v>
      </c>
      <c r="AI289" s="163">
        <f t="shared" si="49"/>
        <v>40999.3942</v>
      </c>
      <c r="AJ289" s="148">
        <f>IF(Valores!$C$36*D289&gt;Valores!$F$36,Valores!$F$36,Valores!$C$36*D289)</f>
        <v>2093.66</v>
      </c>
      <c r="AK289" s="149">
        <f>IF(Valores!$C$83*D289&gt;Valores!$C$82,Valores!$C$82,Valores!$C$83*D289)</f>
        <v>4875</v>
      </c>
      <c r="AL289" s="154">
        <f>IF(Valores!$C$57*D289&gt;Valores!$F$57,Valores!$F$57,Valores!$C$57*D289)</f>
        <v>327.6</v>
      </c>
      <c r="AM289" s="162">
        <f t="shared" si="47"/>
        <v>6968.66</v>
      </c>
      <c r="AN289" s="148">
        <f>AI289*-Valores!$C$65</f>
        <v>-4714.930333</v>
      </c>
      <c r="AO289" s="146">
        <f>AI289*-Valores!$C$66</f>
        <v>-1844.972739</v>
      </c>
      <c r="AP289" s="170">
        <v>-159.43</v>
      </c>
      <c r="AQ289" s="170">
        <f t="shared" si="50"/>
        <v>-53.83</v>
      </c>
      <c r="AR289" s="162">
        <f t="shared" si="51"/>
        <v>41194.891128</v>
      </c>
    </row>
    <row r="290" spans="1:44" s="137" customFormat="1" ht="11.25" customHeight="1">
      <c r="A290" s="147">
        <v>288</v>
      </c>
      <c r="B290" s="147"/>
      <c r="C290" s="147" t="s">
        <v>494</v>
      </c>
      <c r="D290" s="147">
        <v>31</v>
      </c>
      <c r="E290" s="147">
        <f t="shared" si="44"/>
        <v>34</v>
      </c>
      <c r="F290" s="155" t="str">
        <f>CONCATENATE("Hora Cátedra Enseñanza Media ",D290," hs")</f>
        <v>Hora Cátedra Enseñanza Media 31 hs</v>
      </c>
      <c r="G290" s="152">
        <f t="shared" si="43"/>
        <v>2449</v>
      </c>
      <c r="H290" s="149">
        <f>INT((G290*Valores!$C$2*100)+0.49)/100</f>
        <v>20666.62</v>
      </c>
      <c r="I290" s="159">
        <v>0</v>
      </c>
      <c r="J290" s="149">
        <f>INT((I290*Valores!$C$2*100)+0.5)/100</f>
        <v>0</v>
      </c>
      <c r="K290" s="151">
        <v>0</v>
      </c>
      <c r="L290" s="149">
        <f>INT((K290*Valores!$C$2*100)+0.5)/100</f>
        <v>0</v>
      </c>
      <c r="M290" s="158">
        <v>0</v>
      </c>
      <c r="N290" s="149">
        <f>INT((M290*Valores!$C$2*100)+0.5)/100</f>
        <v>0</v>
      </c>
      <c r="O290" s="149">
        <f t="shared" si="45"/>
        <v>3756.6194999999993</v>
      </c>
      <c r="P290" s="149">
        <f t="shared" si="46"/>
        <v>0</v>
      </c>
      <c r="Q290" s="148">
        <f>Valores!$C$14*D290</f>
        <v>6753.04</v>
      </c>
      <c r="R290" s="148">
        <f>IF(D290&lt;15,(Valores!$E$4*D290),Valores!$D$4)</f>
        <v>4313.91</v>
      </c>
      <c r="S290" s="149">
        <v>0</v>
      </c>
      <c r="T290" s="149">
        <f>IF(Valores!$C$45*D290&gt;Valores!$C$43,Valores!$C$43,Valores!$C$45*D290)</f>
        <v>2022.75</v>
      </c>
      <c r="U290" s="148">
        <f>Valores!$C$22*D290</f>
        <v>2354.7599999999998</v>
      </c>
      <c r="V290" s="149">
        <f t="shared" si="42"/>
        <v>2354.7599999999998</v>
      </c>
      <c r="W290" s="149">
        <v>0</v>
      </c>
      <c r="X290" s="149">
        <v>0</v>
      </c>
      <c r="Y290" s="149">
        <v>0</v>
      </c>
      <c r="Z290" s="149">
        <f>Y290*Valores!$C$2</f>
        <v>0</v>
      </c>
      <c r="AA290" s="149">
        <v>0</v>
      </c>
      <c r="AB290" s="154">
        <f>IF((Valores!$C$32)*D290&gt;Valores!$F$32,Valores!$F$32,(Valores!$C$32)*D290)</f>
        <v>248.11904</v>
      </c>
      <c r="AC290" s="149">
        <f t="shared" si="48"/>
        <v>0</v>
      </c>
      <c r="AD290" s="149">
        <f>IF(Valores!$C$33*D290&gt;Valores!$F$33,Valores!$F$33,Valores!$C$33*D290)</f>
        <v>199.86</v>
      </c>
      <c r="AE290" s="157">
        <v>0</v>
      </c>
      <c r="AF290" s="149">
        <f>INT(((AE290*Valores!$C$2)*100)+0.5)/100</f>
        <v>0</v>
      </c>
      <c r="AG290" s="149">
        <f>IF(Valores!$D$58*'Escala Docente'!D290&gt;Valores!$F$58,Valores!$F$58,Valores!$D$58*'Escala Docente'!D290)</f>
        <v>813.06</v>
      </c>
      <c r="AH290" s="149">
        <f>IF(Valores!$D$60*D290&gt;Valores!$F$60,Valores!$F$60,Valores!$D$60*D290)</f>
        <v>232.3</v>
      </c>
      <c r="AI290" s="163">
        <f t="shared" si="49"/>
        <v>41361.03854</v>
      </c>
      <c r="AJ290" s="148">
        <f>IF(Valores!$C$36*D290&gt;Valores!$F$36,Valores!$F$36,Valores!$C$36*D290)</f>
        <v>2093.66</v>
      </c>
      <c r="AK290" s="149">
        <f>IF(Valores!$C$83*D290&gt;Valores!$C$82,Valores!$C$82,Valores!$C$83*D290)</f>
        <v>5037.5</v>
      </c>
      <c r="AL290" s="154">
        <f>IF(Valores!$C$57*D290&gt;Valores!$F$57,Valores!$F$57,Valores!$C$57*D290)</f>
        <v>327.6</v>
      </c>
      <c r="AM290" s="162">
        <f t="shared" si="47"/>
        <v>7131.16</v>
      </c>
      <c r="AN290" s="148">
        <f>AI290*-Valores!$C$65</f>
        <v>-4756.519432100001</v>
      </c>
      <c r="AO290" s="146">
        <f>AI290*-Valores!$C$66</f>
        <v>-1861.2467343</v>
      </c>
      <c r="AP290" s="170">
        <v>-159.43</v>
      </c>
      <c r="AQ290" s="170">
        <f t="shared" si="50"/>
        <v>-53.83</v>
      </c>
      <c r="AR290" s="162">
        <f t="shared" si="51"/>
        <v>41661.17237359999</v>
      </c>
    </row>
    <row r="291" spans="1:44" s="137" customFormat="1" ht="11.25" customHeight="1">
      <c r="A291" s="147">
        <v>289</v>
      </c>
      <c r="B291" s="147"/>
      <c r="C291" s="147" t="s">
        <v>494</v>
      </c>
      <c r="D291" s="147">
        <v>31</v>
      </c>
      <c r="E291" s="147">
        <f t="shared" si="44"/>
        <v>42</v>
      </c>
      <c r="F291" s="155" t="str">
        <f>CONCATENATE("Hora Cátedra Enseñanza Media ",D291," hs Esc Esp")</f>
        <v>Hora Cátedra Enseñanza Media 31 hs Esc Esp</v>
      </c>
      <c r="G291" s="152">
        <f t="shared" si="43"/>
        <v>2449</v>
      </c>
      <c r="H291" s="149">
        <f>INT((G291*Valores!$C$2*100)+0.49)/100</f>
        <v>20666.62</v>
      </c>
      <c r="I291" s="159">
        <v>0</v>
      </c>
      <c r="J291" s="149">
        <f>INT((I291*Valores!$C$2*100)+0.5)/100</f>
        <v>0</v>
      </c>
      <c r="K291" s="151">
        <v>0</v>
      </c>
      <c r="L291" s="149">
        <f>INT((K291*Valores!$C$2*100)+0.5)/100</f>
        <v>0</v>
      </c>
      <c r="M291" s="158">
        <v>0</v>
      </c>
      <c r="N291" s="149">
        <f>INT((M291*Valores!$C$2*100)+0.5)/100</f>
        <v>0</v>
      </c>
      <c r="O291" s="149">
        <f t="shared" si="45"/>
        <v>3756.6194999999993</v>
      </c>
      <c r="P291" s="149">
        <f t="shared" si="46"/>
        <v>0</v>
      </c>
      <c r="Q291" s="148">
        <f>Valores!$C$14*D291</f>
        <v>6753.04</v>
      </c>
      <c r="R291" s="148">
        <f>IF(D291&lt;15,(Valores!$E$4*D291),Valores!$D$4)</f>
        <v>4313.91</v>
      </c>
      <c r="S291" s="149">
        <v>0</v>
      </c>
      <c r="T291" s="149">
        <f>IF(Valores!$C$45*D291&gt;Valores!$C$43,Valores!$C$43,Valores!$C$45*D291)</f>
        <v>2022.75</v>
      </c>
      <c r="U291" s="148">
        <f>Valores!$C$22*D291</f>
        <v>2354.7599999999998</v>
      </c>
      <c r="V291" s="149">
        <f t="shared" si="42"/>
        <v>2354.7599999999998</v>
      </c>
      <c r="W291" s="149">
        <v>0</v>
      </c>
      <c r="X291" s="149">
        <v>0</v>
      </c>
      <c r="Y291" s="149">
        <v>0</v>
      </c>
      <c r="Z291" s="149">
        <f>Y291*Valores!$C$2</f>
        <v>0</v>
      </c>
      <c r="AA291" s="149">
        <v>0</v>
      </c>
      <c r="AB291" s="154">
        <f>IF((Valores!$C$32)*D291&gt;Valores!$F$32,Valores!$F$32,(Valores!$C$32)*D291)</f>
        <v>248.11904</v>
      </c>
      <c r="AC291" s="149">
        <f t="shared" si="48"/>
        <v>0</v>
      </c>
      <c r="AD291" s="149">
        <f>IF(Valores!$C$33*D291&gt;Valores!$F$33,Valores!$F$33,Valores!$C$33*D291)</f>
        <v>199.86</v>
      </c>
      <c r="AE291" s="157">
        <v>94</v>
      </c>
      <c r="AF291" s="149">
        <f>INT(((AE291*Valores!$C$2)*100)+0.5)/100</f>
        <v>793.25</v>
      </c>
      <c r="AG291" s="149">
        <f>IF(Valores!$D$58*'Escala Docente'!D291&gt;Valores!$F$58,Valores!$F$58,Valores!$D$58*'Escala Docente'!D291)</f>
        <v>813.06</v>
      </c>
      <c r="AH291" s="149">
        <f>IF(Valores!$D$60*D291&gt;Valores!$F$60,Valores!$F$60,Valores!$D$60*D291)</f>
        <v>232.3</v>
      </c>
      <c r="AI291" s="163">
        <f t="shared" si="49"/>
        <v>42154.28854</v>
      </c>
      <c r="AJ291" s="148">
        <f>IF(Valores!$C$36*D291&gt;Valores!$F$36,Valores!$F$36,Valores!$C$36*D291)</f>
        <v>2093.66</v>
      </c>
      <c r="AK291" s="149">
        <f>IF(Valores!$C$83*D291&gt;Valores!$C$82,Valores!$C$82,Valores!$C$83*D291)</f>
        <v>5037.5</v>
      </c>
      <c r="AL291" s="154">
        <f>IF(Valores!$C$57*D291&gt;Valores!$F$57,Valores!$F$57,Valores!$C$57*D291)</f>
        <v>327.6</v>
      </c>
      <c r="AM291" s="162">
        <f t="shared" si="47"/>
        <v>7131.16</v>
      </c>
      <c r="AN291" s="148">
        <f>AI291*-Valores!$C$65</f>
        <v>-4847.7431821</v>
      </c>
      <c r="AO291" s="146">
        <f>AI291*-Valores!$C$66</f>
        <v>-1896.9429843</v>
      </c>
      <c r="AP291" s="170">
        <v>-159.43</v>
      </c>
      <c r="AQ291" s="170">
        <f t="shared" si="50"/>
        <v>-53.83</v>
      </c>
      <c r="AR291" s="162">
        <f t="shared" si="51"/>
        <v>42327.50237359999</v>
      </c>
    </row>
    <row r="292" spans="1:44" s="137" customFormat="1" ht="11.25" customHeight="1">
      <c r="A292" s="147">
        <v>290</v>
      </c>
      <c r="B292" s="147" t="s">
        <v>135</v>
      </c>
      <c r="C292" s="147" t="s">
        <v>494</v>
      </c>
      <c r="D292" s="147">
        <v>32</v>
      </c>
      <c r="E292" s="147">
        <f t="shared" si="44"/>
        <v>34</v>
      </c>
      <c r="F292" s="155" t="str">
        <f>CONCATENATE("Hora Cátedra Enseñanza Media ",D292," hs")</f>
        <v>Hora Cátedra Enseñanza Media 32 hs</v>
      </c>
      <c r="G292" s="152">
        <f t="shared" si="43"/>
        <v>2528</v>
      </c>
      <c r="H292" s="149">
        <f>INT((G292*Valores!$C$2*100)+0.49)/100</f>
        <v>21333.29</v>
      </c>
      <c r="I292" s="159">
        <v>0</v>
      </c>
      <c r="J292" s="149">
        <f>INT((I292*Valores!$C$2*100)+0.5)/100</f>
        <v>0</v>
      </c>
      <c r="K292" s="151">
        <v>0</v>
      </c>
      <c r="L292" s="149">
        <f>INT((K292*Valores!$C$2*100)+0.5)/100</f>
        <v>0</v>
      </c>
      <c r="M292" s="158">
        <v>0</v>
      </c>
      <c r="N292" s="149">
        <f>INT((M292*Valores!$C$2*100)+0.5)/100</f>
        <v>0</v>
      </c>
      <c r="O292" s="149">
        <f t="shared" si="45"/>
        <v>3877.8015</v>
      </c>
      <c r="P292" s="149">
        <f t="shared" si="46"/>
        <v>0</v>
      </c>
      <c r="Q292" s="148">
        <f>Valores!$C$14*D292</f>
        <v>6970.88</v>
      </c>
      <c r="R292" s="148">
        <f>IF(D292&lt;15,(Valores!$E$4*D292),Valores!$D$4)</f>
        <v>4313.91</v>
      </c>
      <c r="S292" s="149">
        <v>0</v>
      </c>
      <c r="T292" s="149">
        <f>IF(Valores!$C$45*D292&gt;Valores!$C$43,Valores!$C$43,Valores!$C$45*D292)</f>
        <v>2088</v>
      </c>
      <c r="U292" s="148">
        <f>Valores!$C$22*D292</f>
        <v>2430.72</v>
      </c>
      <c r="V292" s="149">
        <f t="shared" si="42"/>
        <v>2430.72</v>
      </c>
      <c r="W292" s="149">
        <v>0</v>
      </c>
      <c r="X292" s="149">
        <v>0</v>
      </c>
      <c r="Y292" s="149">
        <v>0</v>
      </c>
      <c r="Z292" s="149">
        <f>Y292*Valores!$C$2</f>
        <v>0</v>
      </c>
      <c r="AA292" s="149">
        <v>0</v>
      </c>
      <c r="AB292" s="154">
        <f>IF((Valores!$C$32)*D292&gt;Valores!$F$32,Valores!$F$32,(Valores!$C$32)*D292)</f>
        <v>256.12288</v>
      </c>
      <c r="AC292" s="149">
        <f t="shared" si="48"/>
        <v>0</v>
      </c>
      <c r="AD292" s="149">
        <f>IF(Valores!$C$33*D292&gt;Valores!$F$33,Valores!$F$33,Valores!$C$33*D292)</f>
        <v>199.86</v>
      </c>
      <c r="AE292" s="157">
        <v>0</v>
      </c>
      <c r="AF292" s="149">
        <f>INT(((AE292*Valores!$C$2)*100)+0.5)/100</f>
        <v>0</v>
      </c>
      <c r="AG292" s="149">
        <f>IF(Valores!$D$58*'Escala Docente'!D292&gt;Valores!$F$58,Valores!$F$58,Valores!$D$58*'Escala Docente'!D292)</f>
        <v>813.06</v>
      </c>
      <c r="AH292" s="149">
        <f>IF(Valores!$D$60*D292&gt;Valores!$F$60,Valores!$F$60,Valores!$D$60*D292)</f>
        <v>232.3</v>
      </c>
      <c r="AI292" s="163">
        <f t="shared" si="49"/>
        <v>42515.94438000001</v>
      </c>
      <c r="AJ292" s="148">
        <f>IF(Valores!$C$36*D292&gt;Valores!$F$36,Valores!$F$36,Valores!$C$36*D292)</f>
        <v>2093.66</v>
      </c>
      <c r="AK292" s="149">
        <f>IF(Valores!$C$83*D292&gt;Valores!$C$82,Valores!$C$82,Valores!$C$83*D292)</f>
        <v>5200</v>
      </c>
      <c r="AL292" s="154">
        <f>IF(Valores!$C$57*D292&gt;Valores!$F$57,Valores!$F$57,Valores!$C$57*D292)</f>
        <v>327.6</v>
      </c>
      <c r="AM292" s="162">
        <f t="shared" si="47"/>
        <v>7293.66</v>
      </c>
      <c r="AN292" s="148">
        <f>AI292*-Valores!$C$65</f>
        <v>-4889.333603700001</v>
      </c>
      <c r="AO292" s="146">
        <f>AI292*-Valores!$C$66</f>
        <v>-1913.2174971000004</v>
      </c>
      <c r="AP292" s="170">
        <v>-159.43</v>
      </c>
      <c r="AQ292" s="170">
        <f t="shared" si="50"/>
        <v>-53.83</v>
      </c>
      <c r="AR292" s="162">
        <f t="shared" si="51"/>
        <v>42793.79327920001</v>
      </c>
    </row>
    <row r="293" spans="1:44" s="137" customFormat="1" ht="11.25" customHeight="1">
      <c r="A293" s="147">
        <v>291</v>
      </c>
      <c r="B293" s="147"/>
      <c r="C293" s="147" t="s">
        <v>494</v>
      </c>
      <c r="D293" s="147">
        <v>32</v>
      </c>
      <c r="E293" s="147">
        <f t="shared" si="44"/>
        <v>42</v>
      </c>
      <c r="F293" s="155" t="str">
        <f>CONCATENATE("Hora Cátedra Enseñanza Media ",D293," hs Esc Esp")</f>
        <v>Hora Cátedra Enseñanza Media 32 hs Esc Esp</v>
      </c>
      <c r="G293" s="152">
        <f t="shared" si="43"/>
        <v>2528</v>
      </c>
      <c r="H293" s="149">
        <f>INT((G293*Valores!$C$2*100)+0.49)/100</f>
        <v>21333.29</v>
      </c>
      <c r="I293" s="159">
        <v>0</v>
      </c>
      <c r="J293" s="149">
        <f>INT((I293*Valores!$C$2*100)+0.5)/100</f>
        <v>0</v>
      </c>
      <c r="K293" s="151">
        <v>0</v>
      </c>
      <c r="L293" s="149">
        <f>INT((K293*Valores!$C$2*100)+0.5)/100</f>
        <v>0</v>
      </c>
      <c r="M293" s="158">
        <v>0</v>
      </c>
      <c r="N293" s="149">
        <f>INT((M293*Valores!$C$2*100)+0.5)/100</f>
        <v>0</v>
      </c>
      <c r="O293" s="149">
        <f t="shared" si="45"/>
        <v>3877.8015</v>
      </c>
      <c r="P293" s="149">
        <f t="shared" si="46"/>
        <v>0</v>
      </c>
      <c r="Q293" s="148">
        <f>Valores!$C$14*D293</f>
        <v>6970.88</v>
      </c>
      <c r="R293" s="148">
        <f>IF(D293&lt;15,(Valores!$E$4*D293),Valores!$D$4)</f>
        <v>4313.91</v>
      </c>
      <c r="S293" s="149">
        <v>0</v>
      </c>
      <c r="T293" s="149">
        <f>IF(Valores!$C$45*D293&gt;Valores!$C$43,Valores!$C$43,Valores!$C$45*D293)</f>
        <v>2088</v>
      </c>
      <c r="U293" s="148">
        <f>Valores!$C$22*D293</f>
        <v>2430.72</v>
      </c>
      <c r="V293" s="149">
        <f t="shared" si="42"/>
        <v>2430.72</v>
      </c>
      <c r="W293" s="149">
        <v>0</v>
      </c>
      <c r="X293" s="149">
        <v>0</v>
      </c>
      <c r="Y293" s="149">
        <v>0</v>
      </c>
      <c r="Z293" s="149">
        <f>Y293*Valores!$C$2</f>
        <v>0</v>
      </c>
      <c r="AA293" s="149">
        <v>0</v>
      </c>
      <c r="AB293" s="154">
        <f>IF((Valores!$C$32)*D293&gt;Valores!$F$32,Valores!$F$32,(Valores!$C$32)*D293)</f>
        <v>256.12288</v>
      </c>
      <c r="AC293" s="149">
        <f t="shared" si="48"/>
        <v>0</v>
      </c>
      <c r="AD293" s="149">
        <f>IF(Valores!$C$33*D293&gt;Valores!$F$33,Valores!$F$33,Valores!$C$33*D293)</f>
        <v>199.86</v>
      </c>
      <c r="AE293" s="157">
        <v>94</v>
      </c>
      <c r="AF293" s="149">
        <f>INT(((AE293*Valores!$C$2)*100)+0.5)/100</f>
        <v>793.25</v>
      </c>
      <c r="AG293" s="149">
        <f>IF(Valores!$D$58*'Escala Docente'!D293&gt;Valores!$F$58,Valores!$F$58,Valores!$D$58*'Escala Docente'!D293)</f>
        <v>813.06</v>
      </c>
      <c r="AH293" s="149">
        <f>IF(Valores!$D$60*D293&gt;Valores!$F$60,Valores!$F$60,Valores!$D$60*D293)</f>
        <v>232.3</v>
      </c>
      <c r="AI293" s="163">
        <f t="shared" si="49"/>
        <v>43309.19438000001</v>
      </c>
      <c r="AJ293" s="148">
        <f>IF(Valores!$C$36*D293&gt;Valores!$F$36,Valores!$F$36,Valores!$C$36*D293)</f>
        <v>2093.66</v>
      </c>
      <c r="AK293" s="149">
        <f>IF(Valores!$C$83*D293&gt;Valores!$C$82,Valores!$C$82,Valores!$C$83*D293)</f>
        <v>5200</v>
      </c>
      <c r="AL293" s="154">
        <f>IF(Valores!$C$57*D293&gt;Valores!$F$57,Valores!$F$57,Valores!$C$57*D293)</f>
        <v>327.6</v>
      </c>
      <c r="AM293" s="162">
        <f t="shared" si="47"/>
        <v>7293.66</v>
      </c>
      <c r="AN293" s="148">
        <f>AI293*-Valores!$C$65</f>
        <v>-4980.557353700001</v>
      </c>
      <c r="AO293" s="146">
        <f>AI293*-Valores!$C$66</f>
        <v>-1948.9137471000004</v>
      </c>
      <c r="AP293" s="170">
        <v>-159.43</v>
      </c>
      <c r="AQ293" s="170">
        <f t="shared" si="50"/>
        <v>-53.83</v>
      </c>
      <c r="AR293" s="162">
        <f t="shared" si="51"/>
        <v>43460.1232792</v>
      </c>
    </row>
    <row r="294" spans="1:44" s="137" customFormat="1" ht="11.25" customHeight="1">
      <c r="A294" s="147">
        <v>292</v>
      </c>
      <c r="B294" s="147"/>
      <c r="C294" s="147" t="s">
        <v>494</v>
      </c>
      <c r="D294" s="147">
        <v>33</v>
      </c>
      <c r="E294" s="147">
        <f t="shared" si="44"/>
        <v>34</v>
      </c>
      <c r="F294" s="155" t="str">
        <f>CONCATENATE("Hora Cátedra Enseñanza Media ",D294," hs")</f>
        <v>Hora Cátedra Enseñanza Media 33 hs</v>
      </c>
      <c r="G294" s="152">
        <f aca="true" t="shared" si="52" ref="G294:G301">79*D294</f>
        <v>2607</v>
      </c>
      <c r="H294" s="149">
        <f>INT((G294*Valores!$C$2*100)+0.49)/100</f>
        <v>21999.95</v>
      </c>
      <c r="I294" s="159">
        <v>0</v>
      </c>
      <c r="J294" s="149">
        <f>INT((I294*Valores!$C$2*100)+0.5)/100</f>
        <v>0</v>
      </c>
      <c r="K294" s="151">
        <v>0</v>
      </c>
      <c r="L294" s="149">
        <f>INT((K294*Valores!$C$2*100)+0.5)/100</f>
        <v>0</v>
      </c>
      <c r="M294" s="158">
        <v>0</v>
      </c>
      <c r="N294" s="149">
        <f>INT((M294*Valores!$C$2*100)+0.5)/100</f>
        <v>0</v>
      </c>
      <c r="O294" s="149">
        <f t="shared" si="45"/>
        <v>3998.982</v>
      </c>
      <c r="P294" s="149">
        <f t="shared" si="46"/>
        <v>0</v>
      </c>
      <c r="Q294" s="148">
        <f>Valores!$C$14*D294</f>
        <v>7188.72</v>
      </c>
      <c r="R294" s="148">
        <f>IF(D294&lt;15,(Valores!$E$4*D294),Valores!$D$4)</f>
        <v>4313.91</v>
      </c>
      <c r="S294" s="149">
        <v>0</v>
      </c>
      <c r="T294" s="149">
        <f>IF(Valores!$C$45*D294&gt;Valores!$C$43,Valores!$C$43,Valores!$C$45*D294)</f>
        <v>2153.25</v>
      </c>
      <c r="U294" s="148">
        <f>Valores!$C$22*D294</f>
        <v>2506.68</v>
      </c>
      <c r="V294" s="149">
        <f t="shared" si="42"/>
        <v>2506.68</v>
      </c>
      <c r="W294" s="149">
        <v>0</v>
      </c>
      <c r="X294" s="149">
        <v>0</v>
      </c>
      <c r="Y294" s="149">
        <v>0</v>
      </c>
      <c r="Z294" s="149">
        <f>Y294*Valores!$C$2</f>
        <v>0</v>
      </c>
      <c r="AA294" s="149">
        <v>0</v>
      </c>
      <c r="AB294" s="154">
        <f>IF((Valores!$C$32)*D294&gt;Valores!$F$32,Valores!$F$32,(Valores!$C$32)*D294)</f>
        <v>264.12672000000003</v>
      </c>
      <c r="AC294" s="149">
        <f t="shared" si="48"/>
        <v>0</v>
      </c>
      <c r="AD294" s="149">
        <f>IF(Valores!$C$33*D294&gt;Valores!$F$33,Valores!$F$33,Valores!$C$33*D294)</f>
        <v>199.86</v>
      </c>
      <c r="AE294" s="157">
        <v>0</v>
      </c>
      <c r="AF294" s="149">
        <f>INT(((AE294*Valores!$C$2)*100)+0.5)/100</f>
        <v>0</v>
      </c>
      <c r="AG294" s="149">
        <f>IF(Valores!$D$58*'Escala Docente'!D294&gt;Valores!$F$58,Valores!$F$58,Valores!$D$58*'Escala Docente'!D294)</f>
        <v>813.06</v>
      </c>
      <c r="AH294" s="149">
        <f>IF(Valores!$D$60*D294&gt;Valores!$F$60,Valores!$F$60,Valores!$D$60*D294)</f>
        <v>232.3</v>
      </c>
      <c r="AI294" s="163">
        <f t="shared" si="49"/>
        <v>43670.83872000001</v>
      </c>
      <c r="AJ294" s="148">
        <f>IF(Valores!$C$36*D294&gt;Valores!$F$36,Valores!$F$36,Valores!$C$36*D294)</f>
        <v>2093.66</v>
      </c>
      <c r="AK294" s="149">
        <f>IF(Valores!$C$83*D294&gt;Valores!$C$82,Valores!$C$82,Valores!$C$83*D294)</f>
        <v>5362.5</v>
      </c>
      <c r="AL294" s="154">
        <f>IF(Valores!$C$57*D294&gt;Valores!$F$57,Valores!$F$57,Valores!$C$57*D294)</f>
        <v>327.6</v>
      </c>
      <c r="AM294" s="162">
        <f t="shared" si="47"/>
        <v>7456.16</v>
      </c>
      <c r="AN294" s="148">
        <f>AI294*-Valores!$C$65</f>
        <v>-5022.146452800001</v>
      </c>
      <c r="AO294" s="146">
        <f>AI294*-Valores!$C$66</f>
        <v>-1965.1877424000002</v>
      </c>
      <c r="AP294" s="170">
        <v>-159.43</v>
      </c>
      <c r="AQ294" s="170">
        <f t="shared" si="50"/>
        <v>-53.83</v>
      </c>
      <c r="AR294" s="162">
        <f t="shared" si="51"/>
        <v>43926.404524800004</v>
      </c>
    </row>
    <row r="295" spans="1:44" s="137" customFormat="1" ht="11.25" customHeight="1">
      <c r="A295" s="147">
        <v>293</v>
      </c>
      <c r="B295" s="147"/>
      <c r="C295" s="147" t="s">
        <v>494</v>
      </c>
      <c r="D295" s="147">
        <v>33</v>
      </c>
      <c r="E295" s="147">
        <f t="shared" si="44"/>
        <v>42</v>
      </c>
      <c r="F295" s="147" t="str">
        <f>CONCATENATE("Hora Cátedra Enseñanza Media ",D295," hs Esc Esp")</f>
        <v>Hora Cátedra Enseñanza Media 33 hs Esc Esp</v>
      </c>
      <c r="G295" s="147">
        <f t="shared" si="52"/>
        <v>2607</v>
      </c>
      <c r="H295" s="148">
        <f>INT((G295*Valores!$C$2*100)+0.49)/100</f>
        <v>21999.95</v>
      </c>
      <c r="I295" s="150">
        <v>0</v>
      </c>
      <c r="J295" s="148">
        <f>INT((I295*Valores!$C$2*100)+0.5)/100</f>
        <v>0</v>
      </c>
      <c r="K295" s="151">
        <v>0</v>
      </c>
      <c r="L295" s="148">
        <f>INT((K295*Valores!$C$2*100)+0.5)/100</f>
        <v>0</v>
      </c>
      <c r="M295" s="152">
        <v>0</v>
      </c>
      <c r="N295" s="148">
        <f>INT((M295*Valores!$C$2*100)+0.5)/100</f>
        <v>0</v>
      </c>
      <c r="O295" s="148">
        <f t="shared" si="45"/>
        <v>3998.982</v>
      </c>
      <c r="P295" s="148">
        <f t="shared" si="46"/>
        <v>0</v>
      </c>
      <c r="Q295" s="148">
        <f>Valores!$C$14*D295</f>
        <v>7188.72</v>
      </c>
      <c r="R295" s="148">
        <f>IF(D295&lt;15,(Valores!$E$4*D295),Valores!$D$4)</f>
        <v>4313.91</v>
      </c>
      <c r="S295" s="148">
        <v>0</v>
      </c>
      <c r="T295" s="148">
        <f>IF(Valores!$C$45*D295&gt;Valores!$C$43,Valores!$C$43,Valores!$C$45*D295)</f>
        <v>2153.25</v>
      </c>
      <c r="U295" s="148">
        <f>Valores!$C$22*D295</f>
        <v>2506.68</v>
      </c>
      <c r="V295" s="148">
        <f t="shared" si="42"/>
        <v>2506.68</v>
      </c>
      <c r="W295" s="148">
        <v>0</v>
      </c>
      <c r="X295" s="148">
        <v>0</v>
      </c>
      <c r="Y295" s="148">
        <v>0</v>
      </c>
      <c r="Z295" s="148">
        <f>Y295*Valores!$C$2</f>
        <v>0</v>
      </c>
      <c r="AA295" s="148">
        <v>0</v>
      </c>
      <c r="AB295" s="148">
        <f>IF((Valores!$C$32)*D295&gt;Valores!$F$32,Valores!$F$32,(Valores!$C$32)*D295)</f>
        <v>264.12672000000003</v>
      </c>
      <c r="AC295" s="148">
        <f t="shared" si="48"/>
        <v>0</v>
      </c>
      <c r="AD295" s="148">
        <f>IF(Valores!$C$33*D295&gt;Valores!$F$33,Valores!$F$33,Valores!$C$33*D295)</f>
        <v>199.86</v>
      </c>
      <c r="AE295" s="153">
        <v>94</v>
      </c>
      <c r="AF295" s="148">
        <f>INT(((AE295*Valores!$C$2)*100)+0.5)/100</f>
        <v>793.25</v>
      </c>
      <c r="AG295" s="148">
        <f>IF(Valores!$D$58*'Escala Docente'!D295&gt;Valores!$F$58,Valores!$F$58,Valores!$D$58*'Escala Docente'!D295)</f>
        <v>813.06</v>
      </c>
      <c r="AH295" s="148">
        <f>IF(Valores!$D$60*D295&gt;Valores!$F$60,Valores!$F$60,Valores!$D$60*D295)</f>
        <v>232.3</v>
      </c>
      <c r="AI295" s="163">
        <f t="shared" si="49"/>
        <v>44464.08872000001</v>
      </c>
      <c r="AJ295" s="148">
        <f>IF(Valores!$C$36*D295&gt;Valores!$F$36,Valores!$F$36,Valores!$C$36*D295)</f>
        <v>2093.66</v>
      </c>
      <c r="AK295" s="149">
        <f>IF(Valores!$C$83*D295&gt;Valores!$C$82,Valores!$C$82,Valores!$C$83*D295)</f>
        <v>5362.5</v>
      </c>
      <c r="AL295" s="154">
        <f>IF(Valores!$C$57*D295&gt;Valores!$F$57,Valores!$F$57,Valores!$C$57*D295)</f>
        <v>327.6</v>
      </c>
      <c r="AM295" s="162">
        <f t="shared" si="47"/>
        <v>7456.16</v>
      </c>
      <c r="AN295" s="148">
        <f>AI295*-Valores!$C$65</f>
        <v>-5113.370202800001</v>
      </c>
      <c r="AO295" s="148">
        <f>AI295*-Valores!$C$66</f>
        <v>-2000.8839924000004</v>
      </c>
      <c r="AP295" s="170">
        <v>-159.43</v>
      </c>
      <c r="AQ295" s="170">
        <f t="shared" si="50"/>
        <v>-53.83</v>
      </c>
      <c r="AR295" s="162">
        <f t="shared" si="51"/>
        <v>44592.734524800006</v>
      </c>
    </row>
    <row r="296" spans="1:44" s="137" customFormat="1" ht="11.25" customHeight="1">
      <c r="A296" s="147">
        <v>294</v>
      </c>
      <c r="B296" s="147"/>
      <c r="C296" s="147" t="s">
        <v>494</v>
      </c>
      <c r="D296" s="147">
        <v>34</v>
      </c>
      <c r="E296" s="147">
        <f t="shared" si="44"/>
        <v>34</v>
      </c>
      <c r="F296" s="155" t="str">
        <f>CONCATENATE("Hora Cátedra Enseñanza Media ",D296," hs")</f>
        <v>Hora Cátedra Enseñanza Media 34 hs</v>
      </c>
      <c r="G296" s="152">
        <f t="shared" si="52"/>
        <v>2686</v>
      </c>
      <c r="H296" s="149">
        <f>INT((G296*Valores!$C$2*100)+0.49)/100</f>
        <v>22666.62</v>
      </c>
      <c r="I296" s="159">
        <v>0</v>
      </c>
      <c r="J296" s="149">
        <f>INT((I296*Valores!$C$2*100)+0.5)/100</f>
        <v>0</v>
      </c>
      <c r="K296" s="151">
        <v>0</v>
      </c>
      <c r="L296" s="149">
        <f>INT((K296*Valores!$C$2*100)+0.5)/100</f>
        <v>0</v>
      </c>
      <c r="M296" s="158">
        <v>0</v>
      </c>
      <c r="N296" s="149">
        <f>INT((M296*Valores!$C$2*100)+0.5)/100</f>
        <v>0</v>
      </c>
      <c r="O296" s="149">
        <f t="shared" si="45"/>
        <v>4120.164</v>
      </c>
      <c r="P296" s="149">
        <f t="shared" si="46"/>
        <v>0</v>
      </c>
      <c r="Q296" s="148">
        <f>Valores!$C$14*D296</f>
        <v>7406.56</v>
      </c>
      <c r="R296" s="148">
        <f>IF(D296&lt;15,(Valores!$E$4*D296),Valores!$D$4)</f>
        <v>4313.91</v>
      </c>
      <c r="S296" s="149">
        <v>0</v>
      </c>
      <c r="T296" s="149">
        <f>IF(Valores!$C$45*D296&gt;Valores!$C$43,Valores!$C$43,Valores!$C$45*D296)</f>
        <v>2218.5</v>
      </c>
      <c r="U296" s="148">
        <f>Valores!$C$22*D296</f>
        <v>2582.64</v>
      </c>
      <c r="V296" s="149">
        <f t="shared" si="42"/>
        <v>2582.64</v>
      </c>
      <c r="W296" s="149">
        <v>0</v>
      </c>
      <c r="X296" s="149">
        <v>0</v>
      </c>
      <c r="Y296" s="149">
        <v>0</v>
      </c>
      <c r="Z296" s="149">
        <f>Y296*Valores!$C$2</f>
        <v>0</v>
      </c>
      <c r="AA296" s="149">
        <v>0</v>
      </c>
      <c r="AB296" s="154">
        <f>IF((Valores!$C$32)*D296&gt;Valores!$F$32,Valores!$F$32,(Valores!$C$32)*D296)</f>
        <v>272.13056</v>
      </c>
      <c r="AC296" s="149">
        <f t="shared" si="48"/>
        <v>0</v>
      </c>
      <c r="AD296" s="149">
        <f>IF(Valores!$C$33*D296&gt;Valores!$F$33,Valores!$F$33,Valores!$C$33*D296)</f>
        <v>199.86</v>
      </c>
      <c r="AE296" s="157">
        <v>0</v>
      </c>
      <c r="AF296" s="149">
        <f>INT(((AE296*Valores!$C$2)*100)+0.5)/100</f>
        <v>0</v>
      </c>
      <c r="AG296" s="149">
        <f>IF(Valores!$D$58*'Escala Docente'!D296&gt;Valores!$F$58,Valores!$F$58,Valores!$D$58*'Escala Docente'!D296)</f>
        <v>813.06</v>
      </c>
      <c r="AH296" s="149">
        <f>IF(Valores!$D$60*D296&gt;Valores!$F$60,Valores!$F$60,Valores!$D$60*D296)</f>
        <v>232.3</v>
      </c>
      <c r="AI296" s="163">
        <f t="shared" si="49"/>
        <v>44825.74456</v>
      </c>
      <c r="AJ296" s="148">
        <f>IF(Valores!$C$36*D296&gt;Valores!$F$36,Valores!$F$36,Valores!$C$36*D296)</f>
        <v>2093.66</v>
      </c>
      <c r="AK296" s="149">
        <f>IF(Valores!$C$83*D296&gt;Valores!$C$82,Valores!$C$82,Valores!$C$83*D296)</f>
        <v>5525</v>
      </c>
      <c r="AL296" s="154">
        <f>IF(Valores!$C$57*D296&gt;Valores!$F$57,Valores!$F$57,Valores!$C$57*D296)</f>
        <v>327.6</v>
      </c>
      <c r="AM296" s="162">
        <f t="shared" si="47"/>
        <v>7618.66</v>
      </c>
      <c r="AN296" s="148">
        <f>AI296*-Valores!$C$65</f>
        <v>-5154.9606244</v>
      </c>
      <c r="AO296" s="146">
        <f>AI296*-Valores!$C$66</f>
        <v>-2017.1585051999998</v>
      </c>
      <c r="AP296" s="170">
        <v>-159.43</v>
      </c>
      <c r="AQ296" s="170">
        <f t="shared" si="50"/>
        <v>-53.83</v>
      </c>
      <c r="AR296" s="162">
        <f t="shared" si="51"/>
        <v>45059.02543039999</v>
      </c>
    </row>
    <row r="297" spans="1:44" s="137" customFormat="1" ht="11.25" customHeight="1">
      <c r="A297" s="147">
        <v>295</v>
      </c>
      <c r="B297" s="147" t="s">
        <v>135</v>
      </c>
      <c r="C297" s="147" t="s">
        <v>494</v>
      </c>
      <c r="D297" s="147">
        <v>34</v>
      </c>
      <c r="E297" s="147">
        <f t="shared" si="44"/>
        <v>42</v>
      </c>
      <c r="F297" s="155" t="str">
        <f>CONCATENATE("Hora Cátedra Enseñanza Media ",D297," hs Esc Esp")</f>
        <v>Hora Cátedra Enseñanza Media 34 hs Esc Esp</v>
      </c>
      <c r="G297" s="152">
        <f t="shared" si="52"/>
        <v>2686</v>
      </c>
      <c r="H297" s="149">
        <f>INT((G297*Valores!$C$2*100)+0.49)/100</f>
        <v>22666.62</v>
      </c>
      <c r="I297" s="159">
        <v>0</v>
      </c>
      <c r="J297" s="149">
        <f>INT((I297*Valores!$C$2*100)+0.5)/100</f>
        <v>0</v>
      </c>
      <c r="K297" s="151">
        <v>0</v>
      </c>
      <c r="L297" s="149">
        <f>INT((K297*Valores!$C$2*100)+0.5)/100</f>
        <v>0</v>
      </c>
      <c r="M297" s="158">
        <v>0</v>
      </c>
      <c r="N297" s="149">
        <f>INT((M297*Valores!$C$2*100)+0.5)/100</f>
        <v>0</v>
      </c>
      <c r="O297" s="149">
        <f t="shared" si="45"/>
        <v>4120.164</v>
      </c>
      <c r="P297" s="149">
        <f t="shared" si="46"/>
        <v>0</v>
      </c>
      <c r="Q297" s="148">
        <f>Valores!$C$14*D297</f>
        <v>7406.56</v>
      </c>
      <c r="R297" s="148">
        <f>IF(D297&lt;15,(Valores!$E$4*D297),Valores!$D$4)</f>
        <v>4313.91</v>
      </c>
      <c r="S297" s="149">
        <v>0</v>
      </c>
      <c r="T297" s="149">
        <f>IF(Valores!$C$45*D297&gt;Valores!$C$43,Valores!$C$43,Valores!$C$45*D297)</f>
        <v>2218.5</v>
      </c>
      <c r="U297" s="148">
        <f>Valores!$C$22*D297</f>
        <v>2582.64</v>
      </c>
      <c r="V297" s="149">
        <f t="shared" si="42"/>
        <v>2582.64</v>
      </c>
      <c r="W297" s="149">
        <v>0</v>
      </c>
      <c r="X297" s="149">
        <v>0</v>
      </c>
      <c r="Y297" s="149">
        <v>0</v>
      </c>
      <c r="Z297" s="149">
        <f>Y297*Valores!$C$2</f>
        <v>0</v>
      </c>
      <c r="AA297" s="149">
        <v>0</v>
      </c>
      <c r="AB297" s="154">
        <f>IF((Valores!$C$32)*D297&gt;Valores!$F$32,Valores!$F$32,(Valores!$C$32)*D297)</f>
        <v>272.13056</v>
      </c>
      <c r="AC297" s="149">
        <f t="shared" si="48"/>
        <v>0</v>
      </c>
      <c r="AD297" s="149">
        <f>IF(Valores!$C$33*D297&gt;Valores!$F$33,Valores!$F$33,Valores!$C$33*D297)</f>
        <v>199.86</v>
      </c>
      <c r="AE297" s="157">
        <v>94</v>
      </c>
      <c r="AF297" s="149">
        <f>INT(((AE297*Valores!$C$2)*100)+0.5)/100</f>
        <v>793.25</v>
      </c>
      <c r="AG297" s="149">
        <f>IF(Valores!$D$58*'Escala Docente'!D297&gt;Valores!$F$58,Valores!$F$58,Valores!$D$58*'Escala Docente'!D297)</f>
        <v>813.06</v>
      </c>
      <c r="AH297" s="149">
        <f>IF(Valores!$D$60*D297&gt;Valores!$F$60,Valores!$F$60,Valores!$D$60*D297)</f>
        <v>232.3</v>
      </c>
      <c r="AI297" s="163">
        <f t="shared" si="49"/>
        <v>45618.99456</v>
      </c>
      <c r="AJ297" s="148">
        <f>IF(Valores!$C$36*D297&gt;Valores!$F$36,Valores!$F$36,Valores!$C$36*D297)</f>
        <v>2093.66</v>
      </c>
      <c r="AK297" s="149">
        <f>IF(Valores!$C$83*D297&gt;Valores!$C$82,Valores!$C$82,Valores!$C$83*D297)</f>
        <v>5525</v>
      </c>
      <c r="AL297" s="154">
        <f>IF(Valores!$C$57*D297&gt;Valores!$F$57,Valores!$F$57,Valores!$C$57*D297)</f>
        <v>327.6</v>
      </c>
      <c r="AM297" s="162">
        <f t="shared" si="47"/>
        <v>7618.66</v>
      </c>
      <c r="AN297" s="148">
        <f>AI297*-Valores!$C$65</f>
        <v>-5246.1843744</v>
      </c>
      <c r="AO297" s="146">
        <f>AI297*-Valores!$C$66</f>
        <v>-2052.8547552</v>
      </c>
      <c r="AP297" s="170">
        <v>-159.43</v>
      </c>
      <c r="AQ297" s="170">
        <f t="shared" si="50"/>
        <v>-53.83</v>
      </c>
      <c r="AR297" s="162">
        <f t="shared" si="51"/>
        <v>45725.35543039999</v>
      </c>
    </row>
    <row r="298" spans="1:44" s="137" customFormat="1" ht="11.25" customHeight="1">
      <c r="A298" s="147">
        <v>296</v>
      </c>
      <c r="B298" s="147"/>
      <c r="C298" s="147" t="s">
        <v>494</v>
      </c>
      <c r="D298" s="147">
        <v>35</v>
      </c>
      <c r="E298" s="147">
        <f t="shared" si="44"/>
        <v>34</v>
      </c>
      <c r="F298" s="155" t="str">
        <f>CONCATENATE("Hora Cátedra Enseñanza Media ",D298," hs")</f>
        <v>Hora Cátedra Enseñanza Media 35 hs</v>
      </c>
      <c r="G298" s="152">
        <f t="shared" si="52"/>
        <v>2765</v>
      </c>
      <c r="H298" s="149">
        <f>INT((G298*Valores!$C$2*100)+0.49)/100</f>
        <v>23333.28</v>
      </c>
      <c r="I298" s="159">
        <v>0</v>
      </c>
      <c r="J298" s="149">
        <f>INT((I298*Valores!$C$2*100)+0.5)/100</f>
        <v>0</v>
      </c>
      <c r="K298" s="151">
        <v>0</v>
      </c>
      <c r="L298" s="149">
        <f>INT((K298*Valores!$C$2*100)+0.5)/100</f>
        <v>0</v>
      </c>
      <c r="M298" s="158">
        <v>0</v>
      </c>
      <c r="N298" s="149">
        <f>INT((M298*Valores!$C$2*100)+0.5)/100</f>
        <v>0</v>
      </c>
      <c r="O298" s="149">
        <f t="shared" si="45"/>
        <v>4241.344499999999</v>
      </c>
      <c r="P298" s="149">
        <f t="shared" si="46"/>
        <v>0</v>
      </c>
      <c r="Q298" s="148">
        <f>Valores!$C$14*D298</f>
        <v>7624.400000000001</v>
      </c>
      <c r="R298" s="148">
        <f>IF(D298&lt;15,(Valores!$E$4*D298),Valores!$D$4)</f>
        <v>4313.91</v>
      </c>
      <c r="S298" s="149">
        <v>0</v>
      </c>
      <c r="T298" s="149">
        <f>IF(Valores!$C$45*D298&gt;Valores!$C$43,Valores!$C$43,Valores!$C$45*D298)</f>
        <v>2283.75</v>
      </c>
      <c r="U298" s="148">
        <f>Valores!$C$22*D298</f>
        <v>2658.6</v>
      </c>
      <c r="V298" s="149">
        <f t="shared" si="42"/>
        <v>2658.6</v>
      </c>
      <c r="W298" s="149">
        <v>0</v>
      </c>
      <c r="X298" s="149">
        <v>0</v>
      </c>
      <c r="Y298" s="149">
        <v>0</v>
      </c>
      <c r="Z298" s="149">
        <f>Y298*Valores!$C$2</f>
        <v>0</v>
      </c>
      <c r="AA298" s="149">
        <v>0</v>
      </c>
      <c r="AB298" s="154">
        <f>IF((Valores!$C$32)*D298&gt;Valores!$F$32,Valores!$F$32,(Valores!$C$32)*D298)</f>
        <v>280.1344</v>
      </c>
      <c r="AC298" s="149">
        <f t="shared" si="48"/>
        <v>0</v>
      </c>
      <c r="AD298" s="149">
        <f>IF(Valores!$C$33*D298&gt;Valores!$F$33,Valores!$F$33,Valores!$C$33*D298)</f>
        <v>199.86</v>
      </c>
      <c r="AE298" s="157">
        <v>0</v>
      </c>
      <c r="AF298" s="149">
        <f>INT(((AE298*Valores!$C$2)*100)+0.5)/100</f>
        <v>0</v>
      </c>
      <c r="AG298" s="149">
        <f>IF(Valores!$D$58*'Escala Docente'!D298&gt;Valores!$F$58,Valores!$F$58,Valores!$D$58*'Escala Docente'!D298)</f>
        <v>813.06</v>
      </c>
      <c r="AH298" s="149">
        <f>IF(Valores!$D$60*D298&gt;Valores!$F$60,Valores!$F$60,Valores!$D$60*D298)</f>
        <v>232.3</v>
      </c>
      <c r="AI298" s="163">
        <f t="shared" si="49"/>
        <v>45980.638900000005</v>
      </c>
      <c r="AJ298" s="148">
        <f>IF(Valores!$C$36*D298&gt;Valores!$F$36,Valores!$F$36,Valores!$C$36*D298)</f>
        <v>2093.66</v>
      </c>
      <c r="AK298" s="149">
        <f>IF(Valores!$C$83*D298&gt;Valores!$C$82,Valores!$C$82,Valores!$C$83*D298)</f>
        <v>5687.5</v>
      </c>
      <c r="AL298" s="154">
        <f>IF(Valores!$C$57*D298&gt;Valores!$F$57,Valores!$F$57,Valores!$C$57*D298)</f>
        <v>327.6</v>
      </c>
      <c r="AM298" s="162">
        <f t="shared" si="47"/>
        <v>7781.16</v>
      </c>
      <c r="AN298" s="148">
        <f>AI298*-Valores!$C$65</f>
        <v>-5287.773473500001</v>
      </c>
      <c r="AO298" s="146">
        <f>AI298*-Valores!$C$66</f>
        <v>-2069.1287505</v>
      </c>
      <c r="AP298" s="170">
        <v>-159.43</v>
      </c>
      <c r="AQ298" s="170">
        <f t="shared" si="50"/>
        <v>-53.83</v>
      </c>
      <c r="AR298" s="162">
        <f t="shared" si="51"/>
        <v>46191.63667600001</v>
      </c>
    </row>
    <row r="299" spans="1:44" s="137" customFormat="1" ht="11.25" customHeight="1">
      <c r="A299" s="147">
        <v>297</v>
      </c>
      <c r="B299" s="147"/>
      <c r="C299" s="147" t="s">
        <v>494</v>
      </c>
      <c r="D299" s="147">
        <v>35</v>
      </c>
      <c r="E299" s="147">
        <f t="shared" si="44"/>
        <v>42</v>
      </c>
      <c r="F299" s="155" t="str">
        <f>CONCATENATE("Hora Cátedra Enseñanza Media ",D299," hs Esc Esp")</f>
        <v>Hora Cátedra Enseñanza Media 35 hs Esc Esp</v>
      </c>
      <c r="G299" s="152">
        <f t="shared" si="52"/>
        <v>2765</v>
      </c>
      <c r="H299" s="149">
        <f>INT((G299*Valores!$C$2*100)+0.49)/100</f>
        <v>23333.28</v>
      </c>
      <c r="I299" s="159">
        <v>0</v>
      </c>
      <c r="J299" s="149">
        <f>INT((I299*Valores!$C$2*100)+0.5)/100</f>
        <v>0</v>
      </c>
      <c r="K299" s="151">
        <v>0</v>
      </c>
      <c r="L299" s="149">
        <f>INT((K299*Valores!$C$2*100)+0.5)/100</f>
        <v>0</v>
      </c>
      <c r="M299" s="158">
        <v>0</v>
      </c>
      <c r="N299" s="149">
        <f>INT((M299*Valores!$C$2*100)+0.5)/100</f>
        <v>0</v>
      </c>
      <c r="O299" s="149">
        <f t="shared" si="45"/>
        <v>4241.344499999999</v>
      </c>
      <c r="P299" s="149">
        <f t="shared" si="46"/>
        <v>0</v>
      </c>
      <c r="Q299" s="148">
        <f>Valores!$C$14*D299</f>
        <v>7624.400000000001</v>
      </c>
      <c r="R299" s="148">
        <f>IF(D299&lt;15,(Valores!$E$4*D299),Valores!$D$4)</f>
        <v>4313.91</v>
      </c>
      <c r="S299" s="149">
        <v>0</v>
      </c>
      <c r="T299" s="149">
        <f>IF(Valores!$C$45*D299&gt;Valores!$C$43,Valores!$C$43,Valores!$C$45*D299)</f>
        <v>2283.75</v>
      </c>
      <c r="U299" s="148">
        <f>Valores!$C$22*D299</f>
        <v>2658.6</v>
      </c>
      <c r="V299" s="149">
        <f t="shared" si="42"/>
        <v>2658.6</v>
      </c>
      <c r="W299" s="149">
        <v>0</v>
      </c>
      <c r="X299" s="149">
        <v>0</v>
      </c>
      <c r="Y299" s="149">
        <v>0</v>
      </c>
      <c r="Z299" s="149">
        <f>Y299*Valores!$C$2</f>
        <v>0</v>
      </c>
      <c r="AA299" s="149">
        <v>0</v>
      </c>
      <c r="AB299" s="154">
        <f>IF((Valores!$C$32)*D299&gt;Valores!$F$32,Valores!$F$32,(Valores!$C$32)*D299)</f>
        <v>280.1344</v>
      </c>
      <c r="AC299" s="149">
        <f t="shared" si="48"/>
        <v>0</v>
      </c>
      <c r="AD299" s="149">
        <f>IF(Valores!$C$33*D299&gt;Valores!$F$33,Valores!$F$33,Valores!$C$33*D299)</f>
        <v>199.86</v>
      </c>
      <c r="AE299" s="157">
        <v>94</v>
      </c>
      <c r="AF299" s="149">
        <f>INT(((AE299*Valores!$C$2)*100)+0.5)/100</f>
        <v>793.25</v>
      </c>
      <c r="AG299" s="149">
        <f>IF(Valores!$D$58*'Escala Docente'!D299&gt;Valores!$F$58,Valores!$F$58,Valores!$D$58*'Escala Docente'!D299)</f>
        <v>813.06</v>
      </c>
      <c r="AH299" s="149">
        <f>IF(Valores!$D$60*D299&gt;Valores!$F$60,Valores!$F$60,Valores!$D$60*D299)</f>
        <v>232.3</v>
      </c>
      <c r="AI299" s="163">
        <f t="shared" si="49"/>
        <v>46773.888900000005</v>
      </c>
      <c r="AJ299" s="148">
        <f>IF(Valores!$C$36*D299&gt;Valores!$F$36,Valores!$F$36,Valores!$C$36*D299)</f>
        <v>2093.66</v>
      </c>
      <c r="AK299" s="149">
        <f>IF(Valores!$C$83*D299&gt;Valores!$C$82,Valores!$C$82,Valores!$C$83*D299)</f>
        <v>5687.5</v>
      </c>
      <c r="AL299" s="154">
        <f>IF(Valores!$C$57*D299&gt;Valores!$F$57,Valores!$F$57,Valores!$C$57*D299)</f>
        <v>327.6</v>
      </c>
      <c r="AM299" s="162">
        <f t="shared" si="47"/>
        <v>7781.16</v>
      </c>
      <c r="AN299" s="148">
        <f>AI299*-Valores!$C$65</f>
        <v>-5378.9972235000005</v>
      </c>
      <c r="AO299" s="146">
        <f>AI299*-Valores!$C$66</f>
        <v>-2104.8250005</v>
      </c>
      <c r="AP299" s="170">
        <v>-159.43</v>
      </c>
      <c r="AQ299" s="170">
        <f t="shared" si="50"/>
        <v>-53.83</v>
      </c>
      <c r="AR299" s="162">
        <f t="shared" si="51"/>
        <v>46857.966676000004</v>
      </c>
    </row>
    <row r="300" spans="1:44" s="137" customFormat="1" ht="11.25" customHeight="1">
      <c r="A300" s="147">
        <v>298</v>
      </c>
      <c r="B300" s="147"/>
      <c r="C300" s="147" t="s">
        <v>494</v>
      </c>
      <c r="D300" s="147">
        <v>36</v>
      </c>
      <c r="E300" s="147">
        <f t="shared" si="44"/>
        <v>34</v>
      </c>
      <c r="F300" s="155" t="str">
        <f>CONCATENATE("Hora Cátedra Enseñanza Media ",D300," hs")</f>
        <v>Hora Cátedra Enseñanza Media 36 hs</v>
      </c>
      <c r="G300" s="152">
        <f t="shared" si="52"/>
        <v>2844</v>
      </c>
      <c r="H300" s="149">
        <f>INT((G300*Valores!$C$2*100)+0.49)/100</f>
        <v>23999.95</v>
      </c>
      <c r="I300" s="159">
        <v>0</v>
      </c>
      <c r="J300" s="149">
        <f>INT((I300*Valores!$C$2*100)+0.5)/100</f>
        <v>0</v>
      </c>
      <c r="K300" s="151">
        <v>0</v>
      </c>
      <c r="L300" s="149">
        <f>INT((K300*Valores!$C$2*100)+0.5)/100</f>
        <v>0</v>
      </c>
      <c r="M300" s="158">
        <v>0</v>
      </c>
      <c r="N300" s="149">
        <f>INT((M300*Valores!$C$2*100)+0.5)/100</f>
        <v>0</v>
      </c>
      <c r="O300" s="149">
        <f t="shared" si="45"/>
        <v>4358.88</v>
      </c>
      <c r="P300" s="149">
        <f t="shared" si="46"/>
        <v>0</v>
      </c>
      <c r="Q300" s="148">
        <f>Valores!$C$14*D300</f>
        <v>7842.24</v>
      </c>
      <c r="R300" s="148">
        <f>IF(D300&lt;15,(Valores!$E$4*D300),Valores!$D$4)</f>
        <v>4313.91</v>
      </c>
      <c r="S300" s="149">
        <v>0</v>
      </c>
      <c r="T300" s="149">
        <f>IF(Valores!$C$45*D300&gt;Valores!$C$43,Valores!$C$43,Valores!$C$45*D300)</f>
        <v>2324.69</v>
      </c>
      <c r="U300" s="148">
        <f>Valores!$C$22*D300</f>
        <v>2734.56</v>
      </c>
      <c r="V300" s="149">
        <f t="shared" si="42"/>
        <v>2734.56</v>
      </c>
      <c r="W300" s="149">
        <v>0</v>
      </c>
      <c r="X300" s="149">
        <v>0</v>
      </c>
      <c r="Y300" s="149">
        <v>0</v>
      </c>
      <c r="Z300" s="149">
        <f>Y300*Valores!$C$2</f>
        <v>0</v>
      </c>
      <c r="AA300" s="149">
        <v>0</v>
      </c>
      <c r="AB300" s="154">
        <f>IF((Valores!$C$32)*D300&gt;Valores!$F$32,Valores!$F$32,(Valores!$C$32)*D300)</f>
        <v>288.13824</v>
      </c>
      <c r="AC300" s="149">
        <f t="shared" si="48"/>
        <v>0</v>
      </c>
      <c r="AD300" s="149">
        <f>IF(Valores!$C$33*D300&gt;Valores!$F$33,Valores!$F$33,Valores!$C$33*D300)</f>
        <v>199.86</v>
      </c>
      <c r="AE300" s="157">
        <v>0</v>
      </c>
      <c r="AF300" s="149">
        <f>INT(((AE300*Valores!$C$2)*100)+0.5)/100</f>
        <v>0</v>
      </c>
      <c r="AG300" s="149">
        <f>IF(Valores!$D$58*'Escala Docente'!D300&gt;Valores!$F$58,Valores!$F$58,Valores!$D$58*'Escala Docente'!D300)</f>
        <v>813.06</v>
      </c>
      <c r="AH300" s="149">
        <f>IF(Valores!$D$60*D300&gt;Valores!$F$60,Valores!$F$60,Valores!$D$60*D300)</f>
        <v>232.3</v>
      </c>
      <c r="AI300" s="163">
        <f t="shared" si="49"/>
        <v>47107.58824</v>
      </c>
      <c r="AJ300" s="148">
        <f>IF(Valores!$C$36*D300&gt;Valores!$F$36,Valores!$F$36,Valores!$C$36*D300)</f>
        <v>2093.66</v>
      </c>
      <c r="AK300" s="149">
        <f>IF(Valores!$C$83*D300&gt;Valores!$C$82,Valores!$C$82,Valores!$C$83*D300)</f>
        <v>5850</v>
      </c>
      <c r="AL300" s="154">
        <f>IF(Valores!$C$57*D300&gt;Valores!$F$57,Valores!$F$57,Valores!$C$57*D300)</f>
        <v>327.6</v>
      </c>
      <c r="AM300" s="162">
        <f t="shared" si="47"/>
        <v>7943.66</v>
      </c>
      <c r="AN300" s="148">
        <f>AI300*-Valores!$C$65</f>
        <v>-5417.3726476</v>
      </c>
      <c r="AO300" s="146">
        <f>AI300*-Valores!$C$66</f>
        <v>-2119.8414708</v>
      </c>
      <c r="AP300" s="170">
        <v>-159.43</v>
      </c>
      <c r="AQ300" s="170">
        <f t="shared" si="50"/>
        <v>-53.83</v>
      </c>
      <c r="AR300" s="162">
        <f t="shared" si="51"/>
        <v>47300.7741216</v>
      </c>
    </row>
    <row r="301" spans="1:44" s="137" customFormat="1" ht="11.25" customHeight="1">
      <c r="A301" s="147">
        <v>299</v>
      </c>
      <c r="B301" s="147"/>
      <c r="C301" s="147" t="s">
        <v>494</v>
      </c>
      <c r="D301" s="147">
        <v>36</v>
      </c>
      <c r="E301" s="147">
        <f t="shared" si="44"/>
        <v>42</v>
      </c>
      <c r="F301" s="155" t="str">
        <f>CONCATENATE("Hora Cátedra Enseñanza Media ",D301," hs Esc Esp")</f>
        <v>Hora Cátedra Enseñanza Media 36 hs Esc Esp</v>
      </c>
      <c r="G301" s="152">
        <f t="shared" si="52"/>
        <v>2844</v>
      </c>
      <c r="H301" s="149">
        <f>INT((G301*Valores!$C$2*100)+0.49)/100</f>
        <v>23999.95</v>
      </c>
      <c r="I301" s="159">
        <v>0</v>
      </c>
      <c r="J301" s="149">
        <f>INT((I301*Valores!$C$2*100)+0.5)/100</f>
        <v>0</v>
      </c>
      <c r="K301" s="151">
        <v>0</v>
      </c>
      <c r="L301" s="149">
        <f>INT((K301*Valores!$C$2*100)+0.5)/100</f>
        <v>0</v>
      </c>
      <c r="M301" s="158">
        <v>0</v>
      </c>
      <c r="N301" s="149">
        <f>INT((M301*Valores!$C$2*100)+0.5)/100</f>
        <v>0</v>
      </c>
      <c r="O301" s="149">
        <f t="shared" si="45"/>
        <v>4358.88</v>
      </c>
      <c r="P301" s="149">
        <f t="shared" si="46"/>
        <v>0</v>
      </c>
      <c r="Q301" s="148">
        <f>Valores!$C$14*D301</f>
        <v>7842.24</v>
      </c>
      <c r="R301" s="148">
        <f>IF(D301&lt;15,(Valores!$E$4*D301),Valores!$D$4)</f>
        <v>4313.91</v>
      </c>
      <c r="S301" s="149">
        <v>0</v>
      </c>
      <c r="T301" s="149">
        <f>IF(Valores!$C$45*D301&gt;Valores!$C$43,Valores!$C$43,Valores!$C$45*D301)</f>
        <v>2324.69</v>
      </c>
      <c r="U301" s="148">
        <f>Valores!$C$22*D301</f>
        <v>2734.56</v>
      </c>
      <c r="V301" s="149">
        <f t="shared" si="42"/>
        <v>2734.56</v>
      </c>
      <c r="W301" s="149">
        <v>0</v>
      </c>
      <c r="X301" s="149">
        <v>0</v>
      </c>
      <c r="Y301" s="149">
        <v>0</v>
      </c>
      <c r="Z301" s="149">
        <f>Y301*Valores!$C$2</f>
        <v>0</v>
      </c>
      <c r="AA301" s="149">
        <v>0</v>
      </c>
      <c r="AB301" s="154">
        <f>IF((Valores!$C$32)*D301&gt;Valores!$F$32,Valores!$F$32,(Valores!$C$32)*D301)</f>
        <v>288.13824</v>
      </c>
      <c r="AC301" s="149">
        <f t="shared" si="48"/>
        <v>0</v>
      </c>
      <c r="AD301" s="149">
        <f>IF(Valores!$C$33*D301&gt;Valores!$F$33,Valores!$F$33,Valores!$C$33*D301)</f>
        <v>199.86</v>
      </c>
      <c r="AE301" s="157">
        <v>94</v>
      </c>
      <c r="AF301" s="149">
        <f>INT(((AE301*Valores!$C$2)*100)+0.5)/100</f>
        <v>793.25</v>
      </c>
      <c r="AG301" s="149">
        <f>IF(Valores!$D$58*'Escala Docente'!D301&gt;Valores!$F$58,Valores!$F$58,Valores!$D$58*'Escala Docente'!D301)</f>
        <v>813.06</v>
      </c>
      <c r="AH301" s="149">
        <f>IF(Valores!$D$60*D301&gt;Valores!$F$60,Valores!$F$60,Valores!$D$60*D301)</f>
        <v>232.3</v>
      </c>
      <c r="AI301" s="163">
        <f t="shared" si="49"/>
        <v>47900.83824</v>
      </c>
      <c r="AJ301" s="148">
        <f>IF(Valores!$C$36*D301&gt;Valores!$F$36,Valores!$F$36,Valores!$C$36*D301)</f>
        <v>2093.66</v>
      </c>
      <c r="AK301" s="149">
        <f>IF(Valores!$C$83*D301&gt;Valores!$C$82,Valores!$C$82,Valores!$C$83*D301)</f>
        <v>5850</v>
      </c>
      <c r="AL301" s="154">
        <f>IF(Valores!$C$57*D301&gt;Valores!$F$57,Valores!$F$57,Valores!$C$57*D301)</f>
        <v>327.6</v>
      </c>
      <c r="AM301" s="162">
        <f t="shared" si="47"/>
        <v>7943.66</v>
      </c>
      <c r="AN301" s="148">
        <f>AI301*-Valores!$C$65</f>
        <v>-5508.5963976</v>
      </c>
      <c r="AO301" s="146">
        <f>AI301*-Valores!$C$66</f>
        <v>-2155.5377208</v>
      </c>
      <c r="AP301" s="170">
        <v>-159.43</v>
      </c>
      <c r="AQ301" s="170">
        <f t="shared" si="50"/>
        <v>-53.83</v>
      </c>
      <c r="AR301" s="162">
        <f t="shared" si="51"/>
        <v>47967.1041216</v>
      </c>
    </row>
    <row r="302" spans="1:44" s="137" customFormat="1" ht="11.25" customHeight="1">
      <c r="A302" s="147">
        <v>300</v>
      </c>
      <c r="B302" s="147" t="s">
        <v>135</v>
      </c>
      <c r="C302" s="147" t="s">
        <v>495</v>
      </c>
      <c r="D302" s="147">
        <v>1</v>
      </c>
      <c r="E302" s="147">
        <f t="shared" si="44"/>
        <v>26</v>
      </c>
      <c r="F302" s="155" t="s">
        <v>496</v>
      </c>
      <c r="G302" s="152">
        <v>79</v>
      </c>
      <c r="H302" s="149">
        <f>INT((G302*Valores!$C$2*100)+0.49)/100</f>
        <v>666.67</v>
      </c>
      <c r="I302" s="159">
        <v>0</v>
      </c>
      <c r="J302" s="149">
        <f>INT((I302*Valores!$C$2*100)+0.5)/100</f>
        <v>0</v>
      </c>
      <c r="K302" s="151">
        <v>0</v>
      </c>
      <c r="L302" s="149">
        <f>INT((K302*Valores!$C$2*100)+0.5)/100</f>
        <v>0</v>
      </c>
      <c r="M302" s="158">
        <v>0</v>
      </c>
      <c r="N302" s="149">
        <f>INT((M302*Valores!$C$2*100)+0.5)/100</f>
        <v>0</v>
      </c>
      <c r="O302" s="149">
        <f t="shared" si="45"/>
        <v>121.18199999999999</v>
      </c>
      <c r="P302" s="149">
        <f t="shared" si="46"/>
        <v>0</v>
      </c>
      <c r="Q302" s="148">
        <f>Valores!$C$14*D302</f>
        <v>217.84</v>
      </c>
      <c r="R302" s="148">
        <f>IF(D302&lt;15,(Valores!$E$4*D302),Valores!$D$4)</f>
        <v>287.59</v>
      </c>
      <c r="S302" s="149">
        <v>0</v>
      </c>
      <c r="T302" s="149">
        <f>IF(Valores!$C$45*D302&gt;Valores!$C$43,Valores!$C$43,Valores!$C$45*D302)</f>
        <v>65.25</v>
      </c>
      <c r="U302" s="148">
        <f>Valores!$C$22*D302</f>
        <v>75.96</v>
      </c>
      <c r="V302" s="149">
        <f t="shared" si="42"/>
        <v>75.96</v>
      </c>
      <c r="W302" s="149">
        <v>0</v>
      </c>
      <c r="X302" s="149">
        <v>0</v>
      </c>
      <c r="Y302" s="149">
        <v>0</v>
      </c>
      <c r="Z302" s="149">
        <f>Y302*Valores!$C$2</f>
        <v>0</v>
      </c>
      <c r="AA302" s="149">
        <v>0</v>
      </c>
      <c r="AB302" s="154">
        <f>IF((Valores!$C$32)*D302&gt;Valores!$F$32,Valores!$F$32,(Valores!$C$32)*D302)</f>
        <v>8.00384</v>
      </c>
      <c r="AC302" s="149">
        <f t="shared" si="48"/>
        <v>0</v>
      </c>
      <c r="AD302" s="149">
        <f>IF(Valores!$C$33*D302&gt;Valores!$F$33,Valores!$F$33,Valores!$C$33*D302)</f>
        <v>6.662656000000001</v>
      </c>
      <c r="AE302" s="157">
        <v>0</v>
      </c>
      <c r="AF302" s="149">
        <f>INT(((AE302*Valores!$C$2)*100)+0.5)/100</f>
        <v>0</v>
      </c>
      <c r="AG302" s="149">
        <f>IF(Valores!$D$58*'Escala Docente'!D302&gt;Valores!$F$58,Valores!$F$58,Valores!$D$58*'Escala Docente'!D302)</f>
        <v>27.1024</v>
      </c>
      <c r="AH302" s="149">
        <f>IF(Valores!$D$60*D302&gt;Valores!$F$60,Valores!$F$60,Valores!$D$60*D302)</f>
        <v>7.7442</v>
      </c>
      <c r="AI302" s="163">
        <f t="shared" si="49"/>
        <v>1484.005096</v>
      </c>
      <c r="AJ302" s="148">
        <f>IF(Valores!$C$36*D302&gt;Valores!$F$36,Valores!$F$36,Valores!$C$36*D302)</f>
        <v>69.79</v>
      </c>
      <c r="AK302" s="149">
        <f>IF(Valores!$C$83*D302&gt;Valores!$C$82,Valores!$C$82,Valores!$C$83*D302)</f>
        <v>162.5</v>
      </c>
      <c r="AL302" s="154">
        <f>IF(Valores!$C$57*D302&gt;Valores!$F$57,Valores!$F$57,Valores!$C$57*D302)</f>
        <v>11.355</v>
      </c>
      <c r="AM302" s="162">
        <f t="shared" si="47"/>
        <v>232.29000000000002</v>
      </c>
      <c r="AN302" s="148">
        <f>AI302*-Valores!$C$65</f>
        <v>-170.66058604000003</v>
      </c>
      <c r="AO302" s="146">
        <f>AI302*-Valores!$C$66</f>
        <v>-66.78022932</v>
      </c>
      <c r="AP302" s="170">
        <v>-159.43</v>
      </c>
      <c r="AQ302" s="170">
        <f t="shared" si="50"/>
        <v>-53.83</v>
      </c>
      <c r="AR302" s="162">
        <f t="shared" si="51"/>
        <v>1265.59428064</v>
      </c>
    </row>
    <row r="303" spans="1:44" s="137" customFormat="1" ht="11.25" customHeight="1">
      <c r="A303" s="147">
        <v>301</v>
      </c>
      <c r="B303" s="147"/>
      <c r="C303" s="147" t="s">
        <v>497</v>
      </c>
      <c r="D303" s="147"/>
      <c r="E303" s="147">
        <f t="shared" si="44"/>
        <v>32</v>
      </c>
      <c r="F303" s="155" t="s">
        <v>498</v>
      </c>
      <c r="G303" s="160">
        <v>237</v>
      </c>
      <c r="H303" s="149">
        <f>INT((G303*Valores!$C$2*100)+0.5)/100</f>
        <v>2000</v>
      </c>
      <c r="I303" s="159">
        <v>0</v>
      </c>
      <c r="J303" s="149">
        <f>INT((I303*Valores!$C$2*100)+0.5)/100</f>
        <v>0</v>
      </c>
      <c r="K303" s="151">
        <v>0</v>
      </c>
      <c r="L303" s="149">
        <f>INT((K303*Valores!$C$2*100)+0.5)/100</f>
        <v>0</v>
      </c>
      <c r="M303" s="158">
        <v>0</v>
      </c>
      <c r="N303" s="149">
        <f>INT((M303*Valores!$C$2*100)+0.5)/100</f>
        <v>0</v>
      </c>
      <c r="O303" s="149">
        <f t="shared" si="45"/>
        <v>0</v>
      </c>
      <c r="P303" s="149">
        <f t="shared" si="46"/>
        <v>0</v>
      </c>
      <c r="Q303" s="148">
        <v>0</v>
      </c>
      <c r="R303" s="148">
        <v>0</v>
      </c>
      <c r="S303" s="149">
        <v>0</v>
      </c>
      <c r="T303" s="149">
        <f>Valores!C46</f>
        <v>154.98</v>
      </c>
      <c r="U303" s="148">
        <v>0</v>
      </c>
      <c r="V303" s="149">
        <f aca="true" t="shared" si="53" ref="V303:V328">U303*(1+$J$2)</f>
        <v>0</v>
      </c>
      <c r="W303" s="149">
        <v>0</v>
      </c>
      <c r="X303" s="149">
        <v>0</v>
      </c>
      <c r="Y303" s="149">
        <v>0</v>
      </c>
      <c r="Z303" s="149">
        <v>0</v>
      </c>
      <c r="AA303" s="149">
        <v>0</v>
      </c>
      <c r="AB303" s="154">
        <v>0</v>
      </c>
      <c r="AC303" s="149">
        <f t="shared" si="48"/>
        <v>0</v>
      </c>
      <c r="AD303" s="149">
        <v>0</v>
      </c>
      <c r="AE303" s="157">
        <v>0</v>
      </c>
      <c r="AF303" s="149">
        <f>INT(((AE303*Valores!$C$2)*100)+0.5)/100</f>
        <v>0</v>
      </c>
      <c r="AG303" s="149">
        <f>Valores!$C$59</f>
        <v>54.2</v>
      </c>
      <c r="AH303" s="149">
        <f>Valores!$C$61</f>
        <v>15.49</v>
      </c>
      <c r="AI303" s="163">
        <f t="shared" si="49"/>
        <v>2224.6699999999996</v>
      </c>
      <c r="AJ303" s="148"/>
      <c r="AK303" s="149">
        <f>Valores!$C$84</f>
        <v>325</v>
      </c>
      <c r="AL303" s="154">
        <v>0</v>
      </c>
      <c r="AM303" s="162">
        <f t="shared" si="47"/>
        <v>325</v>
      </c>
      <c r="AN303" s="148">
        <f>AI303*-Valores!$C$65</f>
        <v>-255.83704999999998</v>
      </c>
      <c r="AO303" s="146">
        <f>AI303*-Valores!$C$66</f>
        <v>-100.11014999999998</v>
      </c>
      <c r="AP303" s="170">
        <v>-159.43</v>
      </c>
      <c r="AQ303" s="170">
        <f t="shared" si="50"/>
        <v>-53.83</v>
      </c>
      <c r="AR303" s="162">
        <f t="shared" si="51"/>
        <v>1980.4627999999996</v>
      </c>
    </row>
    <row r="304" spans="1:44" ht="11.25" customHeight="1">
      <c r="A304" s="147">
        <v>302</v>
      </c>
      <c r="B304" s="147"/>
      <c r="C304" s="145"/>
      <c r="D304" s="161">
        <v>1</v>
      </c>
      <c r="E304" s="161">
        <f t="shared" si="44"/>
        <v>28</v>
      </c>
      <c r="F304" s="147" t="s">
        <v>499</v>
      </c>
      <c r="G304" s="160">
        <v>700</v>
      </c>
      <c r="H304" s="149">
        <f>INT((G304*Valores!$C$2*100)+0.5)/100</f>
        <v>5907.16</v>
      </c>
      <c r="I304" s="159">
        <v>0</v>
      </c>
      <c r="J304" s="149">
        <f>INT((I304*Valores!$C$2*100)+0.5)/100</f>
        <v>0</v>
      </c>
      <c r="K304" s="151">
        <v>0</v>
      </c>
      <c r="L304" s="149">
        <f>INT((K304*Valores!$C$2*100)+0.5)/100</f>
        <v>0</v>
      </c>
      <c r="M304" s="158">
        <v>0</v>
      </c>
      <c r="N304" s="149">
        <f>INT((M304*Valores!$C$2*100)+0.5)/100</f>
        <v>0</v>
      </c>
      <c r="O304" s="149">
        <f t="shared" si="45"/>
        <v>1032.8864999999998</v>
      </c>
      <c r="P304" s="149">
        <f t="shared" si="46"/>
        <v>0</v>
      </c>
      <c r="Q304" s="148">
        <v>0</v>
      </c>
      <c r="R304" s="148">
        <v>0</v>
      </c>
      <c r="S304" s="149">
        <v>0</v>
      </c>
      <c r="T304" s="149">
        <f>Valores!$C$45*15</f>
        <v>978.75</v>
      </c>
      <c r="U304" s="148">
        <v>0</v>
      </c>
      <c r="V304" s="149">
        <f t="shared" si="53"/>
        <v>0</v>
      </c>
      <c r="W304" s="149">
        <v>0</v>
      </c>
      <c r="X304" s="149">
        <v>0</v>
      </c>
      <c r="Y304" s="149">
        <v>0</v>
      </c>
      <c r="Z304" s="149">
        <v>0</v>
      </c>
      <c r="AA304" s="149">
        <v>0</v>
      </c>
      <c r="AB304" s="154">
        <v>0</v>
      </c>
      <c r="AC304" s="149">
        <f t="shared" si="48"/>
        <v>0</v>
      </c>
      <c r="AD304" s="149">
        <v>0</v>
      </c>
      <c r="AE304" s="157">
        <v>0</v>
      </c>
      <c r="AF304" s="149">
        <f>INT(((AE304*Valores!$C$2)*100)+0.5)/100</f>
        <v>0</v>
      </c>
      <c r="AG304" s="149"/>
      <c r="AH304" s="149"/>
      <c r="AI304" s="163">
        <f t="shared" si="49"/>
        <v>7918.7964999999995</v>
      </c>
      <c r="AJ304" s="148"/>
      <c r="AK304" s="149">
        <v>0</v>
      </c>
      <c r="AL304" s="154">
        <v>0</v>
      </c>
      <c r="AM304" s="162">
        <f t="shared" si="47"/>
        <v>0</v>
      </c>
      <c r="AN304" s="148">
        <f>AI304*-Valores!$C$65</f>
        <v>-910.6615975</v>
      </c>
      <c r="AO304" s="146">
        <f>AI304*-Valores!$C$66</f>
        <v>-356.34584249999995</v>
      </c>
      <c r="AP304" s="170">
        <v>-159.43</v>
      </c>
      <c r="AQ304" s="170">
        <f t="shared" si="50"/>
        <v>-53.83</v>
      </c>
      <c r="AR304" s="162">
        <f t="shared" si="51"/>
        <v>6438.52906</v>
      </c>
    </row>
    <row r="305" spans="1:44" ht="11.25" customHeight="1">
      <c r="A305" s="147">
        <v>303</v>
      </c>
      <c r="B305" s="147"/>
      <c r="C305" s="145"/>
      <c r="D305" s="161">
        <v>1</v>
      </c>
      <c r="E305" s="161">
        <f t="shared" si="44"/>
        <v>28</v>
      </c>
      <c r="F305" s="147" t="s">
        <v>500</v>
      </c>
      <c r="G305" s="160">
        <v>500</v>
      </c>
      <c r="H305" s="149">
        <f>INT((G305*Valores!$C$2*100)+0.5)/100</f>
        <v>4219.4</v>
      </c>
      <c r="I305" s="159">
        <v>0</v>
      </c>
      <c r="J305" s="149">
        <f>INT((I305*Valores!$C$2*100)+0.5)/100</f>
        <v>0</v>
      </c>
      <c r="K305" s="151">
        <v>0</v>
      </c>
      <c r="L305" s="149">
        <f>INT((K305*Valores!$C$2*100)+0.5)/100</f>
        <v>0</v>
      </c>
      <c r="M305" s="158">
        <v>0</v>
      </c>
      <c r="N305" s="149">
        <f>INT((M305*Valores!$C$2*100)+0.5)/100</f>
        <v>0</v>
      </c>
      <c r="O305" s="149">
        <f t="shared" si="45"/>
        <v>730.785</v>
      </c>
      <c r="P305" s="149">
        <f t="shared" si="46"/>
        <v>0</v>
      </c>
      <c r="Q305" s="148">
        <v>0</v>
      </c>
      <c r="R305" s="148">
        <v>0</v>
      </c>
      <c r="S305" s="149">
        <v>0</v>
      </c>
      <c r="T305" s="149">
        <f>Valores!$C$45*10</f>
        <v>652.5</v>
      </c>
      <c r="U305" s="149">
        <v>0</v>
      </c>
      <c r="V305" s="149">
        <f t="shared" si="53"/>
        <v>0</v>
      </c>
      <c r="W305" s="149">
        <v>0</v>
      </c>
      <c r="X305" s="149">
        <v>0</v>
      </c>
      <c r="Y305" s="149">
        <v>0</v>
      </c>
      <c r="Z305" s="149">
        <v>0</v>
      </c>
      <c r="AA305" s="149">
        <v>0</v>
      </c>
      <c r="AB305" s="154">
        <v>0</v>
      </c>
      <c r="AC305" s="149">
        <f t="shared" si="48"/>
        <v>0</v>
      </c>
      <c r="AD305" s="149">
        <v>0</v>
      </c>
      <c r="AE305" s="157">
        <v>0</v>
      </c>
      <c r="AF305" s="149">
        <f>INT(((AE305*Valores!$C$2)*100)+0.5)/100</f>
        <v>0</v>
      </c>
      <c r="AG305" s="149"/>
      <c r="AH305" s="149"/>
      <c r="AI305" s="163">
        <f t="shared" si="49"/>
        <v>5602.6849999999995</v>
      </c>
      <c r="AJ305" s="148"/>
      <c r="AK305" s="149">
        <v>0</v>
      </c>
      <c r="AL305" s="154">
        <v>0</v>
      </c>
      <c r="AM305" s="162">
        <f t="shared" si="47"/>
        <v>0</v>
      </c>
      <c r="AN305" s="148">
        <f>AI305*-Valores!$C$65</f>
        <v>-644.308775</v>
      </c>
      <c r="AO305" s="146">
        <f>AI305*-Valores!$C$66</f>
        <v>-252.12082499999997</v>
      </c>
      <c r="AP305" s="170">
        <v>-159.43</v>
      </c>
      <c r="AQ305" s="170">
        <f t="shared" si="50"/>
        <v>-53.83</v>
      </c>
      <c r="AR305" s="162">
        <f t="shared" si="51"/>
        <v>4492.9954</v>
      </c>
    </row>
    <row r="306" spans="1:44" ht="11.25" customHeight="1">
      <c r="A306" s="147">
        <v>304</v>
      </c>
      <c r="B306" s="147"/>
      <c r="C306" s="145"/>
      <c r="D306" s="161">
        <v>1</v>
      </c>
      <c r="E306" s="161">
        <f t="shared" si="44"/>
        <v>28</v>
      </c>
      <c r="F306" s="147" t="s">
        <v>501</v>
      </c>
      <c r="G306" s="160">
        <v>300</v>
      </c>
      <c r="H306" s="149">
        <f>INT((G306*Valores!$C$2*100)+0.5)/100</f>
        <v>2531.64</v>
      </c>
      <c r="I306" s="159">
        <v>0</v>
      </c>
      <c r="J306" s="149">
        <f>INT((I306*Valores!$C$2*100)+0.5)/100</f>
        <v>0</v>
      </c>
      <c r="K306" s="151">
        <v>0</v>
      </c>
      <c r="L306" s="149">
        <f>INT((K306*Valores!$C$2*100)+0.5)/100</f>
        <v>0</v>
      </c>
      <c r="M306" s="158">
        <v>0</v>
      </c>
      <c r="N306" s="149">
        <f>INT((M306*Valores!$C$2*100)+0.5)/100</f>
        <v>0</v>
      </c>
      <c r="O306" s="149">
        <f t="shared" si="45"/>
        <v>428.6835</v>
      </c>
      <c r="P306" s="149">
        <f t="shared" si="46"/>
        <v>0</v>
      </c>
      <c r="Q306" s="148">
        <v>0</v>
      </c>
      <c r="R306" s="148">
        <v>0</v>
      </c>
      <c r="S306" s="149">
        <v>0</v>
      </c>
      <c r="T306" s="149">
        <f>Valores!$C$45*5</f>
        <v>326.25</v>
      </c>
      <c r="U306" s="148">
        <v>0</v>
      </c>
      <c r="V306" s="149">
        <f t="shared" si="53"/>
        <v>0</v>
      </c>
      <c r="W306" s="149">
        <v>0</v>
      </c>
      <c r="X306" s="149">
        <v>0</v>
      </c>
      <c r="Y306" s="149">
        <v>0</v>
      </c>
      <c r="Z306" s="149">
        <v>0</v>
      </c>
      <c r="AA306" s="149">
        <v>0</v>
      </c>
      <c r="AB306" s="154">
        <v>0</v>
      </c>
      <c r="AC306" s="149">
        <f t="shared" si="48"/>
        <v>0</v>
      </c>
      <c r="AD306" s="149">
        <v>0</v>
      </c>
      <c r="AE306" s="157">
        <v>0</v>
      </c>
      <c r="AF306" s="149">
        <f>INT(((AE306*Valores!$C$2)*100)+0.5)/100</f>
        <v>0</v>
      </c>
      <c r="AG306" s="149"/>
      <c r="AH306" s="149"/>
      <c r="AI306" s="163">
        <f t="shared" si="49"/>
        <v>3286.5735</v>
      </c>
      <c r="AJ306" s="148"/>
      <c r="AK306" s="149">
        <v>0</v>
      </c>
      <c r="AL306" s="154">
        <v>0</v>
      </c>
      <c r="AM306" s="162">
        <f t="shared" si="47"/>
        <v>0</v>
      </c>
      <c r="AN306" s="148">
        <f>AI306*-Valores!$C$65</f>
        <v>-377.9559525</v>
      </c>
      <c r="AO306" s="146">
        <f>AI306*-Valores!$C$66</f>
        <v>-147.8958075</v>
      </c>
      <c r="AP306" s="170">
        <v>-159.43</v>
      </c>
      <c r="AQ306" s="170">
        <f t="shared" si="50"/>
        <v>-53.83</v>
      </c>
      <c r="AR306" s="162">
        <f t="shared" si="51"/>
        <v>2547.46174</v>
      </c>
    </row>
    <row r="307" spans="1:44" ht="11.25" customHeight="1">
      <c r="A307" s="147">
        <v>305</v>
      </c>
      <c r="B307" s="147" t="s">
        <v>135</v>
      </c>
      <c r="C307" s="145"/>
      <c r="D307" s="161">
        <v>1</v>
      </c>
      <c r="E307" s="161">
        <f t="shared" si="44"/>
        <v>25</v>
      </c>
      <c r="F307" s="147" t="s">
        <v>502</v>
      </c>
      <c r="G307" s="160">
        <v>155</v>
      </c>
      <c r="H307" s="149">
        <f>INT((G307*Valores!$C$2*100)+0.5)/100</f>
        <v>1308.01</v>
      </c>
      <c r="I307" s="159">
        <v>0</v>
      </c>
      <c r="J307" s="149">
        <f>INT((I307*Valores!$C$2*100)+0.5)/100</f>
        <v>0</v>
      </c>
      <c r="K307" s="151">
        <v>0</v>
      </c>
      <c r="L307" s="149">
        <f>INT((K307*Valores!$C$2*100)+0.5)/100</f>
        <v>0</v>
      </c>
      <c r="M307" s="158">
        <v>0</v>
      </c>
      <c r="N307" s="149">
        <f>INT((M307*Valores!$C$2*100)+0.5)/100</f>
        <v>0</v>
      </c>
      <c r="O307" s="149">
        <f t="shared" si="45"/>
        <v>205.989</v>
      </c>
      <c r="P307" s="149">
        <f t="shared" si="46"/>
        <v>0</v>
      </c>
      <c r="Q307" s="148">
        <v>0</v>
      </c>
      <c r="R307" s="148">
        <v>0</v>
      </c>
      <c r="S307" s="149">
        <v>0</v>
      </c>
      <c r="T307" s="149">
        <f>Valores!$C$45</f>
        <v>65.25</v>
      </c>
      <c r="U307" s="148">
        <v>0</v>
      </c>
      <c r="V307" s="149">
        <f t="shared" si="53"/>
        <v>0</v>
      </c>
      <c r="W307" s="149">
        <v>0</v>
      </c>
      <c r="X307" s="149">
        <v>0</v>
      </c>
      <c r="Y307" s="149">
        <v>0</v>
      </c>
      <c r="Z307" s="149">
        <v>0</v>
      </c>
      <c r="AA307" s="149">
        <v>0</v>
      </c>
      <c r="AB307" s="154">
        <v>0</v>
      </c>
      <c r="AC307" s="149">
        <f t="shared" si="48"/>
        <v>0</v>
      </c>
      <c r="AD307" s="149">
        <v>0</v>
      </c>
      <c r="AE307" s="157">
        <v>0</v>
      </c>
      <c r="AF307" s="149">
        <f>INT(((AE307*Valores!$C$2)*100)+0.5)/100</f>
        <v>0</v>
      </c>
      <c r="AG307" s="149"/>
      <c r="AH307" s="149"/>
      <c r="AI307" s="163">
        <f t="shared" si="49"/>
        <v>1579.249</v>
      </c>
      <c r="AJ307" s="148"/>
      <c r="AK307" s="149">
        <v>0</v>
      </c>
      <c r="AL307" s="154">
        <v>0</v>
      </c>
      <c r="AM307" s="162">
        <f t="shared" si="47"/>
        <v>0</v>
      </c>
      <c r="AN307" s="148">
        <f>AI307*-Valores!$C$65</f>
        <v>-181.61363500000002</v>
      </c>
      <c r="AO307" s="146">
        <f>AI307*-Valores!$C$66</f>
        <v>-71.066205</v>
      </c>
      <c r="AP307" s="170">
        <v>-159.43</v>
      </c>
      <c r="AQ307" s="170">
        <f t="shared" si="50"/>
        <v>-53.83</v>
      </c>
      <c r="AR307" s="162">
        <f t="shared" si="51"/>
        <v>1113.30916</v>
      </c>
    </row>
    <row r="308" spans="1:44" ht="11.25" customHeight="1">
      <c r="A308" s="147">
        <v>306</v>
      </c>
      <c r="B308" s="147"/>
      <c r="C308" s="145"/>
      <c r="D308" s="161">
        <v>1</v>
      </c>
      <c r="E308" s="161">
        <f t="shared" si="44"/>
        <v>26</v>
      </c>
      <c r="F308" s="147" t="s">
        <v>503</v>
      </c>
      <c r="G308" s="160">
        <f aca="true" t="shared" si="54" ref="G308:G322">155+G307</f>
        <v>310</v>
      </c>
      <c r="H308" s="149">
        <f>INT((G308*Valores!$C$2*100)+0.5)/100</f>
        <v>2616.03</v>
      </c>
      <c r="I308" s="159">
        <v>0</v>
      </c>
      <c r="J308" s="149">
        <f>INT((I308*Valores!$C$2*100)+0.5)/100</f>
        <v>0</v>
      </c>
      <c r="K308" s="151">
        <v>0</v>
      </c>
      <c r="L308" s="149">
        <f>INT((K308*Valores!$C$2*100)+0.5)/100</f>
        <v>0</v>
      </c>
      <c r="M308" s="158">
        <v>0</v>
      </c>
      <c r="N308" s="149">
        <f>INT((M308*Valores!$C$2*100)+0.5)/100</f>
        <v>0</v>
      </c>
      <c r="O308" s="149">
        <f t="shared" si="45"/>
        <v>411.97950000000003</v>
      </c>
      <c r="P308" s="149">
        <f t="shared" si="46"/>
        <v>0</v>
      </c>
      <c r="Q308" s="148">
        <v>0</v>
      </c>
      <c r="R308" s="148">
        <v>0</v>
      </c>
      <c r="S308" s="149">
        <v>0</v>
      </c>
      <c r="T308" s="149">
        <f>Valores!$C$45+T307</f>
        <v>130.5</v>
      </c>
      <c r="U308" s="148">
        <v>0</v>
      </c>
      <c r="V308" s="149">
        <f t="shared" si="53"/>
        <v>0</v>
      </c>
      <c r="W308" s="149">
        <v>0</v>
      </c>
      <c r="X308" s="149">
        <v>0</v>
      </c>
      <c r="Y308" s="149">
        <v>0</v>
      </c>
      <c r="Z308" s="149">
        <v>0</v>
      </c>
      <c r="AA308" s="149">
        <v>0</v>
      </c>
      <c r="AB308" s="154">
        <v>0</v>
      </c>
      <c r="AC308" s="149">
        <f t="shared" si="48"/>
        <v>0</v>
      </c>
      <c r="AD308" s="149">
        <v>0</v>
      </c>
      <c r="AE308" s="157">
        <v>0</v>
      </c>
      <c r="AF308" s="149">
        <f>INT(((AE308*Valores!$C$2)*100)+0.5)/100</f>
        <v>0</v>
      </c>
      <c r="AG308" s="149"/>
      <c r="AH308" s="149"/>
      <c r="AI308" s="163">
        <f t="shared" si="49"/>
        <v>3158.5095</v>
      </c>
      <c r="AJ308" s="148"/>
      <c r="AK308" s="149">
        <v>0</v>
      </c>
      <c r="AL308" s="154">
        <v>0</v>
      </c>
      <c r="AM308" s="162">
        <f t="shared" si="47"/>
        <v>0</v>
      </c>
      <c r="AN308" s="148">
        <f>AI308*-Valores!$C$65</f>
        <v>-363.22859250000005</v>
      </c>
      <c r="AO308" s="146">
        <f>AI308*-Valores!$C$66</f>
        <v>-142.1329275</v>
      </c>
      <c r="AP308" s="170">
        <v>-159.43</v>
      </c>
      <c r="AQ308" s="170">
        <f t="shared" si="50"/>
        <v>-53.83</v>
      </c>
      <c r="AR308" s="162">
        <f t="shared" si="51"/>
        <v>2439.8879800000004</v>
      </c>
    </row>
    <row r="309" spans="1:44" ht="11.25" customHeight="1">
      <c r="A309" s="147">
        <v>307</v>
      </c>
      <c r="B309" s="147"/>
      <c r="C309" s="145"/>
      <c r="D309" s="161">
        <v>1</v>
      </c>
      <c r="E309" s="161">
        <f t="shared" si="44"/>
        <v>26</v>
      </c>
      <c r="F309" s="147" t="s">
        <v>504</v>
      </c>
      <c r="G309" s="160">
        <f t="shared" si="54"/>
        <v>465</v>
      </c>
      <c r="H309" s="149">
        <f>INT((G309*Valores!$C$2*100)+0.5)/100</f>
        <v>3924.04</v>
      </c>
      <c r="I309" s="159">
        <v>0</v>
      </c>
      <c r="J309" s="149">
        <f>INT((I309*Valores!$C$2*100)+0.5)/100</f>
        <v>0</v>
      </c>
      <c r="K309" s="151">
        <v>0</v>
      </c>
      <c r="L309" s="149">
        <f>INT((K309*Valores!$C$2*100)+0.5)/100</f>
        <v>0</v>
      </c>
      <c r="M309" s="158">
        <v>0</v>
      </c>
      <c r="N309" s="149">
        <f>INT((M309*Valores!$C$2*100)+0.5)/100</f>
        <v>0</v>
      </c>
      <c r="O309" s="149">
        <f t="shared" si="45"/>
        <v>617.9685</v>
      </c>
      <c r="P309" s="149">
        <f t="shared" si="46"/>
        <v>0</v>
      </c>
      <c r="Q309" s="148">
        <v>0</v>
      </c>
      <c r="R309" s="148">
        <v>0</v>
      </c>
      <c r="S309" s="149">
        <v>0</v>
      </c>
      <c r="T309" s="149">
        <f>Valores!$C$45+T308</f>
        <v>195.75</v>
      </c>
      <c r="U309" s="148">
        <v>0</v>
      </c>
      <c r="V309" s="149">
        <f t="shared" si="53"/>
        <v>0</v>
      </c>
      <c r="W309" s="149">
        <v>0</v>
      </c>
      <c r="X309" s="149">
        <v>0</v>
      </c>
      <c r="Y309" s="149">
        <v>0</v>
      </c>
      <c r="Z309" s="149">
        <v>0</v>
      </c>
      <c r="AA309" s="149">
        <v>0</v>
      </c>
      <c r="AB309" s="154">
        <v>0</v>
      </c>
      <c r="AC309" s="149">
        <f t="shared" si="48"/>
        <v>0</v>
      </c>
      <c r="AD309" s="149">
        <v>0</v>
      </c>
      <c r="AE309" s="157">
        <v>0</v>
      </c>
      <c r="AF309" s="149">
        <f>INT(((AE309*Valores!$C$2)*100)+0.5)/100</f>
        <v>0</v>
      </c>
      <c r="AG309" s="149"/>
      <c r="AH309" s="149"/>
      <c r="AI309" s="163">
        <f t="shared" si="49"/>
        <v>4737.7585</v>
      </c>
      <c r="AJ309" s="148"/>
      <c r="AK309" s="149">
        <v>0</v>
      </c>
      <c r="AL309" s="154">
        <v>0</v>
      </c>
      <c r="AM309" s="162">
        <f t="shared" si="47"/>
        <v>0</v>
      </c>
      <c r="AN309" s="148">
        <f>AI309*-Valores!$C$65</f>
        <v>-544.8422275</v>
      </c>
      <c r="AO309" s="146">
        <f>AI309*-Valores!$C$66</f>
        <v>-213.1991325</v>
      </c>
      <c r="AP309" s="170">
        <v>-159.43</v>
      </c>
      <c r="AQ309" s="170">
        <f t="shared" si="50"/>
        <v>-53.83</v>
      </c>
      <c r="AR309" s="162">
        <f t="shared" si="51"/>
        <v>3766.45714</v>
      </c>
    </row>
    <row r="310" spans="1:44" ht="11.25" customHeight="1">
      <c r="A310" s="147">
        <v>308</v>
      </c>
      <c r="B310" s="147"/>
      <c r="C310" s="145"/>
      <c r="D310" s="161">
        <v>1</v>
      </c>
      <c r="E310" s="161">
        <f t="shared" si="44"/>
        <v>26</v>
      </c>
      <c r="F310" s="147" t="s">
        <v>505</v>
      </c>
      <c r="G310" s="160">
        <f t="shared" si="54"/>
        <v>620</v>
      </c>
      <c r="H310" s="149">
        <f>INT((G310*Valores!$C$2*100)+0.5)/100</f>
        <v>5232.06</v>
      </c>
      <c r="I310" s="159">
        <v>0</v>
      </c>
      <c r="J310" s="149">
        <f>INT((I310*Valores!$C$2*100)+0.5)/100</f>
        <v>0</v>
      </c>
      <c r="K310" s="151">
        <v>0</v>
      </c>
      <c r="L310" s="149">
        <f>INT((K310*Valores!$C$2*100)+0.5)/100</f>
        <v>0</v>
      </c>
      <c r="M310" s="158">
        <v>0</v>
      </c>
      <c r="N310" s="149">
        <f>INT((M310*Valores!$C$2*100)+0.5)/100</f>
        <v>0</v>
      </c>
      <c r="O310" s="149">
        <f t="shared" si="45"/>
        <v>823.9590000000001</v>
      </c>
      <c r="P310" s="149">
        <f t="shared" si="46"/>
        <v>0</v>
      </c>
      <c r="Q310" s="148">
        <v>0</v>
      </c>
      <c r="R310" s="148">
        <v>0</v>
      </c>
      <c r="S310" s="149">
        <v>0</v>
      </c>
      <c r="T310" s="149">
        <f>Valores!$C$45+T309</f>
        <v>261</v>
      </c>
      <c r="U310" s="149">
        <v>0</v>
      </c>
      <c r="V310" s="149">
        <f t="shared" si="53"/>
        <v>0</v>
      </c>
      <c r="W310" s="149">
        <v>0</v>
      </c>
      <c r="X310" s="149">
        <v>0</v>
      </c>
      <c r="Y310" s="149">
        <v>0</v>
      </c>
      <c r="Z310" s="149">
        <v>0</v>
      </c>
      <c r="AA310" s="149">
        <v>0</v>
      </c>
      <c r="AB310" s="154">
        <v>0</v>
      </c>
      <c r="AC310" s="149">
        <f t="shared" si="48"/>
        <v>0</v>
      </c>
      <c r="AD310" s="149">
        <v>0</v>
      </c>
      <c r="AE310" s="157">
        <v>0</v>
      </c>
      <c r="AF310" s="149">
        <f>INT(((AE310*Valores!$C$2)*100)+0.5)/100</f>
        <v>0</v>
      </c>
      <c r="AG310" s="149"/>
      <c r="AH310" s="149"/>
      <c r="AI310" s="163">
        <f t="shared" si="49"/>
        <v>6317.019</v>
      </c>
      <c r="AJ310" s="148"/>
      <c r="AK310" s="149">
        <v>0</v>
      </c>
      <c r="AL310" s="154">
        <v>0</v>
      </c>
      <c r="AM310" s="162">
        <f t="shared" si="47"/>
        <v>0</v>
      </c>
      <c r="AN310" s="148">
        <f>AI310*-Valores!$C$65</f>
        <v>-726.4571850000001</v>
      </c>
      <c r="AO310" s="146">
        <f>AI310*-Valores!$C$66</f>
        <v>-284.265855</v>
      </c>
      <c r="AP310" s="170">
        <v>-159.43</v>
      </c>
      <c r="AQ310" s="170">
        <f t="shared" si="50"/>
        <v>-53.83</v>
      </c>
      <c r="AR310" s="162">
        <f t="shared" si="51"/>
        <v>5093.03596</v>
      </c>
    </row>
    <row r="311" spans="1:44" ht="11.25" customHeight="1">
      <c r="A311" s="147">
        <v>309</v>
      </c>
      <c r="B311" s="147"/>
      <c r="C311" s="145"/>
      <c r="D311" s="161">
        <v>1</v>
      </c>
      <c r="E311" s="161">
        <f t="shared" si="44"/>
        <v>26</v>
      </c>
      <c r="F311" s="147" t="s">
        <v>506</v>
      </c>
      <c r="G311" s="160">
        <f t="shared" si="54"/>
        <v>775</v>
      </c>
      <c r="H311" s="149">
        <f>INT((G311*Valores!$C$2*100)+0.5)/100</f>
        <v>6540.07</v>
      </c>
      <c r="I311" s="159">
        <v>0</v>
      </c>
      <c r="J311" s="149">
        <f>INT((I311*Valores!$C$2*100)+0.5)/100</f>
        <v>0</v>
      </c>
      <c r="K311" s="151">
        <v>0</v>
      </c>
      <c r="L311" s="149">
        <f>INT((K311*Valores!$C$2*100)+0.5)/100</f>
        <v>0</v>
      </c>
      <c r="M311" s="158">
        <v>0</v>
      </c>
      <c r="N311" s="149">
        <f>INT((M311*Valores!$C$2*100)+0.5)/100</f>
        <v>0</v>
      </c>
      <c r="O311" s="149">
        <f t="shared" si="45"/>
        <v>1029.9479999999999</v>
      </c>
      <c r="P311" s="149">
        <f t="shared" si="46"/>
        <v>0</v>
      </c>
      <c r="Q311" s="148">
        <v>0</v>
      </c>
      <c r="R311" s="148">
        <v>0</v>
      </c>
      <c r="S311" s="149">
        <v>0</v>
      </c>
      <c r="T311" s="149">
        <f>Valores!$C$45+T310</f>
        <v>326.25</v>
      </c>
      <c r="U311" s="148">
        <v>0</v>
      </c>
      <c r="V311" s="149">
        <f t="shared" si="53"/>
        <v>0</v>
      </c>
      <c r="W311" s="149">
        <v>0</v>
      </c>
      <c r="X311" s="149">
        <v>0</v>
      </c>
      <c r="Y311" s="149">
        <v>0</v>
      </c>
      <c r="Z311" s="149">
        <v>0</v>
      </c>
      <c r="AA311" s="149">
        <v>0</v>
      </c>
      <c r="AB311" s="154">
        <v>0</v>
      </c>
      <c r="AC311" s="149">
        <f t="shared" si="48"/>
        <v>0</v>
      </c>
      <c r="AD311" s="149">
        <v>0</v>
      </c>
      <c r="AE311" s="157">
        <v>0</v>
      </c>
      <c r="AF311" s="149">
        <f>INT(((AE311*Valores!$C$2)*100)+0.5)/100</f>
        <v>0</v>
      </c>
      <c r="AG311" s="149"/>
      <c r="AH311" s="149"/>
      <c r="AI311" s="163">
        <f t="shared" si="49"/>
        <v>7896.268</v>
      </c>
      <c r="AJ311" s="148"/>
      <c r="AK311" s="149">
        <v>0</v>
      </c>
      <c r="AL311" s="154">
        <v>0</v>
      </c>
      <c r="AM311" s="162">
        <f t="shared" si="47"/>
        <v>0</v>
      </c>
      <c r="AN311" s="148">
        <f>AI311*-Valores!$C$65</f>
        <v>-908.07082</v>
      </c>
      <c r="AO311" s="146">
        <f>AI311*-Valores!$C$66</f>
        <v>-355.33206</v>
      </c>
      <c r="AP311" s="170">
        <v>-159.43</v>
      </c>
      <c r="AQ311" s="170">
        <f t="shared" si="50"/>
        <v>-53.83</v>
      </c>
      <c r="AR311" s="162">
        <f t="shared" si="51"/>
        <v>6419.60512</v>
      </c>
    </row>
    <row r="312" spans="1:44" ht="11.25" customHeight="1">
      <c r="A312" s="147">
        <v>310</v>
      </c>
      <c r="B312" s="147" t="s">
        <v>135</v>
      </c>
      <c r="C312" s="145"/>
      <c r="D312" s="161">
        <v>1</v>
      </c>
      <c r="E312" s="161">
        <f t="shared" si="44"/>
        <v>26</v>
      </c>
      <c r="F312" s="147" t="s">
        <v>507</v>
      </c>
      <c r="G312" s="160">
        <f t="shared" si="54"/>
        <v>930</v>
      </c>
      <c r="H312" s="149">
        <f>INT((G312*Valores!$C$2*100)+0.5)/100</f>
        <v>7848.08</v>
      </c>
      <c r="I312" s="159">
        <v>0</v>
      </c>
      <c r="J312" s="149">
        <f>INT((I312*Valores!$C$2*100)+0.5)/100</f>
        <v>0</v>
      </c>
      <c r="K312" s="151">
        <v>0</v>
      </c>
      <c r="L312" s="149">
        <f>INT((K312*Valores!$C$2*100)+0.5)/100</f>
        <v>0</v>
      </c>
      <c r="M312" s="158">
        <v>0</v>
      </c>
      <c r="N312" s="149">
        <f>INT((M312*Valores!$C$2*100)+0.5)/100</f>
        <v>0</v>
      </c>
      <c r="O312" s="149">
        <f t="shared" si="45"/>
        <v>1235.937</v>
      </c>
      <c r="P312" s="149">
        <f t="shared" si="46"/>
        <v>0</v>
      </c>
      <c r="Q312" s="148">
        <v>0</v>
      </c>
      <c r="R312" s="148">
        <v>0</v>
      </c>
      <c r="S312" s="149">
        <v>0</v>
      </c>
      <c r="T312" s="149">
        <f>Valores!$C$45+T311</f>
        <v>391.5</v>
      </c>
      <c r="U312" s="148">
        <v>0</v>
      </c>
      <c r="V312" s="149">
        <f t="shared" si="53"/>
        <v>0</v>
      </c>
      <c r="W312" s="149">
        <v>0</v>
      </c>
      <c r="X312" s="149">
        <v>0</v>
      </c>
      <c r="Y312" s="149">
        <v>0</v>
      </c>
      <c r="Z312" s="149">
        <v>0</v>
      </c>
      <c r="AA312" s="149">
        <v>0</v>
      </c>
      <c r="AB312" s="154">
        <v>0</v>
      </c>
      <c r="AC312" s="149">
        <f t="shared" si="48"/>
        <v>0</v>
      </c>
      <c r="AD312" s="149">
        <v>0</v>
      </c>
      <c r="AE312" s="157">
        <v>0</v>
      </c>
      <c r="AF312" s="149">
        <f>INT(((AE312*Valores!$C$2)*100)+0.5)/100</f>
        <v>0</v>
      </c>
      <c r="AG312" s="149"/>
      <c r="AH312" s="149"/>
      <c r="AI312" s="163">
        <f t="shared" si="49"/>
        <v>9475.517</v>
      </c>
      <c r="AJ312" s="148"/>
      <c r="AK312" s="149">
        <v>0</v>
      </c>
      <c r="AL312" s="154">
        <v>0</v>
      </c>
      <c r="AM312" s="162">
        <f t="shared" si="47"/>
        <v>0</v>
      </c>
      <c r="AN312" s="148">
        <f>AI312*-Valores!$C$65</f>
        <v>-1089.684455</v>
      </c>
      <c r="AO312" s="146">
        <f>AI312*-Valores!$C$66</f>
        <v>-426.398265</v>
      </c>
      <c r="AP312" s="170">
        <v>-159.43</v>
      </c>
      <c r="AQ312" s="170">
        <f t="shared" si="50"/>
        <v>-53.83</v>
      </c>
      <c r="AR312" s="162">
        <f t="shared" si="51"/>
        <v>7746.174279999999</v>
      </c>
    </row>
    <row r="313" spans="1:44" ht="11.25" customHeight="1">
      <c r="A313" s="147">
        <v>311</v>
      </c>
      <c r="B313" s="147"/>
      <c r="C313" s="145"/>
      <c r="D313" s="161">
        <v>1</v>
      </c>
      <c r="E313" s="161">
        <f t="shared" si="44"/>
        <v>26</v>
      </c>
      <c r="F313" s="147" t="s">
        <v>508</v>
      </c>
      <c r="G313" s="160">
        <f t="shared" si="54"/>
        <v>1085</v>
      </c>
      <c r="H313" s="149">
        <f>INT((G313*Valores!$C$2*100)+0.5)/100</f>
        <v>9156.1</v>
      </c>
      <c r="I313" s="159">
        <v>0</v>
      </c>
      <c r="J313" s="149">
        <f>INT((I313*Valores!$C$2*100)+0.5)/100</f>
        <v>0</v>
      </c>
      <c r="K313" s="151">
        <v>0</v>
      </c>
      <c r="L313" s="149">
        <f>INT((K313*Valores!$C$2*100)+0.5)/100</f>
        <v>0</v>
      </c>
      <c r="M313" s="158">
        <v>0</v>
      </c>
      <c r="N313" s="149">
        <f>INT((M313*Valores!$C$2*100)+0.5)/100</f>
        <v>0</v>
      </c>
      <c r="O313" s="149">
        <f t="shared" si="45"/>
        <v>1441.9275</v>
      </c>
      <c r="P313" s="149">
        <f t="shared" si="46"/>
        <v>0</v>
      </c>
      <c r="Q313" s="148">
        <v>0</v>
      </c>
      <c r="R313" s="148">
        <v>0</v>
      </c>
      <c r="S313" s="149">
        <v>0</v>
      </c>
      <c r="T313" s="149">
        <f>Valores!$C$45+T312</f>
        <v>456.75</v>
      </c>
      <c r="U313" s="148">
        <v>0</v>
      </c>
      <c r="V313" s="149">
        <f t="shared" si="53"/>
        <v>0</v>
      </c>
      <c r="W313" s="149">
        <v>0</v>
      </c>
      <c r="X313" s="149">
        <v>0</v>
      </c>
      <c r="Y313" s="149">
        <v>0</v>
      </c>
      <c r="Z313" s="149">
        <v>0</v>
      </c>
      <c r="AA313" s="149">
        <v>0</v>
      </c>
      <c r="AB313" s="154">
        <v>0</v>
      </c>
      <c r="AC313" s="149">
        <f t="shared" si="48"/>
        <v>0</v>
      </c>
      <c r="AD313" s="149">
        <v>0</v>
      </c>
      <c r="AE313" s="157">
        <v>0</v>
      </c>
      <c r="AF313" s="149">
        <f>INT(((AE313*Valores!$C$2)*100)+0.5)/100</f>
        <v>0</v>
      </c>
      <c r="AG313" s="149"/>
      <c r="AH313" s="149"/>
      <c r="AI313" s="163">
        <f t="shared" si="49"/>
        <v>11054.7775</v>
      </c>
      <c r="AJ313" s="148"/>
      <c r="AK313" s="149">
        <v>0</v>
      </c>
      <c r="AL313" s="154">
        <v>0</v>
      </c>
      <c r="AM313" s="162">
        <f t="shared" si="47"/>
        <v>0</v>
      </c>
      <c r="AN313" s="148">
        <f>AI313*-Valores!$C$65</f>
        <v>-1271.2994125</v>
      </c>
      <c r="AO313" s="146">
        <f>AI313*-Valores!$C$66</f>
        <v>-497.4649875</v>
      </c>
      <c r="AP313" s="170">
        <v>-159.43</v>
      </c>
      <c r="AQ313" s="170">
        <f t="shared" si="50"/>
        <v>-53.83</v>
      </c>
      <c r="AR313" s="162">
        <f t="shared" si="51"/>
        <v>9072.7531</v>
      </c>
    </row>
    <row r="314" spans="1:44" ht="11.25" customHeight="1">
      <c r="A314" s="147">
        <v>312</v>
      </c>
      <c r="B314" s="147"/>
      <c r="C314" s="145"/>
      <c r="D314" s="161">
        <v>1</v>
      </c>
      <c r="E314" s="161">
        <f t="shared" si="44"/>
        <v>26</v>
      </c>
      <c r="F314" s="147" t="s">
        <v>509</v>
      </c>
      <c r="G314" s="160">
        <f t="shared" si="54"/>
        <v>1240</v>
      </c>
      <c r="H314" s="149">
        <f>INT((G314*Valores!$C$2*100)+0.5)/100</f>
        <v>10464.11</v>
      </c>
      <c r="I314" s="159">
        <v>0</v>
      </c>
      <c r="J314" s="149">
        <f>INT((I314*Valores!$C$2*100)+0.5)/100</f>
        <v>0</v>
      </c>
      <c r="K314" s="151">
        <v>0</v>
      </c>
      <c r="L314" s="149">
        <f>INT((K314*Valores!$C$2*100)+0.5)/100</f>
        <v>0</v>
      </c>
      <c r="M314" s="158">
        <v>0</v>
      </c>
      <c r="N314" s="149">
        <f>INT((M314*Valores!$C$2*100)+0.5)/100</f>
        <v>0</v>
      </c>
      <c r="O314" s="149">
        <f t="shared" si="45"/>
        <v>1647.9165</v>
      </c>
      <c r="P314" s="149">
        <f t="shared" si="46"/>
        <v>0</v>
      </c>
      <c r="Q314" s="148">
        <v>0</v>
      </c>
      <c r="R314" s="148">
        <v>0</v>
      </c>
      <c r="S314" s="149">
        <v>0</v>
      </c>
      <c r="T314" s="149">
        <f>Valores!$C$45+T313</f>
        <v>522</v>
      </c>
      <c r="U314" s="148">
        <v>0</v>
      </c>
      <c r="V314" s="149">
        <f t="shared" si="53"/>
        <v>0</v>
      </c>
      <c r="W314" s="149">
        <v>0</v>
      </c>
      <c r="X314" s="149">
        <v>0</v>
      </c>
      <c r="Y314" s="149">
        <v>0</v>
      </c>
      <c r="Z314" s="149">
        <v>0</v>
      </c>
      <c r="AA314" s="149">
        <v>0</v>
      </c>
      <c r="AB314" s="154">
        <v>0</v>
      </c>
      <c r="AC314" s="149">
        <f t="shared" si="48"/>
        <v>0</v>
      </c>
      <c r="AD314" s="149">
        <v>0</v>
      </c>
      <c r="AE314" s="157">
        <v>0</v>
      </c>
      <c r="AF314" s="149">
        <f>INT(((AE314*Valores!$C$2)*100)+0.5)/100</f>
        <v>0</v>
      </c>
      <c r="AG314" s="149"/>
      <c r="AH314" s="149"/>
      <c r="AI314" s="163">
        <f t="shared" si="49"/>
        <v>12634.0265</v>
      </c>
      <c r="AJ314" s="148"/>
      <c r="AK314" s="149">
        <v>0</v>
      </c>
      <c r="AL314" s="154">
        <v>0</v>
      </c>
      <c r="AM314" s="162">
        <f t="shared" si="47"/>
        <v>0</v>
      </c>
      <c r="AN314" s="148">
        <f>AI314*-Valores!$C$65</f>
        <v>-1452.9130475</v>
      </c>
      <c r="AO314" s="146">
        <f>AI314*-Valores!$C$66</f>
        <v>-568.5311925</v>
      </c>
      <c r="AP314" s="170">
        <v>-159.43</v>
      </c>
      <c r="AQ314" s="170">
        <f t="shared" si="50"/>
        <v>-53.83</v>
      </c>
      <c r="AR314" s="162">
        <f t="shared" si="51"/>
        <v>10399.322259999999</v>
      </c>
    </row>
    <row r="315" spans="1:44" ht="11.25" customHeight="1">
      <c r="A315" s="147">
        <v>313</v>
      </c>
      <c r="B315" s="147"/>
      <c r="C315" s="145"/>
      <c r="D315" s="161">
        <v>1</v>
      </c>
      <c r="E315" s="161">
        <f t="shared" si="44"/>
        <v>26</v>
      </c>
      <c r="F315" s="147" t="s">
        <v>510</v>
      </c>
      <c r="G315" s="160">
        <f t="shared" si="54"/>
        <v>1395</v>
      </c>
      <c r="H315" s="149">
        <f>INT((G315*Valores!$C$2*100)+0.5)/100</f>
        <v>11772.13</v>
      </c>
      <c r="I315" s="159">
        <v>0</v>
      </c>
      <c r="J315" s="149">
        <f>INT((I315*Valores!$C$2*100)+0.5)/100</f>
        <v>0</v>
      </c>
      <c r="K315" s="151">
        <v>0</v>
      </c>
      <c r="L315" s="149">
        <f>INT((K315*Valores!$C$2*100)+0.5)/100</f>
        <v>0</v>
      </c>
      <c r="M315" s="158">
        <v>0</v>
      </c>
      <c r="N315" s="149">
        <f>INT((M315*Valores!$C$2*100)+0.5)/100</f>
        <v>0</v>
      </c>
      <c r="O315" s="149">
        <f t="shared" si="45"/>
        <v>1853.9069999999997</v>
      </c>
      <c r="P315" s="149">
        <f t="shared" si="46"/>
        <v>0</v>
      </c>
      <c r="Q315" s="148">
        <v>0</v>
      </c>
      <c r="R315" s="148">
        <v>0</v>
      </c>
      <c r="S315" s="149">
        <v>0</v>
      </c>
      <c r="T315" s="149">
        <f>Valores!$C$45+T314</f>
        <v>587.25</v>
      </c>
      <c r="U315" s="149">
        <v>0</v>
      </c>
      <c r="V315" s="149">
        <f t="shared" si="53"/>
        <v>0</v>
      </c>
      <c r="W315" s="149">
        <v>0</v>
      </c>
      <c r="X315" s="149">
        <v>0</v>
      </c>
      <c r="Y315" s="149">
        <v>0</v>
      </c>
      <c r="Z315" s="149">
        <v>0</v>
      </c>
      <c r="AA315" s="149">
        <v>0</v>
      </c>
      <c r="AB315" s="154">
        <v>0</v>
      </c>
      <c r="AC315" s="149">
        <f t="shared" si="48"/>
        <v>0</v>
      </c>
      <c r="AD315" s="149">
        <v>0</v>
      </c>
      <c r="AE315" s="157">
        <v>0</v>
      </c>
      <c r="AF315" s="149">
        <f>INT(((AE315*Valores!$C$2)*100)+0.5)/100</f>
        <v>0</v>
      </c>
      <c r="AG315" s="149"/>
      <c r="AH315" s="149"/>
      <c r="AI315" s="163">
        <f t="shared" si="49"/>
        <v>14213.286999999998</v>
      </c>
      <c r="AJ315" s="148"/>
      <c r="AK315" s="149">
        <v>0</v>
      </c>
      <c r="AL315" s="154">
        <v>0</v>
      </c>
      <c r="AM315" s="162">
        <f t="shared" si="47"/>
        <v>0</v>
      </c>
      <c r="AN315" s="148">
        <f>AI315*-Valores!$C$65</f>
        <v>-1634.528005</v>
      </c>
      <c r="AO315" s="146">
        <f>AI315*-Valores!$C$66</f>
        <v>-639.597915</v>
      </c>
      <c r="AP315" s="170">
        <v>-159.43</v>
      </c>
      <c r="AQ315" s="170">
        <f t="shared" si="50"/>
        <v>-53.83</v>
      </c>
      <c r="AR315" s="162">
        <f t="shared" si="51"/>
        <v>11725.901079999998</v>
      </c>
    </row>
    <row r="316" spans="1:44" ht="11.25" customHeight="1">
      <c r="A316" s="147">
        <v>314</v>
      </c>
      <c r="B316" s="147"/>
      <c r="C316" s="145"/>
      <c r="D316" s="161">
        <v>1</v>
      </c>
      <c r="E316" s="161">
        <f t="shared" si="44"/>
        <v>26</v>
      </c>
      <c r="F316" s="147" t="s">
        <v>511</v>
      </c>
      <c r="G316" s="160">
        <f t="shared" si="54"/>
        <v>1550</v>
      </c>
      <c r="H316" s="149">
        <f>INT((G316*Valores!$C$2*100)+0.5)/100</f>
        <v>13080.14</v>
      </c>
      <c r="I316" s="159">
        <v>0</v>
      </c>
      <c r="J316" s="149">
        <f>INT((I316*Valores!$C$2*100)+0.5)/100</f>
        <v>0</v>
      </c>
      <c r="K316" s="151">
        <v>0</v>
      </c>
      <c r="L316" s="149">
        <f>INT((K316*Valores!$C$2*100)+0.5)/100</f>
        <v>0</v>
      </c>
      <c r="M316" s="158">
        <v>0</v>
      </c>
      <c r="N316" s="149">
        <f>INT((M316*Valores!$C$2*100)+0.5)/100</f>
        <v>0</v>
      </c>
      <c r="O316" s="149">
        <f t="shared" si="45"/>
        <v>2059.8959999999997</v>
      </c>
      <c r="P316" s="149">
        <f t="shared" si="46"/>
        <v>0</v>
      </c>
      <c r="Q316" s="148">
        <v>0</v>
      </c>
      <c r="R316" s="148">
        <v>0</v>
      </c>
      <c r="S316" s="149">
        <v>0</v>
      </c>
      <c r="T316" s="149">
        <f>Valores!$C$45+T315</f>
        <v>652.5</v>
      </c>
      <c r="U316" s="148">
        <v>0</v>
      </c>
      <c r="V316" s="149">
        <f t="shared" si="53"/>
        <v>0</v>
      </c>
      <c r="W316" s="149">
        <v>0</v>
      </c>
      <c r="X316" s="149">
        <v>0</v>
      </c>
      <c r="Y316" s="149">
        <v>0</v>
      </c>
      <c r="Z316" s="149">
        <v>0</v>
      </c>
      <c r="AA316" s="149">
        <v>0</v>
      </c>
      <c r="AB316" s="154">
        <v>0</v>
      </c>
      <c r="AC316" s="149">
        <f t="shared" si="48"/>
        <v>0</v>
      </c>
      <c r="AD316" s="149">
        <v>0</v>
      </c>
      <c r="AE316" s="157">
        <v>0</v>
      </c>
      <c r="AF316" s="149">
        <f>INT(((AE316*Valores!$C$2)*100)+0.5)/100</f>
        <v>0</v>
      </c>
      <c r="AG316" s="149"/>
      <c r="AH316" s="149"/>
      <c r="AI316" s="163">
        <f t="shared" si="49"/>
        <v>15792.536</v>
      </c>
      <c r="AJ316" s="148"/>
      <c r="AK316" s="149">
        <v>0</v>
      </c>
      <c r="AL316" s="154">
        <v>0</v>
      </c>
      <c r="AM316" s="162">
        <f t="shared" si="47"/>
        <v>0</v>
      </c>
      <c r="AN316" s="148">
        <f>AI316*-Valores!$C$65</f>
        <v>-1816.14164</v>
      </c>
      <c r="AO316" s="146">
        <f>AI316*-Valores!$C$66</f>
        <v>-710.66412</v>
      </c>
      <c r="AP316" s="170">
        <v>-159.43</v>
      </c>
      <c r="AQ316" s="170">
        <f t="shared" si="50"/>
        <v>-53.83</v>
      </c>
      <c r="AR316" s="162">
        <f t="shared" si="51"/>
        <v>13052.47024</v>
      </c>
    </row>
    <row r="317" spans="1:44" ht="11.25" customHeight="1">
      <c r="A317" s="147">
        <v>315</v>
      </c>
      <c r="B317" s="147" t="s">
        <v>135</v>
      </c>
      <c r="C317" s="145"/>
      <c r="D317" s="161">
        <v>1</v>
      </c>
      <c r="E317" s="161">
        <f t="shared" si="44"/>
        <v>26</v>
      </c>
      <c r="F317" s="147" t="s">
        <v>512</v>
      </c>
      <c r="G317" s="160">
        <f t="shared" si="54"/>
        <v>1705</v>
      </c>
      <c r="H317" s="149">
        <f>INT((G317*Valores!$C$2*100)+0.5)/100</f>
        <v>14388.15</v>
      </c>
      <c r="I317" s="159">
        <v>0</v>
      </c>
      <c r="J317" s="149">
        <f>INT((I317*Valores!$C$2*100)+0.5)/100</f>
        <v>0</v>
      </c>
      <c r="K317" s="151">
        <v>0</v>
      </c>
      <c r="L317" s="149">
        <f>INT((K317*Valores!$C$2*100)+0.5)/100</f>
        <v>0</v>
      </c>
      <c r="M317" s="158">
        <v>0</v>
      </c>
      <c r="N317" s="149">
        <f>INT((M317*Valores!$C$2*100)+0.5)/100</f>
        <v>0</v>
      </c>
      <c r="O317" s="149">
        <f t="shared" si="45"/>
        <v>2265.8849999999998</v>
      </c>
      <c r="P317" s="149">
        <f t="shared" si="46"/>
        <v>0</v>
      </c>
      <c r="Q317" s="148">
        <v>0</v>
      </c>
      <c r="R317" s="148">
        <v>0</v>
      </c>
      <c r="S317" s="149">
        <v>0</v>
      </c>
      <c r="T317" s="149">
        <f>Valores!$C$45+T316</f>
        <v>717.75</v>
      </c>
      <c r="U317" s="148">
        <v>0</v>
      </c>
      <c r="V317" s="149">
        <f t="shared" si="53"/>
        <v>0</v>
      </c>
      <c r="W317" s="149">
        <v>0</v>
      </c>
      <c r="X317" s="149">
        <v>0</v>
      </c>
      <c r="Y317" s="149">
        <v>0</v>
      </c>
      <c r="Z317" s="149">
        <v>0</v>
      </c>
      <c r="AA317" s="149">
        <v>0</v>
      </c>
      <c r="AB317" s="154">
        <v>0</v>
      </c>
      <c r="AC317" s="149">
        <f t="shared" si="48"/>
        <v>0</v>
      </c>
      <c r="AD317" s="149">
        <v>0</v>
      </c>
      <c r="AE317" s="157">
        <v>0</v>
      </c>
      <c r="AF317" s="149">
        <f>INT(((AE317*Valores!$C$2)*100)+0.5)/100</f>
        <v>0</v>
      </c>
      <c r="AG317" s="149"/>
      <c r="AH317" s="149"/>
      <c r="AI317" s="163">
        <f t="shared" si="49"/>
        <v>17371.785</v>
      </c>
      <c r="AJ317" s="148"/>
      <c r="AK317" s="149">
        <v>0</v>
      </c>
      <c r="AL317" s="154">
        <v>0</v>
      </c>
      <c r="AM317" s="162">
        <f t="shared" si="47"/>
        <v>0</v>
      </c>
      <c r="AN317" s="148">
        <f>AI317*-Valores!$C$65</f>
        <v>-1997.755275</v>
      </c>
      <c r="AO317" s="146">
        <f>AI317*-Valores!$C$66</f>
        <v>-781.730325</v>
      </c>
      <c r="AP317" s="170">
        <v>-159.43</v>
      </c>
      <c r="AQ317" s="170">
        <f t="shared" si="50"/>
        <v>-53.83</v>
      </c>
      <c r="AR317" s="162">
        <f t="shared" si="51"/>
        <v>14379.0394</v>
      </c>
    </row>
    <row r="318" spans="1:44" ht="11.25" customHeight="1">
      <c r="A318" s="147">
        <v>316</v>
      </c>
      <c r="B318" s="147"/>
      <c r="C318" s="145"/>
      <c r="D318" s="161">
        <v>1</v>
      </c>
      <c r="E318" s="161">
        <f t="shared" si="44"/>
        <v>26</v>
      </c>
      <c r="F318" s="147" t="s">
        <v>513</v>
      </c>
      <c r="G318" s="160">
        <f t="shared" si="54"/>
        <v>1860</v>
      </c>
      <c r="H318" s="149">
        <f>INT((G318*Valores!$C$2*100)+0.5)/100</f>
        <v>15696.17</v>
      </c>
      <c r="I318" s="159">
        <v>0</v>
      </c>
      <c r="J318" s="149">
        <f>INT((I318*Valores!$C$2*100)+0.5)/100</f>
        <v>0</v>
      </c>
      <c r="K318" s="151">
        <v>0</v>
      </c>
      <c r="L318" s="149">
        <f>INT((K318*Valores!$C$2*100)+0.5)/100</f>
        <v>0</v>
      </c>
      <c r="M318" s="158">
        <v>0</v>
      </c>
      <c r="N318" s="149">
        <f>INT((M318*Valores!$C$2*100)+0.5)/100</f>
        <v>0</v>
      </c>
      <c r="O318" s="149">
        <f t="shared" si="45"/>
        <v>2471.8754999999996</v>
      </c>
      <c r="P318" s="149">
        <f t="shared" si="46"/>
        <v>0</v>
      </c>
      <c r="Q318" s="148">
        <v>0</v>
      </c>
      <c r="R318" s="148">
        <v>0</v>
      </c>
      <c r="S318" s="149">
        <v>0</v>
      </c>
      <c r="T318" s="149">
        <f>Valores!$C$45+T317</f>
        <v>783</v>
      </c>
      <c r="U318" s="148">
        <v>0</v>
      </c>
      <c r="V318" s="149">
        <f t="shared" si="53"/>
        <v>0</v>
      </c>
      <c r="W318" s="149">
        <v>0</v>
      </c>
      <c r="X318" s="149">
        <v>0</v>
      </c>
      <c r="Y318" s="149">
        <v>0</v>
      </c>
      <c r="Z318" s="149">
        <v>0</v>
      </c>
      <c r="AA318" s="149">
        <v>0</v>
      </c>
      <c r="AB318" s="154">
        <v>0</v>
      </c>
      <c r="AC318" s="149">
        <f t="shared" si="48"/>
        <v>0</v>
      </c>
      <c r="AD318" s="149">
        <v>0</v>
      </c>
      <c r="AE318" s="157">
        <v>0</v>
      </c>
      <c r="AF318" s="149">
        <f>INT(((AE318*Valores!$C$2)*100)+0.5)/100</f>
        <v>0</v>
      </c>
      <c r="AG318" s="149"/>
      <c r="AH318" s="149"/>
      <c r="AI318" s="163">
        <f t="shared" si="49"/>
        <v>18951.0455</v>
      </c>
      <c r="AJ318" s="148"/>
      <c r="AK318" s="149">
        <v>0</v>
      </c>
      <c r="AL318" s="154">
        <v>0</v>
      </c>
      <c r="AM318" s="162">
        <f t="shared" si="47"/>
        <v>0</v>
      </c>
      <c r="AN318" s="148">
        <f>AI318*-Valores!$C$65</f>
        <v>-2179.3702325</v>
      </c>
      <c r="AO318" s="146">
        <f>AI318*-Valores!$C$66</f>
        <v>-852.7970475</v>
      </c>
      <c r="AP318" s="170">
        <v>-159.43</v>
      </c>
      <c r="AQ318" s="170">
        <f t="shared" si="50"/>
        <v>-53.83</v>
      </c>
      <c r="AR318" s="162">
        <f t="shared" si="51"/>
        <v>15705.618219999998</v>
      </c>
    </row>
    <row r="319" spans="1:44" ht="11.25" customHeight="1">
      <c r="A319" s="147">
        <v>317</v>
      </c>
      <c r="B319" s="147"/>
      <c r="C319" s="145"/>
      <c r="D319" s="161">
        <v>1</v>
      </c>
      <c r="E319" s="161">
        <f t="shared" si="44"/>
        <v>26</v>
      </c>
      <c r="F319" s="147" t="s">
        <v>514</v>
      </c>
      <c r="G319" s="160">
        <f t="shared" si="54"/>
        <v>2015</v>
      </c>
      <c r="H319" s="149">
        <f>INT((G319*Valores!$C$2*100)+0.5)/100</f>
        <v>17004.18</v>
      </c>
      <c r="I319" s="159">
        <v>0</v>
      </c>
      <c r="J319" s="149">
        <f>INT((I319*Valores!$C$2*100)+0.5)/100</f>
        <v>0</v>
      </c>
      <c r="K319" s="151">
        <v>0</v>
      </c>
      <c r="L319" s="149">
        <f>INT((K319*Valores!$C$2*100)+0.5)/100</f>
        <v>0</v>
      </c>
      <c r="M319" s="158">
        <v>0</v>
      </c>
      <c r="N319" s="149">
        <f>INT((M319*Valores!$C$2*100)+0.5)/100</f>
        <v>0</v>
      </c>
      <c r="O319" s="149">
        <f t="shared" si="45"/>
        <v>2677.8645</v>
      </c>
      <c r="P319" s="149">
        <f t="shared" si="46"/>
        <v>0</v>
      </c>
      <c r="Q319" s="148">
        <v>0</v>
      </c>
      <c r="R319" s="148">
        <v>0</v>
      </c>
      <c r="S319" s="149">
        <v>0</v>
      </c>
      <c r="T319" s="149">
        <f>Valores!$C$45+T318</f>
        <v>848.25</v>
      </c>
      <c r="U319" s="148">
        <v>0</v>
      </c>
      <c r="V319" s="149">
        <f t="shared" si="53"/>
        <v>0</v>
      </c>
      <c r="W319" s="149">
        <v>0</v>
      </c>
      <c r="X319" s="149">
        <v>0</v>
      </c>
      <c r="Y319" s="149">
        <v>0</v>
      </c>
      <c r="Z319" s="149">
        <v>0</v>
      </c>
      <c r="AA319" s="149">
        <v>0</v>
      </c>
      <c r="AB319" s="154">
        <v>0</v>
      </c>
      <c r="AC319" s="149">
        <f t="shared" si="48"/>
        <v>0</v>
      </c>
      <c r="AD319" s="149">
        <v>0</v>
      </c>
      <c r="AE319" s="157">
        <v>0</v>
      </c>
      <c r="AF319" s="149">
        <f>INT(((AE319*Valores!$C$2)*100)+0.5)/100</f>
        <v>0</v>
      </c>
      <c r="AG319" s="149"/>
      <c r="AH319" s="149"/>
      <c r="AI319" s="163">
        <f t="shared" si="49"/>
        <v>20530.2945</v>
      </c>
      <c r="AJ319" s="148"/>
      <c r="AK319" s="149">
        <v>0</v>
      </c>
      <c r="AL319" s="154">
        <v>0</v>
      </c>
      <c r="AM319" s="162">
        <f t="shared" si="47"/>
        <v>0</v>
      </c>
      <c r="AN319" s="148">
        <f>AI319*-Valores!$C$65</f>
        <v>-2360.9838675</v>
      </c>
      <c r="AO319" s="146">
        <f>AI319*-Valores!$C$66</f>
        <v>-923.8632524999999</v>
      </c>
      <c r="AP319" s="170">
        <v>-159.43</v>
      </c>
      <c r="AQ319" s="170">
        <f t="shared" si="50"/>
        <v>-53.83</v>
      </c>
      <c r="AR319" s="162">
        <f t="shared" si="51"/>
        <v>17032.18738</v>
      </c>
    </row>
    <row r="320" spans="1:44" ht="11.25" customHeight="1">
      <c r="A320" s="147">
        <v>318</v>
      </c>
      <c r="B320" s="147"/>
      <c r="C320" s="145"/>
      <c r="D320" s="161">
        <v>1</v>
      </c>
      <c r="E320" s="161">
        <f t="shared" si="44"/>
        <v>26</v>
      </c>
      <c r="F320" s="147" t="s">
        <v>515</v>
      </c>
      <c r="G320" s="160">
        <f t="shared" si="54"/>
        <v>2170</v>
      </c>
      <c r="H320" s="149">
        <f>INT((G320*Valores!$C$2*100)+0.5)/100</f>
        <v>18312.2</v>
      </c>
      <c r="I320" s="159">
        <v>0</v>
      </c>
      <c r="J320" s="149">
        <f>INT((I320*Valores!$C$2*100)+0.5)/100</f>
        <v>0</v>
      </c>
      <c r="K320" s="151">
        <v>0</v>
      </c>
      <c r="L320" s="149">
        <f>INT((K320*Valores!$C$2*100)+0.5)/100</f>
        <v>0</v>
      </c>
      <c r="M320" s="158">
        <v>0</v>
      </c>
      <c r="N320" s="149">
        <f>INT((M320*Valores!$C$2*100)+0.5)/100</f>
        <v>0</v>
      </c>
      <c r="O320" s="149">
        <f t="shared" si="45"/>
        <v>2883.855</v>
      </c>
      <c r="P320" s="149">
        <f t="shared" si="46"/>
        <v>0</v>
      </c>
      <c r="Q320" s="148">
        <v>0</v>
      </c>
      <c r="R320" s="148">
        <v>0</v>
      </c>
      <c r="S320" s="149">
        <v>0</v>
      </c>
      <c r="T320" s="149">
        <f>Valores!$C$45+T319</f>
        <v>913.5</v>
      </c>
      <c r="U320" s="149">
        <v>0</v>
      </c>
      <c r="V320" s="149">
        <f t="shared" si="53"/>
        <v>0</v>
      </c>
      <c r="W320" s="149">
        <v>0</v>
      </c>
      <c r="X320" s="149">
        <v>0</v>
      </c>
      <c r="Y320" s="149">
        <v>0</v>
      </c>
      <c r="Z320" s="149">
        <v>0</v>
      </c>
      <c r="AA320" s="149">
        <v>0</v>
      </c>
      <c r="AB320" s="154">
        <v>0</v>
      </c>
      <c r="AC320" s="149">
        <f t="shared" si="48"/>
        <v>0</v>
      </c>
      <c r="AD320" s="149">
        <v>0</v>
      </c>
      <c r="AE320" s="157">
        <v>0</v>
      </c>
      <c r="AF320" s="149">
        <f>INT(((AE320*Valores!$C$2)*100)+0.5)/100</f>
        <v>0</v>
      </c>
      <c r="AG320" s="149"/>
      <c r="AH320" s="149"/>
      <c r="AI320" s="163">
        <f t="shared" si="49"/>
        <v>22109.555</v>
      </c>
      <c r="AJ320" s="148"/>
      <c r="AK320" s="149">
        <v>0</v>
      </c>
      <c r="AL320" s="154">
        <v>0</v>
      </c>
      <c r="AM320" s="162">
        <f t="shared" si="47"/>
        <v>0</v>
      </c>
      <c r="AN320" s="148">
        <f>AI320*-Valores!$C$65</f>
        <v>-2542.598825</v>
      </c>
      <c r="AO320" s="146">
        <f>AI320*-Valores!$C$66</f>
        <v>-994.929975</v>
      </c>
      <c r="AP320" s="170">
        <v>-159.43</v>
      </c>
      <c r="AQ320" s="170">
        <f t="shared" si="50"/>
        <v>-53.83</v>
      </c>
      <c r="AR320" s="162">
        <f t="shared" si="51"/>
        <v>18358.7662</v>
      </c>
    </row>
    <row r="321" spans="1:44" ht="11.25" customHeight="1">
      <c r="A321" s="147">
        <v>319</v>
      </c>
      <c r="B321" s="147"/>
      <c r="C321" s="145"/>
      <c r="D321" s="161">
        <v>1</v>
      </c>
      <c r="E321" s="161">
        <f t="shared" si="44"/>
        <v>26</v>
      </c>
      <c r="F321" s="147" t="s">
        <v>516</v>
      </c>
      <c r="G321" s="160">
        <f t="shared" si="54"/>
        <v>2325</v>
      </c>
      <c r="H321" s="149">
        <f>INT((G321*Valores!$C$2*100)+0.5)/100</f>
        <v>19620.21</v>
      </c>
      <c r="I321" s="159">
        <v>0</v>
      </c>
      <c r="J321" s="149">
        <f>INT((I321*Valores!$C$2*100)+0.5)/100</f>
        <v>0</v>
      </c>
      <c r="K321" s="151">
        <v>0</v>
      </c>
      <c r="L321" s="149">
        <f>INT((K321*Valores!$C$2*100)+0.5)/100</f>
        <v>0</v>
      </c>
      <c r="M321" s="158">
        <v>0</v>
      </c>
      <c r="N321" s="149">
        <f>INT((M321*Valores!$C$2*100)+0.5)/100</f>
        <v>0</v>
      </c>
      <c r="O321" s="149">
        <f t="shared" si="45"/>
        <v>3089.8439999999996</v>
      </c>
      <c r="P321" s="149">
        <f t="shared" si="46"/>
        <v>0</v>
      </c>
      <c r="Q321" s="148">
        <v>0</v>
      </c>
      <c r="R321" s="148">
        <v>0</v>
      </c>
      <c r="S321" s="149">
        <v>0</v>
      </c>
      <c r="T321" s="149">
        <f>Valores!$C$45+T320</f>
        <v>978.75</v>
      </c>
      <c r="U321" s="148">
        <v>0</v>
      </c>
      <c r="V321" s="149">
        <f t="shared" si="53"/>
        <v>0</v>
      </c>
      <c r="W321" s="149">
        <v>0</v>
      </c>
      <c r="X321" s="149">
        <v>0</v>
      </c>
      <c r="Y321" s="149">
        <v>0</v>
      </c>
      <c r="Z321" s="149">
        <v>0</v>
      </c>
      <c r="AA321" s="149">
        <v>0</v>
      </c>
      <c r="AB321" s="154">
        <v>0</v>
      </c>
      <c r="AC321" s="149">
        <f t="shared" si="48"/>
        <v>0</v>
      </c>
      <c r="AD321" s="149">
        <v>0</v>
      </c>
      <c r="AE321" s="157">
        <v>0</v>
      </c>
      <c r="AF321" s="149">
        <f>INT(((AE321*Valores!$C$2)*100)+0.5)/100</f>
        <v>0</v>
      </c>
      <c r="AG321" s="149"/>
      <c r="AH321" s="149"/>
      <c r="AI321" s="163">
        <f t="shared" si="49"/>
        <v>23688.804</v>
      </c>
      <c r="AJ321" s="148"/>
      <c r="AK321" s="149">
        <v>0</v>
      </c>
      <c r="AL321" s="154">
        <v>0</v>
      </c>
      <c r="AM321" s="162">
        <f t="shared" si="47"/>
        <v>0</v>
      </c>
      <c r="AN321" s="148">
        <f>AI321*-Valores!$C$65</f>
        <v>-2724.21246</v>
      </c>
      <c r="AO321" s="146">
        <f>AI321*-Valores!$C$66</f>
        <v>-1065.9961799999999</v>
      </c>
      <c r="AP321" s="170">
        <v>-159.43</v>
      </c>
      <c r="AQ321" s="170">
        <f t="shared" si="50"/>
        <v>-53.83</v>
      </c>
      <c r="AR321" s="162">
        <f t="shared" si="51"/>
        <v>19685.33536</v>
      </c>
    </row>
    <row r="322" spans="1:44" ht="11.25" customHeight="1">
      <c r="A322" s="147">
        <v>320</v>
      </c>
      <c r="B322" s="147" t="s">
        <v>135</v>
      </c>
      <c r="C322" s="145"/>
      <c r="D322" s="161">
        <v>1</v>
      </c>
      <c r="E322" s="161">
        <f t="shared" si="44"/>
        <v>26</v>
      </c>
      <c r="F322" s="147" t="s">
        <v>517</v>
      </c>
      <c r="G322" s="160">
        <f t="shared" si="54"/>
        <v>2480</v>
      </c>
      <c r="H322" s="149">
        <f>INT((G322*Valores!$C$2*100)+0.5)/100</f>
        <v>20928.22</v>
      </c>
      <c r="I322" s="159">
        <v>0</v>
      </c>
      <c r="J322" s="149">
        <f>INT((I322*Valores!$C$2*100)+0.5)/100</f>
        <v>0</v>
      </c>
      <c r="K322" s="151">
        <v>0</v>
      </c>
      <c r="L322" s="149">
        <f>INT((K322*Valores!$C$2*100)+0.5)/100</f>
        <v>0</v>
      </c>
      <c r="M322" s="158">
        <v>0</v>
      </c>
      <c r="N322" s="149">
        <f>INT((M322*Valores!$C$2*100)+0.5)/100</f>
        <v>0</v>
      </c>
      <c r="O322" s="149">
        <f t="shared" si="45"/>
        <v>3295.833</v>
      </c>
      <c r="P322" s="149">
        <f t="shared" si="46"/>
        <v>0</v>
      </c>
      <c r="Q322" s="148">
        <v>0</v>
      </c>
      <c r="R322" s="148">
        <v>0</v>
      </c>
      <c r="S322" s="149">
        <v>0</v>
      </c>
      <c r="T322" s="149">
        <f>Valores!$C$45+T321</f>
        <v>1044</v>
      </c>
      <c r="U322" s="148">
        <v>0</v>
      </c>
      <c r="V322" s="149">
        <f t="shared" si="53"/>
        <v>0</v>
      </c>
      <c r="W322" s="149">
        <v>0</v>
      </c>
      <c r="X322" s="149">
        <v>0</v>
      </c>
      <c r="Y322" s="149">
        <v>0</v>
      </c>
      <c r="Z322" s="149">
        <v>0</v>
      </c>
      <c r="AA322" s="149">
        <v>0</v>
      </c>
      <c r="AB322" s="154">
        <v>0</v>
      </c>
      <c r="AC322" s="149">
        <f t="shared" si="48"/>
        <v>0</v>
      </c>
      <c r="AD322" s="149">
        <v>0</v>
      </c>
      <c r="AE322" s="157">
        <v>0</v>
      </c>
      <c r="AF322" s="149">
        <f>INT(((AE322*Valores!$C$2)*100)+0.5)/100</f>
        <v>0</v>
      </c>
      <c r="AG322" s="149"/>
      <c r="AH322" s="149"/>
      <c r="AI322" s="163">
        <f t="shared" si="49"/>
        <v>25268.053</v>
      </c>
      <c r="AJ322" s="148"/>
      <c r="AK322" s="149">
        <v>0</v>
      </c>
      <c r="AL322" s="154">
        <v>0</v>
      </c>
      <c r="AM322" s="162">
        <f t="shared" si="47"/>
        <v>0</v>
      </c>
      <c r="AN322" s="148">
        <f>AI322*-Valores!$C$65</f>
        <v>-2905.826095</v>
      </c>
      <c r="AO322" s="146">
        <f>AI322*-Valores!$C$66</f>
        <v>-1137.062385</v>
      </c>
      <c r="AP322" s="170">
        <v>-159.43</v>
      </c>
      <c r="AQ322" s="170">
        <f t="shared" si="50"/>
        <v>-53.83</v>
      </c>
      <c r="AR322" s="162">
        <f t="shared" si="51"/>
        <v>21011.904519999996</v>
      </c>
    </row>
    <row r="323" spans="1:44" ht="11.25" customHeight="1">
      <c r="A323" s="147">
        <v>321</v>
      </c>
      <c r="B323" s="147"/>
      <c r="C323" s="145" t="s">
        <v>497</v>
      </c>
      <c r="D323" s="161">
        <v>1</v>
      </c>
      <c r="E323" s="161">
        <f t="shared" si="44"/>
        <v>40</v>
      </c>
      <c r="F323" s="147" t="s">
        <v>518</v>
      </c>
      <c r="G323" s="160">
        <v>268</v>
      </c>
      <c r="H323" s="149">
        <f>INT((G323*Valores!$C$2*100)+0.5)/100</f>
        <v>2261.6</v>
      </c>
      <c r="I323" s="159">
        <v>0</v>
      </c>
      <c r="J323" s="149">
        <f>INT((I323*Valores!$C$2*100)+0.5)/100</f>
        <v>0</v>
      </c>
      <c r="K323" s="151">
        <v>0</v>
      </c>
      <c r="L323" s="149">
        <f>INT((K323*Valores!$C$2*100)+0.5)/100</f>
        <v>0</v>
      </c>
      <c r="M323" s="158">
        <v>0</v>
      </c>
      <c r="N323" s="149">
        <f>INT((M323*Valores!$C$2*100)+0.5)/100</f>
        <v>0</v>
      </c>
      <c r="O323" s="149">
        <f t="shared" si="45"/>
        <v>0</v>
      </c>
      <c r="P323" s="149">
        <f t="shared" si="46"/>
        <v>0</v>
      </c>
      <c r="Q323" s="148">
        <v>0</v>
      </c>
      <c r="R323" s="148">
        <v>0</v>
      </c>
      <c r="S323" s="149">
        <v>0</v>
      </c>
      <c r="T323" s="149">
        <f>Valores!$C$46</f>
        <v>154.98</v>
      </c>
      <c r="U323" s="148">
        <v>0</v>
      </c>
      <c r="V323" s="149">
        <f t="shared" si="53"/>
        <v>0</v>
      </c>
      <c r="W323" s="149">
        <v>0</v>
      </c>
      <c r="X323" s="149">
        <v>0</v>
      </c>
      <c r="Y323" s="149">
        <v>0</v>
      </c>
      <c r="Z323" s="149">
        <v>0</v>
      </c>
      <c r="AA323" s="149">
        <v>0</v>
      </c>
      <c r="AB323" s="154">
        <v>0</v>
      </c>
      <c r="AC323" s="149">
        <f t="shared" si="48"/>
        <v>0</v>
      </c>
      <c r="AD323" s="149">
        <v>0</v>
      </c>
      <c r="AE323" s="157">
        <v>0</v>
      </c>
      <c r="AF323" s="149">
        <f>INT(((AE323*Valores!$C$2)*100)+0.5)/100</f>
        <v>0</v>
      </c>
      <c r="AG323" s="149">
        <f>Valores!$C$59</f>
        <v>54.2</v>
      </c>
      <c r="AH323" s="149">
        <f>Valores!$C$61</f>
        <v>15.49</v>
      </c>
      <c r="AI323" s="163">
        <f t="shared" si="49"/>
        <v>2486.2699999999995</v>
      </c>
      <c r="AJ323" s="148"/>
      <c r="AK323" s="149">
        <f>Valores!$C$84</f>
        <v>325</v>
      </c>
      <c r="AL323" s="154">
        <v>0</v>
      </c>
      <c r="AM323" s="162">
        <f t="shared" si="47"/>
        <v>325</v>
      </c>
      <c r="AN323" s="148">
        <f>AI323*-Valores!$C$65</f>
        <v>-285.92105</v>
      </c>
      <c r="AO323" s="146">
        <f>AI323*-Valores!$C$66</f>
        <v>-111.88214999999998</v>
      </c>
      <c r="AP323" s="170">
        <v>-159.43</v>
      </c>
      <c r="AQ323" s="170">
        <f t="shared" si="50"/>
        <v>-53.83</v>
      </c>
      <c r="AR323" s="162">
        <f t="shared" si="51"/>
        <v>2200.2068</v>
      </c>
    </row>
    <row r="324" spans="1:44" ht="11.25" customHeight="1">
      <c r="A324" s="147">
        <v>322</v>
      </c>
      <c r="B324" s="147"/>
      <c r="C324" s="145" t="s">
        <v>497</v>
      </c>
      <c r="D324" s="161">
        <v>1</v>
      </c>
      <c r="E324" s="161">
        <f t="shared" si="44"/>
        <v>40</v>
      </c>
      <c r="F324" s="147" t="s">
        <v>519</v>
      </c>
      <c r="G324" s="160">
        <v>242</v>
      </c>
      <c r="H324" s="149">
        <f>INT((G324*Valores!$C$2*100)+0.5)/100</f>
        <v>2042.19</v>
      </c>
      <c r="I324" s="159">
        <v>0</v>
      </c>
      <c r="J324" s="149">
        <f>INT((I324*Valores!$C$2*100)+0.5)/100</f>
        <v>0</v>
      </c>
      <c r="K324" s="151">
        <v>0</v>
      </c>
      <c r="L324" s="149">
        <f>INT((K324*Valores!$C$2*100)+0.5)/100</f>
        <v>0</v>
      </c>
      <c r="M324" s="158">
        <v>0</v>
      </c>
      <c r="N324" s="149">
        <f>INT((M324*Valores!$C$2*100)+0.5)/100</f>
        <v>0</v>
      </c>
      <c r="O324" s="149">
        <f t="shared" si="45"/>
        <v>0</v>
      </c>
      <c r="P324" s="149">
        <f t="shared" si="46"/>
        <v>0</v>
      </c>
      <c r="Q324" s="148">
        <v>0</v>
      </c>
      <c r="R324" s="148">
        <v>0</v>
      </c>
      <c r="S324" s="149">
        <v>0</v>
      </c>
      <c r="T324" s="149">
        <f>Valores!$C$46</f>
        <v>154.98</v>
      </c>
      <c r="U324" s="148">
        <v>0</v>
      </c>
      <c r="V324" s="149">
        <f t="shared" si="53"/>
        <v>0</v>
      </c>
      <c r="W324" s="149">
        <v>0</v>
      </c>
      <c r="X324" s="149">
        <v>0</v>
      </c>
      <c r="Y324" s="149">
        <v>0</v>
      </c>
      <c r="Z324" s="149">
        <v>0</v>
      </c>
      <c r="AA324" s="149">
        <v>0</v>
      </c>
      <c r="AB324" s="154">
        <v>0</v>
      </c>
      <c r="AC324" s="149">
        <f t="shared" si="48"/>
        <v>0</v>
      </c>
      <c r="AD324" s="149">
        <v>0</v>
      </c>
      <c r="AE324" s="157">
        <v>0</v>
      </c>
      <c r="AF324" s="149">
        <f>INT(((AE324*Valores!$C$2)*100)+0.5)/100</f>
        <v>0</v>
      </c>
      <c r="AG324" s="149">
        <f>Valores!$C$59</f>
        <v>54.2</v>
      </c>
      <c r="AH324" s="149">
        <f>Valores!$C$61</f>
        <v>15.49</v>
      </c>
      <c r="AI324" s="163">
        <f t="shared" si="49"/>
        <v>2266.8599999999997</v>
      </c>
      <c r="AJ324" s="148"/>
      <c r="AK324" s="149">
        <f>Valores!$C$84</f>
        <v>325</v>
      </c>
      <c r="AL324" s="154">
        <v>0</v>
      </c>
      <c r="AM324" s="162">
        <f t="shared" si="47"/>
        <v>325</v>
      </c>
      <c r="AN324" s="148">
        <f>AI324*-Valores!$C$65</f>
        <v>-260.6889</v>
      </c>
      <c r="AO324" s="146">
        <f>AI324*-Valores!$C$66</f>
        <v>-102.00869999999998</v>
      </c>
      <c r="AP324" s="170">
        <v>-159.43</v>
      </c>
      <c r="AQ324" s="170">
        <f t="shared" si="50"/>
        <v>-53.83</v>
      </c>
      <c r="AR324" s="162">
        <f t="shared" si="51"/>
        <v>2015.9024</v>
      </c>
    </row>
    <row r="325" spans="1:44" ht="11.25" customHeight="1">
      <c r="A325" s="147">
        <v>323</v>
      </c>
      <c r="B325" s="147"/>
      <c r="C325" s="145" t="s">
        <v>497</v>
      </c>
      <c r="D325" s="161">
        <v>1</v>
      </c>
      <c r="E325" s="161">
        <f t="shared" si="44"/>
        <v>40</v>
      </c>
      <c r="F325" s="147" t="s">
        <v>520</v>
      </c>
      <c r="G325" s="160">
        <v>238</v>
      </c>
      <c r="H325" s="149">
        <f>INT((G325*Valores!$C$2*100)+0.5)/100</f>
        <v>2008.43</v>
      </c>
      <c r="I325" s="159">
        <v>0</v>
      </c>
      <c r="J325" s="149">
        <f>INT((I325*Valores!$C$2*100)+0.5)/100</f>
        <v>0</v>
      </c>
      <c r="K325" s="151">
        <v>0</v>
      </c>
      <c r="L325" s="149">
        <f>INT((K325*Valores!$C$2*100)+0.5)/100</f>
        <v>0</v>
      </c>
      <c r="M325" s="158">
        <v>0</v>
      </c>
      <c r="N325" s="149">
        <f>INT((M325*Valores!$C$2*100)+0.5)/100</f>
        <v>0</v>
      </c>
      <c r="O325" s="149">
        <f t="shared" si="45"/>
        <v>0</v>
      </c>
      <c r="P325" s="149">
        <f t="shared" si="46"/>
        <v>0</v>
      </c>
      <c r="Q325" s="148">
        <v>0</v>
      </c>
      <c r="R325" s="148">
        <v>0</v>
      </c>
      <c r="S325" s="149">
        <v>0</v>
      </c>
      <c r="T325" s="149">
        <f>Valores!$C$46</f>
        <v>154.98</v>
      </c>
      <c r="U325" s="148">
        <v>0</v>
      </c>
      <c r="V325" s="149">
        <f t="shared" si="53"/>
        <v>0</v>
      </c>
      <c r="W325" s="149">
        <v>0</v>
      </c>
      <c r="X325" s="149">
        <v>0</v>
      </c>
      <c r="Y325" s="149">
        <v>0</v>
      </c>
      <c r="Z325" s="149">
        <v>0</v>
      </c>
      <c r="AA325" s="149">
        <v>0</v>
      </c>
      <c r="AB325" s="154">
        <v>0</v>
      </c>
      <c r="AC325" s="149">
        <f t="shared" si="48"/>
        <v>0</v>
      </c>
      <c r="AD325" s="149">
        <v>0</v>
      </c>
      <c r="AE325" s="157">
        <v>0</v>
      </c>
      <c r="AF325" s="149">
        <f>INT(((AE325*Valores!$C$2)*100)+0.5)/100</f>
        <v>0</v>
      </c>
      <c r="AG325" s="149">
        <f>Valores!$C$59</f>
        <v>54.2</v>
      </c>
      <c r="AH325" s="149">
        <f>Valores!$C$61</f>
        <v>15.49</v>
      </c>
      <c r="AI325" s="163">
        <f t="shared" si="49"/>
        <v>2233.0999999999995</v>
      </c>
      <c r="AJ325" s="148"/>
      <c r="AK325" s="149">
        <f>Valores!$C$84</f>
        <v>325</v>
      </c>
      <c r="AL325" s="154">
        <v>0</v>
      </c>
      <c r="AM325" s="162">
        <f t="shared" si="47"/>
        <v>325</v>
      </c>
      <c r="AN325" s="148">
        <f>AI325*-Valores!$C$65</f>
        <v>-256.80649999999997</v>
      </c>
      <c r="AO325" s="146">
        <f>AI325*-Valores!$C$66</f>
        <v>-100.48949999999998</v>
      </c>
      <c r="AP325" s="170">
        <v>-159.43</v>
      </c>
      <c r="AQ325" s="170">
        <f t="shared" si="50"/>
        <v>-53.83</v>
      </c>
      <c r="AR325" s="162">
        <f t="shared" si="51"/>
        <v>1987.5439999999992</v>
      </c>
    </row>
    <row r="326" spans="1:44" ht="11.25" customHeight="1">
      <c r="A326" s="147">
        <v>324</v>
      </c>
      <c r="B326" s="147"/>
      <c r="C326" s="145" t="s">
        <v>497</v>
      </c>
      <c r="D326" s="161">
        <v>1</v>
      </c>
      <c r="E326" s="161">
        <f t="shared" si="44"/>
        <v>40</v>
      </c>
      <c r="F326" s="147" t="s">
        <v>521</v>
      </c>
      <c r="G326" s="160">
        <v>242</v>
      </c>
      <c r="H326" s="149">
        <f>INT((G326*Valores!$C$2*100)+0.5)/100</f>
        <v>2042.19</v>
      </c>
      <c r="I326" s="159">
        <v>0</v>
      </c>
      <c r="J326" s="149">
        <f>INT((I326*Valores!$C$2*100)+0.5)/100</f>
        <v>0</v>
      </c>
      <c r="K326" s="151">
        <v>0</v>
      </c>
      <c r="L326" s="149">
        <f>INT((K326*Valores!$C$2*100)+0.5)/100</f>
        <v>0</v>
      </c>
      <c r="M326" s="158">
        <v>0</v>
      </c>
      <c r="N326" s="149">
        <f>INT((M326*Valores!$C$2*100)+0.5)/100</f>
        <v>0</v>
      </c>
      <c r="O326" s="149">
        <f t="shared" si="45"/>
        <v>0</v>
      </c>
      <c r="P326" s="149">
        <f t="shared" si="46"/>
        <v>0</v>
      </c>
      <c r="Q326" s="148">
        <v>0</v>
      </c>
      <c r="R326" s="148">
        <v>0</v>
      </c>
      <c r="S326" s="149">
        <v>0</v>
      </c>
      <c r="T326" s="149">
        <f>Valores!$C$46</f>
        <v>154.98</v>
      </c>
      <c r="U326" s="149">
        <v>0</v>
      </c>
      <c r="V326" s="149">
        <f t="shared" si="53"/>
        <v>0</v>
      </c>
      <c r="W326" s="149">
        <v>0</v>
      </c>
      <c r="X326" s="149">
        <v>0</v>
      </c>
      <c r="Y326" s="149">
        <v>0</v>
      </c>
      <c r="Z326" s="149">
        <v>0</v>
      </c>
      <c r="AA326" s="149">
        <v>0</v>
      </c>
      <c r="AB326" s="154">
        <v>0</v>
      </c>
      <c r="AC326" s="149">
        <f t="shared" si="48"/>
        <v>0</v>
      </c>
      <c r="AD326" s="149">
        <v>0</v>
      </c>
      <c r="AE326" s="157">
        <v>0</v>
      </c>
      <c r="AF326" s="149">
        <f>INT(((AE326*Valores!$C$2)*100)+0.5)/100</f>
        <v>0</v>
      </c>
      <c r="AG326" s="149">
        <f>Valores!$C$59</f>
        <v>54.2</v>
      </c>
      <c r="AH326" s="149">
        <f>Valores!$C$61</f>
        <v>15.49</v>
      </c>
      <c r="AI326" s="163">
        <f t="shared" si="49"/>
        <v>2266.8599999999997</v>
      </c>
      <c r="AJ326" s="148"/>
      <c r="AK326" s="149">
        <f>Valores!$C$84</f>
        <v>325</v>
      </c>
      <c r="AL326" s="154">
        <v>0</v>
      </c>
      <c r="AM326" s="162">
        <f t="shared" si="47"/>
        <v>325</v>
      </c>
      <c r="AN326" s="148">
        <f>AI326*-Valores!$C$65</f>
        <v>-260.6889</v>
      </c>
      <c r="AO326" s="146">
        <f>AI326*-Valores!$C$66</f>
        <v>-102.00869999999998</v>
      </c>
      <c r="AP326" s="170">
        <v>-159.43</v>
      </c>
      <c r="AQ326" s="170">
        <f t="shared" si="50"/>
        <v>-53.83</v>
      </c>
      <c r="AR326" s="162">
        <f t="shared" si="51"/>
        <v>2015.9024</v>
      </c>
    </row>
    <row r="327" spans="1:44" ht="11.25" customHeight="1">
      <c r="A327" s="147">
        <v>325</v>
      </c>
      <c r="B327" s="147" t="s">
        <v>135</v>
      </c>
      <c r="C327" s="145" t="s">
        <v>497</v>
      </c>
      <c r="D327" s="161">
        <v>1</v>
      </c>
      <c r="E327" s="161">
        <f t="shared" si="44"/>
        <v>43</v>
      </c>
      <c r="F327" s="147" t="s">
        <v>522</v>
      </c>
      <c r="G327" s="160">
        <v>237</v>
      </c>
      <c r="H327" s="149">
        <f>INT((G327*Valores!$C$2*100)+0.5)/100</f>
        <v>2000</v>
      </c>
      <c r="I327" s="159">
        <v>0</v>
      </c>
      <c r="J327" s="149">
        <f>INT((I327*Valores!$C$2*100)+0.5)/100</f>
        <v>0</v>
      </c>
      <c r="K327" s="151">
        <v>0</v>
      </c>
      <c r="L327" s="149">
        <f>INT((K327*Valores!$C$2*100)+0.5)/100</f>
        <v>0</v>
      </c>
      <c r="M327" s="158">
        <v>0</v>
      </c>
      <c r="N327" s="149">
        <f>INT((M327*Valores!$C$2*100)+0.5)/100</f>
        <v>0</v>
      </c>
      <c r="O327" s="149">
        <f t="shared" si="45"/>
        <v>0</v>
      </c>
      <c r="P327" s="149">
        <f t="shared" si="46"/>
        <v>0</v>
      </c>
      <c r="Q327" s="148">
        <v>0</v>
      </c>
      <c r="R327" s="148">
        <v>0</v>
      </c>
      <c r="S327" s="149">
        <v>0</v>
      </c>
      <c r="T327" s="149">
        <f>Valores!$C$46</f>
        <v>154.98</v>
      </c>
      <c r="U327" s="148">
        <v>0</v>
      </c>
      <c r="V327" s="149">
        <f t="shared" si="53"/>
        <v>0</v>
      </c>
      <c r="W327" s="149">
        <v>0</v>
      </c>
      <c r="X327" s="149">
        <v>0</v>
      </c>
      <c r="Y327" s="149">
        <v>0</v>
      </c>
      <c r="Z327" s="149">
        <v>0</v>
      </c>
      <c r="AA327" s="149">
        <v>0</v>
      </c>
      <c r="AB327" s="154">
        <v>0</v>
      </c>
      <c r="AC327" s="149">
        <f t="shared" si="48"/>
        <v>0</v>
      </c>
      <c r="AD327" s="149">
        <v>0</v>
      </c>
      <c r="AE327" s="157">
        <v>0</v>
      </c>
      <c r="AF327" s="149">
        <f>INT(((AE327*Valores!$C$2)*100)+0.5)/100</f>
        <v>0</v>
      </c>
      <c r="AG327" s="149">
        <f>Valores!$C$59</f>
        <v>54.2</v>
      </c>
      <c r="AH327" s="149">
        <f>Valores!$C$61</f>
        <v>15.49</v>
      </c>
      <c r="AI327" s="163">
        <f t="shared" si="49"/>
        <v>2224.6699999999996</v>
      </c>
      <c r="AJ327" s="148"/>
      <c r="AK327" s="149">
        <f>Valores!$C$84</f>
        <v>325</v>
      </c>
      <c r="AL327" s="154">
        <v>0</v>
      </c>
      <c r="AM327" s="162">
        <f t="shared" si="47"/>
        <v>325</v>
      </c>
      <c r="AN327" s="148">
        <f>AI327*-Valores!$C$65</f>
        <v>-255.83704999999998</v>
      </c>
      <c r="AO327" s="146">
        <f>AI327*-Valores!$C$66</f>
        <v>-100.11014999999998</v>
      </c>
      <c r="AP327" s="170">
        <v>-159.43</v>
      </c>
      <c r="AQ327" s="170">
        <f t="shared" si="50"/>
        <v>-53.83</v>
      </c>
      <c r="AR327" s="162">
        <f t="shared" si="51"/>
        <v>1980.4627999999996</v>
      </c>
    </row>
    <row r="328" spans="1:44" ht="11.25" customHeight="1">
      <c r="A328" s="147">
        <v>326</v>
      </c>
      <c r="B328" s="147"/>
      <c r="C328" s="145" t="s">
        <v>497</v>
      </c>
      <c r="D328" s="145"/>
      <c r="E328" s="161">
        <f>LEN(F328)</f>
        <v>46</v>
      </c>
      <c r="F328" s="147" t="s">
        <v>523</v>
      </c>
      <c r="G328" s="160">
        <v>230</v>
      </c>
      <c r="H328" s="149">
        <f>INT((G328*Valores!$C$2*100)+0.5)/100</f>
        <v>1940.92</v>
      </c>
      <c r="I328" s="159">
        <v>0</v>
      </c>
      <c r="J328" s="149">
        <f>INT((I328*Valores!$C$2*100)+0.5)/100</f>
        <v>0</v>
      </c>
      <c r="K328" s="151">
        <v>0</v>
      </c>
      <c r="L328" s="149">
        <f>INT((K328*Valores!$C$2*100)+0.5)/100</f>
        <v>0</v>
      </c>
      <c r="M328" s="158">
        <v>0</v>
      </c>
      <c r="N328" s="149">
        <f>INT((M328*Valores!$C$2*100)+0.5)/100</f>
        <v>0</v>
      </c>
      <c r="O328" s="149">
        <f>IF($J$2=0,IF(C328&lt;&gt;"13-930",(SUM(H328,J328,L328,N328,Z328,U328,T328)*$O$2),0),0)</f>
        <v>0</v>
      </c>
      <c r="P328" s="149">
        <f t="shared" si="46"/>
        <v>0</v>
      </c>
      <c r="Q328" s="148">
        <v>0</v>
      </c>
      <c r="R328" s="148">
        <v>0</v>
      </c>
      <c r="S328" s="149">
        <v>0</v>
      </c>
      <c r="T328" s="149">
        <f>Valores!$C$46</f>
        <v>154.98</v>
      </c>
      <c r="U328" s="148">
        <v>0</v>
      </c>
      <c r="V328" s="149">
        <f t="shared" si="53"/>
        <v>0</v>
      </c>
      <c r="W328" s="149">
        <v>0</v>
      </c>
      <c r="X328" s="149">
        <v>0</v>
      </c>
      <c r="Y328" s="149">
        <v>0</v>
      </c>
      <c r="Z328" s="149">
        <v>0</v>
      </c>
      <c r="AA328" s="149">
        <v>0</v>
      </c>
      <c r="AB328" s="154">
        <v>0</v>
      </c>
      <c r="AC328" s="149">
        <f t="shared" si="48"/>
        <v>0</v>
      </c>
      <c r="AD328" s="149">
        <v>0</v>
      </c>
      <c r="AE328" s="157">
        <v>0</v>
      </c>
      <c r="AF328" s="149">
        <f>INT(((AE328*Valores!$C$2)*100)+0.5)/100</f>
        <v>0</v>
      </c>
      <c r="AG328" s="149">
        <f>Valores!$C$59</f>
        <v>54.2</v>
      </c>
      <c r="AH328" s="149">
        <f>Valores!$C$61</f>
        <v>15.49</v>
      </c>
      <c r="AI328" s="163">
        <f t="shared" si="49"/>
        <v>2165.5899999999997</v>
      </c>
      <c r="AJ328" s="148"/>
      <c r="AK328" s="149">
        <f>Valores!$C$84</f>
        <v>325</v>
      </c>
      <c r="AL328" s="154">
        <v>0</v>
      </c>
      <c r="AM328" s="162">
        <f aca="true" t="shared" si="55" ref="AM328">IF($H$5="SI",SUM(AJ328:AL328),SUM(AJ328:AK328))</f>
        <v>325</v>
      </c>
      <c r="AN328" s="148">
        <f>AI328*-Valores!$C$65</f>
        <v>-249.04285</v>
      </c>
      <c r="AO328" s="146">
        <f>AI328*-Valores!$C$66</f>
        <v>-97.45154999999998</v>
      </c>
      <c r="AP328" s="170">
        <v>-159.43</v>
      </c>
      <c r="AQ328" s="170">
        <f t="shared" si="50"/>
        <v>-53.83</v>
      </c>
      <c r="AR328" s="162">
        <f t="shared" si="51"/>
        <v>1930.8356</v>
      </c>
    </row>
    <row r="330" spans="10:36" ht="11.25" customHeight="1">
      <c r="J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9">
        <f>Y48-Y55</f>
        <v>0</v>
      </c>
      <c r="Z330" s="138"/>
      <c r="AA330" s="138"/>
      <c r="AB330" s="138"/>
      <c r="AC330" s="138"/>
      <c r="AD330" s="138"/>
      <c r="AI330" s="140"/>
      <c r="AJ330" s="141"/>
    </row>
  </sheetData>
  <autoFilter ref="A7:AR328"/>
  <mergeCells count="12">
    <mergeCell ref="C1:AL1"/>
    <mergeCell ref="AL2:AL3"/>
    <mergeCell ref="I3:J3"/>
    <mergeCell ref="K3:L3"/>
    <mergeCell ref="G6:H6"/>
    <mergeCell ref="I6:J6"/>
    <mergeCell ref="K6:L6"/>
    <mergeCell ref="M6:N6"/>
    <mergeCell ref="Y6:Z6"/>
    <mergeCell ref="AE6:AF6"/>
    <mergeCell ref="C4:F4"/>
    <mergeCell ref="P2:W2"/>
  </mergeCells>
  <conditionalFormatting sqref="AM9:AM328 C8:AL94 AM8:AO88 AM90:AO91 AM93:AO94 AR8:AR328 C95:AO328">
    <cfRule type="expression" priority="8" dxfId="1">
      <formula>#REF!="x"</formula>
    </cfRule>
  </conditionalFormatting>
  <conditionalFormatting sqref="AM92:AO92 AR92">
    <cfRule type="expression" priority="9" dxfId="1">
      <formula>#REF!="x"</formula>
    </cfRule>
  </conditionalFormatting>
  <conditionalFormatting sqref="AM9:AM328 AM89:AO89 AR89">
    <cfRule type="expression" priority="11" dxfId="1">
      <formula>#REF!="x"</formula>
    </cfRule>
  </conditionalFormatting>
  <conditionalFormatting sqref="AL95">
    <cfRule type="expression" priority="19" dxfId="1">
      <formula>#REF!="x"</formula>
    </cfRule>
  </conditionalFormatting>
  <conditionalFormatting sqref="AL100">
    <cfRule type="expression" priority="20" dxfId="1">
      <formula>#REF!="x"</formula>
    </cfRule>
  </conditionalFormatting>
  <conditionalFormatting sqref="AL104">
    <cfRule type="expression" priority="21" dxfId="1">
      <formula>#REF!="x"</formula>
    </cfRule>
  </conditionalFormatting>
  <conditionalFormatting sqref="AL105">
    <cfRule type="expression" priority="22" dxfId="1">
      <formula>#REF!="x"</formula>
    </cfRule>
  </conditionalFormatting>
  <conditionalFormatting sqref="AL106">
    <cfRule type="expression" priority="23" dxfId="1">
      <formula>#REF!="x"</formula>
    </cfRule>
  </conditionalFormatting>
  <conditionalFormatting sqref="AL107">
    <cfRule type="expression" priority="24" dxfId="1">
      <formula>#REF!="x"</formula>
    </cfRule>
  </conditionalFormatting>
  <conditionalFormatting sqref="AL108">
    <cfRule type="expression" priority="25" dxfId="1">
      <formula>#REF!="x"</formula>
    </cfRule>
  </conditionalFormatting>
  <conditionalFormatting sqref="AL109">
    <cfRule type="expression" priority="26" dxfId="1">
      <formula>#REF!="x"</formula>
    </cfRule>
  </conditionalFormatting>
  <conditionalFormatting sqref="AL110">
    <cfRule type="expression" priority="27" dxfId="1">
      <formula>#REF!="x"</formula>
    </cfRule>
  </conditionalFormatting>
  <conditionalFormatting sqref="AL111">
    <cfRule type="expression" priority="28" dxfId="1">
      <formula>#REF!="x"</formula>
    </cfRule>
  </conditionalFormatting>
  <conditionalFormatting sqref="AL112">
    <cfRule type="expression" priority="29" dxfId="1">
      <formula>#REF!="x"</formula>
    </cfRule>
  </conditionalFormatting>
  <conditionalFormatting sqref="AL114">
    <cfRule type="expression" priority="30" dxfId="1">
      <formula>#REF!="x"</formula>
    </cfRule>
  </conditionalFormatting>
  <conditionalFormatting sqref="AL115">
    <cfRule type="expression" priority="31" dxfId="1">
      <formula>#REF!="x"</formula>
    </cfRule>
  </conditionalFormatting>
  <conditionalFormatting sqref="AL118">
    <cfRule type="expression" priority="32" dxfId="1">
      <formula>#REF!="x"</formula>
    </cfRule>
  </conditionalFormatting>
  <conditionalFormatting sqref="AL120">
    <cfRule type="expression" priority="33" dxfId="1">
      <formula>#REF!="x"</formula>
    </cfRule>
  </conditionalFormatting>
  <conditionalFormatting sqref="AL123">
    <cfRule type="expression" priority="34" dxfId="1">
      <formula>#REF!="x"</formula>
    </cfRule>
  </conditionalFormatting>
  <conditionalFormatting sqref="AL124">
    <cfRule type="expression" priority="35" dxfId="1">
      <formula>#REF!="x"</formula>
    </cfRule>
  </conditionalFormatting>
  <conditionalFormatting sqref="AL125">
    <cfRule type="expression" priority="36" dxfId="1">
      <formula>#REF!="x"</formula>
    </cfRule>
  </conditionalFormatting>
  <conditionalFormatting sqref="AL126">
    <cfRule type="expression" priority="37" dxfId="1">
      <formula>#REF!="x"</formula>
    </cfRule>
  </conditionalFormatting>
  <conditionalFormatting sqref="AL127">
    <cfRule type="expression" priority="38" dxfId="1">
      <formula>#REF!="x"</formula>
    </cfRule>
  </conditionalFormatting>
  <conditionalFormatting sqref="AL129">
    <cfRule type="expression" priority="39" dxfId="1">
      <formula>#REF!="x"</formula>
    </cfRule>
  </conditionalFormatting>
  <conditionalFormatting sqref="AL130">
    <cfRule type="expression" priority="40" dxfId="1">
      <formula>#REF!="x"</formula>
    </cfRule>
  </conditionalFormatting>
  <conditionalFormatting sqref="AL132">
    <cfRule type="expression" priority="41" dxfId="1">
      <formula>#REF!="x"</formula>
    </cfRule>
  </conditionalFormatting>
  <conditionalFormatting sqref="AL133">
    <cfRule type="expression" priority="42" dxfId="1">
      <formula>#REF!="x"</formula>
    </cfRule>
  </conditionalFormatting>
  <conditionalFormatting sqref="AL134">
    <cfRule type="expression" priority="43" dxfId="1">
      <formula>#REF!="x"</formula>
    </cfRule>
  </conditionalFormatting>
  <conditionalFormatting sqref="AL135">
    <cfRule type="expression" priority="44" dxfId="1">
      <formula>#REF!="x"</formula>
    </cfRule>
  </conditionalFormatting>
  <conditionalFormatting sqref="AL136">
    <cfRule type="expression" priority="45" dxfId="1">
      <formula>#REF!="x"</formula>
    </cfRule>
  </conditionalFormatting>
  <conditionalFormatting sqref="AL137">
    <cfRule type="expression" priority="46" dxfId="1">
      <formula>#REF!="x"</formula>
    </cfRule>
  </conditionalFormatting>
  <conditionalFormatting sqref="AL140">
    <cfRule type="expression" priority="47" dxfId="1">
      <formula>#REF!="x"</formula>
    </cfRule>
  </conditionalFormatting>
  <conditionalFormatting sqref="AL142">
    <cfRule type="expression" priority="48" dxfId="1">
      <formula>#REF!="x"</formula>
    </cfRule>
  </conditionalFormatting>
  <conditionalFormatting sqref="AL143">
    <cfRule type="expression" priority="49" dxfId="1">
      <formula>#REF!="x"</formula>
    </cfRule>
  </conditionalFormatting>
  <conditionalFormatting sqref="AL146">
    <cfRule type="expression" priority="50" dxfId="1">
      <formula>#REF!="x"</formula>
    </cfRule>
  </conditionalFormatting>
  <conditionalFormatting sqref="AL147">
    <cfRule type="expression" priority="51" dxfId="1">
      <formula>#REF!="x"</formula>
    </cfRule>
  </conditionalFormatting>
  <conditionalFormatting sqref="AL148">
    <cfRule type="expression" priority="52" dxfId="1">
      <formula>#REF!="x"</formula>
    </cfRule>
  </conditionalFormatting>
  <conditionalFormatting sqref="AL151">
    <cfRule type="expression" priority="53" dxfId="1">
      <formula>#REF!="x"</formula>
    </cfRule>
  </conditionalFormatting>
  <conditionalFormatting sqref="AL154">
    <cfRule type="expression" priority="54" dxfId="1">
      <formula>#REF!="x"</formula>
    </cfRule>
  </conditionalFormatting>
  <conditionalFormatting sqref="AL155">
    <cfRule type="expression" priority="55" dxfId="1">
      <formula>#REF!="x"</formula>
    </cfRule>
  </conditionalFormatting>
  <conditionalFormatting sqref="AL157">
    <cfRule type="expression" priority="56" dxfId="1">
      <formula>#REF!="x"</formula>
    </cfRule>
  </conditionalFormatting>
  <conditionalFormatting sqref="AL160">
    <cfRule type="expression" priority="57" dxfId="1">
      <formula>#REF!="x"</formula>
    </cfRule>
  </conditionalFormatting>
  <conditionalFormatting sqref="AL161">
    <cfRule type="expression" priority="58" dxfId="1">
      <formula>#REF!="x"</formula>
    </cfRule>
  </conditionalFormatting>
  <conditionalFormatting sqref="AL163">
    <cfRule type="expression" priority="59" dxfId="1">
      <formula>#REF!="x"</formula>
    </cfRule>
  </conditionalFormatting>
  <conditionalFormatting sqref="AL164">
    <cfRule type="expression" priority="60" dxfId="1">
      <formula>#REF!="x"</formula>
    </cfRule>
  </conditionalFormatting>
  <conditionalFormatting sqref="AL165">
    <cfRule type="expression" priority="61" dxfId="1">
      <formula>#REF!="x"</formula>
    </cfRule>
  </conditionalFormatting>
  <conditionalFormatting sqref="AL175">
    <cfRule type="expression" priority="62" dxfId="1">
      <formula>#REF!="x"</formula>
    </cfRule>
  </conditionalFormatting>
  <conditionalFormatting sqref="AL176:AL180">
    <cfRule type="expression" priority="63" dxfId="1">
      <formula>#REF!="x"</formula>
    </cfRule>
  </conditionalFormatting>
  <conditionalFormatting sqref="AL180">
    <cfRule type="expression" priority="64" dxfId="1">
      <formula>#REF!="x"</formula>
    </cfRule>
  </conditionalFormatting>
  <conditionalFormatting sqref="AL181">
    <cfRule type="expression" priority="65" dxfId="1">
      <formula>#REF!="x"</formula>
    </cfRule>
  </conditionalFormatting>
  <conditionalFormatting sqref="AL184">
    <cfRule type="expression" priority="66" dxfId="1">
      <formula>#REF!="x"</formula>
    </cfRule>
  </conditionalFormatting>
  <conditionalFormatting sqref="AL185">
    <cfRule type="expression" priority="67" dxfId="1">
      <formula>#REF!="x"</formula>
    </cfRule>
  </conditionalFormatting>
  <conditionalFormatting sqref="AL186">
    <cfRule type="expression" priority="68" dxfId="1">
      <formula>#REF!="x"</formula>
    </cfRule>
  </conditionalFormatting>
  <conditionalFormatting sqref="AL191">
    <cfRule type="expression" priority="69" dxfId="1">
      <formula>#REF!="x"</formula>
    </cfRule>
  </conditionalFormatting>
  <conditionalFormatting sqref="AL192">
    <cfRule type="expression" priority="70" dxfId="1">
      <formula>#REF!="x"</formula>
    </cfRule>
  </conditionalFormatting>
  <conditionalFormatting sqref="AL182:AL183">
    <cfRule type="expression" priority="71" dxfId="1">
      <formula>#REF!="x"</formula>
    </cfRule>
  </conditionalFormatting>
  <conditionalFormatting sqref="AL181">
    <cfRule type="expression" priority="72" dxfId="1">
      <formula>#REF!="x"</formula>
    </cfRule>
  </conditionalFormatting>
  <conditionalFormatting sqref="AK193:AK258 C8:AK257 C258:AJ258 AL8:AO328 AR8:AR328 C259:AK328">
    <cfRule type="expression" priority="73" dxfId="0">
      <formula>#REF!="SI"</formula>
    </cfRule>
  </conditionalFormatting>
  <conditionalFormatting sqref="AP8:AQ328">
    <cfRule type="expression" priority="1" dxfId="1">
      <formula>#REF!="x"</formula>
    </cfRule>
  </conditionalFormatting>
  <conditionalFormatting sqref="AP92:AQ92">
    <cfRule type="expression" priority="2" dxfId="1">
      <formula>#REF!="x"</formula>
    </cfRule>
  </conditionalFormatting>
  <conditionalFormatting sqref="AP89:AQ89">
    <cfRule type="expression" priority="3" dxfId="1">
      <formula>#REF!="x"</formula>
    </cfRule>
  </conditionalFormatting>
  <conditionalFormatting sqref="AP8:AQ328">
    <cfRule type="expression" priority="4" dxfId="0">
      <formula>#REF!="SI"</formula>
    </cfRule>
  </conditionalFormatting>
  <dataValidations count="2">
    <dataValidation type="list" allowBlank="1" showInputMessage="1" showErrorMessage="1" error="VALOR INCORRECTO" sqref="H5 AL5">
      <formula1>$AM$3:$AM$5</formula1>
      <formula2>0</formula2>
    </dataValidation>
    <dataValidation type="list" allowBlank="1" showInputMessage="1" showErrorMessage="1" sqref="H4">
      <formula1>Valores!$L$1:$L$11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187" t="str">
        <f ca="1">MID(CELL("FILENAME",L41),FIND("[",CELL("FILENAME",L41))+1,FIND("]",CELL("FILENAME",L41))-FIND("[",CELL("FILENAME",L41))-1)</f>
        <v>ESCALA FEBRERO 2020.xlsx</v>
      </c>
      <c r="B1" s="187"/>
      <c r="C1" s="187"/>
      <c r="D1" s="187"/>
      <c r="E1" s="187"/>
      <c r="F1" s="187"/>
      <c r="G1" s="187"/>
      <c r="H1" s="187"/>
      <c r="I1" s="187"/>
      <c r="J1" s="187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188" t="s">
        <v>68</v>
      </c>
      <c r="B2" s="188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189" t="s">
        <v>524</v>
      </c>
      <c r="R3" s="189"/>
      <c r="S3" s="189"/>
      <c r="T3" s="190" t="s">
        <v>525</v>
      </c>
      <c r="U3" s="190"/>
      <c r="V3" s="190"/>
      <c r="W3" s="190"/>
      <c r="Y3" s="17"/>
    </row>
    <row r="4" spans="1:25" ht="19.5">
      <c r="A4" s="13"/>
      <c r="B4" s="13"/>
      <c r="C4" s="29" t="s">
        <v>526</v>
      </c>
      <c r="D4" s="30" t="s">
        <v>76</v>
      </c>
      <c r="E4" s="30" t="s">
        <v>527</v>
      </c>
      <c r="F4" s="30" t="s">
        <v>528</v>
      </c>
      <c r="G4" s="31" t="s">
        <v>77</v>
      </c>
      <c r="H4" s="32" t="s">
        <v>78</v>
      </c>
      <c r="I4" s="33" t="s">
        <v>529</v>
      </c>
      <c r="J4" s="34" t="s">
        <v>530</v>
      </c>
      <c r="K4" s="35" t="s">
        <v>529</v>
      </c>
      <c r="Q4" s="36" t="s">
        <v>531</v>
      </c>
      <c r="R4" s="37" t="s">
        <v>532</v>
      </c>
      <c r="S4" s="37" t="s">
        <v>533</v>
      </c>
      <c r="T4" s="38" t="s">
        <v>534</v>
      </c>
      <c r="U4" s="39" t="s">
        <v>535</v>
      </c>
      <c r="V4" s="39" t="s">
        <v>536</v>
      </c>
      <c r="W4" s="39" t="s">
        <v>533</v>
      </c>
      <c r="X4" s="40" t="s">
        <v>537</v>
      </c>
      <c r="Y4" s="40" t="s">
        <v>538</v>
      </c>
    </row>
    <row r="5" spans="1:25" ht="12.75">
      <c r="A5" s="14" t="s">
        <v>93</v>
      </c>
      <c r="B5" s="15" t="s">
        <v>94</v>
      </c>
      <c r="C5" s="41" t="s">
        <v>96</v>
      </c>
      <c r="D5" s="42" t="s">
        <v>103</v>
      </c>
      <c r="E5" s="42" t="s">
        <v>539</v>
      </c>
      <c r="F5" s="43"/>
      <c r="G5" s="43" t="s">
        <v>104</v>
      </c>
      <c r="H5" s="43" t="s">
        <v>105</v>
      </c>
      <c r="I5" s="44" t="s">
        <v>540</v>
      </c>
      <c r="J5" s="45" t="s">
        <v>541</v>
      </c>
      <c r="K5" s="44" t="s">
        <v>542</v>
      </c>
      <c r="L5" s="46" t="s">
        <v>543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544</v>
      </c>
      <c r="B6" s="16" t="s">
        <v>545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546</v>
      </c>
      <c r="B7" s="16" t="s">
        <v>547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526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548</v>
      </c>
      <c r="B8" s="16" t="s">
        <v>549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550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551</v>
      </c>
      <c r="B9" s="56" t="s">
        <v>552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553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554</v>
      </c>
      <c r="B10" s="56" t="s">
        <v>555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556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557</v>
      </c>
      <c r="B11" s="16" t="s">
        <v>558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559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560</v>
      </c>
      <c r="B12" s="16" t="s">
        <v>561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562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563</v>
      </c>
      <c r="B13" s="16" t="s">
        <v>564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565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566</v>
      </c>
      <c r="B14" s="16" t="s">
        <v>567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568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569</v>
      </c>
      <c r="B15" s="16" t="s">
        <v>570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571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572</v>
      </c>
      <c r="B16" s="16" t="s">
        <v>573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574</v>
      </c>
      <c r="B17" s="16" t="s">
        <v>575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576</v>
      </c>
      <c r="B18" s="16" t="s">
        <v>577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578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579</v>
      </c>
      <c r="B19" s="16" t="s">
        <v>580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581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582</v>
      </c>
      <c r="B20" s="16" t="s">
        <v>583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88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584</v>
      </c>
      <c r="B21" s="16" t="s">
        <v>585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584</v>
      </c>
      <c r="B22" s="16" t="s">
        <v>586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584</v>
      </c>
      <c r="B23" s="16" t="s">
        <v>587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584</v>
      </c>
      <c r="B24" s="16" t="s">
        <v>588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584</v>
      </c>
      <c r="B25" s="16" t="s">
        <v>589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584</v>
      </c>
      <c r="B26" s="16" t="s">
        <v>590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584</v>
      </c>
      <c r="B27" s="16" t="s">
        <v>591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584</v>
      </c>
      <c r="B28" s="16" t="s">
        <v>592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584</v>
      </c>
      <c r="B29" s="16" t="s">
        <v>593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584</v>
      </c>
      <c r="B30" s="16" t="s">
        <v>594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584</v>
      </c>
      <c r="B31" s="16" t="s">
        <v>595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584</v>
      </c>
      <c r="B32" s="16" t="s">
        <v>596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597</v>
      </c>
      <c r="Y34" s="17"/>
    </row>
    <row r="35" spans="1:25" ht="12.75" customHeight="1">
      <c r="A35" s="53" t="s">
        <v>598</v>
      </c>
      <c r="B35" s="16" t="s">
        <v>599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600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601</v>
      </c>
      <c r="B36" s="16" t="s">
        <v>602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603</v>
      </c>
      <c r="M36" s="16" t="s">
        <v>604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605</v>
      </c>
      <c r="B37" s="16" t="s">
        <v>606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607</v>
      </c>
      <c r="M37" s="16" t="s">
        <v>608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609</v>
      </c>
      <c r="B38" s="16" t="s">
        <v>610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611</v>
      </c>
      <c r="B39" s="16" t="s">
        <v>612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600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613</v>
      </c>
      <c r="B40" s="16" t="s">
        <v>614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600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615</v>
      </c>
      <c r="B41" s="16" t="s">
        <v>616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600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617</v>
      </c>
      <c r="B42" s="16" t="s">
        <v>618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600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619</v>
      </c>
      <c r="B43" s="16" t="s">
        <v>620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621</v>
      </c>
      <c r="B44" s="16" t="s">
        <v>622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603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623</v>
      </c>
      <c r="B45" s="16" t="s">
        <v>624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603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625</v>
      </c>
      <c r="B46" s="16" t="s">
        <v>626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603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627</v>
      </c>
      <c r="B47" s="16" t="s">
        <v>628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603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2020-08-18T19:20:39Z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