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755" tabRatio="500" firstSheet="1" activeTab="1"/>
  </bookViews>
  <sheets>
    <sheet name="Valores" sheetId="1" state="hidden" r:id="rId1"/>
    <sheet name="Escala Docente" sheetId="2" r:id="rId2"/>
    <sheet name="UPC" sheetId="3" state="hidden" r:id="rId3"/>
  </sheets>
  <definedNames>
    <definedName name="_xlnm._FilterDatabase" localSheetId="1" hidden="1">'Escala Docente'!$A$8:$AY$328</definedName>
    <definedName name="_xlnm._FilterDatabase" localSheetId="2" hidden="1">'UPC'!$A$5:$K$37</definedName>
    <definedName name="_xlnm._FilterDatabase" localSheetId="0" hidden="1">'Valores'!$A$1:$J$88</definedName>
    <definedName name="_xlnm.Print_Area" localSheetId="1">'Escala Docente'!$C$1:$AP$328</definedName>
    <definedName name="_xlnm.Print_Area" localSheetId="2">'UPC'!$A$2:$J$37</definedName>
    <definedName name="_xlnm.Print_Area" localSheetId="0">'Valores'!$A$1:$G$88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Docente'!$C:$F,'Escala Docente'!$7:$8</definedName>
  </definedNames>
  <calcPr calcId="145621"/>
</workbook>
</file>

<file path=xl/sharedStrings.xml><?xml version="1.0" encoding="utf-8"?>
<sst xmlns="http://schemas.openxmlformats.org/spreadsheetml/2006/main" count="1290" uniqueCount="672">
  <si>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</si>
  <si>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</si>
  <si>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</si>
  <si>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</si>
  <si>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</si>
  <si>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</si>
  <si>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</si>
  <si>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</si>
  <si>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</si>
  <si>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Mat. Did. Mensual Secr y Prosecr</t>
  </si>
  <si>
    <t>Mat. Did. Mensual Prec Bibl y Ay Téc</t>
  </si>
  <si>
    <t>Mat. Did. Mensual Dir y Frente Alumnos</t>
  </si>
  <si>
    <t>Mat. Did. Mensual Superv jor compl y min</t>
  </si>
  <si>
    <t>Mat. Did. Mens (5%)</t>
  </si>
  <si>
    <t>Mat. Did. Hs.</t>
  </si>
  <si>
    <t>Mat. Did. 930</t>
  </si>
  <si>
    <t>Ad Rem Hs</t>
  </si>
  <si>
    <t>Adic Rem Cgo 1 DIRECTOR CORO</t>
  </si>
  <si>
    <t>Adic Rem Cgo 2 DIR ENS SUP</t>
  </si>
  <si>
    <t>Adic Rem Cgo 4 SUBINSP GRAL</t>
  </si>
  <si>
    <t>Adic Rem Cgo 5 SUPERV</t>
  </si>
  <si>
    <t>Adic Rem Cgo 6 ASESOR TECNICO</t>
  </si>
  <si>
    <t>Adic Rem Cgo 7 SECR DOCENTE</t>
  </si>
  <si>
    <t>Prom hs</t>
  </si>
  <si>
    <t>Prom Cgos 1</t>
  </si>
  <si>
    <t>Prom Cgos 2</t>
  </si>
  <si>
    <t>Supl. Cap 01</t>
  </si>
  <si>
    <t>Supl. Cap 02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</si>
  <si>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</si>
  <si>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</si>
  <si>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</si>
  <si>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</si>
  <si>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</si>
  <si>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</si>
  <si>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</si>
  <si>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01</t>
  </si>
  <si>
    <t>Gto. Inh. Lab. Doc 02</t>
  </si>
  <si>
    <t>Gto. Inh. Lab. Doc 03</t>
  </si>
  <si>
    <t>Gto. Inh. Lab. Doc 04</t>
  </si>
  <si>
    <t>Gto. Inh. Lab. Doc (5%)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</si>
  <si>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</si>
  <si>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</si>
  <si>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</si>
  <si>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</si>
  <si>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</si>
  <si>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</si>
  <si>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</si>
  <si>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</si>
  <si>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</si>
  <si>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</si>
  <si>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</si>
  <si>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</si>
  <si>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</t>
  </si>
  <si>
    <t>Ap Mat Did Rem. 930</t>
  </si>
  <si>
    <t>Ap Mat Did Rem.Compl</t>
  </si>
  <si>
    <t>Ap Mat Did Rem.Compl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</si>
  <si>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</si>
  <si>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</si>
  <si>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</si>
  <si>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</si>
  <si>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</si>
  <si>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</si>
  <si>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</si>
  <si>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</si>
  <si>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</si>
  <si>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</si>
  <si>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</si>
  <si>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</si>
  <si>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</si>
  <si>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</si>
  <si>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ZONA DESFAVORABLE (EN NUMEROS)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</si>
  <si>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</si>
  <si>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</si>
  <si>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</si>
  <si>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</si>
  <si>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</si>
  <si>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</si>
  <si>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</si>
  <si>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</si>
  <si>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</si>
  <si>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</si>
  <si>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</si>
  <si>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</si>
  <si>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</si>
  <si>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</si>
  <si>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</si>
  <si>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</si>
  <si>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</si>
  <si>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</si>
  <si>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M.Did Men.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</si>
  <si>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</si>
  <si>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</si>
  <si>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</si>
  <si>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</si>
  <si>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</si>
  <si>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</si>
  <si>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</si>
  <si>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</si>
  <si>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NRO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</si>
  <si>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</si>
  <si>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</si>
  <si>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</si>
  <si>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</si>
  <si>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</si>
  <si>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</si>
  <si>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</si>
  <si>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</si>
  <si>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</si>
  <si>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</si>
  <si>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</si>
  <si>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</si>
  <si>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</si>
  <si>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</si>
  <si>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</si>
  <si>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</si>
  <si>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</si>
  <si>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</si>
  <si>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</si>
  <si>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</si>
  <si>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</si>
  <si>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</si>
  <si>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</si>
  <si>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</si>
  <si>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</si>
  <si>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</si>
  <si>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</si>
  <si>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</si>
  <si>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C121170</t>
  </si>
  <si>
    <t>TR</t>
  </si>
  <si>
    <t>C117530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</si>
  <si>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</si>
  <si>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</si>
  <si>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</si>
  <si>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</si>
  <si>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</si>
  <si>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</si>
  <si>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</si>
  <si>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</si>
  <si>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</si>
  <si>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</si>
  <si>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</si>
  <si>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</si>
  <si>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</si>
  <si>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x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</si>
  <si>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</si>
  <si>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</si>
  <si>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</si>
  <si>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</si>
  <si>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</si>
  <si>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</si>
  <si>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</si>
  <si>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</si>
  <si>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</si>
  <si>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</si>
  <si>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</si>
  <si>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</si>
  <si>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</si>
  <si>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</si>
  <si>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</si>
  <si>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</si>
  <si>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</si>
  <si>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</si>
  <si>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</si>
  <si>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</si>
  <si>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</si>
  <si>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</si>
  <si>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</si>
  <si>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</si>
  <si>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</si>
  <si>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</si>
  <si>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</si>
  <si>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</si>
  <si>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</si>
  <si>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</si>
  <si>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</si>
  <si>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</si>
  <si>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</si>
  <si>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</si>
  <si>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</si>
  <si>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</si>
  <si>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</si>
  <si>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</si>
  <si>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</si>
  <si>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</si>
  <si>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</si>
  <si>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</si>
  <si>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</si>
  <si>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</si>
  <si>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</si>
  <si>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</si>
  <si>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</si>
  <si>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</si>
  <si>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</si>
  <si>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</si>
  <si>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</si>
  <si>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</si>
  <si>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</si>
  <si>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</si>
  <si>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</si>
  <si>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</si>
  <si>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</si>
  <si>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</si>
  <si>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</si>
  <si>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</si>
  <si>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</si>
  <si>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</si>
  <si>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</si>
  <si>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</si>
  <si>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</si>
  <si>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</si>
  <si>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</si>
  <si>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</si>
  <si>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</si>
  <si>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</si>
  <si>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</si>
  <si>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</si>
  <si>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</si>
  <si>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</si>
  <si>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</si>
  <si>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</si>
  <si>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</si>
  <si>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</si>
  <si>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</si>
  <si>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</si>
  <si>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</si>
  <si>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</si>
  <si>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</si>
  <si>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</si>
  <si>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</si>
  <si>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</si>
  <si>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</si>
  <si>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</si>
  <si>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</si>
  <si>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</si>
  <si>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</si>
  <si>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</si>
  <si>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</si>
  <si>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</si>
  <si>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</si>
  <si>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</si>
  <si>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</si>
  <si>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</si>
  <si>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</si>
  <si>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</si>
  <si>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</si>
  <si>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</si>
  <si>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</si>
  <si>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</si>
  <si>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</si>
  <si>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</si>
  <si>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</si>
  <si>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</si>
  <si>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</si>
  <si>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</si>
  <si>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</si>
  <si>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</si>
  <si>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</si>
  <si>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</si>
  <si>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</si>
  <si>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</si>
  <si>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</si>
  <si>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</si>
  <si>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</si>
  <si>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</si>
  <si>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</si>
  <si>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</si>
  <si>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</si>
  <si>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</si>
  <si>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</si>
  <si>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</si>
  <si>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</si>
  <si>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</si>
  <si>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</si>
  <si>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</si>
  <si>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</si>
  <si>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</si>
  <si>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</si>
  <si>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</si>
  <si>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</si>
  <si>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</si>
  <si>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</si>
  <si>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</si>
  <si>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</si>
  <si>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</si>
  <si>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</si>
  <si>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</si>
  <si>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</si>
  <si>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</si>
  <si>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</si>
  <si>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</si>
  <si>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</si>
  <si>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</si>
  <si>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</si>
  <si>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</si>
  <si>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</si>
  <si>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</si>
  <si>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</si>
  <si>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</si>
  <si>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13-256</t>
  </si>
  <si>
    <t>Director de 1ª Ens. Prim.T. P. P.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</si>
  <si>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</si>
  <si>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</si>
  <si>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</si>
  <si>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</si>
  <si>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</si>
  <si>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</si>
  <si>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</si>
  <si>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</si>
  <si>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</si>
  <si>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</si>
  <si>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</si>
  <si>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</si>
  <si>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</si>
  <si>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</si>
  <si>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</si>
  <si>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</si>
  <si>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</si>
  <si>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</si>
  <si>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</si>
  <si>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</si>
  <si>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</si>
  <si>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</si>
  <si>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</si>
  <si>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</si>
  <si>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</si>
  <si>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</si>
  <si>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</si>
  <si>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</si>
  <si>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</si>
  <si>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</si>
  <si>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</si>
  <si>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</si>
  <si>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</si>
  <si>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</si>
  <si>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</si>
  <si>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</si>
  <si>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</si>
  <si>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</si>
  <si>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</si>
  <si>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</si>
  <si>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</si>
  <si>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</si>
  <si>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</si>
  <si>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</si>
  <si>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</si>
  <si>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</si>
  <si>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</si>
  <si>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</si>
  <si>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</si>
  <si>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</si>
  <si>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</si>
  <si>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</si>
  <si>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</si>
  <si>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</si>
  <si>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</si>
  <si>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</si>
  <si>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</si>
  <si>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</si>
  <si>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</si>
  <si>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</si>
  <si>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</si>
  <si>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</si>
  <si>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</si>
  <si>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</si>
  <si>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</si>
  <si>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</si>
  <si>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</si>
  <si>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</si>
  <si>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</si>
  <si>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</si>
  <si>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</si>
  <si>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</si>
  <si>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</si>
  <si>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</si>
  <si>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</si>
  <si>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</si>
  <si>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</si>
  <si>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</si>
  <si>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</si>
  <si>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</si>
  <si>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</si>
  <si>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</si>
  <si>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</si>
  <si>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</si>
  <si>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</si>
  <si>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</si>
  <si>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</si>
  <si>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</si>
  <si>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</si>
  <si>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</si>
  <si>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</si>
  <si>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</si>
  <si>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</si>
  <si>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</si>
  <si>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</si>
  <si>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</si>
  <si>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</si>
  <si>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</si>
  <si>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</si>
  <si>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</si>
  <si>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</si>
  <si>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</si>
  <si>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</si>
  <si>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</si>
  <si>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13-476</t>
  </si>
  <si>
    <t>Maestro Grado Pasividad Perman.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</si>
  <si>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</si>
  <si>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</si>
  <si>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</si>
  <si>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</si>
  <si>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</si>
  <si>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</si>
  <si>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</si>
  <si>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</si>
  <si>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</si>
  <si>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</si>
  <si>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</si>
  <si>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</si>
  <si>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</si>
  <si>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</si>
  <si>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</si>
  <si>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</si>
  <si>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</si>
  <si>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</si>
  <si>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</si>
  <si>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</si>
  <si>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</si>
  <si>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</si>
  <si>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</si>
  <si>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</si>
  <si>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</si>
  <si>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</si>
  <si>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</si>
  <si>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</si>
  <si>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</si>
  <si>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</si>
  <si>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</si>
  <si>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</si>
  <si>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</si>
  <si>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</si>
  <si>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</si>
  <si>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</si>
  <si>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</si>
  <si>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</si>
  <si>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</si>
  <si>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</si>
  <si>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</si>
  <si>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</si>
  <si>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</si>
  <si>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</si>
  <si>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</si>
  <si>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</si>
  <si>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</si>
  <si>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</si>
  <si>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</si>
  <si>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</si>
  <si>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</si>
  <si>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</si>
  <si>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</si>
  <si>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</si>
  <si>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</si>
  <si>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</si>
  <si>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</si>
  <si>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</si>
  <si>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</si>
  <si>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</si>
  <si>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</si>
  <si>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</si>
  <si>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</si>
  <si>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</si>
  <si>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</si>
  <si>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</si>
  <si>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</si>
  <si>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</si>
  <si>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</si>
  <si>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</si>
  <si>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</si>
  <si>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</si>
  <si>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</si>
  <si>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</si>
  <si>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</si>
  <si>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</si>
  <si>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</si>
  <si>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</si>
  <si>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</si>
  <si>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</si>
  <si>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</si>
  <si>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</si>
  <si>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</si>
  <si>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</si>
  <si>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</si>
  <si>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</si>
  <si>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</si>
  <si>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</si>
  <si>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</si>
  <si>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</si>
  <si>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</si>
  <si>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</si>
  <si>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</si>
  <si>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</si>
  <si>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</si>
  <si>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</si>
  <si>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</si>
  <si>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</si>
  <si>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</si>
  <si>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</si>
  <si>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</si>
  <si>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</si>
  <si>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</si>
  <si>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</si>
  <si>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</si>
  <si>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</si>
  <si>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</si>
  <si>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</si>
  <si>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</si>
  <si>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</si>
  <si>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</si>
  <si>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</si>
  <si>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</si>
  <si>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</si>
  <si>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</si>
  <si>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</si>
  <si>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</si>
  <si>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</si>
  <si>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</si>
  <si>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</si>
  <si>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</si>
  <si>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</si>
  <si>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</si>
  <si>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</si>
  <si>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</si>
  <si>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</si>
  <si>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</si>
  <si>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</si>
  <si>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</si>
  <si>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</si>
  <si>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</si>
  <si>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</si>
  <si>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</si>
  <si>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</si>
  <si>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</si>
  <si>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</si>
  <si>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</si>
  <si>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</si>
  <si>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</si>
  <si>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</si>
  <si>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</si>
  <si>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</si>
  <si>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</si>
  <si>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</si>
  <si>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</si>
  <si>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</si>
  <si>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</si>
  <si>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</si>
  <si>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</si>
  <si>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</si>
  <si>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</si>
  <si>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</si>
  <si>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</si>
  <si>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</si>
  <si>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</si>
  <si>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</si>
  <si>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</si>
  <si>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</si>
  <si>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</si>
  <si>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</si>
  <si>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</si>
  <si>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</si>
  <si>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</si>
  <si>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</si>
  <si>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</si>
  <si>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</si>
  <si>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</si>
  <si>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</si>
  <si>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</si>
  <si>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</si>
  <si>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</si>
  <si>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</si>
  <si>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</si>
  <si>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</si>
  <si>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</si>
  <si>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</si>
  <si>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</si>
  <si>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</si>
  <si>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</si>
  <si>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</si>
  <si>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</si>
  <si>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</si>
  <si>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</si>
  <si>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</si>
  <si>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</si>
  <si>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</si>
  <si>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</si>
  <si>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</si>
  <si>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</si>
  <si>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</si>
  <si>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</si>
  <si>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</si>
  <si>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</si>
  <si>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</si>
  <si>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</si>
  <si>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</si>
  <si>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</si>
  <si>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</si>
  <si>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</si>
  <si>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</si>
  <si>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</si>
  <si>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</si>
  <si>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</si>
  <si>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</si>
  <si>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</si>
  <si>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</si>
  <si>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</si>
  <si>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</si>
  <si>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</si>
  <si>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</si>
  <si>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</si>
  <si>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</si>
  <si>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</si>
  <si>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</si>
  <si>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</si>
  <si>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</si>
  <si>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</si>
  <si>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</si>
  <si>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</si>
  <si>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</si>
  <si>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</si>
  <si>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</si>
  <si>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</si>
  <si>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</si>
  <si>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</si>
  <si>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</si>
  <si>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</si>
  <si>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</si>
  <si>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</si>
  <si>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</si>
  <si>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Bon Compensatoria Cargos</t>
  </si>
  <si>
    <t>Bon Compe Cargos Dir Med Esp y Sup</t>
  </si>
  <si>
    <t>Bon Compe Cargos Superv y Jor Completa</t>
  </si>
  <si>
    <t>Bon Compensatoria Hs</t>
  </si>
  <si>
    <t>Bon Compensatoria Jornada Extendida</t>
  </si>
  <si>
    <t>C102190</t>
  </si>
  <si>
    <t>X</t>
  </si>
  <si>
    <t>AUMENTO</t>
  </si>
  <si>
    <t>Adicional extraordinario</t>
  </si>
  <si>
    <t>si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</si>
  <si>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</si>
  <si>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</si>
  <si>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</si>
  <si>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</si>
  <si>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</si>
  <si>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</si>
  <si>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Bon Compensatoria Rem Jornada Extendida</t>
  </si>
  <si>
    <t>C102191</t>
  </si>
  <si>
    <t>“2020 - Año del Bicentenario del Paso a la Inmortalidad del General Manuel Belgrano”</t>
  </si>
  <si>
    <t>AFILIADOS APROSS</t>
  </si>
  <si>
    <t>Gtos. Inh. Lab. Doc. (tope $2384,69)</t>
  </si>
  <si>
    <t>Ad R Doc (tope $299,79)</t>
  </si>
  <si>
    <t>Nuevo  A.R.D. (tope $199,86)</t>
  </si>
  <si>
    <t>Ap Mat Did Rem. (tope $813,06)</t>
  </si>
  <si>
    <t>Ap Mat Did Rem. Compl (tope $232,3)</t>
  </si>
  <si>
    <t>Corrección Pauta Salarial sobre FONID (tope $2093,66)</t>
  </si>
  <si>
    <t>Adel Inc Docente (tope $327,6)</t>
  </si>
  <si>
    <t>Bonif. Compensatoria No Rem. (tope $4550)</t>
  </si>
  <si>
    <t>Bonif. Compensatoria Rem. (tope  $2307,69)</t>
  </si>
  <si>
    <t>Seguro de vida obligatorio</t>
  </si>
  <si>
    <t>Fondo de Enfermedades Catastróficas</t>
  </si>
  <si>
    <t>C672600</t>
  </si>
  <si>
    <t>C660330</t>
  </si>
  <si>
    <t>TAREAS PASIVAS</t>
  </si>
  <si>
    <t>Est. Doc (tope $4684,79)</t>
  </si>
  <si>
    <t>NOVIEMBRE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</si>
</sst>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0.000000"/>
    <numFmt numFmtId="165" formatCode="_ * #,##0.00_ ;_ * \-#,##0.00_ ;_ * \-??_ ;_ @_ "/>
    <numFmt numFmtId="166" formatCode="_-* #,##0.00\ _€_-;\-* #,##0.00\ _€_-;_-* \-??\ _€_-;_-@_-"/>
    <numFmt numFmtId="167" formatCode="_ * #,##0.00000_ ;_ * \-#,##0.00000_ ;_ * \-??_ ;_ @_ "/>
    <numFmt numFmtId="168" formatCode="0\ %"/>
    <numFmt numFmtId="169" formatCode="0.0000%"/>
    <numFmt numFmtId="170" formatCode="0.00\ %"/>
    <numFmt numFmtId="171" formatCode="_-* #,##0_-;\-* #,##0_-;_-* \-_-;_-@_-"/>
    <numFmt numFmtId="172" formatCode="_ &quot;$ &quot;* #,##0.00_ ;_ &quot;$ &quot;* \-#,##0.00_ ;_ &quot;$ &quot;* \-??_ ;_ @_ "/>
    <numFmt numFmtId="173" formatCode="_ * #,##0_ ;_ * \-#,##0_ ;_ * \-??_ ;_ @_ "/>
    <numFmt numFmtId="174" formatCode="0_ ;\-0\ "/>
    <numFmt numFmtId="175" formatCode="0.0000"/>
    <numFmt numFmtId="176" formatCode="0.00000000"/>
    <numFmt numFmtId="177" formatCode="#,##0.00000000_ ;\-#,##0.00000000\ "/>
    <numFmt numFmtId="178" formatCode="0.0000_ ;\-0.0000\ "/>
    <numFmt numFmtId="179" formatCode="#,##0.0000_ ;\-#,##0.0000\ "/>
    <numFmt numFmtId="180" formatCode="#,##0_ ;\-#,##0\ "/>
  </numFmts>
  <fonts count="34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rgb="FF0000FF"/>
      <name val="Arial"/>
      <family val="2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6"/>
      <color rgb="FFFFFFFF"/>
      <name val="Calibri"/>
      <family val="2"/>
      <scheme val="minor"/>
    </font>
    <font>
      <u val="single"/>
      <sz val="10"/>
      <color rgb="FF0000FF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32"/>
      <color rgb="FF000000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Border="0" applyProtection="0">
      <alignment/>
    </xf>
    <xf numFmtId="172" fontId="0" fillId="0" borderId="0" applyBorder="0" applyProtection="0">
      <alignment/>
    </xf>
    <xf numFmtId="168" fontId="0" fillId="0" borderId="0" applyBorder="0" applyProtection="0">
      <alignment/>
    </xf>
    <xf numFmtId="0" fontId="7" fillId="0" borderId="0" applyBorder="0" applyProtection="0">
      <alignment/>
    </xf>
    <xf numFmtId="0" fontId="1" fillId="0" borderId="0">
      <alignment/>
      <protection/>
    </xf>
  </cellStyleXfs>
  <cellXfs count="240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5" fontId="0" fillId="0" borderId="0" xfId="20" applyFont="1" applyBorder="1" applyAlignment="1" applyProtection="1">
      <alignment/>
      <protection/>
    </xf>
    <xf numFmtId="165" fontId="0" fillId="0" borderId="0" xfId="0" applyNumberFormat="1"/>
    <xf numFmtId="165" fontId="0" fillId="0" borderId="0" xfId="20" applyFont="1" applyBorder="1" applyAlignment="1" applyProtection="1">
      <alignment/>
      <protection/>
    </xf>
    <xf numFmtId="166" fontId="0" fillId="0" borderId="0" xfId="0" applyNumberFormat="1"/>
    <xf numFmtId="4" fontId="0" fillId="0" borderId="0" xfId="0" applyNumberFormat="1"/>
    <xf numFmtId="164" fontId="0" fillId="0" borderId="0" xfId="0" applyNumberFormat="1"/>
    <xf numFmtId="169" fontId="0" fillId="0" borderId="0" xfId="22" applyNumberFormat="1" applyFont="1" applyBorder="1" applyAlignment="1" applyProtection="1">
      <alignment/>
      <protection/>
    </xf>
    <xf numFmtId="170" fontId="0" fillId="0" borderId="0" xfId="22" applyNumberFormat="1" applyFont="1" applyBorder="1" applyAlignment="1" applyProtection="1">
      <alignment/>
      <protection/>
    </xf>
    <xf numFmtId="0" fontId="4" fillId="0" borderId="0" xfId="24" applyFont="1" applyBorder="1">
      <alignment/>
      <protection/>
    </xf>
    <xf numFmtId="0" fontId="2" fillId="0" borderId="1" xfId="24" applyFont="1" applyBorder="1">
      <alignment/>
      <protection/>
    </xf>
    <xf numFmtId="0" fontId="4" fillId="0" borderId="2" xfId="24" applyFont="1" applyBorder="1" applyAlignment="1">
      <alignment/>
      <protection/>
    </xf>
    <xf numFmtId="165" fontId="4" fillId="0" borderId="2" xfId="24" applyNumberFormat="1" applyFont="1" applyBorder="1" applyAlignment="1">
      <alignment/>
      <protection/>
    </xf>
    <xf numFmtId="0" fontId="4" fillId="0" borderId="0" xfId="24" applyFont="1" applyBorder="1" applyAlignment="1">
      <alignment horizontal="left" wrapText="1"/>
      <protection/>
    </xf>
    <xf numFmtId="165" fontId="4" fillId="0" borderId="0" xfId="24" applyNumberFormat="1" applyFont="1" applyBorder="1" applyAlignment="1" applyProtection="1">
      <alignment/>
      <protection/>
    </xf>
    <xf numFmtId="165" fontId="8" fillId="0" borderId="0" xfId="24" applyNumberFormat="1" applyFont="1" applyBorder="1" applyAlignment="1">
      <alignment horizontal="right" wrapText="1"/>
      <protection/>
    </xf>
    <xf numFmtId="165" fontId="8" fillId="0" borderId="0" xfId="24" applyNumberFormat="1" applyFont="1" applyBorder="1" applyAlignment="1">
      <alignment wrapText="1"/>
      <protection/>
    </xf>
    <xf numFmtId="0" fontId="5" fillId="0" borderId="0" xfId="24" applyFont="1" applyBorder="1" applyAlignment="1">
      <alignment vertical="center" wrapText="1"/>
      <protection/>
    </xf>
    <xf numFmtId="0" fontId="6" fillId="0" borderId="3" xfId="24" applyFont="1" applyBorder="1" applyAlignment="1">
      <alignment/>
      <protection/>
    </xf>
    <xf numFmtId="0" fontId="6" fillId="0" borderId="4" xfId="24" applyFont="1" applyBorder="1" applyAlignment="1">
      <alignment/>
      <protection/>
    </xf>
    <xf numFmtId="174" fontId="2" fillId="0" borderId="3" xfId="24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4" applyFont="1" applyBorder="1" applyAlignment="1">
      <alignment horizontal="center"/>
      <protection/>
    </xf>
    <xf numFmtId="165" fontId="3" fillId="0" borderId="10" xfId="24" applyNumberFormat="1" applyFont="1" applyBorder="1" applyAlignment="1">
      <alignment horizontal="center" wrapText="1"/>
      <protection/>
    </xf>
    <xf numFmtId="165" fontId="3" fillId="0" borderId="8" xfId="24" applyNumberFormat="1" applyFont="1" applyBorder="1" applyAlignment="1">
      <alignment horizontal="center"/>
      <protection/>
    </xf>
    <xf numFmtId="165" fontId="3" fillId="0" borderId="2" xfId="24" applyNumberFormat="1" applyFont="1" applyBorder="1" applyAlignment="1">
      <alignment horizontal="center" wrapText="1"/>
      <protection/>
    </xf>
    <xf numFmtId="165" fontId="8" fillId="0" borderId="11" xfId="24" applyNumberFormat="1" applyFont="1" applyBorder="1" applyAlignment="1">
      <alignment horizontal="center" vertical="center" wrapText="1"/>
      <protection/>
    </xf>
    <xf numFmtId="165" fontId="3" fillId="0" borderId="8" xfId="24" applyNumberFormat="1" applyFont="1" applyBorder="1" applyAlignment="1">
      <alignment horizontal="center" wrapText="1"/>
      <protection/>
    </xf>
    <xf numFmtId="165" fontId="3" fillId="0" borderId="11" xfId="24" applyNumberFormat="1" applyFont="1" applyBorder="1" applyAlignment="1">
      <alignment horizontal="center" vertical="center" wrapText="1"/>
      <protection/>
    </xf>
    <xf numFmtId="0" fontId="3" fillId="2" borderId="10" xfId="24" applyFont="1" applyFill="1" applyBorder="1" applyAlignment="1">
      <alignment horizontal="center" wrapText="1"/>
      <protection/>
    </xf>
    <xf numFmtId="0" fontId="3" fillId="2" borderId="9" xfId="24" applyFont="1" applyFill="1" applyBorder="1" applyAlignment="1">
      <alignment horizontal="center" wrapText="1"/>
      <protection/>
    </xf>
    <xf numFmtId="0" fontId="3" fillId="3" borderId="10" xfId="24" applyFont="1" applyFill="1" applyBorder="1" applyAlignment="1">
      <alignment horizontal="center" wrapText="1"/>
      <protection/>
    </xf>
    <xf numFmtId="0" fontId="3" fillId="3" borderId="9" xfId="24" applyFont="1" applyFill="1" applyBorder="1" applyAlignment="1">
      <alignment horizontal="center" wrapText="1"/>
      <protection/>
    </xf>
    <xf numFmtId="0" fontId="3" fillId="0" borderId="0" xfId="24" applyFont="1" applyBorder="1" applyAlignment="1">
      <alignment horizontal="center" wrapText="1"/>
      <protection/>
    </xf>
    <xf numFmtId="165" fontId="4" fillId="0" borderId="10" xfId="24" applyNumberFormat="1" applyFont="1" applyBorder="1" applyAlignment="1" applyProtection="1">
      <alignment horizontal="center"/>
      <protection/>
    </xf>
    <xf numFmtId="165" fontId="4" fillId="0" borderId="10" xfId="24" applyNumberFormat="1" applyFont="1" applyBorder="1" applyAlignment="1">
      <alignment horizontal="center"/>
      <protection/>
    </xf>
    <xf numFmtId="165" fontId="4" fillId="0" borderId="2" xfId="24" applyNumberFormat="1" applyFont="1" applyBorder="1" applyAlignment="1">
      <alignment horizontal="center"/>
      <protection/>
    </xf>
    <xf numFmtId="165" fontId="8" fillId="0" borderId="2" xfId="24" applyNumberFormat="1" applyFont="1" applyBorder="1" applyAlignment="1">
      <alignment horizontal="center"/>
      <protection/>
    </xf>
    <xf numFmtId="165" fontId="4" fillId="0" borderId="8" xfId="24" applyNumberFormat="1" applyFont="1" applyBorder="1" applyAlignment="1">
      <alignment horizontal="center"/>
      <protection/>
    </xf>
    <xf numFmtId="165" fontId="4" fillId="0" borderId="12" xfId="24" applyNumberFormat="1" applyFont="1" applyBorder="1" applyAlignment="1">
      <alignment horizontal="center"/>
      <protection/>
    </xf>
    <xf numFmtId="170" fontId="4" fillId="2" borderId="2" xfId="22" applyNumberFormat="1" applyFont="1" applyFill="1" applyBorder="1" applyAlignment="1" applyProtection="1">
      <alignment horizontal="center"/>
      <protection/>
    </xf>
    <xf numFmtId="170" fontId="4" fillId="2" borderId="8" xfId="22" applyNumberFormat="1" applyFont="1" applyFill="1" applyBorder="1" applyAlignment="1" applyProtection="1">
      <alignment horizontal="center"/>
      <protection/>
    </xf>
    <xf numFmtId="170" fontId="4" fillId="2" borderId="8" xfId="24" applyNumberFormat="1" applyFont="1" applyFill="1" applyBorder="1" applyAlignment="1">
      <alignment horizontal="center"/>
      <protection/>
    </xf>
    <xf numFmtId="170" fontId="4" fillId="3" borderId="2" xfId="22" applyNumberFormat="1" applyFont="1" applyFill="1" applyBorder="1" applyAlignment="1" applyProtection="1">
      <alignment horizontal="center"/>
      <protection/>
    </xf>
    <xf numFmtId="170" fontId="4" fillId="3" borderId="8" xfId="22" applyNumberFormat="1" applyFont="1" applyFill="1" applyBorder="1" applyAlignment="1" applyProtection="1">
      <alignment horizontal="center"/>
      <protection/>
    </xf>
    <xf numFmtId="170" fontId="4" fillId="3" borderId="8" xfId="24" applyNumberFormat="1" applyFont="1" applyFill="1" applyBorder="1" applyAlignment="1">
      <alignment horizontal="center"/>
      <protection/>
    </xf>
    <xf numFmtId="0" fontId="9" fillId="0" borderId="0" xfId="0" applyFont="1"/>
    <xf numFmtId="2" fontId="4" fillId="0" borderId="0" xfId="24" applyNumberFormat="1" applyFont="1" applyBorder="1" applyAlignment="1">
      <alignment horizontal="right" wrapText="1"/>
      <protection/>
    </xf>
    <xf numFmtId="0" fontId="4" fillId="4" borderId="0" xfId="24" applyFont="1" applyFill="1" applyBorder="1">
      <alignment/>
      <protection/>
    </xf>
    <xf numFmtId="0" fontId="4" fillId="4" borderId="0" xfId="24" applyFont="1" applyFill="1" applyBorder="1" applyAlignment="1">
      <alignment horizontal="left" wrapText="1"/>
      <protection/>
    </xf>
    <xf numFmtId="165" fontId="4" fillId="4" borderId="0" xfId="24" applyNumberFormat="1" applyFont="1" applyFill="1" applyBorder="1" applyAlignment="1" applyProtection="1">
      <alignment/>
      <protection/>
    </xf>
    <xf numFmtId="165" fontId="8" fillId="4" borderId="0" xfId="24" applyNumberFormat="1" applyFont="1" applyFill="1" applyBorder="1" applyAlignment="1">
      <alignment horizontal="right" wrapText="1"/>
      <protection/>
    </xf>
    <xf numFmtId="165" fontId="8" fillId="4" borderId="0" xfId="24" applyNumberFormat="1" applyFont="1" applyFill="1" applyBorder="1" applyAlignment="1">
      <alignment wrapText="1"/>
      <protection/>
    </xf>
    <xf numFmtId="0" fontId="8" fillId="0" borderId="0" xfId="24" applyFont="1" applyBorder="1" applyAlignment="1">
      <alignment horizontal="left" wrapText="1"/>
      <protection/>
    </xf>
    <xf numFmtId="2" fontId="8" fillId="0" borderId="0" xfId="24" applyNumberFormat="1" applyFont="1" applyBorder="1" applyAlignment="1">
      <alignment horizontal="right" wrapText="1"/>
      <protection/>
    </xf>
    <xf numFmtId="0" fontId="9" fillId="5" borderId="0" xfId="0" applyFont="1" applyFill="1"/>
    <xf numFmtId="0" fontId="4" fillId="5" borderId="0" xfId="24" applyFont="1" applyFill="1" applyBorder="1" applyAlignment="1">
      <alignment horizontal="left" wrapText="1"/>
      <protection/>
    </xf>
    <xf numFmtId="165" fontId="4" fillId="5" borderId="0" xfId="24" applyNumberFormat="1" applyFont="1" applyFill="1" applyBorder="1" applyAlignment="1" applyProtection="1">
      <alignment/>
      <protection/>
    </xf>
    <xf numFmtId="165" fontId="8" fillId="5" borderId="0" xfId="24" applyNumberFormat="1" applyFont="1" applyFill="1" applyBorder="1" applyAlignment="1">
      <alignment horizontal="right" wrapText="1"/>
      <protection/>
    </xf>
    <xf numFmtId="165" fontId="8" fillId="5" borderId="0" xfId="24" applyNumberFormat="1" applyFont="1" applyFill="1" applyBorder="1" applyAlignment="1">
      <alignment wrapText="1"/>
      <protection/>
    </xf>
    <xf numFmtId="170" fontId="4" fillId="0" borderId="10" xfId="22" applyNumberFormat="1" applyFont="1" applyBorder="1" applyAlignment="1" applyProtection="1">
      <alignment horizontal="center"/>
      <protection/>
    </xf>
    <xf numFmtId="170" fontId="4" fillId="0" borderId="10" xfId="24" applyNumberFormat="1" applyFont="1" applyBorder="1" applyAlignment="1">
      <alignment horizontal="center"/>
      <protection/>
    </xf>
    <xf numFmtId="170" fontId="4" fillId="0" borderId="2" xfId="22" applyNumberFormat="1" applyFont="1" applyBorder="1" applyAlignment="1" applyProtection="1">
      <alignment horizontal="center"/>
      <protection/>
    </xf>
    <xf numFmtId="170" fontId="4" fillId="0" borderId="8" xfId="22" applyNumberFormat="1" applyFont="1" applyBorder="1" applyAlignment="1" applyProtection="1">
      <alignment horizontal="center"/>
      <protection/>
    </xf>
    <xf numFmtId="170" fontId="4" fillId="0" borderId="8" xfId="24" applyNumberFormat="1" applyFont="1" applyBorder="1" applyAlignment="1">
      <alignment horizontal="center"/>
      <protection/>
    </xf>
    <xf numFmtId="49" fontId="4" fillId="0" borderId="0" xfId="24" applyNumberFormat="1" applyFont="1" applyBorder="1" applyAlignment="1" applyProtection="1">
      <alignment/>
      <protection/>
    </xf>
    <xf numFmtId="43" fontId="0" fillId="0" borderId="0" xfId="0" applyNumberFormat="1"/>
    <xf numFmtId="0" fontId="0" fillId="0" borderId="0" xfId="0" applyFont="1"/>
    <xf numFmtId="0" fontId="0" fillId="6" borderId="0" xfId="0" applyFill="1"/>
    <xf numFmtId="165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177" fontId="0" fillId="0" borderId="0" xfId="0" applyNumberFormat="1"/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75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6" fontId="0" fillId="0" borderId="0" xfId="0" applyNumberFormat="1" applyBorder="1"/>
    <xf numFmtId="176" fontId="0" fillId="0" borderId="0" xfId="0" applyNumberFormat="1" applyBorder="1"/>
    <xf numFmtId="43" fontId="0" fillId="0" borderId="0" xfId="0" applyNumberFormat="1" applyBorder="1"/>
    <xf numFmtId="177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20" applyNumberFormat="1" applyFont="1" applyBorder="1" applyAlignment="1" applyProtection="1">
      <alignment/>
      <protection/>
    </xf>
    <xf numFmtId="4" fontId="0" fillId="0" borderId="13" xfId="0" applyNumberFormat="1" applyBorder="1"/>
    <xf numFmtId="2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8" fontId="0" fillId="0" borderId="0" xfId="0" applyNumberFormat="1" applyBorder="1"/>
    <xf numFmtId="179" fontId="0" fillId="0" borderId="0" xfId="0" applyNumberFormat="1" applyBorder="1"/>
    <xf numFmtId="0" fontId="10" fillId="0" borderId="0" xfId="0" applyFont="1" applyFill="1"/>
    <xf numFmtId="4" fontId="10" fillId="0" borderId="0" xfId="20" applyNumberFormat="1" applyFont="1" applyFill="1" applyBorder="1" applyAlignment="1" applyProtection="1">
      <alignment/>
      <protection/>
    </xf>
    <xf numFmtId="165" fontId="10" fillId="0" borderId="0" xfId="0" applyNumberFormat="1" applyFont="1" applyFill="1"/>
    <xf numFmtId="179" fontId="10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5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1" fillId="0" borderId="0" xfId="24" applyFont="1" applyBorder="1" applyAlignment="1">
      <alignment horizontal="center"/>
      <protection/>
    </xf>
    <xf numFmtId="0" fontId="12" fillId="0" borderId="0" xfId="24" applyFont="1" applyBorder="1" applyAlignment="1">
      <alignment horizontal="center" vertical="center" wrapText="1"/>
      <protection/>
    </xf>
    <xf numFmtId="165" fontId="11" fillId="0" borderId="0" xfId="24" applyNumberFormat="1" applyFont="1" applyBorder="1">
      <alignment/>
      <protection/>
    </xf>
    <xf numFmtId="165" fontId="13" fillId="0" borderId="0" xfId="24" applyNumberFormat="1" applyFont="1" applyBorder="1">
      <alignment/>
      <protection/>
    </xf>
    <xf numFmtId="165" fontId="11" fillId="0" borderId="0" xfId="20" applyFont="1" applyBorder="1" applyAlignment="1" applyProtection="1">
      <alignment/>
      <protection/>
    </xf>
    <xf numFmtId="0" fontId="14" fillId="0" borderId="0" xfId="24" applyFont="1" applyBorder="1">
      <alignment/>
      <protection/>
    </xf>
    <xf numFmtId="0" fontId="11" fillId="0" borderId="0" xfId="24" applyFont="1" applyBorder="1">
      <alignment/>
      <protection/>
    </xf>
    <xf numFmtId="0" fontId="15" fillId="0" borderId="0" xfId="0" applyFont="1"/>
    <xf numFmtId="0" fontId="16" fillId="0" borderId="0" xfId="24" applyFont="1" applyBorder="1" applyAlignment="1">
      <alignment horizontal="center"/>
      <protection/>
    </xf>
    <xf numFmtId="0" fontId="13" fillId="0" borderId="0" xfId="24" applyFont="1" applyBorder="1" applyAlignment="1">
      <alignment horizontal="right"/>
      <protection/>
    </xf>
    <xf numFmtId="171" fontId="11" fillId="0" borderId="0" xfId="24" applyNumberFormat="1" applyFont="1" applyBorder="1" applyAlignment="1">
      <alignment horizontal="right" wrapText="1"/>
      <protection/>
    </xf>
    <xf numFmtId="173" fontId="11" fillId="0" borderId="0" xfId="21" applyNumberFormat="1" applyFont="1" applyBorder="1" applyAlignment="1" applyProtection="1">
      <alignment horizontal="right"/>
      <protection/>
    </xf>
    <xf numFmtId="173" fontId="11" fillId="0" borderId="0" xfId="24" applyNumberFormat="1" applyFont="1" applyBorder="1" applyAlignment="1">
      <alignment horizontal="right"/>
      <protection/>
    </xf>
    <xf numFmtId="165" fontId="18" fillId="0" borderId="0" xfId="24" applyNumberFormat="1" applyFont="1" applyBorder="1">
      <alignment/>
      <protection/>
    </xf>
    <xf numFmtId="165" fontId="19" fillId="0" borderId="0" xfId="23" applyNumberFormat="1" applyFont="1" applyBorder="1" applyAlignment="1" applyProtection="1">
      <alignment/>
      <protection/>
    </xf>
    <xf numFmtId="165" fontId="11" fillId="0" borderId="0" xfId="24" applyNumberFormat="1" applyFont="1" applyBorder="1" applyAlignment="1">
      <alignment/>
      <protection/>
    </xf>
    <xf numFmtId="171" fontId="11" fillId="0" borderId="0" xfId="24" applyNumberFormat="1" applyFont="1" applyBorder="1" applyAlignment="1">
      <alignment horizontal="right"/>
      <protection/>
    </xf>
    <xf numFmtId="0" fontId="21" fillId="0" borderId="0" xfId="24" applyFont="1" applyBorder="1">
      <alignment/>
      <protection/>
    </xf>
    <xf numFmtId="175" fontId="23" fillId="0" borderId="0" xfId="21" applyNumberFormat="1" applyFont="1" applyBorder="1" applyAlignment="1" applyProtection="1">
      <alignment vertical="center"/>
      <protection/>
    </xf>
    <xf numFmtId="175" fontId="24" fillId="0" borderId="0" xfId="21" applyNumberFormat="1" applyFont="1" applyBorder="1" applyAlignment="1" applyProtection="1">
      <alignment vertical="center"/>
      <protection/>
    </xf>
    <xf numFmtId="175" fontId="23" fillId="0" borderId="0" xfId="21" applyNumberFormat="1" applyFont="1" applyBorder="1" applyAlignment="1" applyProtection="1">
      <alignment horizontal="center"/>
      <protection/>
    </xf>
    <xf numFmtId="175" fontId="24" fillId="0" borderId="0" xfId="21" applyNumberFormat="1" applyFont="1" applyBorder="1" applyAlignment="1" applyProtection="1">
      <alignment horizontal="center"/>
      <protection/>
    </xf>
    <xf numFmtId="175" fontId="25" fillId="0" borderId="0" xfId="21" applyNumberFormat="1" applyFont="1" applyBorder="1" applyAlignment="1" applyProtection="1">
      <alignment horizontal="center"/>
      <protection/>
    </xf>
    <xf numFmtId="0" fontId="16" fillId="0" borderId="0" xfId="24" applyFont="1" applyAlignment="1">
      <alignment horizontal="center"/>
      <protection/>
    </xf>
    <xf numFmtId="165" fontId="11" fillId="0" borderId="0" xfId="20" applyFont="1" applyBorder="1" applyAlignment="1" applyProtection="1">
      <alignment horizontal="center"/>
      <protection/>
    </xf>
    <xf numFmtId="165" fontId="13" fillId="0" borderId="1" xfId="20" applyFont="1" applyBorder="1" applyAlignment="1" applyProtection="1">
      <alignment horizontal="center" vertical="center" wrapText="1"/>
      <protection/>
    </xf>
    <xf numFmtId="165" fontId="14" fillId="0" borderId="1" xfId="24" applyNumberFormat="1" applyFont="1" applyBorder="1" applyAlignment="1">
      <alignment horizontal="center" vertical="center" wrapText="1"/>
      <protection/>
    </xf>
    <xf numFmtId="0" fontId="14" fillId="0" borderId="0" xfId="24" applyFont="1" applyBorder="1" applyAlignment="1">
      <alignment horizontal="center"/>
      <protection/>
    </xf>
    <xf numFmtId="0" fontId="14" fillId="0" borderId="10" xfId="24" applyFont="1" applyFill="1" applyBorder="1">
      <alignment/>
      <protection/>
    </xf>
    <xf numFmtId="0" fontId="14" fillId="0" borderId="10" xfId="24" applyFont="1" applyFill="1" applyBorder="1" applyAlignment="1">
      <alignment horizontal="left" wrapText="1"/>
      <protection/>
    </xf>
    <xf numFmtId="173" fontId="26" fillId="0" borderId="10" xfId="24" applyNumberFormat="1" applyFont="1" applyFill="1" applyBorder="1" applyAlignment="1">
      <alignment horizontal="right"/>
      <protection/>
    </xf>
    <xf numFmtId="165" fontId="14" fillId="0" borderId="10" xfId="24" applyNumberFormat="1" applyFont="1" applyFill="1" applyBorder="1" applyAlignment="1" applyProtection="1">
      <alignment/>
      <protection/>
    </xf>
    <xf numFmtId="171" fontId="26" fillId="0" borderId="10" xfId="24" applyNumberFormat="1" applyFont="1" applyFill="1" applyBorder="1" applyAlignment="1">
      <alignment horizontal="right" wrapText="1"/>
      <protection/>
    </xf>
    <xf numFmtId="165" fontId="14" fillId="0" borderId="10" xfId="24" applyNumberFormat="1" applyFont="1" applyFill="1" applyBorder="1" applyAlignment="1" applyProtection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 wrapText="1"/>
      <protection/>
    </xf>
    <xf numFmtId="165" fontId="14" fillId="0" borderId="10" xfId="24" applyNumberFormat="1" applyFont="1" applyFill="1" applyBorder="1" applyAlignment="1">
      <alignment horizontal="right" wrapText="1"/>
      <protection/>
    </xf>
    <xf numFmtId="165" fontId="27" fillId="0" borderId="10" xfId="24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0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>
      <alignment horizontal="right" wrapText="1"/>
      <protection/>
    </xf>
    <xf numFmtId="165" fontId="26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 wrapText="1"/>
      <protection/>
    </xf>
    <xf numFmtId="165" fontId="14" fillId="0" borderId="10" xfId="24" applyNumberFormat="1" applyFont="1" applyFill="1" applyBorder="1" applyAlignment="1">
      <alignment/>
      <protection/>
    </xf>
    <xf numFmtId="0" fontId="14" fillId="0" borderId="10" xfId="24" applyFont="1" applyFill="1" applyBorder="1" applyAlignment="1">
      <alignment horizontal="center"/>
      <protection/>
    </xf>
    <xf numFmtId="165" fontId="27" fillId="0" borderId="10" xfId="24" applyNumberFormat="1" applyFont="1" applyFill="1" applyBorder="1" applyAlignment="1" applyProtection="1">
      <alignment/>
      <protection/>
    </xf>
    <xf numFmtId="0" fontId="14" fillId="0" borderId="7" xfId="24" applyFont="1" applyBorder="1" applyAlignment="1">
      <alignment horizontal="center"/>
      <protection/>
    </xf>
    <xf numFmtId="173" fontId="26" fillId="0" borderId="10" xfId="24" applyNumberFormat="1" applyFont="1" applyFill="1" applyBorder="1" applyAlignment="1" applyProtection="1">
      <alignment horizontal="right"/>
      <protection/>
    </xf>
    <xf numFmtId="165" fontId="14" fillId="0" borderId="10" xfId="24" applyNumberFormat="1" applyFont="1" applyFill="1" applyBorder="1" applyAlignment="1">
      <alignment horizontal="right"/>
      <protection/>
    </xf>
    <xf numFmtId="173" fontId="26" fillId="0" borderId="10" xfId="21" applyNumberFormat="1" applyFont="1" applyFill="1" applyBorder="1" applyAlignment="1" applyProtection="1">
      <alignment horizontal="right"/>
      <protection/>
    </xf>
    <xf numFmtId="171" fontId="26" fillId="0" borderId="10" xfId="24" applyNumberFormat="1" applyFont="1" applyFill="1" applyBorder="1" applyAlignment="1" applyProtection="1">
      <alignment horizontal="right" wrapText="1"/>
      <protection/>
    </xf>
    <xf numFmtId="165" fontId="27" fillId="0" borderId="10" xfId="24" applyNumberFormat="1" applyFont="1" applyFill="1" applyBorder="1" applyAlignment="1">
      <alignment horizontal="right"/>
      <protection/>
    </xf>
    <xf numFmtId="165" fontId="27" fillId="0" borderId="10" xfId="24" applyNumberFormat="1" applyFont="1" applyFill="1" applyBorder="1" applyAlignment="1">
      <alignment horizontal="right" wrapText="1"/>
      <protection/>
    </xf>
    <xf numFmtId="171" fontId="28" fillId="0" borderId="10" xfId="24" applyNumberFormat="1" applyFont="1" applyFill="1" applyBorder="1" applyAlignment="1" applyProtection="1">
      <alignment horizontal="right"/>
      <protection/>
    </xf>
    <xf numFmtId="165" fontId="26" fillId="0" borderId="10" xfId="24" applyNumberFormat="1" applyFont="1" applyFill="1" applyBorder="1" applyAlignment="1" applyProtection="1">
      <alignment horizontal="right"/>
      <protection/>
    </xf>
    <xf numFmtId="0" fontId="26" fillId="0" borderId="10" xfId="24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 wrapText="1"/>
      <protection/>
    </xf>
    <xf numFmtId="173" fontId="14" fillId="0" borderId="10" xfId="21" applyNumberFormat="1" applyFont="1" applyFill="1" applyBorder="1" applyAlignment="1" applyProtection="1">
      <alignment horizontal="right"/>
      <protection/>
    </xf>
    <xf numFmtId="173" fontId="14" fillId="0" borderId="10" xfId="24" applyNumberFormat="1" applyFont="1" applyFill="1" applyBorder="1" applyAlignment="1">
      <alignment horizontal="right"/>
      <protection/>
    </xf>
    <xf numFmtId="171" fontId="14" fillId="0" borderId="10" xfId="24" applyNumberFormat="1" applyFont="1" applyFill="1" applyBorder="1" applyAlignment="1">
      <alignment horizontal="right"/>
      <protection/>
    </xf>
    <xf numFmtId="165" fontId="26" fillId="0" borderId="10" xfId="24" applyNumberFormat="1" applyFont="1" applyFill="1" applyBorder="1" applyAlignment="1">
      <alignment horizontal="right"/>
      <protection/>
    </xf>
    <xf numFmtId="173" fontId="26" fillId="0" borderId="10" xfId="20" applyNumberFormat="1" applyFont="1" applyFill="1" applyBorder="1" applyAlignment="1" applyProtection="1">
      <alignment horizontal="right"/>
      <protection/>
    </xf>
    <xf numFmtId="0" fontId="14" fillId="0" borderId="10" xfId="24" applyFont="1" applyFill="1" applyBorder="1" applyAlignment="1">
      <alignment/>
      <protection/>
    </xf>
    <xf numFmtId="165" fontId="11" fillId="0" borderId="0" xfId="24" applyNumberFormat="1" applyFont="1" applyBorder="1" applyAlignment="1" applyProtection="1">
      <alignment/>
      <protection/>
    </xf>
    <xf numFmtId="171" fontId="11" fillId="0" borderId="0" xfId="24" applyNumberFormat="1" applyFont="1" applyBorder="1" applyAlignment="1" applyProtection="1">
      <alignment/>
      <protection/>
    </xf>
    <xf numFmtId="165" fontId="22" fillId="0" borderId="0" xfId="24" applyNumberFormat="1" applyFont="1" applyBorder="1">
      <alignment/>
      <protection/>
    </xf>
    <xf numFmtId="165" fontId="17" fillId="0" borderId="0" xfId="24" applyNumberFormat="1" applyFont="1" applyBorder="1">
      <alignment/>
      <protection/>
    </xf>
    <xf numFmtId="174" fontId="17" fillId="0" borderId="10" xfId="24" applyNumberFormat="1" applyFont="1" applyBorder="1" applyAlignment="1" applyProtection="1">
      <alignment horizontal="center" vertical="center"/>
      <protection/>
    </xf>
    <xf numFmtId="165" fontId="17" fillId="0" borderId="10" xfId="20" applyFont="1" applyBorder="1" applyAlignment="1" applyProtection="1">
      <alignment horizontal="center" vertical="center"/>
      <protection/>
    </xf>
    <xf numFmtId="0" fontId="16" fillId="0" borderId="10" xfId="24" applyFont="1" applyBorder="1" applyAlignment="1">
      <alignment horizontal="left" vertical="center"/>
      <protection/>
    </xf>
    <xf numFmtId="0" fontId="16" fillId="0" borderId="0" xfId="24" applyFont="1" applyBorder="1" applyAlignment="1">
      <alignment horizontal="left" vertical="center"/>
      <protection/>
    </xf>
    <xf numFmtId="3" fontId="15" fillId="0" borderId="0" xfId="0" applyNumberFormat="1" applyFont="1"/>
    <xf numFmtId="3" fontId="15" fillId="0" borderId="0" xfId="0" applyNumberFormat="1" applyFont="1" applyBorder="1"/>
    <xf numFmtId="3" fontId="15" fillId="0" borderId="0" xfId="0" applyNumberFormat="1" applyFont="1" applyFill="1" applyBorder="1"/>
    <xf numFmtId="171" fontId="22" fillId="0" borderId="0" xfId="24" applyNumberFormat="1" applyFont="1" applyBorder="1" applyAlignment="1">
      <alignment horizontal="right" wrapText="1"/>
      <protection/>
    </xf>
    <xf numFmtId="168" fontId="31" fillId="0" borderId="0" xfId="22" applyFont="1" applyBorder="1" applyProtection="1">
      <alignment/>
      <protection/>
    </xf>
    <xf numFmtId="173" fontId="22" fillId="0" borderId="0" xfId="21" applyNumberFormat="1" applyFont="1" applyBorder="1" applyAlignment="1" applyProtection="1">
      <alignment horizontal="right"/>
      <protection/>
    </xf>
    <xf numFmtId="0" fontId="11" fillId="0" borderId="1" xfId="24" applyFont="1" applyBorder="1" applyAlignment="1">
      <alignment horizontal="center" vertical="center" wrapText="1"/>
      <protection/>
    </xf>
    <xf numFmtId="0" fontId="26" fillId="0" borderId="10" xfId="24" applyFont="1" applyFill="1" applyBorder="1" applyAlignment="1">
      <alignment horizontal="left"/>
      <protection/>
    </xf>
    <xf numFmtId="1" fontId="27" fillId="0" borderId="10" xfId="0" applyNumberFormat="1" applyFont="1" applyFill="1" applyBorder="1"/>
    <xf numFmtId="0" fontId="27" fillId="0" borderId="0" xfId="0" applyFont="1"/>
    <xf numFmtId="0" fontId="21" fillId="0" borderId="10" xfId="24" applyFont="1" applyFill="1" applyBorder="1">
      <alignment/>
      <protection/>
    </xf>
    <xf numFmtId="0" fontId="33" fillId="0" borderId="10" xfId="24" applyFont="1" applyFill="1" applyBorder="1">
      <alignment/>
      <protection/>
    </xf>
    <xf numFmtId="2" fontId="11" fillId="0" borderId="0" xfId="24" applyNumberFormat="1" applyFont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left" vertical="center"/>
      <protection/>
    </xf>
    <xf numFmtId="0" fontId="11" fillId="0" borderId="0" xfId="24" applyFont="1" applyBorder="1" applyAlignment="1">
      <alignment horizontal="left" vertical="center"/>
      <protection/>
    </xf>
    <xf numFmtId="165" fontId="11" fillId="0" borderId="11" xfId="24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center" vertical="center"/>
    </xf>
    <xf numFmtId="0" fontId="13" fillId="0" borderId="14" xfId="24" applyFont="1" applyBorder="1" applyAlignment="1">
      <alignment horizontal="center" vertical="center"/>
      <protection/>
    </xf>
    <xf numFmtId="165" fontId="11" fillId="0" borderId="12" xfId="24" applyNumberFormat="1" applyFont="1" applyBorder="1" applyAlignment="1" applyProtection="1">
      <alignment horizontal="center" vertical="center"/>
      <protection/>
    </xf>
    <xf numFmtId="165" fontId="13" fillId="0" borderId="10" xfId="24" applyNumberFormat="1" applyFont="1" applyBorder="1" applyAlignment="1">
      <alignment horizontal="center" vertical="center" wrapText="1"/>
      <protection/>
    </xf>
    <xf numFmtId="165" fontId="13" fillId="0" borderId="10" xfId="24" applyNumberFormat="1" applyFont="1" applyBorder="1" applyAlignment="1">
      <alignment horizontal="center" vertical="center"/>
      <protection/>
    </xf>
    <xf numFmtId="165" fontId="13" fillId="0" borderId="10" xfId="20" applyFont="1" applyBorder="1" applyAlignment="1" applyProtection="1">
      <alignment horizontal="center" vertical="center" wrapText="1"/>
      <protection/>
    </xf>
    <xf numFmtId="165" fontId="11" fillId="0" borderId="10" xfId="24" applyNumberFormat="1" applyFont="1" applyBorder="1" applyAlignment="1">
      <alignment horizontal="center" vertical="center" wrapText="1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165" fontId="11" fillId="0" borderId="10" xfId="24" applyNumberFormat="1" applyFont="1" applyBorder="1" applyAlignment="1">
      <alignment horizontal="center" vertical="center"/>
      <protection/>
    </xf>
    <xf numFmtId="173" fontId="13" fillId="0" borderId="10" xfId="21" applyNumberFormat="1" applyFont="1" applyBorder="1" applyAlignment="1" applyProtection="1">
      <alignment horizontal="center" vertical="center"/>
      <protection/>
    </xf>
    <xf numFmtId="173" fontId="13" fillId="0" borderId="10" xfId="24" applyNumberFormat="1" applyFont="1" applyBorder="1" applyAlignment="1">
      <alignment horizontal="center" vertical="center"/>
      <protection/>
    </xf>
    <xf numFmtId="171" fontId="13" fillId="0" borderId="10" xfId="24" applyNumberFormat="1" applyFont="1" applyBorder="1" applyAlignment="1">
      <alignment horizontal="center" vertical="center"/>
      <protection/>
    </xf>
    <xf numFmtId="165" fontId="11" fillId="0" borderId="10" xfId="20" applyFont="1" applyBorder="1" applyAlignment="1" applyProtection="1">
      <alignment horizontal="center" vertical="center"/>
      <protection/>
    </xf>
    <xf numFmtId="165" fontId="13" fillId="8" borderId="1" xfId="24" applyNumberFormat="1" applyFont="1" applyFill="1" applyBorder="1" applyAlignment="1">
      <alignment horizontal="center" vertical="center" wrapText="1"/>
      <protection/>
    </xf>
    <xf numFmtId="165" fontId="13" fillId="8" borderId="1" xfId="20" applyFont="1" applyFill="1" applyBorder="1" applyAlignment="1" applyProtection="1">
      <alignment horizontal="center" vertical="center" wrapText="1"/>
      <protection/>
    </xf>
    <xf numFmtId="165" fontId="14" fillId="0" borderId="10" xfId="24" applyNumberFormat="1" applyFont="1" applyBorder="1" applyAlignment="1">
      <alignment horizontal="center" vertical="center"/>
      <protection/>
    </xf>
    <xf numFmtId="180" fontId="17" fillId="0" borderId="10" xfId="20" applyNumberFormat="1" applyFont="1" applyBorder="1" applyAlignment="1" applyProtection="1">
      <alignment horizontal="center" vertical="center"/>
      <protection/>
    </xf>
    <xf numFmtId="165" fontId="14" fillId="0" borderId="10" xfId="24" applyNumberFormat="1" applyFont="1" applyFill="1" applyBorder="1" applyAlignment="1">
      <alignment horizontal="center" wrapText="1"/>
      <protection/>
    </xf>
    <xf numFmtId="4" fontId="0" fillId="9" borderId="0" xfId="20" applyNumberFormat="1" applyFont="1" applyFill="1" applyBorder="1" applyAlignment="1" applyProtection="1">
      <alignment/>
      <protection/>
    </xf>
    <xf numFmtId="4" fontId="0" fillId="9" borderId="0" xfId="0" applyNumberFormat="1" applyFill="1" applyBorder="1"/>
    <xf numFmtId="4" fontId="0" fillId="0" borderId="0" xfId="0" applyNumberFormat="1" applyFill="1" applyBorder="1"/>
    <xf numFmtId="2" fontId="0" fillId="0" borderId="0" xfId="0" applyNumberFormat="1" applyFill="1"/>
    <xf numFmtId="49" fontId="29" fillId="0" borderId="0" xfId="24" applyNumberFormat="1" applyFont="1" applyBorder="1" applyAlignment="1">
      <alignment horizontal="left" vertical="center" wrapText="1"/>
      <protection/>
    </xf>
    <xf numFmtId="165" fontId="20" fillId="0" borderId="0" xfId="20" applyFont="1" applyBorder="1" applyAlignment="1" applyProtection="1">
      <alignment horizontal="center" wrapText="1"/>
      <protection/>
    </xf>
    <xf numFmtId="165" fontId="22" fillId="0" borderId="0" xfId="24" applyNumberFormat="1" applyFont="1" applyBorder="1" applyAlignment="1">
      <alignment horizontal="center"/>
      <protection/>
    </xf>
    <xf numFmtId="167" fontId="22" fillId="0" borderId="0" xfId="21" applyNumberFormat="1" applyFont="1" applyBorder="1" applyAlignment="1" applyProtection="1">
      <alignment horizontal="center"/>
      <protection/>
    </xf>
    <xf numFmtId="0" fontId="13" fillId="0" borderId="10" xfId="24" applyFont="1" applyBorder="1" applyAlignment="1">
      <alignment horizontal="center" vertical="center"/>
      <protection/>
    </xf>
    <xf numFmtId="1" fontId="13" fillId="0" borderId="10" xfId="24" applyNumberFormat="1" applyFont="1" applyBorder="1" applyAlignment="1">
      <alignment horizontal="center" vertical="center" wrapText="1"/>
      <protection/>
    </xf>
    <xf numFmtId="172" fontId="13" fillId="0" borderId="10" xfId="24" applyNumberFormat="1" applyFont="1" applyBorder="1" applyAlignment="1">
      <alignment horizontal="center" vertical="center"/>
      <protection/>
    </xf>
    <xf numFmtId="0" fontId="13" fillId="0" borderId="10" xfId="24" applyFont="1" applyBorder="1" applyAlignment="1">
      <alignment horizontal="center" vertical="center" wrapText="1"/>
      <protection/>
    </xf>
    <xf numFmtId="171" fontId="13" fillId="0" borderId="10" xfId="24" applyNumberFormat="1" applyFont="1" applyBorder="1" applyAlignment="1">
      <alignment horizontal="center" vertical="center" wrapText="1"/>
      <protection/>
    </xf>
    <xf numFmtId="165" fontId="13" fillId="0" borderId="10" xfId="20" applyFont="1" applyBorder="1" applyAlignment="1" applyProtection="1">
      <alignment horizontal="center" vertical="center" wrapText="1"/>
      <protection/>
    </xf>
    <xf numFmtId="0" fontId="16" fillId="0" borderId="15" xfId="24" applyFont="1" applyBorder="1" applyAlignment="1">
      <alignment horizontal="left" vertical="center"/>
      <protection/>
    </xf>
    <xf numFmtId="0" fontId="16" fillId="0" borderId="16" xfId="24" applyFont="1" applyBorder="1" applyAlignment="1">
      <alignment horizontal="left" vertical="center"/>
      <protection/>
    </xf>
    <xf numFmtId="0" fontId="16" fillId="0" borderId="9" xfId="24" applyFont="1" applyBorder="1" applyAlignment="1">
      <alignment horizontal="left" vertical="center"/>
      <protection/>
    </xf>
    <xf numFmtId="0" fontId="30" fillId="0" borderId="0" xfId="0" applyFont="1" applyAlignment="1">
      <alignment horizontal="center" vertical="center"/>
    </xf>
    <xf numFmtId="0" fontId="5" fillId="0" borderId="0" xfId="24" applyFont="1" applyBorder="1" applyAlignment="1">
      <alignment horizontal="center" vertical="center" wrapText="1"/>
      <protection/>
    </xf>
    <xf numFmtId="0" fontId="6" fillId="0" borderId="3" xfId="24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Texto explicativo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85725</xdr:rowOff>
    </xdr:from>
    <xdr:to>
      <xdr:col>22</xdr:col>
      <xdr:colOff>419100</xdr:colOff>
      <xdr:row>0</xdr:row>
      <xdr:rowOff>600075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85725"/>
          <a:ext cx="4924425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workbookViewId="0" topLeftCell="A1">
      <selection activeCell="D8" sqref="D8"/>
    </sheetView>
  </sheetViews>
  <sheetFormatPr defaultColWidth="9.140625" defaultRowHeight="12.75"/>
  <cols>
    <col min="1" max="1" width="4.7109375" style="0" customWidth="1"/>
    <col min="2" max="2" width="40.140625" style="0" bestFit="1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643</v>
      </c>
      <c r="H1" s="1"/>
      <c r="I1" s="1" t="s">
        <v>2</v>
      </c>
      <c r="J1" s="1" t="s">
        <v>3</v>
      </c>
      <c r="L1" s="182">
        <v>0</v>
      </c>
    </row>
    <row r="2" spans="1:12" s="82" customFormat="1" ht="12.75">
      <c r="A2" s="81" t="s">
        <v>4</v>
      </c>
      <c r="B2" s="82" t="s">
        <v>5</v>
      </c>
      <c r="C2" s="83">
        <v>9.3397</v>
      </c>
      <c r="G2" s="84"/>
      <c r="I2" s="82">
        <v>0</v>
      </c>
      <c r="J2" s="85">
        <v>0</v>
      </c>
      <c r="L2" s="183">
        <v>1</v>
      </c>
    </row>
    <row r="3" spans="1:12" s="82" customFormat="1" ht="12.75">
      <c r="A3" s="81" t="s">
        <v>4</v>
      </c>
      <c r="B3" s="82" t="s">
        <v>6</v>
      </c>
      <c r="C3" s="6">
        <v>0.15</v>
      </c>
      <c r="I3" s="82">
        <v>1</v>
      </c>
      <c r="J3" s="85">
        <v>0.15</v>
      </c>
      <c r="L3" s="183">
        <v>2</v>
      </c>
    </row>
    <row r="4" spans="1:12" s="82" customFormat="1" ht="12.75">
      <c r="A4" s="81" t="s">
        <v>4</v>
      </c>
      <c r="B4" s="82" t="s">
        <v>7</v>
      </c>
      <c r="C4" s="6">
        <v>0.4</v>
      </c>
      <c r="D4" s="86">
        <f>INT(('Escala Docente'!H144*0.4*100))/100</f>
        <v>4774.45</v>
      </c>
      <c r="E4" s="86">
        <f>(INT(D4/15*100)/100)+0</f>
        <v>318.29</v>
      </c>
      <c r="F4" s="86"/>
      <c r="G4" s="86"/>
      <c r="H4" s="86"/>
      <c r="I4" s="82">
        <v>2</v>
      </c>
      <c r="J4" s="85">
        <v>0.15</v>
      </c>
      <c r="L4" s="184">
        <v>3</v>
      </c>
    </row>
    <row r="5" spans="1:12" s="82" customFormat="1" ht="12.75">
      <c r="A5" s="87" t="s">
        <v>642</v>
      </c>
      <c r="B5" s="87"/>
      <c r="C5" s="76"/>
      <c r="D5" s="87"/>
      <c r="E5" s="87"/>
      <c r="F5" s="87"/>
      <c r="G5" s="87"/>
      <c r="I5" s="82">
        <v>3</v>
      </c>
      <c r="J5" s="85">
        <v>0.15</v>
      </c>
      <c r="L5" s="184">
        <v>4</v>
      </c>
    </row>
    <row r="6" spans="1:12" s="82" customFormat="1" ht="12.75">
      <c r="A6" s="81" t="s">
        <v>4</v>
      </c>
      <c r="B6" s="82" t="s">
        <v>9</v>
      </c>
      <c r="C6" s="77">
        <v>0</v>
      </c>
      <c r="D6" s="6"/>
      <c r="I6" s="82">
        <v>4</v>
      </c>
      <c r="J6" s="85">
        <v>0.15</v>
      </c>
      <c r="L6" s="184">
        <v>5</v>
      </c>
    </row>
    <row r="7" spans="1:12" s="82" customFormat="1" ht="12.75">
      <c r="A7" s="81" t="s">
        <v>4</v>
      </c>
      <c r="B7" s="82" t="s">
        <v>10</v>
      </c>
      <c r="C7" s="77">
        <v>0</v>
      </c>
      <c r="D7" s="6"/>
      <c r="I7" s="82">
        <v>5</v>
      </c>
      <c r="J7" s="85">
        <v>0.3</v>
      </c>
      <c r="L7" s="183">
        <v>6</v>
      </c>
    </row>
    <row r="8" spans="1:12" s="82" customFormat="1" ht="12.75">
      <c r="A8" s="81" t="s">
        <v>4</v>
      </c>
      <c r="B8" s="82" t="s">
        <v>11</v>
      </c>
      <c r="C8" s="77">
        <v>0</v>
      </c>
      <c r="D8" s="6"/>
      <c r="F8" s="83"/>
      <c r="I8" s="82">
        <v>6</v>
      </c>
      <c r="J8" s="85">
        <v>0.3</v>
      </c>
      <c r="L8" s="184">
        <v>7</v>
      </c>
    </row>
    <row r="9" spans="1:12" s="82" customFormat="1" ht="12.75">
      <c r="A9" s="81" t="s">
        <v>4</v>
      </c>
      <c r="B9" s="82" t="s">
        <v>12</v>
      </c>
      <c r="C9" s="77">
        <v>0</v>
      </c>
      <c r="D9" s="6"/>
      <c r="I9" s="82">
        <v>7</v>
      </c>
      <c r="J9" s="85">
        <v>0.4</v>
      </c>
      <c r="L9" s="184">
        <v>8</v>
      </c>
    </row>
    <row r="10" spans="1:12" s="82" customFormat="1" ht="12.75">
      <c r="A10" s="81" t="s">
        <v>4</v>
      </c>
      <c r="B10" s="82" t="s">
        <v>13</v>
      </c>
      <c r="C10" s="77">
        <v>0</v>
      </c>
      <c r="D10" s="6"/>
      <c r="I10" s="82">
        <v>8</v>
      </c>
      <c r="J10" s="85">
        <v>0.4</v>
      </c>
      <c r="L10" s="184">
        <v>9</v>
      </c>
    </row>
    <row r="11" spans="1:10" s="82" customFormat="1" ht="12.75">
      <c r="A11" s="81" t="s">
        <v>4</v>
      </c>
      <c r="B11" s="82" t="s">
        <v>14</v>
      </c>
      <c r="C11" s="77">
        <v>0</v>
      </c>
      <c r="D11" s="6"/>
      <c r="F11" s="86">
        <f>C9</f>
        <v>0</v>
      </c>
      <c r="I11" s="82">
        <v>9</v>
      </c>
      <c r="J11" s="85">
        <v>0.4</v>
      </c>
    </row>
    <row r="12" spans="1:10" s="82" customFormat="1" ht="12.75">
      <c r="A12" s="81" t="s">
        <v>4</v>
      </c>
      <c r="B12" s="88" t="s">
        <v>15</v>
      </c>
      <c r="C12" s="89">
        <v>0</v>
      </c>
      <c r="D12" s="6"/>
      <c r="I12" s="82">
        <v>10</v>
      </c>
      <c r="J12" s="85">
        <v>0.5</v>
      </c>
    </row>
    <row r="13" spans="1:10" s="82" customFormat="1" ht="12.75">
      <c r="A13" s="87" t="s">
        <v>642</v>
      </c>
      <c r="B13" s="87"/>
      <c r="C13" s="78"/>
      <c r="D13" s="87"/>
      <c r="E13" s="87"/>
      <c r="F13" s="87"/>
      <c r="G13" s="87"/>
      <c r="I13" s="82">
        <v>11</v>
      </c>
      <c r="J13" s="85">
        <v>0.5</v>
      </c>
    </row>
    <row r="14" spans="1:10" s="82" customFormat="1" ht="12.75">
      <c r="A14" s="81" t="s">
        <v>645</v>
      </c>
      <c r="B14" s="82" t="s">
        <v>16</v>
      </c>
      <c r="C14" s="219">
        <v>309.17</v>
      </c>
      <c r="D14" s="101"/>
      <c r="E14" s="91"/>
      <c r="I14" s="82">
        <v>12</v>
      </c>
      <c r="J14" s="85">
        <v>0.6</v>
      </c>
    </row>
    <row r="15" spans="1:10" s="82" customFormat="1" ht="12.75">
      <c r="A15" s="81" t="s">
        <v>645</v>
      </c>
      <c r="B15" s="88" t="s">
        <v>17</v>
      </c>
      <c r="C15" s="220">
        <v>8642.51</v>
      </c>
      <c r="D15" s="101"/>
      <c r="E15" s="85"/>
      <c r="F15" s="92"/>
      <c r="I15" s="82">
        <v>13</v>
      </c>
      <c r="J15" s="85">
        <v>0.6</v>
      </c>
    </row>
    <row r="16" spans="1:10" s="82" customFormat="1" ht="12.75">
      <c r="A16" s="81" t="s">
        <v>645</v>
      </c>
      <c r="B16" s="88" t="s">
        <v>18</v>
      </c>
      <c r="C16" s="108">
        <v>8673.47</v>
      </c>
      <c r="D16" s="101"/>
      <c r="E16" s="85"/>
      <c r="F16" s="92"/>
      <c r="I16" s="82">
        <v>14</v>
      </c>
      <c r="J16" s="85">
        <v>0.6</v>
      </c>
    </row>
    <row r="17" spans="1:10" s="82" customFormat="1" ht="12.75">
      <c r="A17" s="81" t="s">
        <v>645</v>
      </c>
      <c r="B17" s="88" t="s">
        <v>19</v>
      </c>
      <c r="C17" s="108">
        <v>8578.33</v>
      </c>
      <c r="D17" s="101"/>
      <c r="E17" s="85"/>
      <c r="F17" s="92"/>
      <c r="G17" s="86"/>
      <c r="H17" s="86"/>
      <c r="I17" s="82">
        <v>15</v>
      </c>
      <c r="J17" s="85">
        <v>0.7</v>
      </c>
    </row>
    <row r="18" spans="1:10" s="82" customFormat="1" ht="12.75">
      <c r="A18" s="81" t="s">
        <v>645</v>
      </c>
      <c r="B18" s="82" t="s">
        <v>20</v>
      </c>
      <c r="C18" s="218">
        <v>14129.78</v>
      </c>
      <c r="D18" s="101"/>
      <c r="E18" s="85"/>
      <c r="F18" s="92"/>
      <c r="I18" s="82">
        <v>16</v>
      </c>
      <c r="J18" s="85">
        <v>0.7</v>
      </c>
    </row>
    <row r="19" spans="1:10" s="82" customFormat="1" ht="12.75">
      <c r="A19" s="81" t="s">
        <v>645</v>
      </c>
      <c r="B19" s="88" t="s">
        <v>21</v>
      </c>
      <c r="C19" s="108">
        <v>8655.78</v>
      </c>
      <c r="D19" s="101"/>
      <c r="E19" s="85"/>
      <c r="F19" s="92"/>
      <c r="G19" s="86"/>
      <c r="H19" s="86"/>
      <c r="I19" s="82">
        <v>17</v>
      </c>
      <c r="J19" s="85">
        <v>0.8</v>
      </c>
    </row>
    <row r="20" spans="1:10" s="82" customFormat="1" ht="12.75">
      <c r="A20" s="81" t="s">
        <v>645</v>
      </c>
      <c r="B20" s="88" t="s">
        <v>22</v>
      </c>
      <c r="C20" s="220">
        <v>8160.2</v>
      </c>
      <c r="D20" s="101"/>
      <c r="E20" s="85"/>
      <c r="F20" s="93"/>
      <c r="G20" s="86"/>
      <c r="H20" s="86"/>
      <c r="I20" s="82">
        <v>18</v>
      </c>
      <c r="J20" s="85">
        <v>0.8</v>
      </c>
    </row>
    <row r="21" spans="1:10" s="82" customFormat="1" ht="12.75">
      <c r="A21" s="81" t="s">
        <v>645</v>
      </c>
      <c r="B21" s="88" t="s">
        <v>646</v>
      </c>
      <c r="C21" s="108">
        <v>10473.48</v>
      </c>
      <c r="D21" s="101"/>
      <c r="E21" s="85"/>
      <c r="F21" s="93"/>
      <c r="G21" s="86"/>
      <c r="H21" s="86"/>
      <c r="J21" s="85"/>
    </row>
    <row r="22" spans="1:10" s="82" customFormat="1" ht="12.75">
      <c r="A22" s="87" t="s">
        <v>642</v>
      </c>
      <c r="B22" s="87"/>
      <c r="C22" s="78"/>
      <c r="D22" s="87"/>
      <c r="E22" s="87"/>
      <c r="F22" s="87"/>
      <c r="G22" s="87"/>
      <c r="H22" s="86"/>
      <c r="I22" s="82">
        <v>19</v>
      </c>
      <c r="J22" s="85">
        <v>0.8</v>
      </c>
    </row>
    <row r="23" spans="1:10" s="82" customFormat="1" ht="12.75">
      <c r="A23" s="81" t="s">
        <v>645</v>
      </c>
      <c r="B23" s="82" t="s">
        <v>23</v>
      </c>
      <c r="C23" s="218">
        <v>95.96</v>
      </c>
      <c r="D23" s="101"/>
      <c r="E23" s="100"/>
      <c r="F23" s="86"/>
      <c r="G23" s="86"/>
      <c r="H23" s="86"/>
      <c r="I23" s="82">
        <v>20</v>
      </c>
      <c r="J23" s="85">
        <v>1</v>
      </c>
    </row>
    <row r="24" spans="1:10" s="82" customFormat="1" ht="12.75">
      <c r="A24" s="81" t="s">
        <v>645</v>
      </c>
      <c r="B24" s="82" t="s">
        <v>24</v>
      </c>
      <c r="C24" s="218">
        <v>3897.01</v>
      </c>
      <c r="D24" s="101"/>
      <c r="E24" s="100"/>
      <c r="F24" s="86"/>
      <c r="G24" s="86"/>
      <c r="H24" s="86"/>
      <c r="I24" s="82">
        <v>21</v>
      </c>
      <c r="J24" s="85">
        <v>1</v>
      </c>
    </row>
    <row r="25" spans="1:10" s="82" customFormat="1" ht="12.75">
      <c r="A25" s="81" t="s">
        <v>645</v>
      </c>
      <c r="B25" s="82" t="s">
        <v>25</v>
      </c>
      <c r="C25" s="218">
        <v>3850.51</v>
      </c>
      <c r="D25" s="101"/>
      <c r="E25" s="100"/>
      <c r="F25" s="86"/>
      <c r="G25" s="86"/>
      <c r="H25" s="86"/>
      <c r="I25" s="82">
        <v>22</v>
      </c>
      <c r="J25" s="85">
        <v>1.1</v>
      </c>
    </row>
    <row r="26" spans="1:10" s="82" customFormat="1" ht="12.75">
      <c r="A26" s="87" t="s">
        <v>642</v>
      </c>
      <c r="B26" s="87"/>
      <c r="C26" s="78"/>
      <c r="D26" s="87"/>
      <c r="E26" s="87"/>
      <c r="F26" s="87"/>
      <c r="G26" s="87"/>
      <c r="H26" s="86"/>
      <c r="I26" s="82">
        <v>23</v>
      </c>
      <c r="J26" s="85">
        <v>1.1</v>
      </c>
    </row>
    <row r="27" spans="1:10" s="82" customFormat="1" ht="12.75">
      <c r="A27" s="81" t="s">
        <v>645</v>
      </c>
      <c r="B27" s="88" t="s">
        <v>26</v>
      </c>
      <c r="C27" s="218">
        <v>4359.58</v>
      </c>
      <c r="D27" s="101"/>
      <c r="I27" s="82">
        <v>24</v>
      </c>
      <c r="J27" s="85">
        <v>1.2</v>
      </c>
    </row>
    <row r="28" spans="1:10" s="82" customFormat="1" ht="12.75">
      <c r="A28" s="81" t="s">
        <v>645</v>
      </c>
      <c r="B28" s="88" t="s">
        <v>27</v>
      </c>
      <c r="C28" s="218">
        <v>4057.61</v>
      </c>
      <c r="D28" s="101"/>
      <c r="I28" s="82">
        <v>25</v>
      </c>
      <c r="J28" s="85">
        <v>1.2</v>
      </c>
    </row>
    <row r="29" spans="1:10" s="82" customFormat="1" ht="12.75">
      <c r="A29" s="87" t="s">
        <v>642</v>
      </c>
      <c r="B29" s="87"/>
      <c r="C29" s="78"/>
      <c r="D29" s="87"/>
      <c r="E29" s="87"/>
      <c r="F29" s="87"/>
      <c r="G29" s="87"/>
      <c r="I29" s="82">
        <v>26</v>
      </c>
      <c r="J29" s="85">
        <v>1.3</v>
      </c>
    </row>
    <row r="30" spans="1:10" s="82" customFormat="1" ht="12.75">
      <c r="A30" s="81" t="s">
        <v>645</v>
      </c>
      <c r="B30" s="88" t="s">
        <v>28</v>
      </c>
      <c r="C30" s="89">
        <v>199.86</v>
      </c>
      <c r="D30" s="101"/>
      <c r="F30" s="89">
        <f>+C30*1.5</f>
        <v>299.79</v>
      </c>
      <c r="I30" s="82">
        <v>27</v>
      </c>
      <c r="J30" s="85">
        <v>1.3</v>
      </c>
    </row>
    <row r="31" spans="1:10" s="82" customFormat="1" ht="12.75">
      <c r="A31" s="81" t="s">
        <v>645</v>
      </c>
      <c r="B31" s="88" t="s">
        <v>29</v>
      </c>
      <c r="C31" s="89">
        <v>199.86</v>
      </c>
      <c r="D31" s="101"/>
      <c r="F31" s="89">
        <f>C31</f>
        <v>199.86</v>
      </c>
      <c r="I31" s="82">
        <v>28</v>
      </c>
      <c r="J31" s="85">
        <v>1.4</v>
      </c>
    </row>
    <row r="32" spans="1:10" s="82" customFormat="1" ht="12.75">
      <c r="A32" s="87" t="s">
        <v>642</v>
      </c>
      <c r="B32" s="87"/>
      <c r="C32" s="78"/>
      <c r="D32" s="87"/>
      <c r="E32" s="87"/>
      <c r="F32" s="87"/>
      <c r="G32" s="87"/>
      <c r="I32" s="82">
        <v>29</v>
      </c>
      <c r="J32" s="85">
        <v>1.4</v>
      </c>
    </row>
    <row r="33" spans="1:13" s="82" customFormat="1" ht="12.75">
      <c r="A33" s="81" t="s">
        <v>645</v>
      </c>
      <c r="B33" s="82" t="s">
        <v>30</v>
      </c>
      <c r="C33" s="77">
        <v>8.00384</v>
      </c>
      <c r="F33" s="89">
        <f>F30</f>
        <v>299.79</v>
      </c>
      <c r="I33" s="82">
        <v>30</v>
      </c>
      <c r="J33" s="85">
        <v>1.5</v>
      </c>
      <c r="M33" s="90"/>
    </row>
    <row r="34" spans="1:10" s="95" customFormat="1" ht="13.5" thickBot="1">
      <c r="A34" s="94" t="s">
        <v>645</v>
      </c>
      <c r="B34" s="95" t="s">
        <v>31</v>
      </c>
      <c r="C34" s="96">
        <v>6.662656000000001</v>
      </c>
      <c r="F34" s="97">
        <f>F31</f>
        <v>199.86</v>
      </c>
      <c r="I34" s="95">
        <v>31</v>
      </c>
      <c r="J34" s="98">
        <v>1.5</v>
      </c>
    </row>
    <row r="35" spans="1:13" ht="13.5" thickTop="1">
      <c r="A35" s="75" t="s">
        <v>642</v>
      </c>
      <c r="B35" s="75"/>
      <c r="C35" s="78"/>
      <c r="D35" s="75"/>
      <c r="E35" s="75"/>
      <c r="F35" s="75"/>
      <c r="G35" s="75"/>
      <c r="I35">
        <v>32</v>
      </c>
      <c r="J35" s="3">
        <v>1.5</v>
      </c>
      <c r="M35" s="7"/>
    </row>
    <row r="36" spans="1:10" ht="12.75">
      <c r="A36" s="102" t="s">
        <v>645</v>
      </c>
      <c r="B36" s="102" t="s">
        <v>32</v>
      </c>
      <c r="C36" s="103">
        <v>1046.83</v>
      </c>
      <c r="D36" s="104">
        <f>C36/C37</f>
        <v>14.99971342599226</v>
      </c>
      <c r="E36" s="105"/>
      <c r="F36" s="104"/>
      <c r="G36" s="105"/>
      <c r="H36" s="5"/>
      <c r="I36">
        <v>33</v>
      </c>
      <c r="J36" s="3">
        <v>1.5</v>
      </c>
    </row>
    <row r="37" spans="1:10" ht="12.75">
      <c r="A37" s="102" t="s">
        <v>645</v>
      </c>
      <c r="B37" s="102" t="s">
        <v>33</v>
      </c>
      <c r="C37" s="103">
        <v>69.79</v>
      </c>
      <c r="D37" s="105"/>
      <c r="E37" s="104"/>
      <c r="F37" s="104">
        <f>C36*2</f>
        <v>2093.66</v>
      </c>
      <c r="G37" s="104"/>
      <c r="H37" s="5"/>
      <c r="I37">
        <v>34</v>
      </c>
      <c r="J37" s="3">
        <v>1.5</v>
      </c>
    </row>
    <row r="38" spans="1:10" ht="12.75">
      <c r="A38" s="75" t="s">
        <v>642</v>
      </c>
      <c r="B38" s="75"/>
      <c r="C38" s="78"/>
      <c r="D38" s="75"/>
      <c r="E38" s="75"/>
      <c r="F38" s="75"/>
      <c r="G38" s="75"/>
      <c r="H38" s="5"/>
      <c r="I38">
        <v>35</v>
      </c>
      <c r="J38" s="3">
        <v>1.5</v>
      </c>
    </row>
    <row r="39" spans="1:10" ht="12.75">
      <c r="A39" s="74" t="s">
        <v>645</v>
      </c>
      <c r="B39" t="s">
        <v>34</v>
      </c>
      <c r="C39" s="77">
        <v>0</v>
      </c>
      <c r="D39" s="5"/>
      <c r="E39" s="5"/>
      <c r="F39" s="5"/>
      <c r="G39" s="5"/>
      <c r="H39" s="5"/>
      <c r="I39">
        <v>36</v>
      </c>
      <c r="J39" s="3">
        <v>1.5</v>
      </c>
    </row>
    <row r="40" spans="1:10" ht="12.75">
      <c r="A40" s="75" t="s">
        <v>642</v>
      </c>
      <c r="B40" s="75"/>
      <c r="C40" s="78"/>
      <c r="D40" s="75"/>
      <c r="E40" s="75"/>
      <c r="F40" s="75"/>
      <c r="G40" s="75"/>
      <c r="H40" s="5"/>
      <c r="I40">
        <v>39</v>
      </c>
      <c r="J40" s="3">
        <v>1.5</v>
      </c>
    </row>
    <row r="41" spans="1:10" ht="12.75">
      <c r="A41" s="74" t="s">
        <v>645</v>
      </c>
      <c r="B41" s="2" t="s">
        <v>35</v>
      </c>
      <c r="C41" s="8">
        <v>1237.33</v>
      </c>
      <c r="D41" s="6"/>
      <c r="E41" s="79"/>
      <c r="F41" s="5"/>
      <c r="G41" s="5"/>
      <c r="H41" s="5"/>
      <c r="I41">
        <v>40</v>
      </c>
      <c r="J41" s="3">
        <v>1.5</v>
      </c>
    </row>
    <row r="42" spans="1:10" ht="12.75">
      <c r="A42" s="74" t="s">
        <v>645</v>
      </c>
      <c r="B42" s="2" t="s">
        <v>36</v>
      </c>
      <c r="C42" s="77">
        <v>1428.56</v>
      </c>
      <c r="D42" s="6"/>
      <c r="E42" s="79"/>
      <c r="F42" s="5"/>
      <c r="G42" s="5"/>
      <c r="H42" s="5"/>
      <c r="I42">
        <v>41</v>
      </c>
      <c r="J42" s="3">
        <v>1.5</v>
      </c>
    </row>
    <row r="43" spans="1:10" ht="12.75">
      <c r="A43" s="74" t="s">
        <v>645</v>
      </c>
      <c r="B43" s="2" t="s">
        <v>37</v>
      </c>
      <c r="C43" s="77">
        <v>1619.82</v>
      </c>
      <c r="D43" s="6"/>
      <c r="E43" s="79"/>
      <c r="I43">
        <v>42</v>
      </c>
      <c r="J43" s="3">
        <v>1.5</v>
      </c>
    </row>
    <row r="44" spans="1:10" ht="12.75">
      <c r="A44" s="74" t="s">
        <v>645</v>
      </c>
      <c r="B44" s="2" t="s">
        <v>38</v>
      </c>
      <c r="C44" s="77">
        <v>2384.69</v>
      </c>
      <c r="D44" s="6"/>
      <c r="E44" s="79"/>
      <c r="I44">
        <v>43</v>
      </c>
      <c r="J44" s="3">
        <v>1.5</v>
      </c>
    </row>
    <row r="45" spans="1:10" ht="12.75">
      <c r="A45" s="74" t="s">
        <v>645</v>
      </c>
      <c r="B45" t="s">
        <v>39</v>
      </c>
      <c r="C45" s="77">
        <v>0</v>
      </c>
      <c r="D45" s="6"/>
      <c r="E45" s="79"/>
      <c r="F45" s="5"/>
      <c r="G45" s="5"/>
      <c r="H45" s="5"/>
      <c r="I45">
        <v>44</v>
      </c>
      <c r="J45" s="3">
        <v>1.5</v>
      </c>
    </row>
    <row r="46" spans="1:10" ht="12.75">
      <c r="A46" s="74" t="s">
        <v>645</v>
      </c>
      <c r="B46" s="2" t="s">
        <v>40</v>
      </c>
      <c r="C46" s="77">
        <v>68.25</v>
      </c>
      <c r="D46" s="6"/>
      <c r="E46" s="79"/>
      <c r="I46">
        <v>45</v>
      </c>
      <c r="J46" s="3">
        <v>1.5</v>
      </c>
    </row>
    <row r="47" spans="1:10" ht="12.75">
      <c r="A47" s="74" t="s">
        <v>645</v>
      </c>
      <c r="B47" s="2" t="s">
        <v>41</v>
      </c>
      <c r="C47" s="77">
        <v>158.98</v>
      </c>
      <c r="D47" s="6"/>
      <c r="E47" s="79"/>
      <c r="I47">
        <v>46</v>
      </c>
      <c r="J47" s="3">
        <v>1.5</v>
      </c>
    </row>
    <row r="48" spans="1:10" ht="12.75">
      <c r="A48" s="75" t="s">
        <v>642</v>
      </c>
      <c r="B48" s="75"/>
      <c r="C48" s="78"/>
      <c r="D48" s="75"/>
      <c r="E48" s="75"/>
      <c r="F48" s="75"/>
      <c r="G48" s="75"/>
      <c r="I48">
        <v>47</v>
      </c>
      <c r="J48" s="3">
        <v>1.5</v>
      </c>
    </row>
    <row r="49" spans="1:12" ht="12.75">
      <c r="A49" s="74" t="s">
        <v>645</v>
      </c>
      <c r="B49" s="74" t="s">
        <v>42</v>
      </c>
      <c r="C49" s="99">
        <f>INT((D49/15*100)+0.49)/100</f>
        <v>80.67</v>
      </c>
      <c r="D49" s="74">
        <f>D50</f>
        <v>1210</v>
      </c>
      <c r="E49" s="74"/>
      <c r="F49" s="74">
        <v>1210</v>
      </c>
      <c r="G49" s="74"/>
      <c r="I49">
        <v>48</v>
      </c>
      <c r="J49" s="3">
        <v>1.5</v>
      </c>
      <c r="L49">
        <f>267.87+5.37</f>
        <v>273.24</v>
      </c>
    </row>
    <row r="50" spans="1:10" ht="12.75">
      <c r="A50" s="74" t="s">
        <v>645</v>
      </c>
      <c r="B50" s="74" t="s">
        <v>43</v>
      </c>
      <c r="C50" s="99">
        <v>1210</v>
      </c>
      <c r="D50" s="74">
        <v>1210</v>
      </c>
      <c r="E50" s="74"/>
      <c r="F50" s="74"/>
      <c r="G50" s="74"/>
      <c r="I50">
        <v>49</v>
      </c>
      <c r="J50" s="3">
        <v>1.5</v>
      </c>
    </row>
    <row r="51" spans="1:10" ht="12" customHeight="1">
      <c r="A51" s="74" t="s">
        <v>645</v>
      </c>
      <c r="B51" s="2" t="s">
        <v>44</v>
      </c>
      <c r="C51" s="107">
        <v>327.6</v>
      </c>
      <c r="I51">
        <v>50</v>
      </c>
      <c r="J51" s="3">
        <v>1.5</v>
      </c>
    </row>
    <row r="52" spans="1:10" ht="12.75">
      <c r="A52" s="74" t="s">
        <v>645</v>
      </c>
      <c r="B52" s="2" t="s">
        <v>45</v>
      </c>
      <c r="C52" s="107">
        <v>170.34</v>
      </c>
      <c r="I52">
        <v>51</v>
      </c>
      <c r="J52" s="3">
        <v>1.5</v>
      </c>
    </row>
    <row r="53" spans="1:10" ht="12.75">
      <c r="A53" s="74" t="s">
        <v>645</v>
      </c>
      <c r="B53" s="2" t="s">
        <v>46</v>
      </c>
      <c r="C53" s="108">
        <v>327.6</v>
      </c>
      <c r="I53">
        <v>52</v>
      </c>
      <c r="J53" s="3">
        <v>1.5</v>
      </c>
    </row>
    <row r="54" spans="1:10" ht="12.75">
      <c r="A54" s="74" t="s">
        <v>645</v>
      </c>
      <c r="B54" s="2" t="s">
        <v>47</v>
      </c>
      <c r="C54" s="108">
        <v>155.54</v>
      </c>
      <c r="I54">
        <v>53</v>
      </c>
      <c r="J54" s="3">
        <v>1.5</v>
      </c>
    </row>
    <row r="55" spans="1:3" ht="12.75">
      <c r="A55" s="74" t="s">
        <v>645</v>
      </c>
      <c r="B55" s="2" t="s">
        <v>48</v>
      </c>
      <c r="C55" s="108">
        <v>149.55200000000002</v>
      </c>
    </row>
    <row r="56" spans="1:3" ht="12.75">
      <c r="A56" s="74" t="s">
        <v>645</v>
      </c>
      <c r="B56" s="2" t="s">
        <v>49</v>
      </c>
      <c r="C56" s="108">
        <v>252.668</v>
      </c>
    </row>
    <row r="57" spans="1:6" ht="12.75">
      <c r="A57" s="74" t="s">
        <v>645</v>
      </c>
      <c r="B57" s="2" t="s">
        <v>50</v>
      </c>
      <c r="C57" s="108">
        <v>14.2</v>
      </c>
      <c r="E57" s="73">
        <f>F57/C57</f>
        <v>23.07042253521127</v>
      </c>
      <c r="F57" s="5">
        <f>C51</f>
        <v>327.6</v>
      </c>
    </row>
    <row r="58" spans="1:6" ht="12.75">
      <c r="A58" s="74" t="s">
        <v>645</v>
      </c>
      <c r="B58" s="2" t="s">
        <v>51</v>
      </c>
      <c r="C58" s="106">
        <v>11.355</v>
      </c>
      <c r="E58" s="73">
        <f>F58/C58</f>
        <v>28.85072655217966</v>
      </c>
      <c r="F58" s="5">
        <f>C51</f>
        <v>327.6</v>
      </c>
    </row>
    <row r="59" spans="1:6" ht="12.75">
      <c r="A59" s="74" t="s">
        <v>645</v>
      </c>
      <c r="B59" s="2" t="s">
        <v>52</v>
      </c>
      <c r="C59" s="8">
        <v>406.53</v>
      </c>
      <c r="D59" s="3">
        <v>27.1024</v>
      </c>
      <c r="E59" s="80">
        <v>38.47</v>
      </c>
      <c r="F59">
        <f>+C59*2</f>
        <v>813.06</v>
      </c>
    </row>
    <row r="60" spans="1:4" ht="12.75">
      <c r="A60" s="74" t="s">
        <v>645</v>
      </c>
      <c r="B60" s="2" t="s">
        <v>53</v>
      </c>
      <c r="C60" s="8">
        <v>54.2</v>
      </c>
      <c r="D60" s="3"/>
    </row>
    <row r="61" spans="1:6" ht="12.75">
      <c r="A61" s="74" t="s">
        <v>645</v>
      </c>
      <c r="B61" s="2" t="s">
        <v>54</v>
      </c>
      <c r="C61" s="8">
        <v>116.15</v>
      </c>
      <c r="D61" s="8">
        <v>7.7442</v>
      </c>
      <c r="E61" s="80">
        <v>10.99</v>
      </c>
      <c r="F61">
        <f>+C61*2</f>
        <v>232.3</v>
      </c>
    </row>
    <row r="62" spans="1:3" ht="12.75">
      <c r="A62" s="74" t="s">
        <v>645</v>
      </c>
      <c r="B62" s="2" t="s">
        <v>55</v>
      </c>
      <c r="C62" s="8">
        <v>15.49</v>
      </c>
    </row>
    <row r="63" spans="1:7" ht="12.75">
      <c r="A63" s="75" t="s">
        <v>642</v>
      </c>
      <c r="B63" s="75"/>
      <c r="C63" s="76"/>
      <c r="D63" s="75"/>
      <c r="E63" s="75"/>
      <c r="F63" s="75"/>
      <c r="G63" s="75"/>
    </row>
    <row r="64" spans="1:7" ht="12.75">
      <c r="A64" s="111" t="s">
        <v>645</v>
      </c>
      <c r="B64" t="s">
        <v>647</v>
      </c>
      <c r="C64" s="110">
        <v>1210</v>
      </c>
      <c r="D64" s="109"/>
      <c r="E64" s="109"/>
      <c r="F64">
        <v>2420</v>
      </c>
      <c r="G64" s="109"/>
    </row>
    <row r="65" spans="1:7" ht="12.75">
      <c r="A65" s="75" t="s">
        <v>642</v>
      </c>
      <c r="B65" s="75"/>
      <c r="C65" s="76"/>
      <c r="D65" s="75"/>
      <c r="E65" s="75"/>
      <c r="F65" s="75"/>
      <c r="G65" s="75"/>
    </row>
    <row r="66" spans="1:4" ht="12.75">
      <c r="A66" s="74" t="s">
        <v>4</v>
      </c>
      <c r="B66" s="2" t="s">
        <v>56</v>
      </c>
      <c r="C66" s="9">
        <v>0</v>
      </c>
      <c r="D66" s="10"/>
    </row>
    <row r="67" spans="1:7" ht="12.75">
      <c r="A67" s="75" t="s">
        <v>642</v>
      </c>
      <c r="B67" s="75"/>
      <c r="C67" s="76"/>
      <c r="D67" s="75"/>
      <c r="E67" s="75"/>
      <c r="F67" s="75"/>
      <c r="G67" s="75"/>
    </row>
    <row r="68" spans="1:3" ht="12.75">
      <c r="A68" s="74" t="s">
        <v>4</v>
      </c>
      <c r="B68" t="s">
        <v>57</v>
      </c>
      <c r="C68" s="11">
        <v>0.11</v>
      </c>
    </row>
    <row r="69" spans="1:3" ht="12.75">
      <c r="A69" s="74" t="s">
        <v>4</v>
      </c>
      <c r="B69" t="s">
        <v>58</v>
      </c>
      <c r="C69" s="11">
        <v>0</v>
      </c>
    </row>
    <row r="70" spans="1:3" ht="12.75">
      <c r="A70" s="74" t="s">
        <v>4</v>
      </c>
      <c r="B70" t="s">
        <v>59</v>
      </c>
      <c r="C70" s="11">
        <v>0.045</v>
      </c>
    </row>
    <row r="71" spans="1:3" ht="12.75">
      <c r="A71" s="74" t="s">
        <v>4</v>
      </c>
      <c r="B71" t="s">
        <v>60</v>
      </c>
      <c r="C71" s="11">
        <v>0.027</v>
      </c>
    </row>
    <row r="72" spans="1:3" ht="12.75">
      <c r="A72" s="74" t="s">
        <v>4</v>
      </c>
      <c r="B72" t="s">
        <v>61</v>
      </c>
      <c r="C72" s="11">
        <v>0.003</v>
      </c>
    </row>
    <row r="73" spans="1:7" ht="12.75">
      <c r="A73" s="75" t="s">
        <v>642</v>
      </c>
      <c r="B73" s="75"/>
      <c r="C73" s="76"/>
      <c r="D73" s="75"/>
      <c r="E73" s="75"/>
      <c r="F73" s="75"/>
      <c r="G73" s="75"/>
    </row>
    <row r="74" spans="1:3" ht="12.75">
      <c r="A74" s="74" t="s">
        <v>4</v>
      </c>
      <c r="B74" t="s">
        <v>62</v>
      </c>
      <c r="C74" s="11">
        <v>0.16</v>
      </c>
    </row>
    <row r="75" spans="1:3" ht="12.75">
      <c r="A75" s="74" t="s">
        <v>4</v>
      </c>
      <c r="B75" t="s">
        <v>63</v>
      </c>
      <c r="C75" s="11">
        <v>0.07</v>
      </c>
    </row>
    <row r="76" spans="1:3" ht="12.75">
      <c r="A76" s="74" t="s">
        <v>4</v>
      </c>
      <c r="B76" t="s">
        <v>64</v>
      </c>
      <c r="C76" s="11">
        <v>0.01</v>
      </c>
    </row>
    <row r="77" spans="1:7" ht="12.75">
      <c r="A77" s="75" t="s">
        <v>642</v>
      </c>
      <c r="B77" s="75"/>
      <c r="C77" s="76"/>
      <c r="D77" s="75"/>
      <c r="E77" s="75"/>
      <c r="F77" s="75"/>
      <c r="G77" s="75"/>
    </row>
    <row r="78" spans="1:3" ht="12.75">
      <c r="A78" s="74" t="s">
        <v>4</v>
      </c>
      <c r="B78" t="s">
        <v>65</v>
      </c>
      <c r="C78" s="11">
        <v>0.035</v>
      </c>
    </row>
    <row r="79" spans="1:3" ht="12.75">
      <c r="A79" s="74" t="s">
        <v>4</v>
      </c>
      <c r="B79" t="s">
        <v>66</v>
      </c>
      <c r="C79" s="11">
        <v>0.006</v>
      </c>
    </row>
    <row r="80" spans="1:3" ht="12.75">
      <c r="A80" s="74" t="s">
        <v>4</v>
      </c>
      <c r="B80" t="s">
        <v>67</v>
      </c>
      <c r="C80" s="11">
        <v>0.054</v>
      </c>
    </row>
    <row r="81" spans="1:7" ht="12.75">
      <c r="A81" s="75" t="s">
        <v>642</v>
      </c>
      <c r="B81" s="75"/>
      <c r="C81" s="76"/>
      <c r="D81" s="75"/>
      <c r="E81" s="75"/>
      <c r="F81" s="75"/>
      <c r="G81" s="75"/>
    </row>
    <row r="82" spans="1:3" ht="12.75">
      <c r="A82" s="74" t="s">
        <v>4</v>
      </c>
      <c r="B82" t="s">
        <v>68</v>
      </c>
      <c r="C82" s="4">
        <v>0.5</v>
      </c>
    </row>
    <row r="83" spans="1:7" ht="12.75">
      <c r="A83" s="75" t="s">
        <v>642</v>
      </c>
      <c r="B83" s="75"/>
      <c r="C83" s="76"/>
      <c r="D83" s="75"/>
      <c r="E83" s="75"/>
      <c r="F83" s="75"/>
      <c r="G83" s="75"/>
    </row>
    <row r="84" spans="1:5" ht="12.75">
      <c r="A84" s="74" t="s">
        <v>4</v>
      </c>
      <c r="B84" s="74" t="s">
        <v>636</v>
      </c>
      <c r="C84" s="8">
        <v>2275</v>
      </c>
      <c r="E84" s="8"/>
    </row>
    <row r="85" spans="1:5" ht="12.75">
      <c r="A85" s="74" t="s">
        <v>4</v>
      </c>
      <c r="B85" s="74" t="s">
        <v>637</v>
      </c>
      <c r="C85" s="8">
        <v>2730</v>
      </c>
      <c r="E85" s="8"/>
    </row>
    <row r="86" spans="1:5" ht="12.75">
      <c r="A86" s="74" t="s">
        <v>4</v>
      </c>
      <c r="B86" s="74" t="s">
        <v>638</v>
      </c>
      <c r="C86" s="107">
        <v>4550</v>
      </c>
      <c r="E86" s="8"/>
    </row>
    <row r="87" spans="1:5" ht="12.75">
      <c r="A87" s="74" t="s">
        <v>4</v>
      </c>
      <c r="B87" s="74" t="s">
        <v>639</v>
      </c>
      <c r="C87" s="8">
        <v>113.74999999999999</v>
      </c>
      <c r="E87" s="8"/>
    </row>
    <row r="88" spans="1:5" ht="12.75">
      <c r="A88" s="74" t="s">
        <v>4</v>
      </c>
      <c r="B88" s="74" t="s">
        <v>640</v>
      </c>
      <c r="C88" s="8">
        <v>227.49999999999997</v>
      </c>
      <c r="E88" s="8"/>
    </row>
    <row r="89" spans="1:3" ht="12.75">
      <c r="A89" s="74" t="s">
        <v>645</v>
      </c>
      <c r="B89" s="74" t="s">
        <v>648</v>
      </c>
      <c r="C89" s="3">
        <v>1153.8461538461538</v>
      </c>
    </row>
    <row r="90" spans="1:3" ht="12.75">
      <c r="A90" s="74" t="s">
        <v>645</v>
      </c>
      <c r="B90" s="74" t="s">
        <v>649</v>
      </c>
      <c r="C90" s="3">
        <v>1384.6153846153848</v>
      </c>
    </row>
    <row r="91" spans="1:3" ht="12.75">
      <c r="A91" s="74" t="s">
        <v>645</v>
      </c>
      <c r="B91" s="74" t="s">
        <v>650</v>
      </c>
      <c r="C91" s="221">
        <v>2307.6923076923076</v>
      </c>
    </row>
    <row r="92" spans="1:3" ht="12.75">
      <c r="A92" s="74" t="s">
        <v>645</v>
      </c>
      <c r="B92" s="74" t="s">
        <v>651</v>
      </c>
      <c r="C92" s="3">
        <v>57.69230769230771</v>
      </c>
    </row>
    <row r="93" spans="1:3" ht="12.75">
      <c r="A93" s="74" t="s">
        <v>645</v>
      </c>
      <c r="B93" s="74" t="s">
        <v>652</v>
      </c>
      <c r="C93" s="3">
        <v>115.38461538461542</v>
      </c>
    </row>
  </sheetData>
  <autoFilter ref="A1:J88"/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330"/>
  <sheetViews>
    <sheetView showGridLines="0" tabSelected="1" zoomScale="130" zoomScaleNormal="130" workbookViewId="0" topLeftCell="A1">
      <pane xSplit="6" ySplit="8" topLeftCell="H9" activePane="bottomRight" state="frozen"/>
      <selection pane="topRight" activeCell="U1" sqref="U1"/>
      <selection pane="bottomLeft" activeCell="A69" sqref="A69"/>
      <selection pane="bottomRight" activeCell="O10" sqref="O10"/>
    </sheetView>
  </sheetViews>
  <sheetFormatPr defaultColWidth="9.140625" defaultRowHeight="12.75"/>
  <cols>
    <col min="1" max="1" width="6.57421875" style="112" hidden="1" customWidth="1"/>
    <col min="2" max="2" width="8.7109375" style="112" hidden="1" customWidth="1"/>
    <col min="3" max="3" width="4.7109375" style="118" customWidth="1"/>
    <col min="4" max="5" width="3.7109375" style="118" hidden="1" customWidth="1"/>
    <col min="6" max="6" width="28.421875" style="118" customWidth="1"/>
    <col min="7" max="7" width="4.8515625" style="121" hidden="1" customWidth="1"/>
    <col min="8" max="8" width="8.00390625" style="174" customWidth="1"/>
    <col min="9" max="9" width="8.28125" style="122" hidden="1" customWidth="1"/>
    <col min="10" max="10" width="9.140625" style="127" customWidth="1"/>
    <col min="11" max="11" width="5.28125" style="123" hidden="1" customWidth="1"/>
    <col min="12" max="12" width="7.28125" style="114" customWidth="1"/>
    <col min="13" max="13" width="6.28125" style="124" hidden="1" customWidth="1"/>
    <col min="14" max="14" width="6.7109375" style="114" customWidth="1"/>
    <col min="15" max="15" width="7.8515625" style="114" customWidth="1"/>
    <col min="16" max="16" width="8.421875" style="114" customWidth="1"/>
    <col min="17" max="17" width="6.57421875" style="114" customWidth="1"/>
    <col min="18" max="18" width="8.28125" style="114" customWidth="1"/>
    <col min="19" max="19" width="7.140625" style="114" customWidth="1"/>
    <col min="20" max="20" width="10.421875" style="114" customWidth="1"/>
    <col min="21" max="21" width="8.7109375" style="127" hidden="1" customWidth="1"/>
    <col min="22" max="22" width="7.140625" style="114" customWidth="1"/>
    <col min="23" max="23" width="7.00390625" style="114" customWidth="1"/>
    <col min="24" max="24" width="7.57421875" style="114" customWidth="1"/>
    <col min="25" max="25" width="4.28125" style="128" hidden="1" customWidth="1"/>
    <col min="26" max="26" width="7.140625" style="114" customWidth="1"/>
    <col min="27" max="27" width="7.421875" style="114" customWidth="1"/>
    <col min="28" max="28" width="11.140625" style="114" customWidth="1"/>
    <col min="29" max="29" width="6.140625" style="116" customWidth="1"/>
    <col min="30" max="30" width="7.140625" style="114" customWidth="1"/>
    <col min="31" max="31" width="6.28125" style="114" customWidth="1"/>
    <col min="32" max="32" width="4.421875" style="128" hidden="1" customWidth="1"/>
    <col min="33" max="33" width="6.28125" style="114" customWidth="1"/>
    <col min="34" max="34" width="8.57421875" style="114" customWidth="1"/>
    <col min="35" max="35" width="8.7109375" style="114" customWidth="1"/>
    <col min="36" max="36" width="7.8515625" style="114" customWidth="1"/>
    <col min="37" max="37" width="11.8515625" style="114" customWidth="1"/>
    <col min="38" max="38" width="6.140625" style="116" hidden="1" customWidth="1"/>
    <col min="39" max="39" width="11.00390625" style="116" customWidth="1"/>
    <col min="40" max="40" width="6.140625" style="116" hidden="1" customWidth="1"/>
    <col min="41" max="41" width="8.28125" style="116" customWidth="1"/>
    <col min="42" max="42" width="7.28125" style="114" customWidth="1"/>
    <col min="43" max="43" width="8.421875" style="114" customWidth="1"/>
    <col min="44" max="44" width="6.7109375" style="114" hidden="1" customWidth="1"/>
    <col min="45" max="45" width="7.421875" style="114" customWidth="1"/>
    <col min="46" max="46" width="9.00390625" style="114" customWidth="1"/>
    <col min="47" max="47" width="10.8515625" style="114" customWidth="1"/>
    <col min="48" max="48" width="9.7109375" style="115" customWidth="1"/>
    <col min="49" max="49" width="5.00390625" style="112" hidden="1" customWidth="1"/>
    <col min="50" max="50" width="3.7109375" style="112" hidden="1" customWidth="1"/>
    <col min="51" max="51" width="3.421875" style="117" hidden="1" customWidth="1"/>
    <col min="52" max="52" width="9.8515625" style="118" customWidth="1"/>
    <col min="53" max="1019" width="11.421875" style="118" customWidth="1"/>
    <col min="1020" max="16384" width="9.140625" style="119" customWidth="1"/>
  </cols>
  <sheetData>
    <row r="1" spans="3:43" ht="50.25" customHeight="1">
      <c r="C1" s="222" t="s">
        <v>671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113"/>
      <c r="AQ1" s="113"/>
    </row>
    <row r="2" spans="2:51" ht="11.25" customHeight="1">
      <c r="B2" s="120"/>
      <c r="C2" s="180" t="s">
        <v>69</v>
      </c>
      <c r="D2" s="180"/>
      <c r="E2" s="180"/>
      <c r="F2" s="180"/>
      <c r="G2" s="181"/>
      <c r="H2" s="178">
        <v>0</v>
      </c>
      <c r="I2" s="185"/>
      <c r="J2" s="186">
        <f>LOOKUP(H2,Valores!I:I,Valores!J:J)</f>
        <v>0</v>
      </c>
      <c r="K2" s="187"/>
      <c r="L2" s="176"/>
      <c r="O2" s="125">
        <v>0.15</v>
      </c>
      <c r="P2" s="126"/>
      <c r="Q2" s="235" t="s">
        <v>654</v>
      </c>
      <c r="R2" s="235"/>
      <c r="S2" s="235"/>
      <c r="T2" s="235"/>
      <c r="U2" s="235"/>
      <c r="V2" s="235"/>
      <c r="W2" s="235"/>
      <c r="X2" s="235"/>
      <c r="AO2" s="223"/>
      <c r="AY2" s="129">
        <f>(((H141+U141)*1.15)+Q141+R141+S141+AC141+AE141)*0.05</f>
        <v>1574.4508750000002</v>
      </c>
    </row>
    <row r="3" spans="2:48" ht="11.25" customHeight="1">
      <c r="B3" s="120"/>
      <c r="C3" s="180" t="s">
        <v>70</v>
      </c>
      <c r="D3" s="180"/>
      <c r="E3" s="180"/>
      <c r="F3" s="180"/>
      <c r="G3" s="181"/>
      <c r="H3" s="178">
        <v>0</v>
      </c>
      <c r="I3" s="224" t="s">
        <v>71</v>
      </c>
      <c r="J3" s="224"/>
      <c r="K3" s="225">
        <f>Valores!C2</f>
        <v>9.3397</v>
      </c>
      <c r="L3" s="225"/>
      <c r="AO3" s="223"/>
      <c r="AP3" s="130" t="s">
        <v>4</v>
      </c>
      <c r="AQ3" s="131"/>
      <c r="AR3" s="132">
        <f>Valores!C2</f>
        <v>9.3397</v>
      </c>
      <c r="AS3" s="133"/>
      <c r="AT3" s="133"/>
      <c r="AU3" s="133"/>
      <c r="AV3" s="134"/>
    </row>
    <row r="4" spans="1:48" ht="11.25" customHeight="1">
      <c r="A4" s="135"/>
      <c r="B4" s="120"/>
      <c r="C4" s="180" t="s">
        <v>72</v>
      </c>
      <c r="D4" s="180"/>
      <c r="E4" s="180"/>
      <c r="F4" s="180"/>
      <c r="G4" s="181"/>
      <c r="H4" s="179" t="s">
        <v>8</v>
      </c>
      <c r="AO4" s="136"/>
      <c r="AP4" s="130" t="s">
        <v>8</v>
      </c>
      <c r="AQ4" s="131"/>
      <c r="AR4" s="133"/>
      <c r="AS4" s="133"/>
      <c r="AT4" s="133"/>
      <c r="AU4" s="133"/>
      <c r="AV4" s="134"/>
    </row>
    <row r="5" spans="1:48" ht="11.25" customHeight="1">
      <c r="A5" s="135"/>
      <c r="B5" s="120"/>
      <c r="C5" s="232" t="s">
        <v>669</v>
      </c>
      <c r="D5" s="233"/>
      <c r="E5" s="233"/>
      <c r="F5" s="234"/>
      <c r="G5" s="181"/>
      <c r="H5" s="179" t="s">
        <v>8</v>
      </c>
      <c r="AO5" s="136"/>
      <c r="AP5" s="130"/>
      <c r="AQ5" s="131"/>
      <c r="AR5" s="133"/>
      <c r="AS5" s="133"/>
      <c r="AT5" s="133"/>
      <c r="AU5" s="133"/>
      <c r="AV5" s="134"/>
    </row>
    <row r="6" spans="1:48" ht="11.25" customHeight="1">
      <c r="A6" s="135"/>
      <c r="B6" s="120"/>
      <c r="C6" s="232" t="s">
        <v>655</v>
      </c>
      <c r="D6" s="233"/>
      <c r="E6" s="233"/>
      <c r="F6" s="234"/>
      <c r="G6" s="181"/>
      <c r="H6" s="216">
        <v>0</v>
      </c>
      <c r="AO6" s="136"/>
      <c r="AP6" s="130"/>
      <c r="AQ6" s="131"/>
      <c r="AR6" s="133"/>
      <c r="AS6" s="133"/>
      <c r="AT6" s="133"/>
      <c r="AU6" s="133"/>
      <c r="AV6" s="134"/>
    </row>
    <row r="7" spans="1:1019" s="200" customFormat="1" ht="41.25">
      <c r="A7" s="194"/>
      <c r="B7" s="194"/>
      <c r="C7" s="196"/>
      <c r="D7" s="195"/>
      <c r="E7" s="195"/>
      <c r="F7" s="196"/>
      <c r="G7" s="226" t="s">
        <v>73</v>
      </c>
      <c r="H7" s="226"/>
      <c r="I7" s="227" t="s">
        <v>74</v>
      </c>
      <c r="J7" s="227"/>
      <c r="K7" s="228" t="s">
        <v>75</v>
      </c>
      <c r="L7" s="228"/>
      <c r="M7" s="229" t="s">
        <v>76</v>
      </c>
      <c r="N7" s="229"/>
      <c r="O7" s="203" t="s">
        <v>77</v>
      </c>
      <c r="P7" s="204" t="s">
        <v>78</v>
      </c>
      <c r="Q7" s="203" t="s">
        <v>79</v>
      </c>
      <c r="R7" s="213" t="s">
        <v>670</v>
      </c>
      <c r="S7" s="203" t="s">
        <v>80</v>
      </c>
      <c r="T7" s="213" t="s">
        <v>656</v>
      </c>
      <c r="U7" s="204" t="s">
        <v>81</v>
      </c>
      <c r="V7" s="203" t="s">
        <v>81</v>
      </c>
      <c r="W7" s="203" t="s">
        <v>82</v>
      </c>
      <c r="X7" s="203" t="s">
        <v>83</v>
      </c>
      <c r="Y7" s="230" t="s">
        <v>84</v>
      </c>
      <c r="Z7" s="230"/>
      <c r="AA7" s="203" t="s">
        <v>85</v>
      </c>
      <c r="AB7" s="214" t="s">
        <v>664</v>
      </c>
      <c r="AC7" s="214" t="s">
        <v>657</v>
      </c>
      <c r="AD7" s="203" t="s">
        <v>86</v>
      </c>
      <c r="AE7" s="213" t="s">
        <v>658</v>
      </c>
      <c r="AF7" s="229" t="s">
        <v>87</v>
      </c>
      <c r="AG7" s="229"/>
      <c r="AH7" s="213" t="s">
        <v>659</v>
      </c>
      <c r="AI7" s="213" t="s">
        <v>660</v>
      </c>
      <c r="AJ7" s="203" t="s">
        <v>88</v>
      </c>
      <c r="AK7" s="213" t="s">
        <v>661</v>
      </c>
      <c r="AL7" s="205" t="s">
        <v>89</v>
      </c>
      <c r="AM7" s="213" t="s">
        <v>663</v>
      </c>
      <c r="AN7" s="231" t="s">
        <v>644</v>
      </c>
      <c r="AO7" s="214" t="s">
        <v>662</v>
      </c>
      <c r="AP7" s="203" t="s">
        <v>90</v>
      </c>
      <c r="AQ7" s="206" t="s">
        <v>91</v>
      </c>
      <c r="AR7" s="206" t="s">
        <v>92</v>
      </c>
      <c r="AS7" s="206" t="s">
        <v>93</v>
      </c>
      <c r="AT7" s="138" t="s">
        <v>665</v>
      </c>
      <c r="AU7" s="138" t="s">
        <v>666</v>
      </c>
      <c r="AV7" s="203" t="s">
        <v>94</v>
      </c>
      <c r="AW7" s="137" t="s">
        <v>95</v>
      </c>
      <c r="AX7" s="137" t="s">
        <v>96</v>
      </c>
      <c r="AY7" s="188" t="s">
        <v>97</v>
      </c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  <c r="IJ7" s="195"/>
      <c r="IK7" s="195"/>
      <c r="IL7" s="195"/>
      <c r="IM7" s="195"/>
      <c r="IN7" s="195"/>
      <c r="IO7" s="195"/>
      <c r="IP7" s="195"/>
      <c r="IQ7" s="195"/>
      <c r="IR7" s="195"/>
      <c r="IS7" s="195"/>
      <c r="IT7" s="195"/>
      <c r="IU7" s="195"/>
      <c r="IV7" s="195"/>
      <c r="IW7" s="195"/>
      <c r="IX7" s="195"/>
      <c r="IY7" s="195"/>
      <c r="IZ7" s="195"/>
      <c r="JA7" s="195"/>
      <c r="JB7" s="195"/>
      <c r="JC7" s="195"/>
      <c r="JD7" s="195"/>
      <c r="JE7" s="195"/>
      <c r="JF7" s="195"/>
      <c r="JG7" s="195"/>
      <c r="JH7" s="195"/>
      <c r="JI7" s="195"/>
      <c r="JJ7" s="195"/>
      <c r="JK7" s="195"/>
      <c r="JL7" s="195"/>
      <c r="JM7" s="195"/>
      <c r="JN7" s="195"/>
      <c r="JO7" s="195"/>
      <c r="JP7" s="195"/>
      <c r="JQ7" s="195"/>
      <c r="JR7" s="195"/>
      <c r="JS7" s="195"/>
      <c r="JT7" s="195"/>
      <c r="JU7" s="195"/>
      <c r="JV7" s="195"/>
      <c r="JW7" s="195"/>
      <c r="JX7" s="195"/>
      <c r="JY7" s="195"/>
      <c r="JZ7" s="195"/>
      <c r="KA7" s="195"/>
      <c r="KB7" s="195"/>
      <c r="KC7" s="195"/>
      <c r="KD7" s="195"/>
      <c r="KE7" s="195"/>
      <c r="KF7" s="195"/>
      <c r="KG7" s="195"/>
      <c r="KH7" s="195"/>
      <c r="KI7" s="195"/>
      <c r="KJ7" s="195"/>
      <c r="KK7" s="195"/>
      <c r="KL7" s="195"/>
      <c r="KM7" s="195"/>
      <c r="KN7" s="195"/>
      <c r="KO7" s="195"/>
      <c r="KP7" s="195"/>
      <c r="KQ7" s="195"/>
      <c r="KR7" s="195"/>
      <c r="KS7" s="195"/>
      <c r="KT7" s="195"/>
      <c r="KU7" s="195"/>
      <c r="KV7" s="195"/>
      <c r="KW7" s="195"/>
      <c r="KX7" s="195"/>
      <c r="KY7" s="195"/>
      <c r="KZ7" s="195"/>
      <c r="LA7" s="195"/>
      <c r="LB7" s="195"/>
      <c r="LC7" s="195"/>
      <c r="LD7" s="195"/>
      <c r="LE7" s="195"/>
      <c r="LF7" s="195"/>
      <c r="LG7" s="195"/>
      <c r="LH7" s="195"/>
      <c r="LI7" s="195"/>
      <c r="LJ7" s="195"/>
      <c r="LK7" s="195"/>
      <c r="LL7" s="195"/>
      <c r="LM7" s="195"/>
      <c r="LN7" s="195"/>
      <c r="LO7" s="195"/>
      <c r="LP7" s="195"/>
      <c r="LQ7" s="195"/>
      <c r="LR7" s="195"/>
      <c r="LS7" s="195"/>
      <c r="LT7" s="195"/>
      <c r="LU7" s="195"/>
      <c r="LV7" s="195"/>
      <c r="LW7" s="195"/>
      <c r="LX7" s="195"/>
      <c r="LY7" s="195"/>
      <c r="LZ7" s="195"/>
      <c r="MA7" s="195"/>
      <c r="MB7" s="195"/>
      <c r="MC7" s="195"/>
      <c r="MD7" s="195"/>
      <c r="ME7" s="195"/>
      <c r="MF7" s="195"/>
      <c r="MG7" s="195"/>
      <c r="MH7" s="195"/>
      <c r="MI7" s="195"/>
      <c r="MJ7" s="195"/>
      <c r="MK7" s="195"/>
      <c r="ML7" s="195"/>
      <c r="MM7" s="195"/>
      <c r="MN7" s="195"/>
      <c r="MO7" s="195"/>
      <c r="MP7" s="195"/>
      <c r="MQ7" s="195"/>
      <c r="MR7" s="195"/>
      <c r="MS7" s="195"/>
      <c r="MT7" s="195"/>
      <c r="MU7" s="195"/>
      <c r="MV7" s="195"/>
      <c r="MW7" s="195"/>
      <c r="MX7" s="195"/>
      <c r="MY7" s="195"/>
      <c r="MZ7" s="195"/>
      <c r="NA7" s="195"/>
      <c r="NB7" s="195"/>
      <c r="NC7" s="195"/>
      <c r="ND7" s="195"/>
      <c r="NE7" s="195"/>
      <c r="NF7" s="195"/>
      <c r="NG7" s="195"/>
      <c r="NH7" s="195"/>
      <c r="NI7" s="195"/>
      <c r="NJ7" s="195"/>
      <c r="NK7" s="195"/>
      <c r="NL7" s="195"/>
      <c r="NM7" s="195"/>
      <c r="NN7" s="195"/>
      <c r="NO7" s="195"/>
      <c r="NP7" s="195"/>
      <c r="NQ7" s="195"/>
      <c r="NR7" s="195"/>
      <c r="NS7" s="195"/>
      <c r="NT7" s="195"/>
      <c r="NU7" s="195"/>
      <c r="NV7" s="195"/>
      <c r="NW7" s="195"/>
      <c r="NX7" s="195"/>
      <c r="NY7" s="195"/>
      <c r="NZ7" s="195"/>
      <c r="OA7" s="195"/>
      <c r="OB7" s="195"/>
      <c r="OC7" s="195"/>
      <c r="OD7" s="195"/>
      <c r="OE7" s="195"/>
      <c r="OF7" s="195"/>
      <c r="OG7" s="195"/>
      <c r="OH7" s="195"/>
      <c r="OI7" s="195"/>
      <c r="OJ7" s="195"/>
      <c r="OK7" s="195"/>
      <c r="OL7" s="195"/>
      <c r="OM7" s="195"/>
      <c r="ON7" s="195"/>
      <c r="OO7" s="195"/>
      <c r="OP7" s="195"/>
      <c r="OQ7" s="195"/>
      <c r="OR7" s="195"/>
      <c r="OS7" s="195"/>
      <c r="OT7" s="195"/>
      <c r="OU7" s="195"/>
      <c r="OV7" s="195"/>
      <c r="OW7" s="195"/>
      <c r="OX7" s="195"/>
      <c r="OY7" s="195"/>
      <c r="OZ7" s="195"/>
      <c r="PA7" s="195"/>
      <c r="PB7" s="195"/>
      <c r="PC7" s="195"/>
      <c r="PD7" s="195"/>
      <c r="PE7" s="195"/>
      <c r="PF7" s="195"/>
      <c r="PG7" s="195"/>
      <c r="PH7" s="195"/>
      <c r="PI7" s="195"/>
      <c r="PJ7" s="195"/>
      <c r="PK7" s="195"/>
      <c r="PL7" s="195"/>
      <c r="PM7" s="195"/>
      <c r="PN7" s="195"/>
      <c r="PO7" s="195"/>
      <c r="PP7" s="195"/>
      <c r="PQ7" s="195"/>
      <c r="PR7" s="195"/>
      <c r="PS7" s="195"/>
      <c r="PT7" s="195"/>
      <c r="PU7" s="195"/>
      <c r="PV7" s="195"/>
      <c r="PW7" s="195"/>
      <c r="PX7" s="195"/>
      <c r="PY7" s="195"/>
      <c r="PZ7" s="195"/>
      <c r="QA7" s="195"/>
      <c r="QB7" s="195"/>
      <c r="QC7" s="195"/>
      <c r="QD7" s="195"/>
      <c r="QE7" s="195"/>
      <c r="QF7" s="195"/>
      <c r="QG7" s="195"/>
      <c r="QH7" s="195"/>
      <c r="QI7" s="195"/>
      <c r="QJ7" s="195"/>
      <c r="QK7" s="195"/>
      <c r="QL7" s="195"/>
      <c r="QM7" s="195"/>
      <c r="QN7" s="195"/>
      <c r="QO7" s="195"/>
      <c r="QP7" s="195"/>
      <c r="QQ7" s="195"/>
      <c r="QR7" s="195"/>
      <c r="QS7" s="195"/>
      <c r="QT7" s="195"/>
      <c r="QU7" s="195"/>
      <c r="QV7" s="195"/>
      <c r="QW7" s="195"/>
      <c r="QX7" s="195"/>
      <c r="QY7" s="195"/>
      <c r="QZ7" s="195"/>
      <c r="RA7" s="195"/>
      <c r="RB7" s="195"/>
      <c r="RC7" s="195"/>
      <c r="RD7" s="195"/>
      <c r="RE7" s="195"/>
      <c r="RF7" s="195"/>
      <c r="RG7" s="195"/>
      <c r="RH7" s="195"/>
      <c r="RI7" s="195"/>
      <c r="RJ7" s="195"/>
      <c r="RK7" s="195"/>
      <c r="RL7" s="195"/>
      <c r="RM7" s="195"/>
      <c r="RN7" s="195"/>
      <c r="RO7" s="195"/>
      <c r="RP7" s="195"/>
      <c r="RQ7" s="195"/>
      <c r="RR7" s="195"/>
      <c r="RS7" s="195"/>
      <c r="RT7" s="195"/>
      <c r="RU7" s="195"/>
      <c r="RV7" s="195"/>
      <c r="RW7" s="195"/>
      <c r="RX7" s="195"/>
      <c r="RY7" s="195"/>
      <c r="RZ7" s="195"/>
      <c r="SA7" s="195"/>
      <c r="SB7" s="195"/>
      <c r="SC7" s="195"/>
      <c r="SD7" s="195"/>
      <c r="SE7" s="195"/>
      <c r="SF7" s="195"/>
      <c r="SG7" s="195"/>
      <c r="SH7" s="195"/>
      <c r="SI7" s="195"/>
      <c r="SJ7" s="195"/>
      <c r="SK7" s="195"/>
      <c r="SL7" s="195"/>
      <c r="SM7" s="195"/>
      <c r="SN7" s="195"/>
      <c r="SO7" s="195"/>
      <c r="SP7" s="195"/>
      <c r="SQ7" s="195"/>
      <c r="SR7" s="195"/>
      <c r="SS7" s="195"/>
      <c r="ST7" s="195"/>
      <c r="SU7" s="195"/>
      <c r="SV7" s="195"/>
      <c r="SW7" s="195"/>
      <c r="SX7" s="195"/>
      <c r="SY7" s="195"/>
      <c r="SZ7" s="195"/>
      <c r="TA7" s="195"/>
      <c r="TB7" s="195"/>
      <c r="TC7" s="195"/>
      <c r="TD7" s="195"/>
      <c r="TE7" s="195"/>
      <c r="TF7" s="195"/>
      <c r="TG7" s="195"/>
      <c r="TH7" s="195"/>
      <c r="TI7" s="195"/>
      <c r="TJ7" s="195"/>
      <c r="TK7" s="195"/>
      <c r="TL7" s="195"/>
      <c r="TM7" s="195"/>
      <c r="TN7" s="195"/>
      <c r="TO7" s="195"/>
      <c r="TP7" s="195"/>
      <c r="TQ7" s="195"/>
      <c r="TR7" s="195"/>
      <c r="TS7" s="195"/>
      <c r="TT7" s="195"/>
      <c r="TU7" s="195"/>
      <c r="TV7" s="195"/>
      <c r="TW7" s="195"/>
      <c r="TX7" s="195"/>
      <c r="TY7" s="195"/>
      <c r="TZ7" s="195"/>
      <c r="UA7" s="195"/>
      <c r="UB7" s="195"/>
      <c r="UC7" s="195"/>
      <c r="UD7" s="195"/>
      <c r="UE7" s="195"/>
      <c r="UF7" s="195"/>
      <c r="UG7" s="195"/>
      <c r="UH7" s="195"/>
      <c r="UI7" s="195"/>
      <c r="UJ7" s="195"/>
      <c r="UK7" s="195"/>
      <c r="UL7" s="195"/>
      <c r="UM7" s="195"/>
      <c r="UN7" s="195"/>
      <c r="UO7" s="195"/>
      <c r="UP7" s="195"/>
      <c r="UQ7" s="195"/>
      <c r="UR7" s="195"/>
      <c r="US7" s="195"/>
      <c r="UT7" s="195"/>
      <c r="UU7" s="195"/>
      <c r="UV7" s="195"/>
      <c r="UW7" s="195"/>
      <c r="UX7" s="195"/>
      <c r="UY7" s="195"/>
      <c r="UZ7" s="195"/>
      <c r="VA7" s="195"/>
      <c r="VB7" s="195"/>
      <c r="VC7" s="195"/>
      <c r="VD7" s="195"/>
      <c r="VE7" s="195"/>
      <c r="VF7" s="195"/>
      <c r="VG7" s="195"/>
      <c r="VH7" s="195"/>
      <c r="VI7" s="195"/>
      <c r="VJ7" s="195"/>
      <c r="VK7" s="195"/>
      <c r="VL7" s="195"/>
      <c r="VM7" s="195"/>
      <c r="VN7" s="195"/>
      <c r="VO7" s="195"/>
      <c r="VP7" s="195"/>
      <c r="VQ7" s="195"/>
      <c r="VR7" s="195"/>
      <c r="VS7" s="195"/>
      <c r="VT7" s="195"/>
      <c r="VU7" s="195"/>
      <c r="VV7" s="195"/>
      <c r="VW7" s="195"/>
      <c r="VX7" s="195"/>
      <c r="VY7" s="195"/>
      <c r="VZ7" s="195"/>
      <c r="WA7" s="195"/>
      <c r="WB7" s="195"/>
      <c r="WC7" s="195"/>
      <c r="WD7" s="195"/>
      <c r="WE7" s="195"/>
      <c r="WF7" s="195"/>
      <c r="WG7" s="195"/>
      <c r="WH7" s="195"/>
      <c r="WI7" s="195"/>
      <c r="WJ7" s="195"/>
      <c r="WK7" s="195"/>
      <c r="WL7" s="195"/>
      <c r="WM7" s="195"/>
      <c r="WN7" s="195"/>
      <c r="WO7" s="195"/>
      <c r="WP7" s="195"/>
      <c r="WQ7" s="195"/>
      <c r="WR7" s="195"/>
      <c r="WS7" s="195"/>
      <c r="WT7" s="195"/>
      <c r="WU7" s="195"/>
      <c r="WV7" s="195"/>
      <c r="WW7" s="195"/>
      <c r="WX7" s="195"/>
      <c r="WY7" s="195"/>
      <c r="WZ7" s="195"/>
      <c r="XA7" s="195"/>
      <c r="XB7" s="195"/>
      <c r="XC7" s="195"/>
      <c r="XD7" s="195"/>
      <c r="XE7" s="195"/>
      <c r="XF7" s="195"/>
      <c r="XG7" s="195"/>
      <c r="XH7" s="195"/>
      <c r="XI7" s="195"/>
      <c r="XJ7" s="195"/>
      <c r="XK7" s="195"/>
      <c r="XL7" s="195"/>
      <c r="XM7" s="195"/>
      <c r="XN7" s="195"/>
      <c r="XO7" s="195"/>
      <c r="XP7" s="195"/>
      <c r="XQ7" s="195"/>
      <c r="XR7" s="195"/>
      <c r="XS7" s="195"/>
      <c r="XT7" s="195"/>
      <c r="XU7" s="195"/>
      <c r="XV7" s="195"/>
      <c r="XW7" s="195"/>
      <c r="XX7" s="195"/>
      <c r="XY7" s="195"/>
      <c r="XZ7" s="195"/>
      <c r="YA7" s="195"/>
      <c r="YB7" s="195"/>
      <c r="YC7" s="195"/>
      <c r="YD7" s="195"/>
      <c r="YE7" s="195"/>
      <c r="YF7" s="195"/>
      <c r="YG7" s="195"/>
      <c r="YH7" s="195"/>
      <c r="YI7" s="195"/>
      <c r="YJ7" s="195"/>
      <c r="YK7" s="195"/>
      <c r="YL7" s="195"/>
      <c r="YM7" s="195"/>
      <c r="YN7" s="195"/>
      <c r="YO7" s="195"/>
      <c r="YP7" s="195"/>
      <c r="YQ7" s="195"/>
      <c r="YR7" s="195"/>
      <c r="YS7" s="195"/>
      <c r="YT7" s="195"/>
      <c r="YU7" s="195"/>
      <c r="YV7" s="195"/>
      <c r="YW7" s="195"/>
      <c r="YX7" s="195"/>
      <c r="YY7" s="195"/>
      <c r="YZ7" s="195"/>
      <c r="ZA7" s="195"/>
      <c r="ZB7" s="195"/>
      <c r="ZC7" s="195"/>
      <c r="ZD7" s="195"/>
      <c r="ZE7" s="195"/>
      <c r="ZF7" s="195"/>
      <c r="ZG7" s="195"/>
      <c r="ZH7" s="195"/>
      <c r="ZI7" s="195"/>
      <c r="ZJ7" s="195"/>
      <c r="ZK7" s="195"/>
      <c r="ZL7" s="195"/>
      <c r="ZM7" s="195"/>
      <c r="ZN7" s="195"/>
      <c r="ZO7" s="195"/>
      <c r="ZP7" s="195"/>
      <c r="ZQ7" s="195"/>
      <c r="ZR7" s="195"/>
      <c r="ZS7" s="195"/>
      <c r="ZT7" s="195"/>
      <c r="ZU7" s="195"/>
      <c r="ZV7" s="195"/>
      <c r="ZW7" s="195"/>
      <c r="ZX7" s="195"/>
      <c r="ZY7" s="195"/>
      <c r="ZZ7" s="195"/>
      <c r="AAA7" s="195"/>
      <c r="AAB7" s="195"/>
      <c r="AAC7" s="195"/>
      <c r="AAD7" s="195"/>
      <c r="AAE7" s="195"/>
      <c r="AAF7" s="195"/>
      <c r="AAG7" s="195"/>
      <c r="AAH7" s="195"/>
      <c r="AAI7" s="195"/>
      <c r="AAJ7" s="195"/>
      <c r="AAK7" s="195"/>
      <c r="AAL7" s="195"/>
      <c r="AAM7" s="195"/>
      <c r="AAN7" s="195"/>
      <c r="AAO7" s="195"/>
      <c r="AAP7" s="195"/>
      <c r="AAQ7" s="195"/>
      <c r="AAR7" s="195"/>
      <c r="AAS7" s="195"/>
      <c r="AAT7" s="195"/>
      <c r="AAU7" s="195"/>
      <c r="AAV7" s="195"/>
      <c r="AAW7" s="195"/>
      <c r="AAX7" s="195"/>
      <c r="AAY7" s="195"/>
      <c r="AAZ7" s="195"/>
      <c r="ABA7" s="195"/>
      <c r="ABB7" s="195"/>
      <c r="ABC7" s="195"/>
      <c r="ABD7" s="195"/>
      <c r="ABE7" s="195"/>
      <c r="ABF7" s="195"/>
      <c r="ABG7" s="195"/>
      <c r="ABH7" s="195"/>
      <c r="ABI7" s="195"/>
      <c r="ABJ7" s="195"/>
      <c r="ABK7" s="195"/>
      <c r="ABL7" s="195"/>
      <c r="ABM7" s="195"/>
      <c r="ABN7" s="195"/>
      <c r="ABO7" s="195"/>
      <c r="ABP7" s="195"/>
      <c r="ABQ7" s="195"/>
      <c r="ABR7" s="195"/>
      <c r="ABS7" s="195"/>
      <c r="ABT7" s="195"/>
      <c r="ABU7" s="195"/>
      <c r="ABV7" s="195"/>
      <c r="ABW7" s="195"/>
      <c r="ABX7" s="195"/>
      <c r="ABY7" s="195"/>
      <c r="ABZ7" s="195"/>
      <c r="ACA7" s="195"/>
      <c r="ACB7" s="195"/>
      <c r="ACC7" s="195"/>
      <c r="ACD7" s="195"/>
      <c r="ACE7" s="195"/>
      <c r="ACF7" s="195"/>
      <c r="ACG7" s="195"/>
      <c r="ACH7" s="195"/>
      <c r="ACI7" s="195"/>
      <c r="ACJ7" s="195"/>
      <c r="ACK7" s="195"/>
      <c r="ACL7" s="195"/>
      <c r="ACM7" s="195"/>
      <c r="ACN7" s="195"/>
      <c r="ACO7" s="195"/>
      <c r="ACP7" s="195"/>
      <c r="ACQ7" s="195"/>
      <c r="ACR7" s="195"/>
      <c r="ACS7" s="195"/>
      <c r="ACT7" s="195"/>
      <c r="ACU7" s="195"/>
      <c r="ACV7" s="195"/>
      <c r="ACW7" s="195"/>
      <c r="ACX7" s="195"/>
      <c r="ACY7" s="195"/>
      <c r="ACZ7" s="195"/>
      <c r="ADA7" s="195"/>
      <c r="ADB7" s="195"/>
      <c r="ADC7" s="195"/>
      <c r="ADD7" s="195"/>
      <c r="ADE7" s="195"/>
      <c r="ADF7" s="195"/>
      <c r="ADG7" s="195"/>
      <c r="ADH7" s="195"/>
      <c r="ADI7" s="195"/>
      <c r="ADJ7" s="195"/>
      <c r="ADK7" s="195"/>
      <c r="ADL7" s="195"/>
      <c r="ADM7" s="195"/>
      <c r="ADN7" s="195"/>
      <c r="ADO7" s="195"/>
      <c r="ADP7" s="195"/>
      <c r="ADQ7" s="195"/>
      <c r="ADR7" s="195"/>
      <c r="ADS7" s="195"/>
      <c r="ADT7" s="195"/>
      <c r="ADU7" s="195"/>
      <c r="ADV7" s="195"/>
      <c r="ADW7" s="195"/>
      <c r="ADX7" s="195"/>
      <c r="ADY7" s="195"/>
      <c r="ADZ7" s="195"/>
      <c r="AEA7" s="195"/>
      <c r="AEB7" s="195"/>
      <c r="AEC7" s="195"/>
      <c r="AED7" s="195"/>
      <c r="AEE7" s="195"/>
      <c r="AEF7" s="195"/>
      <c r="AEG7" s="195"/>
      <c r="AEH7" s="195"/>
      <c r="AEI7" s="195"/>
      <c r="AEJ7" s="195"/>
      <c r="AEK7" s="195"/>
      <c r="AEL7" s="195"/>
      <c r="AEM7" s="195"/>
      <c r="AEN7" s="195"/>
      <c r="AEO7" s="195"/>
      <c r="AEP7" s="195"/>
      <c r="AEQ7" s="195"/>
      <c r="AER7" s="195"/>
      <c r="AES7" s="195"/>
      <c r="AET7" s="195"/>
      <c r="AEU7" s="195"/>
      <c r="AEV7" s="195"/>
      <c r="AEW7" s="195"/>
      <c r="AEX7" s="195"/>
      <c r="AEY7" s="195"/>
      <c r="AEZ7" s="195"/>
      <c r="AFA7" s="195"/>
      <c r="AFB7" s="195"/>
      <c r="AFC7" s="195"/>
      <c r="AFD7" s="195"/>
      <c r="AFE7" s="195"/>
      <c r="AFF7" s="195"/>
      <c r="AFG7" s="195"/>
      <c r="AFH7" s="195"/>
      <c r="AFI7" s="195"/>
      <c r="AFJ7" s="195"/>
      <c r="AFK7" s="195"/>
      <c r="AFL7" s="195"/>
      <c r="AFM7" s="195"/>
      <c r="AFN7" s="195"/>
      <c r="AFO7" s="195"/>
      <c r="AFP7" s="195"/>
      <c r="AFQ7" s="195"/>
      <c r="AFR7" s="195"/>
      <c r="AFS7" s="195"/>
      <c r="AFT7" s="195"/>
      <c r="AFU7" s="195"/>
      <c r="AFV7" s="195"/>
      <c r="AFW7" s="195"/>
      <c r="AFX7" s="195"/>
      <c r="AFY7" s="195"/>
      <c r="AFZ7" s="195"/>
      <c r="AGA7" s="195"/>
      <c r="AGB7" s="195"/>
      <c r="AGC7" s="195"/>
      <c r="AGD7" s="195"/>
      <c r="AGE7" s="195"/>
      <c r="AGF7" s="195"/>
      <c r="AGG7" s="195"/>
      <c r="AGH7" s="195"/>
      <c r="AGI7" s="195"/>
      <c r="AGJ7" s="195"/>
      <c r="AGK7" s="195"/>
      <c r="AGL7" s="195"/>
      <c r="AGM7" s="195"/>
      <c r="AGN7" s="195"/>
      <c r="AGO7" s="195"/>
      <c r="AGP7" s="195"/>
      <c r="AGQ7" s="195"/>
      <c r="AGR7" s="195"/>
      <c r="AGS7" s="195"/>
      <c r="AGT7" s="195"/>
      <c r="AGU7" s="195"/>
      <c r="AGV7" s="195"/>
      <c r="AGW7" s="195"/>
      <c r="AGX7" s="195"/>
      <c r="AGY7" s="195"/>
      <c r="AGZ7" s="195"/>
      <c r="AHA7" s="195"/>
      <c r="AHB7" s="195"/>
      <c r="AHC7" s="195"/>
      <c r="AHD7" s="195"/>
      <c r="AHE7" s="195"/>
      <c r="AHF7" s="195"/>
      <c r="AHG7" s="195"/>
      <c r="AHH7" s="195"/>
      <c r="AHI7" s="195"/>
      <c r="AHJ7" s="195"/>
      <c r="AHK7" s="195"/>
      <c r="AHL7" s="195"/>
      <c r="AHM7" s="195"/>
      <c r="AHN7" s="195"/>
      <c r="AHO7" s="195"/>
      <c r="AHP7" s="195"/>
      <c r="AHQ7" s="195"/>
      <c r="AHR7" s="195"/>
      <c r="AHS7" s="195"/>
      <c r="AHT7" s="195"/>
      <c r="AHU7" s="195"/>
      <c r="AHV7" s="195"/>
      <c r="AHW7" s="195"/>
      <c r="AHX7" s="195"/>
      <c r="AHY7" s="195"/>
      <c r="AHZ7" s="195"/>
      <c r="AIA7" s="195"/>
      <c r="AIB7" s="195"/>
      <c r="AIC7" s="195"/>
      <c r="AID7" s="195"/>
      <c r="AIE7" s="195"/>
      <c r="AIF7" s="195"/>
      <c r="AIG7" s="195"/>
      <c r="AIH7" s="195"/>
      <c r="AII7" s="195"/>
      <c r="AIJ7" s="195"/>
      <c r="AIK7" s="195"/>
      <c r="AIL7" s="195"/>
      <c r="AIM7" s="195"/>
      <c r="AIN7" s="195"/>
      <c r="AIO7" s="195"/>
      <c r="AIP7" s="195"/>
      <c r="AIQ7" s="195"/>
      <c r="AIR7" s="195"/>
      <c r="AIS7" s="195"/>
      <c r="AIT7" s="195"/>
      <c r="AIU7" s="195"/>
      <c r="AIV7" s="195"/>
      <c r="AIW7" s="195"/>
      <c r="AIX7" s="195"/>
      <c r="AIY7" s="195"/>
      <c r="AIZ7" s="195"/>
      <c r="AJA7" s="195"/>
      <c r="AJB7" s="195"/>
      <c r="AJC7" s="195"/>
      <c r="AJD7" s="195"/>
      <c r="AJE7" s="195"/>
      <c r="AJF7" s="195"/>
      <c r="AJG7" s="195"/>
      <c r="AJH7" s="195"/>
      <c r="AJI7" s="195"/>
      <c r="AJJ7" s="195"/>
      <c r="AJK7" s="195"/>
      <c r="AJL7" s="195"/>
      <c r="AJM7" s="195"/>
      <c r="AJN7" s="195"/>
      <c r="AJO7" s="195"/>
      <c r="AJP7" s="195"/>
      <c r="AJQ7" s="195"/>
      <c r="AJR7" s="195"/>
      <c r="AJS7" s="195"/>
      <c r="AJT7" s="195"/>
      <c r="AJU7" s="195"/>
      <c r="AJV7" s="195"/>
      <c r="AJW7" s="195"/>
      <c r="AJX7" s="195"/>
      <c r="AJY7" s="195"/>
      <c r="AJZ7" s="195"/>
      <c r="AKA7" s="195"/>
      <c r="AKB7" s="195"/>
      <c r="AKC7" s="195"/>
      <c r="AKD7" s="195"/>
      <c r="AKE7" s="195"/>
      <c r="AKF7" s="195"/>
      <c r="AKG7" s="195"/>
      <c r="AKH7" s="195"/>
      <c r="AKI7" s="195"/>
      <c r="AKJ7" s="195"/>
      <c r="AKK7" s="195"/>
      <c r="AKL7" s="195"/>
      <c r="AKM7" s="195"/>
      <c r="AKN7" s="195"/>
      <c r="AKO7" s="195"/>
      <c r="AKP7" s="195"/>
      <c r="AKQ7" s="195"/>
      <c r="AKR7" s="195"/>
      <c r="AKS7" s="195"/>
      <c r="AKT7" s="195"/>
      <c r="AKU7" s="195"/>
      <c r="AKV7" s="195"/>
      <c r="AKW7" s="195"/>
      <c r="AKX7" s="195"/>
      <c r="AKY7" s="195"/>
      <c r="AKZ7" s="195"/>
      <c r="ALA7" s="195"/>
      <c r="ALB7" s="195"/>
      <c r="ALC7" s="195"/>
      <c r="ALD7" s="195"/>
      <c r="ALE7" s="195"/>
      <c r="ALF7" s="195"/>
      <c r="ALG7" s="195"/>
      <c r="ALH7" s="195"/>
      <c r="ALI7" s="195"/>
      <c r="ALJ7" s="195"/>
      <c r="ALK7" s="195"/>
      <c r="ALL7" s="195"/>
      <c r="ALM7" s="195"/>
      <c r="ALN7" s="195"/>
      <c r="ALO7" s="195"/>
      <c r="ALP7" s="195"/>
      <c r="ALQ7" s="195"/>
      <c r="ALR7" s="195"/>
      <c r="ALS7" s="195"/>
      <c r="ALT7" s="195"/>
      <c r="ALU7" s="195"/>
      <c r="ALV7" s="195"/>
      <c r="ALW7" s="195"/>
      <c r="ALX7" s="195"/>
      <c r="ALY7" s="195"/>
      <c r="ALZ7" s="195"/>
      <c r="AMA7" s="195"/>
      <c r="AMB7" s="195"/>
      <c r="AMC7" s="195"/>
      <c r="AMD7" s="195"/>
      <c r="AME7" s="195"/>
    </row>
    <row r="8" spans="1:51" s="195" customFormat="1" ht="11.25" customHeight="1">
      <c r="A8" s="195" t="s">
        <v>98</v>
      </c>
      <c r="C8" s="197" t="s">
        <v>99</v>
      </c>
      <c r="D8" s="198"/>
      <c r="E8" s="198"/>
      <c r="F8" s="199" t="s">
        <v>100</v>
      </c>
      <c r="G8" s="201" t="s">
        <v>101</v>
      </c>
      <c r="H8" s="202" t="s">
        <v>102</v>
      </c>
      <c r="I8" s="207" t="s">
        <v>103</v>
      </c>
      <c r="J8" s="208" t="s">
        <v>104</v>
      </c>
      <c r="K8" s="209" t="s">
        <v>105</v>
      </c>
      <c r="L8" s="208" t="s">
        <v>106</v>
      </c>
      <c r="M8" s="210" t="s">
        <v>107</v>
      </c>
      <c r="N8" s="208" t="s">
        <v>108</v>
      </c>
      <c r="O8" s="208" t="s">
        <v>109</v>
      </c>
      <c r="P8" s="208" t="s">
        <v>110</v>
      </c>
      <c r="Q8" s="208" t="s">
        <v>111</v>
      </c>
      <c r="R8" s="208" t="s">
        <v>112</v>
      </c>
      <c r="S8" s="208" t="s">
        <v>113</v>
      </c>
      <c r="T8" s="208" t="s">
        <v>114</v>
      </c>
      <c r="U8" s="208" t="s">
        <v>115</v>
      </c>
      <c r="V8" s="208" t="s">
        <v>115</v>
      </c>
      <c r="W8" s="208" t="s">
        <v>116</v>
      </c>
      <c r="X8" s="208" t="s">
        <v>117</v>
      </c>
      <c r="Y8" s="211" t="s">
        <v>118</v>
      </c>
      <c r="Z8" s="208" t="s">
        <v>119</v>
      </c>
      <c r="AA8" s="208" t="s">
        <v>120</v>
      </c>
      <c r="AB8" s="208" t="s">
        <v>653</v>
      </c>
      <c r="AC8" s="212" t="s">
        <v>121</v>
      </c>
      <c r="AD8" s="212" t="s">
        <v>122</v>
      </c>
      <c r="AE8" s="208" t="s">
        <v>123</v>
      </c>
      <c r="AF8" s="211" t="s">
        <v>124</v>
      </c>
      <c r="AG8" s="208" t="s">
        <v>125</v>
      </c>
      <c r="AH8" s="208" t="s">
        <v>126</v>
      </c>
      <c r="AI8" s="208" t="s">
        <v>127</v>
      </c>
      <c r="AJ8" s="204" t="s">
        <v>128</v>
      </c>
      <c r="AK8" s="208" t="s">
        <v>641</v>
      </c>
      <c r="AL8" s="212" t="s">
        <v>129</v>
      </c>
      <c r="AM8" s="212" t="s">
        <v>641</v>
      </c>
      <c r="AN8" s="231"/>
      <c r="AO8" s="212" t="s">
        <v>130</v>
      </c>
      <c r="AP8" s="203" t="s">
        <v>131</v>
      </c>
      <c r="AQ8" s="206" t="s">
        <v>132</v>
      </c>
      <c r="AR8" s="206" t="s">
        <v>133</v>
      </c>
      <c r="AS8" s="208" t="s">
        <v>134</v>
      </c>
      <c r="AT8" s="215" t="s">
        <v>667</v>
      </c>
      <c r="AU8" s="215" t="s">
        <v>668</v>
      </c>
      <c r="AV8" s="204"/>
      <c r="AW8" s="196"/>
      <c r="AX8" s="196"/>
      <c r="AY8" s="196"/>
    </row>
    <row r="9" spans="1:51" s="117" customFormat="1" ht="11.25" customHeight="1">
      <c r="A9" s="139">
        <v>6</v>
      </c>
      <c r="B9" s="139"/>
      <c r="C9" s="140" t="s">
        <v>135</v>
      </c>
      <c r="D9" s="140"/>
      <c r="E9" s="140">
        <f aca="true" t="shared" si="0" ref="E9:E72">LEN(F9)</f>
        <v>19</v>
      </c>
      <c r="F9" s="141" t="s">
        <v>136</v>
      </c>
      <c r="G9" s="142">
        <v>107</v>
      </c>
      <c r="H9" s="143">
        <f>INT((G9*Valores!$C$2*100)+0.5)/100</f>
        <v>999.35</v>
      </c>
      <c r="I9" s="144">
        <v>3779</v>
      </c>
      <c r="J9" s="145">
        <f>INT((I9*Valores!$C$2*100)+0.5)/100</f>
        <v>35294.73</v>
      </c>
      <c r="K9" s="146">
        <v>219</v>
      </c>
      <c r="L9" s="145">
        <f>INT((K9*Valores!$C$2*100)+0.5)/100</f>
        <v>2045.39</v>
      </c>
      <c r="M9" s="142">
        <v>0</v>
      </c>
      <c r="N9" s="145">
        <f>INT((M9*Valores!$C$2*100)+0.5)/100</f>
        <v>0</v>
      </c>
      <c r="O9" s="145">
        <f aca="true" t="shared" si="1" ref="O9:O72">IF($J$2=0,IF(C9&lt;&gt;"13-930",(SUM(H9,J9,L9,N9,Z9,U9,T9)*$O$2),0),0)</f>
        <v>6108.624000000001</v>
      </c>
      <c r="P9" s="145">
        <f aca="true" t="shared" si="2" ref="P9:P72">SUM(H9,J9,L9,N9,Z9,T9)*$J$2</f>
        <v>0</v>
      </c>
      <c r="Q9" s="147">
        <f>Valores!$C$16</f>
        <v>8673.47</v>
      </c>
      <c r="R9" s="147">
        <f>Valores!$D$4</f>
        <v>4774.45</v>
      </c>
      <c r="S9" s="145">
        <v>0</v>
      </c>
      <c r="T9" s="148">
        <f>IF($H$5="NO",Valores!$C$44,Valores!$C$44/2)</f>
        <v>2384.69</v>
      </c>
      <c r="U9" s="145">
        <v>0</v>
      </c>
      <c r="V9" s="145">
        <f aca="true" t="shared" si="3" ref="V9:V46">U9*(1+$J$2)</f>
        <v>0</v>
      </c>
      <c r="W9" s="147">
        <f>SUM(H9,J9,L9)</f>
        <v>38339.47</v>
      </c>
      <c r="X9" s="147">
        <f>INT((SUM(H9,J9,L9)*0.4*100)+0.49)/100</f>
        <v>15335.79</v>
      </c>
      <c r="Y9" s="149">
        <v>0</v>
      </c>
      <c r="Z9" s="145">
        <f>Y9*Valores!$C$2</f>
        <v>0</v>
      </c>
      <c r="AA9" s="145">
        <v>0</v>
      </c>
      <c r="AB9" s="148">
        <f>Valores!$C$89</f>
        <v>1153.8461538461538</v>
      </c>
      <c r="AC9" s="150">
        <f>Valores!$C$30</f>
        <v>199.86</v>
      </c>
      <c r="AD9" s="145">
        <f>SUM(H9,J9,L9,Z9,T9)*$H$3/100</f>
        <v>0</v>
      </c>
      <c r="AE9" s="145">
        <f>Valores!$C$31</f>
        <v>199.86</v>
      </c>
      <c r="AF9" s="149">
        <v>0</v>
      </c>
      <c r="AG9" s="145">
        <f>AF9*Valores!$C$2</f>
        <v>0</v>
      </c>
      <c r="AH9" s="145">
        <f>IF($H$5="NO",Valores!$C$59,Valores!$C$59/2)</f>
        <v>406.53</v>
      </c>
      <c r="AI9" s="145">
        <f>IF($H$5="NO",Valores!$C$61,Valores!$C$61/2)</f>
        <v>116.15</v>
      </c>
      <c r="AJ9" s="151">
        <f>SUM(H9,J9,L9,N9,O9,P9,Q9,R9,S9,V9,W9,X9,Z9,AA9,AC9,AD9,AE9,AG9,T9,AH9,AI9,AB9)</f>
        <v>116032.21015384616</v>
      </c>
      <c r="AK9" s="147">
        <f>Valores!$C$36</f>
        <v>1046.83</v>
      </c>
      <c r="AL9" s="148">
        <f>Valores!$C$9</f>
        <v>0</v>
      </c>
      <c r="AM9" s="148">
        <f>Valores!$C$84</f>
        <v>2275</v>
      </c>
      <c r="AN9" s="148"/>
      <c r="AO9" s="150">
        <f>Valores!$C$51</f>
        <v>327.6</v>
      </c>
      <c r="AP9" s="152">
        <f>IF($H$4="SI",SUM(AK9:AO9),SUM(AK9:AM9))</f>
        <v>3321.83</v>
      </c>
      <c r="AQ9" s="153">
        <f>AJ9*-Valores!$C$68</f>
        <v>-12763.543116923078</v>
      </c>
      <c r="AR9" s="154">
        <f>AJ9*-Valores!$C$69</f>
        <v>0</v>
      </c>
      <c r="AS9" s="147">
        <f>AJ9*-Valores!$C$70</f>
        <v>-5221.4494569230765</v>
      </c>
      <c r="AT9" s="147">
        <v>-159.43</v>
      </c>
      <c r="AU9" s="147">
        <f>IF($H$6=0,-53.83,(-53.83+$H$6*(-53.83)))</f>
        <v>-53.83</v>
      </c>
      <c r="AV9" s="151">
        <f>AJ9+AP9+AR9+AS9+AQ9+AT9+AU9</f>
        <v>101155.78758000002</v>
      </c>
      <c r="AW9" s="155">
        <v>33</v>
      </c>
      <c r="AX9" s="155">
        <v>45</v>
      </c>
      <c r="AY9" s="140" t="s">
        <v>8</v>
      </c>
    </row>
    <row r="10" spans="1:51" s="117" customFormat="1" ht="11.25" customHeight="1">
      <c r="A10" s="139">
        <v>7</v>
      </c>
      <c r="B10" s="139"/>
      <c r="C10" s="140" t="s">
        <v>137</v>
      </c>
      <c r="D10" s="140"/>
      <c r="E10" s="140">
        <f t="shared" si="0"/>
        <v>20</v>
      </c>
      <c r="F10" s="141" t="s">
        <v>138</v>
      </c>
      <c r="G10" s="142">
        <v>107</v>
      </c>
      <c r="H10" s="143">
        <f>INT((G10*Valores!$C$2*100)+0.5)/100</f>
        <v>999.35</v>
      </c>
      <c r="I10" s="144">
        <v>3779</v>
      </c>
      <c r="J10" s="145">
        <f>INT((I10*Valores!$C$2*100)+0.5)/100</f>
        <v>35294.73</v>
      </c>
      <c r="K10" s="146">
        <v>219</v>
      </c>
      <c r="L10" s="145">
        <f>INT((K10*Valores!$C$2*100)+0.5)/100</f>
        <v>2045.39</v>
      </c>
      <c r="M10" s="142">
        <v>0</v>
      </c>
      <c r="N10" s="145">
        <f>INT((M10*Valores!$C$2*100)+0.5)/100</f>
        <v>0</v>
      </c>
      <c r="O10" s="145">
        <f t="shared" si="1"/>
        <v>6108.624000000001</v>
      </c>
      <c r="P10" s="145">
        <f t="shared" si="2"/>
        <v>0</v>
      </c>
      <c r="Q10" s="147">
        <f>Valores!$C$16</f>
        <v>8673.47</v>
      </c>
      <c r="R10" s="147">
        <f>Valores!$D$4</f>
        <v>4774.45</v>
      </c>
      <c r="S10" s="145">
        <v>0</v>
      </c>
      <c r="T10" s="148">
        <f>IF($H$5="NO",Valores!$C$44,Valores!$C$44/2)</f>
        <v>2384.69</v>
      </c>
      <c r="U10" s="145">
        <v>0</v>
      </c>
      <c r="V10" s="145">
        <f t="shared" si="3"/>
        <v>0</v>
      </c>
      <c r="W10" s="147">
        <f>SUM(H10,J10,L10)</f>
        <v>38339.47</v>
      </c>
      <c r="X10" s="147">
        <f>INT((SUM(H10,J10,L10)*0.4*100)+0.49)/100</f>
        <v>15335.79</v>
      </c>
      <c r="Y10" s="149">
        <v>0</v>
      </c>
      <c r="Z10" s="145">
        <f>Y10*Valores!$C$2</f>
        <v>0</v>
      </c>
      <c r="AA10" s="145">
        <v>0</v>
      </c>
      <c r="AB10" s="148">
        <f>Valores!$C$89</f>
        <v>1153.8461538461538</v>
      </c>
      <c r="AC10" s="150">
        <f>Valores!$C$30</f>
        <v>199.86</v>
      </c>
      <c r="AD10" s="145">
        <f aca="true" t="shared" si="4" ref="AD10:AD73">SUM(H10,J10,L10,Z10,T10)*$H$3/100</f>
        <v>0</v>
      </c>
      <c r="AE10" s="145">
        <f>Valores!$C$31</f>
        <v>199.86</v>
      </c>
      <c r="AF10" s="149">
        <v>0</v>
      </c>
      <c r="AG10" s="145">
        <f>INT(((AF10*Valores!$C$2)*100)+0.5)/100</f>
        <v>0</v>
      </c>
      <c r="AH10" s="145">
        <f>IF($H$5="NO",Valores!$C$59,Valores!$C$59/2)</f>
        <v>406.53</v>
      </c>
      <c r="AI10" s="145">
        <f>IF($H$5="NO",Valores!$C$61,Valores!$C$61/2)</f>
        <v>116.15</v>
      </c>
      <c r="AJ10" s="151">
        <f aca="true" t="shared" si="5" ref="AJ10:AJ73">SUM(H10,J10,L10,N10,O10,P10,Q10,R10,S10,V10,W10,X10,Z10,AA10,AC10,AD10,AE10,AG10,T10,AH10,AI10,AB10)</f>
        <v>116032.21015384616</v>
      </c>
      <c r="AK10" s="147">
        <f>Valores!$C$36</f>
        <v>1046.83</v>
      </c>
      <c r="AL10" s="148">
        <f>Valores!$C$9</f>
        <v>0</v>
      </c>
      <c r="AM10" s="148">
        <f>Valores!$C$84</f>
        <v>2275</v>
      </c>
      <c r="AN10" s="148"/>
      <c r="AO10" s="150">
        <f>Valores!$C$51</f>
        <v>327.6</v>
      </c>
      <c r="AP10" s="152">
        <f aca="true" t="shared" si="6" ref="AP10:AP72">IF($H$4="SI",SUM(AK10:AO10),SUM(AK10:AM10))</f>
        <v>3321.83</v>
      </c>
      <c r="AQ10" s="153">
        <f>AJ10*-Valores!$C$68</f>
        <v>-12763.543116923078</v>
      </c>
      <c r="AR10" s="153">
        <f>AJ10*-Valores!$C$69</f>
        <v>0</v>
      </c>
      <c r="AS10" s="147">
        <f>AJ10*-Valores!$C$70</f>
        <v>-5221.4494569230765</v>
      </c>
      <c r="AT10" s="147">
        <v>-159.43</v>
      </c>
      <c r="AU10" s="147">
        <f aca="true" t="shared" si="7" ref="AU10:AU73">IF($H$6=0,-53.83,(-53.83+$H$6*(-53.83)))</f>
        <v>-53.83</v>
      </c>
      <c r="AV10" s="151">
        <f aca="true" t="shared" si="8" ref="AV10:AV73">AJ10+AP10+AR10+AS10+AQ10+AT10+AU10</f>
        <v>101155.78758000002</v>
      </c>
      <c r="AW10" s="155">
        <v>33</v>
      </c>
      <c r="AX10" s="155">
        <v>45</v>
      </c>
      <c r="AY10" s="140" t="s">
        <v>8</v>
      </c>
    </row>
    <row r="11" spans="1:51" s="117" customFormat="1" ht="11.25" customHeight="1">
      <c r="A11" s="139">
        <v>8</v>
      </c>
      <c r="B11" s="139"/>
      <c r="C11" s="140" t="s">
        <v>139</v>
      </c>
      <c r="D11" s="140"/>
      <c r="E11" s="140">
        <f t="shared" si="0"/>
        <v>14</v>
      </c>
      <c r="F11" s="141" t="s">
        <v>140</v>
      </c>
      <c r="G11" s="142">
        <v>107</v>
      </c>
      <c r="H11" s="156">
        <f>INT((G11*Valores!$C$2*100)+0.5)/100</f>
        <v>999.35</v>
      </c>
      <c r="I11" s="144">
        <v>3720</v>
      </c>
      <c r="J11" s="145">
        <f>INT((I11*Valores!$C$2*100)+0.5)/100</f>
        <v>34743.68</v>
      </c>
      <c r="K11" s="146">
        <v>1226</v>
      </c>
      <c r="L11" s="145">
        <f>INT((K11*Valores!$C$2*100)+0.5)/100</f>
        <v>11450.47</v>
      </c>
      <c r="M11" s="142">
        <v>0</v>
      </c>
      <c r="N11" s="145">
        <f>INT((M11*Valores!$C$2*100)+0.5)/100</f>
        <v>0</v>
      </c>
      <c r="O11" s="145">
        <f t="shared" si="1"/>
        <v>8021.280000000001</v>
      </c>
      <c r="P11" s="145">
        <f t="shared" si="2"/>
        <v>0</v>
      </c>
      <c r="Q11" s="147">
        <f>Valores!$C$19</f>
        <v>8655.78</v>
      </c>
      <c r="R11" s="147">
        <f>Valores!$D$4</f>
        <v>4774.45</v>
      </c>
      <c r="S11" s="145">
        <v>0</v>
      </c>
      <c r="T11" s="148">
        <f>IF($H$5="NO",Valores!$C$44,Valores!$C$44/2)</f>
        <v>2384.69</v>
      </c>
      <c r="U11" s="145">
        <f>Valores!$C$24</f>
        <v>3897.01</v>
      </c>
      <c r="V11" s="145">
        <f t="shared" si="3"/>
        <v>3897.01</v>
      </c>
      <c r="W11" s="145">
        <v>0</v>
      </c>
      <c r="X11" s="145">
        <v>0</v>
      </c>
      <c r="Y11" s="149">
        <v>0</v>
      </c>
      <c r="Z11" s="145">
        <f>Y11*Valores!$C$2</f>
        <v>0</v>
      </c>
      <c r="AA11" s="145">
        <v>0</v>
      </c>
      <c r="AB11" s="148">
        <f>Valores!$C$89</f>
        <v>1153.8461538461538</v>
      </c>
      <c r="AC11" s="150">
        <f>Valores!$C$30</f>
        <v>199.86</v>
      </c>
      <c r="AD11" s="145">
        <f t="shared" si="4"/>
        <v>0</v>
      </c>
      <c r="AE11" s="145">
        <f>Valores!$C$31</f>
        <v>199.86</v>
      </c>
      <c r="AF11" s="149">
        <v>0</v>
      </c>
      <c r="AG11" s="145">
        <f>INT(((AF11*Valores!$C$2)*100)+0.5)/100</f>
        <v>0</v>
      </c>
      <c r="AH11" s="145">
        <f>IF($H$5="NO",Valores!$C$59,Valores!$C$59/2)</f>
        <v>406.53</v>
      </c>
      <c r="AI11" s="145">
        <f>IF($H$5="NO",Valores!$C$61,Valores!$C$61/2)</f>
        <v>116.15</v>
      </c>
      <c r="AJ11" s="151">
        <f t="shared" si="5"/>
        <v>77002.95615384614</v>
      </c>
      <c r="AK11" s="147">
        <f>Valores!$C$36</f>
        <v>1046.83</v>
      </c>
      <c r="AL11" s="148">
        <f>Valores!$C$9</f>
        <v>0</v>
      </c>
      <c r="AM11" s="148">
        <f>Valores!$C$84</f>
        <v>2275</v>
      </c>
      <c r="AN11" s="148"/>
      <c r="AO11" s="150">
        <f>Valores!$C$51</f>
        <v>327.6</v>
      </c>
      <c r="AP11" s="152">
        <f t="shared" si="6"/>
        <v>3321.83</v>
      </c>
      <c r="AQ11" s="153">
        <f>AJ11*-Valores!$C$68</f>
        <v>-8470.325176923076</v>
      </c>
      <c r="AR11" s="153">
        <f>AJ11*-Valores!$C$69</f>
        <v>0</v>
      </c>
      <c r="AS11" s="147">
        <f>AJ11*-Valores!$C$70</f>
        <v>-3465.133026923076</v>
      </c>
      <c r="AT11" s="147">
        <v>-159.43</v>
      </c>
      <c r="AU11" s="147">
        <f t="shared" si="7"/>
        <v>-53.83</v>
      </c>
      <c r="AV11" s="151">
        <f t="shared" si="8"/>
        <v>68176.06795</v>
      </c>
      <c r="AW11" s="155">
        <v>35</v>
      </c>
      <c r="AX11" s="155">
        <v>45</v>
      </c>
      <c r="AY11" s="140" t="s">
        <v>4</v>
      </c>
    </row>
    <row r="12" spans="1:51" s="117" customFormat="1" ht="11.25" customHeight="1">
      <c r="A12" s="139">
        <v>9</v>
      </c>
      <c r="B12" s="139"/>
      <c r="C12" s="140" t="s">
        <v>141</v>
      </c>
      <c r="D12" s="140"/>
      <c r="E12" s="140">
        <f t="shared" si="0"/>
        <v>17</v>
      </c>
      <c r="F12" s="141" t="s">
        <v>142</v>
      </c>
      <c r="G12" s="142">
        <v>107</v>
      </c>
      <c r="H12" s="143">
        <f>INT((G12*Valores!$C$2*100)+0.5)/100</f>
        <v>999.35</v>
      </c>
      <c r="I12" s="144">
        <v>3779</v>
      </c>
      <c r="J12" s="145">
        <f>INT((I12*Valores!$C$2*100)+0.5)/100</f>
        <v>35294.73</v>
      </c>
      <c r="K12" s="146">
        <v>219</v>
      </c>
      <c r="L12" s="145">
        <f>INT((K12*Valores!$C$2*100)+0.5)/100</f>
        <v>2045.39</v>
      </c>
      <c r="M12" s="142">
        <v>0</v>
      </c>
      <c r="N12" s="145">
        <f>INT((M12*Valores!$C$2*100)+0.5)/100</f>
        <v>0</v>
      </c>
      <c r="O12" s="145">
        <f t="shared" si="1"/>
        <v>6108.624000000001</v>
      </c>
      <c r="P12" s="145">
        <f t="shared" si="2"/>
        <v>0</v>
      </c>
      <c r="Q12" s="147">
        <f>Valores!$C$16</f>
        <v>8673.47</v>
      </c>
      <c r="R12" s="147">
        <f>Valores!$D$4</f>
        <v>4774.45</v>
      </c>
      <c r="S12" s="145">
        <v>0</v>
      </c>
      <c r="T12" s="148">
        <f>IF($H$5="NO",Valores!$C$44,Valores!$C$44/2)</f>
        <v>2384.69</v>
      </c>
      <c r="U12" s="145">
        <v>0</v>
      </c>
      <c r="V12" s="145">
        <f t="shared" si="3"/>
        <v>0</v>
      </c>
      <c r="W12" s="147">
        <f aca="true" t="shared" si="9" ref="W12:W21">SUM(H12,J12,L12)</f>
        <v>38339.47</v>
      </c>
      <c r="X12" s="147">
        <f aca="true" t="shared" si="10" ref="X12:X21">INT((SUM(H12,J12,L12)*0.4*100)+0.49)/100</f>
        <v>15335.79</v>
      </c>
      <c r="Y12" s="149">
        <v>0</v>
      </c>
      <c r="Z12" s="145">
        <f>Y12*Valores!$C$2</f>
        <v>0</v>
      </c>
      <c r="AA12" s="145">
        <v>0</v>
      </c>
      <c r="AB12" s="148">
        <f>Valores!$C$89</f>
        <v>1153.8461538461538</v>
      </c>
      <c r="AC12" s="150">
        <f>Valores!$C$30</f>
        <v>199.86</v>
      </c>
      <c r="AD12" s="145">
        <f t="shared" si="4"/>
        <v>0</v>
      </c>
      <c r="AE12" s="145">
        <f>Valores!$C$31</f>
        <v>199.86</v>
      </c>
      <c r="AF12" s="149">
        <v>0</v>
      </c>
      <c r="AG12" s="145">
        <f>INT(((AF12*Valores!$C$2)*100)+0.5)/100</f>
        <v>0</v>
      </c>
      <c r="AH12" s="145">
        <f>IF($H$5="NO",Valores!$C$59,Valores!$C$59/2)</f>
        <v>406.53</v>
      </c>
      <c r="AI12" s="145">
        <f>IF($H$5="NO",Valores!$C$61,Valores!$C$61/2)</f>
        <v>116.15</v>
      </c>
      <c r="AJ12" s="151">
        <f t="shared" si="5"/>
        <v>116032.21015384616</v>
      </c>
      <c r="AK12" s="147">
        <f>Valores!$C$36</f>
        <v>1046.83</v>
      </c>
      <c r="AL12" s="148">
        <f>Valores!$C$9</f>
        <v>0</v>
      </c>
      <c r="AM12" s="148">
        <f>Valores!$C$84</f>
        <v>2275</v>
      </c>
      <c r="AN12" s="148"/>
      <c r="AO12" s="150">
        <f>Valores!$C$51</f>
        <v>327.6</v>
      </c>
      <c r="AP12" s="152">
        <f t="shared" si="6"/>
        <v>3321.83</v>
      </c>
      <c r="AQ12" s="153">
        <f>AJ12*-Valores!$C$68</f>
        <v>-12763.543116923078</v>
      </c>
      <c r="AR12" s="153">
        <f>AJ12*-Valores!$C$69</f>
        <v>0</v>
      </c>
      <c r="AS12" s="147">
        <f>AJ12*-Valores!$C$70</f>
        <v>-5221.4494569230765</v>
      </c>
      <c r="AT12" s="147">
        <v>-159.43</v>
      </c>
      <c r="AU12" s="147">
        <f t="shared" si="7"/>
        <v>-53.83</v>
      </c>
      <c r="AV12" s="151">
        <f t="shared" si="8"/>
        <v>101155.78758000002</v>
      </c>
      <c r="AW12" s="155">
        <v>33</v>
      </c>
      <c r="AX12" s="155">
        <v>45</v>
      </c>
      <c r="AY12" s="140" t="s">
        <v>8</v>
      </c>
    </row>
    <row r="13" spans="1:51" s="117" customFormat="1" ht="11.25" customHeight="1">
      <c r="A13" s="157">
        <v>10</v>
      </c>
      <c r="B13" s="157" t="s">
        <v>143</v>
      </c>
      <c r="C13" s="140" t="s">
        <v>144</v>
      </c>
      <c r="D13" s="140"/>
      <c r="E13" s="140">
        <f t="shared" si="0"/>
        <v>17</v>
      </c>
      <c r="F13" s="141" t="s">
        <v>145</v>
      </c>
      <c r="G13" s="142">
        <v>107</v>
      </c>
      <c r="H13" s="143">
        <f>INT((G13*Valores!$C$2*100)+0.5)/100</f>
        <v>999.35</v>
      </c>
      <c r="I13" s="144">
        <v>3779</v>
      </c>
      <c r="J13" s="145">
        <f>INT((I13*Valores!$C$2*100)+0.5)/100</f>
        <v>35294.73</v>
      </c>
      <c r="K13" s="146">
        <v>219</v>
      </c>
      <c r="L13" s="145">
        <f>INT((K13*Valores!$C$2*100)+0.5)/100</f>
        <v>2045.39</v>
      </c>
      <c r="M13" s="142">
        <v>0</v>
      </c>
      <c r="N13" s="145">
        <f>INT((M13*Valores!$C$2*100)+0.5)/100</f>
        <v>0</v>
      </c>
      <c r="O13" s="145">
        <f t="shared" si="1"/>
        <v>6108.624000000001</v>
      </c>
      <c r="P13" s="145">
        <f t="shared" si="2"/>
        <v>0</v>
      </c>
      <c r="Q13" s="147">
        <f>Valores!$C$16</f>
        <v>8673.47</v>
      </c>
      <c r="R13" s="147">
        <f>Valores!$D$4</f>
        <v>4774.45</v>
      </c>
      <c r="S13" s="145">
        <v>0</v>
      </c>
      <c r="T13" s="148">
        <f>IF($H$5="NO",Valores!$C$44,Valores!$C$44/2)</f>
        <v>2384.69</v>
      </c>
      <c r="U13" s="145">
        <v>0</v>
      </c>
      <c r="V13" s="145">
        <f t="shared" si="3"/>
        <v>0</v>
      </c>
      <c r="W13" s="147">
        <f t="shared" si="9"/>
        <v>38339.47</v>
      </c>
      <c r="X13" s="147">
        <f t="shared" si="10"/>
        <v>15335.79</v>
      </c>
      <c r="Y13" s="149">
        <v>0</v>
      </c>
      <c r="Z13" s="145">
        <f>Y13*Valores!$C$2</f>
        <v>0</v>
      </c>
      <c r="AA13" s="145">
        <v>0</v>
      </c>
      <c r="AB13" s="148">
        <f>Valores!$C$89</f>
        <v>1153.8461538461538</v>
      </c>
      <c r="AC13" s="150">
        <f>Valores!$C$30</f>
        <v>199.86</v>
      </c>
      <c r="AD13" s="145">
        <f t="shared" si="4"/>
        <v>0</v>
      </c>
      <c r="AE13" s="145">
        <f>Valores!$C$31</f>
        <v>199.86</v>
      </c>
      <c r="AF13" s="149">
        <v>0</v>
      </c>
      <c r="AG13" s="145">
        <f>INT(((AF13*Valores!$C$2)*100)+0.5)/100</f>
        <v>0</v>
      </c>
      <c r="AH13" s="145">
        <f>IF($H$5="NO",Valores!$C$59,Valores!$C$59/2)</f>
        <v>406.53</v>
      </c>
      <c r="AI13" s="145">
        <f>IF($H$5="NO",Valores!$C$61,Valores!$C$61/2)</f>
        <v>116.15</v>
      </c>
      <c r="AJ13" s="151">
        <f t="shared" si="5"/>
        <v>116032.21015384616</v>
      </c>
      <c r="AK13" s="147">
        <f>Valores!$C$36</f>
        <v>1046.83</v>
      </c>
      <c r="AL13" s="148">
        <f>Valores!$C$9</f>
        <v>0</v>
      </c>
      <c r="AM13" s="148">
        <f>Valores!$C$84</f>
        <v>2275</v>
      </c>
      <c r="AN13" s="148"/>
      <c r="AO13" s="150">
        <f>Valores!$C$51</f>
        <v>327.6</v>
      </c>
      <c r="AP13" s="152">
        <f t="shared" si="6"/>
        <v>3321.83</v>
      </c>
      <c r="AQ13" s="153">
        <f>AJ13*-Valores!$C$68</f>
        <v>-12763.543116923078</v>
      </c>
      <c r="AR13" s="153">
        <f>AJ13*-Valores!$C$69</f>
        <v>0</v>
      </c>
      <c r="AS13" s="147">
        <f>AJ13*-Valores!$C$70</f>
        <v>-5221.4494569230765</v>
      </c>
      <c r="AT13" s="147">
        <v>-159.43</v>
      </c>
      <c r="AU13" s="147">
        <f t="shared" si="7"/>
        <v>-53.83</v>
      </c>
      <c r="AV13" s="151">
        <f t="shared" si="8"/>
        <v>101155.78758000002</v>
      </c>
      <c r="AW13" s="155">
        <v>33</v>
      </c>
      <c r="AX13" s="155">
        <v>45</v>
      </c>
      <c r="AY13" s="140" t="s">
        <v>8</v>
      </c>
    </row>
    <row r="14" spans="1:51" s="117" customFormat="1" ht="11.25" customHeight="1">
      <c r="A14" s="139">
        <v>11</v>
      </c>
      <c r="B14" s="139"/>
      <c r="C14" s="140" t="s">
        <v>146</v>
      </c>
      <c r="D14" s="140"/>
      <c r="E14" s="140">
        <f t="shared" si="0"/>
        <v>17</v>
      </c>
      <c r="F14" s="141" t="s">
        <v>147</v>
      </c>
      <c r="G14" s="142">
        <v>107</v>
      </c>
      <c r="H14" s="143">
        <f>INT((G14*Valores!$C$2*100)+0.5)/100</f>
        <v>999.35</v>
      </c>
      <c r="I14" s="144">
        <v>3779</v>
      </c>
      <c r="J14" s="145">
        <f>INT((I14*Valores!$C$2*100)+0.5)/100</f>
        <v>35294.73</v>
      </c>
      <c r="K14" s="146">
        <v>219</v>
      </c>
      <c r="L14" s="145">
        <f>INT((K14*Valores!$C$2*100)+0.5)/100</f>
        <v>2045.39</v>
      </c>
      <c r="M14" s="142">
        <v>0</v>
      </c>
      <c r="N14" s="145">
        <f>INT((M14*Valores!$C$2*100)+0.5)/100</f>
        <v>0</v>
      </c>
      <c r="O14" s="145">
        <f t="shared" si="1"/>
        <v>6108.624000000001</v>
      </c>
      <c r="P14" s="145">
        <f t="shared" si="2"/>
        <v>0</v>
      </c>
      <c r="Q14" s="147">
        <f>Valores!$C$16</f>
        <v>8673.47</v>
      </c>
      <c r="R14" s="147">
        <f>Valores!$D$4</f>
        <v>4774.45</v>
      </c>
      <c r="S14" s="145">
        <v>0</v>
      </c>
      <c r="T14" s="148">
        <f>IF($H$5="NO",Valores!$C$44,Valores!$C$44/2)</f>
        <v>2384.69</v>
      </c>
      <c r="U14" s="145">
        <v>0</v>
      </c>
      <c r="V14" s="145">
        <f t="shared" si="3"/>
        <v>0</v>
      </c>
      <c r="W14" s="147">
        <f t="shared" si="9"/>
        <v>38339.47</v>
      </c>
      <c r="X14" s="147">
        <f t="shared" si="10"/>
        <v>15335.79</v>
      </c>
      <c r="Y14" s="149">
        <v>0</v>
      </c>
      <c r="Z14" s="145">
        <f>Y14*Valores!$C$2</f>
        <v>0</v>
      </c>
      <c r="AA14" s="145">
        <v>0</v>
      </c>
      <c r="AB14" s="148">
        <f>Valores!$C$89</f>
        <v>1153.8461538461538</v>
      </c>
      <c r="AC14" s="150">
        <f>Valores!$C$30</f>
        <v>199.86</v>
      </c>
      <c r="AD14" s="145">
        <f t="shared" si="4"/>
        <v>0</v>
      </c>
      <c r="AE14" s="145">
        <f>Valores!$C$31</f>
        <v>199.86</v>
      </c>
      <c r="AF14" s="149">
        <v>0</v>
      </c>
      <c r="AG14" s="145">
        <f>INT(((AF14*Valores!$C$2)*100)+0.5)/100</f>
        <v>0</v>
      </c>
      <c r="AH14" s="145">
        <f>IF($H$5="NO",Valores!$C$59,Valores!$C$59/2)</f>
        <v>406.53</v>
      </c>
      <c r="AI14" s="145">
        <f>IF($H$5="NO",Valores!$C$61,Valores!$C$61/2)</f>
        <v>116.15</v>
      </c>
      <c r="AJ14" s="151">
        <f t="shared" si="5"/>
        <v>116032.21015384616</v>
      </c>
      <c r="AK14" s="147">
        <f>Valores!$C$36</f>
        <v>1046.83</v>
      </c>
      <c r="AL14" s="148">
        <f>Valores!$C$9</f>
        <v>0</v>
      </c>
      <c r="AM14" s="148">
        <f>Valores!$C$84</f>
        <v>2275</v>
      </c>
      <c r="AN14" s="148"/>
      <c r="AO14" s="150">
        <f>Valores!$C$51</f>
        <v>327.6</v>
      </c>
      <c r="AP14" s="152">
        <f t="shared" si="6"/>
        <v>3321.83</v>
      </c>
      <c r="AQ14" s="153">
        <f>AJ14*-Valores!$C$68</f>
        <v>-12763.543116923078</v>
      </c>
      <c r="AR14" s="153">
        <f>AJ14*-Valores!$C$69</f>
        <v>0</v>
      </c>
      <c r="AS14" s="147">
        <f>AJ14*-Valores!$C$70</f>
        <v>-5221.4494569230765</v>
      </c>
      <c r="AT14" s="147">
        <v>-159.43</v>
      </c>
      <c r="AU14" s="147">
        <f t="shared" si="7"/>
        <v>-53.83</v>
      </c>
      <c r="AV14" s="151">
        <f t="shared" si="8"/>
        <v>101155.78758000002</v>
      </c>
      <c r="AW14" s="155">
        <v>33</v>
      </c>
      <c r="AX14" s="155">
        <v>45</v>
      </c>
      <c r="AY14" s="140" t="s">
        <v>8</v>
      </c>
    </row>
    <row r="15" spans="1:51" s="117" customFormat="1" ht="11.25" customHeight="1">
      <c r="A15" s="139">
        <v>12</v>
      </c>
      <c r="B15" s="139"/>
      <c r="C15" s="140" t="s">
        <v>148</v>
      </c>
      <c r="D15" s="140"/>
      <c r="E15" s="140">
        <f t="shared" si="0"/>
        <v>14</v>
      </c>
      <c r="F15" s="141" t="s">
        <v>149</v>
      </c>
      <c r="G15" s="142">
        <v>107</v>
      </c>
      <c r="H15" s="143">
        <f>INT((G15*Valores!$C$2*100)+0.5)/100</f>
        <v>999.35</v>
      </c>
      <c r="I15" s="144">
        <v>3779</v>
      </c>
      <c r="J15" s="145">
        <f>INT((I15*Valores!$C$2*100)+0.5)/100</f>
        <v>35294.73</v>
      </c>
      <c r="K15" s="146">
        <v>219</v>
      </c>
      <c r="L15" s="145">
        <f>INT((K15*Valores!$C$2*100)+0.5)/100</f>
        <v>2045.39</v>
      </c>
      <c r="M15" s="142">
        <v>0</v>
      </c>
      <c r="N15" s="145">
        <f>INT((M15*Valores!$C$2*100)+0.5)/100</f>
        <v>0</v>
      </c>
      <c r="O15" s="145">
        <f t="shared" si="1"/>
        <v>6108.624000000001</v>
      </c>
      <c r="P15" s="145">
        <f t="shared" si="2"/>
        <v>0</v>
      </c>
      <c r="Q15" s="147">
        <f>Valores!$C$16</f>
        <v>8673.47</v>
      </c>
      <c r="R15" s="147">
        <f>Valores!$D$4</f>
        <v>4774.45</v>
      </c>
      <c r="S15" s="145">
        <v>0</v>
      </c>
      <c r="T15" s="148">
        <f>IF($H$5="NO",Valores!$C$44,Valores!$C$44/2)</f>
        <v>2384.69</v>
      </c>
      <c r="U15" s="145">
        <v>0</v>
      </c>
      <c r="V15" s="145">
        <f t="shared" si="3"/>
        <v>0</v>
      </c>
      <c r="W15" s="147">
        <f t="shared" si="9"/>
        <v>38339.47</v>
      </c>
      <c r="X15" s="147">
        <f t="shared" si="10"/>
        <v>15335.79</v>
      </c>
      <c r="Y15" s="149">
        <v>0</v>
      </c>
      <c r="Z15" s="145">
        <f>Y15*Valores!$C$2</f>
        <v>0</v>
      </c>
      <c r="AA15" s="145">
        <v>0</v>
      </c>
      <c r="AB15" s="148">
        <f>Valores!$C$89</f>
        <v>1153.8461538461538</v>
      </c>
      <c r="AC15" s="150">
        <f>Valores!$C$30</f>
        <v>199.86</v>
      </c>
      <c r="AD15" s="145">
        <f t="shared" si="4"/>
        <v>0</v>
      </c>
      <c r="AE15" s="145">
        <f>Valores!$C$31</f>
        <v>199.86</v>
      </c>
      <c r="AF15" s="149">
        <v>0</v>
      </c>
      <c r="AG15" s="145">
        <f>INT(((AF15*Valores!$C$2)*100)+0.5)/100</f>
        <v>0</v>
      </c>
      <c r="AH15" s="145">
        <f>IF($H$5="NO",Valores!$C$59,Valores!$C$59/2)</f>
        <v>406.53</v>
      </c>
      <c r="AI15" s="145">
        <f>IF($H$5="NO",Valores!$C$61,Valores!$C$61/2)</f>
        <v>116.15</v>
      </c>
      <c r="AJ15" s="151">
        <f t="shared" si="5"/>
        <v>116032.21015384616</v>
      </c>
      <c r="AK15" s="147">
        <f>Valores!$C$36</f>
        <v>1046.83</v>
      </c>
      <c r="AL15" s="148">
        <f>Valores!$C$9</f>
        <v>0</v>
      </c>
      <c r="AM15" s="148">
        <f>Valores!$C$84</f>
        <v>2275</v>
      </c>
      <c r="AN15" s="148"/>
      <c r="AO15" s="150">
        <f>Valores!$C$51</f>
        <v>327.6</v>
      </c>
      <c r="AP15" s="152">
        <f t="shared" si="6"/>
        <v>3321.83</v>
      </c>
      <c r="AQ15" s="153">
        <f>AJ15*-Valores!$C$68</f>
        <v>-12763.543116923078</v>
      </c>
      <c r="AR15" s="153">
        <f>AJ15*-Valores!$C$69</f>
        <v>0</v>
      </c>
      <c r="AS15" s="147">
        <f>AJ15*-Valores!$C$70</f>
        <v>-5221.4494569230765</v>
      </c>
      <c r="AT15" s="147">
        <v>-159.43</v>
      </c>
      <c r="AU15" s="147">
        <f t="shared" si="7"/>
        <v>-53.83</v>
      </c>
      <c r="AV15" s="151">
        <f t="shared" si="8"/>
        <v>101155.78758000002</v>
      </c>
      <c r="AW15" s="155">
        <v>33</v>
      </c>
      <c r="AX15" s="155">
        <v>45</v>
      </c>
      <c r="AY15" s="140" t="s">
        <v>8</v>
      </c>
    </row>
    <row r="16" spans="1:51" s="117" customFormat="1" ht="11.25" customHeight="1">
      <c r="A16" s="139">
        <v>13</v>
      </c>
      <c r="B16" s="139"/>
      <c r="C16" s="140" t="s">
        <v>150</v>
      </c>
      <c r="D16" s="140"/>
      <c r="E16" s="140">
        <f t="shared" si="0"/>
        <v>15</v>
      </c>
      <c r="F16" s="141" t="s">
        <v>151</v>
      </c>
      <c r="G16" s="142">
        <v>107</v>
      </c>
      <c r="H16" s="143">
        <f>INT((G16*Valores!$C$2*100)+0.5)/100</f>
        <v>999.35</v>
      </c>
      <c r="I16" s="144">
        <v>3779</v>
      </c>
      <c r="J16" s="145">
        <f>INT((I16*Valores!$C$2*100)+0.5)/100</f>
        <v>35294.73</v>
      </c>
      <c r="K16" s="146">
        <v>219</v>
      </c>
      <c r="L16" s="145">
        <f>INT((K16*Valores!$C$2*100)+0.5)/100</f>
        <v>2045.39</v>
      </c>
      <c r="M16" s="142">
        <v>0</v>
      </c>
      <c r="N16" s="145">
        <f>INT((M16*Valores!$C$2*100)+0.5)/100</f>
        <v>0</v>
      </c>
      <c r="O16" s="145">
        <f t="shared" si="1"/>
        <v>6108.624000000001</v>
      </c>
      <c r="P16" s="145">
        <f t="shared" si="2"/>
        <v>0</v>
      </c>
      <c r="Q16" s="147">
        <f>Valores!$C$16</f>
        <v>8673.47</v>
      </c>
      <c r="R16" s="147">
        <f>Valores!$D$4</f>
        <v>4774.45</v>
      </c>
      <c r="S16" s="145">
        <v>0</v>
      </c>
      <c r="T16" s="148">
        <f>IF($H$5="NO",Valores!$C$44,Valores!$C$44/2)</f>
        <v>2384.69</v>
      </c>
      <c r="U16" s="145">
        <v>0</v>
      </c>
      <c r="V16" s="145">
        <f t="shared" si="3"/>
        <v>0</v>
      </c>
      <c r="W16" s="147">
        <f t="shared" si="9"/>
        <v>38339.47</v>
      </c>
      <c r="X16" s="147">
        <f t="shared" si="10"/>
        <v>15335.79</v>
      </c>
      <c r="Y16" s="149">
        <v>0</v>
      </c>
      <c r="Z16" s="145">
        <f>Y16*Valores!$C$2</f>
        <v>0</v>
      </c>
      <c r="AA16" s="145">
        <v>0</v>
      </c>
      <c r="AB16" s="148">
        <f>Valores!$C$89</f>
        <v>1153.8461538461538</v>
      </c>
      <c r="AC16" s="150">
        <f>Valores!$C$30</f>
        <v>199.86</v>
      </c>
      <c r="AD16" s="145">
        <f t="shared" si="4"/>
        <v>0</v>
      </c>
      <c r="AE16" s="145">
        <f>Valores!$C$31</f>
        <v>199.86</v>
      </c>
      <c r="AF16" s="149">
        <v>0</v>
      </c>
      <c r="AG16" s="145">
        <f>INT(((AF16*Valores!$C$2)*100)+0.5)/100</f>
        <v>0</v>
      </c>
      <c r="AH16" s="145">
        <f>IF($H$5="NO",Valores!$C$59,Valores!$C$59/2)</f>
        <v>406.53</v>
      </c>
      <c r="AI16" s="145">
        <f>IF($H$5="NO",Valores!$C$61,Valores!$C$61/2)</f>
        <v>116.15</v>
      </c>
      <c r="AJ16" s="151">
        <f t="shared" si="5"/>
        <v>116032.21015384616</v>
      </c>
      <c r="AK16" s="147">
        <f>Valores!$C$36</f>
        <v>1046.83</v>
      </c>
      <c r="AL16" s="148">
        <f>Valores!$C$9</f>
        <v>0</v>
      </c>
      <c r="AM16" s="148">
        <f>Valores!$C$84</f>
        <v>2275</v>
      </c>
      <c r="AN16" s="148"/>
      <c r="AO16" s="150">
        <f>Valores!$C$51</f>
        <v>327.6</v>
      </c>
      <c r="AP16" s="152">
        <f t="shared" si="6"/>
        <v>3321.83</v>
      </c>
      <c r="AQ16" s="153">
        <f>AJ16*-Valores!$C$68</f>
        <v>-12763.543116923078</v>
      </c>
      <c r="AR16" s="153">
        <f>AJ16*-Valores!$C$69</f>
        <v>0</v>
      </c>
      <c r="AS16" s="147">
        <f>AJ16*-Valores!$C$70</f>
        <v>-5221.4494569230765</v>
      </c>
      <c r="AT16" s="147">
        <v>-159.43</v>
      </c>
      <c r="AU16" s="147">
        <f t="shared" si="7"/>
        <v>-53.83</v>
      </c>
      <c r="AV16" s="151">
        <f t="shared" si="8"/>
        <v>101155.78758000002</v>
      </c>
      <c r="AW16" s="155">
        <v>33</v>
      </c>
      <c r="AX16" s="155">
        <v>45</v>
      </c>
      <c r="AY16" s="140" t="s">
        <v>8</v>
      </c>
    </row>
    <row r="17" spans="1:51" s="117" customFormat="1" ht="11.25" customHeight="1">
      <c r="A17" s="139">
        <v>14</v>
      </c>
      <c r="B17" s="139"/>
      <c r="C17" s="140" t="s">
        <v>152</v>
      </c>
      <c r="D17" s="140"/>
      <c r="E17" s="140">
        <f t="shared" si="0"/>
        <v>20</v>
      </c>
      <c r="F17" s="141" t="s">
        <v>153</v>
      </c>
      <c r="G17" s="142">
        <v>100</v>
      </c>
      <c r="H17" s="143">
        <f>INT((G17*Valores!$C$2*100)+0.5)/100</f>
        <v>933.97</v>
      </c>
      <c r="I17" s="144">
        <v>3727</v>
      </c>
      <c r="J17" s="145">
        <f>INT((I17*Valores!$C$2*100)+0.5)/100</f>
        <v>34809.06</v>
      </c>
      <c r="K17" s="146">
        <v>219</v>
      </c>
      <c r="L17" s="145">
        <f>INT((K17*Valores!$C$2*100)+0.5)/100</f>
        <v>2045.39</v>
      </c>
      <c r="M17" s="142">
        <v>0</v>
      </c>
      <c r="N17" s="145">
        <f>INT((M17*Valores!$C$2*100)+0.5)/100</f>
        <v>0</v>
      </c>
      <c r="O17" s="145">
        <f t="shared" si="1"/>
        <v>6025.9664999999995</v>
      </c>
      <c r="P17" s="145">
        <f t="shared" si="2"/>
        <v>0</v>
      </c>
      <c r="Q17" s="147">
        <f>Valores!$C$16</f>
        <v>8673.47</v>
      </c>
      <c r="R17" s="147">
        <f>Valores!$D$4</f>
        <v>4774.45</v>
      </c>
      <c r="S17" s="145">
        <v>0</v>
      </c>
      <c r="T17" s="148">
        <f>IF($H$5="NO",Valores!$C$44,Valores!$C$44/2)</f>
        <v>2384.69</v>
      </c>
      <c r="U17" s="145">
        <v>0</v>
      </c>
      <c r="V17" s="145">
        <f t="shared" si="3"/>
        <v>0</v>
      </c>
      <c r="W17" s="147">
        <f t="shared" si="9"/>
        <v>37788.42</v>
      </c>
      <c r="X17" s="147">
        <f t="shared" si="10"/>
        <v>15115.37</v>
      </c>
      <c r="Y17" s="149">
        <v>0</v>
      </c>
      <c r="Z17" s="145">
        <f>Y17*Valores!$C$2</f>
        <v>0</v>
      </c>
      <c r="AA17" s="145">
        <v>0</v>
      </c>
      <c r="AB17" s="148">
        <f>Valores!$C$89</f>
        <v>1153.8461538461538</v>
      </c>
      <c r="AC17" s="150">
        <f>Valores!$C$30</f>
        <v>199.86</v>
      </c>
      <c r="AD17" s="145">
        <f t="shared" si="4"/>
        <v>0</v>
      </c>
      <c r="AE17" s="145">
        <f>Valores!$C$31</f>
        <v>199.86</v>
      </c>
      <c r="AF17" s="149">
        <v>0</v>
      </c>
      <c r="AG17" s="145">
        <f>INT(((AF17*Valores!$C$2)*100)+0.5)/100</f>
        <v>0</v>
      </c>
      <c r="AH17" s="145">
        <f>IF($H$5="NO",Valores!$C$59,Valores!$C$59/2)</f>
        <v>406.53</v>
      </c>
      <c r="AI17" s="145">
        <f>IF($H$5="NO",Valores!$C$61,Valores!$C$61/2)</f>
        <v>116.15</v>
      </c>
      <c r="AJ17" s="151">
        <f t="shared" si="5"/>
        <v>114627.03265384614</v>
      </c>
      <c r="AK17" s="147">
        <f>Valores!$C$36</f>
        <v>1046.83</v>
      </c>
      <c r="AL17" s="148">
        <f>Valores!$C$9</f>
        <v>0</v>
      </c>
      <c r="AM17" s="148">
        <f>Valores!$C$84</f>
        <v>2275</v>
      </c>
      <c r="AN17" s="148"/>
      <c r="AO17" s="150">
        <f>Valores!$C$51</f>
        <v>327.6</v>
      </c>
      <c r="AP17" s="152">
        <f t="shared" si="6"/>
        <v>3321.83</v>
      </c>
      <c r="AQ17" s="153">
        <f>AJ17*-Valores!$C$68</f>
        <v>-12608.973591923075</v>
      </c>
      <c r="AR17" s="153">
        <f>AJ17*-Valores!$C$69</f>
        <v>0</v>
      </c>
      <c r="AS17" s="147">
        <f>AJ17*-Valores!$C$70</f>
        <v>-5158.216469423076</v>
      </c>
      <c r="AT17" s="147">
        <v>-159.43</v>
      </c>
      <c r="AU17" s="147">
        <f t="shared" si="7"/>
        <v>-53.83</v>
      </c>
      <c r="AV17" s="151">
        <f t="shared" si="8"/>
        <v>99968.4125925</v>
      </c>
      <c r="AW17" s="155">
        <v>33</v>
      </c>
      <c r="AX17" s="155">
        <v>45</v>
      </c>
      <c r="AY17" s="140" t="s">
        <v>8</v>
      </c>
    </row>
    <row r="18" spans="1:51" s="117" customFormat="1" ht="11.25" customHeight="1">
      <c r="A18" s="157">
        <v>15</v>
      </c>
      <c r="B18" s="157" t="s">
        <v>143</v>
      </c>
      <c r="C18" s="140" t="s">
        <v>154</v>
      </c>
      <c r="D18" s="140"/>
      <c r="E18" s="140">
        <f t="shared" si="0"/>
        <v>22</v>
      </c>
      <c r="F18" s="141" t="s">
        <v>155</v>
      </c>
      <c r="G18" s="142">
        <v>100</v>
      </c>
      <c r="H18" s="143">
        <f>INT((G18*Valores!$C$2*100)+0.5)/100</f>
        <v>933.97</v>
      </c>
      <c r="I18" s="144">
        <v>3727</v>
      </c>
      <c r="J18" s="145">
        <f>INT((I18*Valores!$C$2*100)+0.5)/100</f>
        <v>34809.06</v>
      </c>
      <c r="K18" s="146">
        <v>219</v>
      </c>
      <c r="L18" s="145">
        <f>INT((K18*Valores!$C$2*100)+0.5)/100</f>
        <v>2045.39</v>
      </c>
      <c r="M18" s="142">
        <v>0</v>
      </c>
      <c r="N18" s="145">
        <f>INT((M18*Valores!$C$2*100)+0.5)/100</f>
        <v>0</v>
      </c>
      <c r="O18" s="145">
        <f t="shared" si="1"/>
        <v>6025.9664999999995</v>
      </c>
      <c r="P18" s="145">
        <f t="shared" si="2"/>
        <v>0</v>
      </c>
      <c r="Q18" s="147">
        <f>Valores!$C$16</f>
        <v>8673.47</v>
      </c>
      <c r="R18" s="147">
        <f>Valores!$D$4</f>
        <v>4774.45</v>
      </c>
      <c r="S18" s="145">
        <v>0</v>
      </c>
      <c r="T18" s="148">
        <f>IF($H$5="NO",Valores!$C$44,Valores!$C$44/2)</f>
        <v>2384.69</v>
      </c>
      <c r="U18" s="145">
        <v>0</v>
      </c>
      <c r="V18" s="145">
        <f t="shared" si="3"/>
        <v>0</v>
      </c>
      <c r="W18" s="147">
        <f t="shared" si="9"/>
        <v>37788.42</v>
      </c>
      <c r="X18" s="147">
        <f t="shared" si="10"/>
        <v>15115.37</v>
      </c>
      <c r="Y18" s="149">
        <v>0</v>
      </c>
      <c r="Z18" s="145">
        <f>Y18*Valores!$C$2</f>
        <v>0</v>
      </c>
      <c r="AA18" s="145">
        <v>0</v>
      </c>
      <c r="AB18" s="148">
        <f>Valores!$C$89</f>
        <v>1153.8461538461538</v>
      </c>
      <c r="AC18" s="150">
        <f>Valores!$C$30</f>
        <v>199.86</v>
      </c>
      <c r="AD18" s="145">
        <f t="shared" si="4"/>
        <v>0</v>
      </c>
      <c r="AE18" s="145">
        <f>Valores!$C$31</f>
        <v>199.86</v>
      </c>
      <c r="AF18" s="149">
        <v>0</v>
      </c>
      <c r="AG18" s="145">
        <f>INT(((AF18*Valores!$C$2)*100)+0.5)/100</f>
        <v>0</v>
      </c>
      <c r="AH18" s="145">
        <f>IF($H$5="NO",Valores!$C$59,Valores!$C$59/2)</f>
        <v>406.53</v>
      </c>
      <c r="AI18" s="145">
        <f>IF($H$5="NO",Valores!$C$61,Valores!$C$61/2)</f>
        <v>116.15</v>
      </c>
      <c r="AJ18" s="151">
        <f t="shared" si="5"/>
        <v>114627.03265384614</v>
      </c>
      <c r="AK18" s="147">
        <f>Valores!$C$36</f>
        <v>1046.83</v>
      </c>
      <c r="AL18" s="148">
        <f>Valores!$C$9</f>
        <v>0</v>
      </c>
      <c r="AM18" s="148">
        <f>Valores!$C$84</f>
        <v>2275</v>
      </c>
      <c r="AN18" s="148"/>
      <c r="AO18" s="150">
        <f>Valores!$C$51</f>
        <v>327.6</v>
      </c>
      <c r="AP18" s="152">
        <f t="shared" si="6"/>
        <v>3321.83</v>
      </c>
      <c r="AQ18" s="153">
        <f>AJ18*-Valores!$C$68</f>
        <v>-12608.973591923075</v>
      </c>
      <c r="AR18" s="153">
        <f>AJ18*-Valores!$C$69</f>
        <v>0</v>
      </c>
      <c r="AS18" s="147">
        <f>AJ18*-Valores!$C$70</f>
        <v>-5158.216469423076</v>
      </c>
      <c r="AT18" s="147">
        <v>-159.43</v>
      </c>
      <c r="AU18" s="147">
        <f t="shared" si="7"/>
        <v>-53.83</v>
      </c>
      <c r="AV18" s="151">
        <f t="shared" si="8"/>
        <v>99968.4125925</v>
      </c>
      <c r="AW18" s="155">
        <v>33</v>
      </c>
      <c r="AX18" s="155">
        <v>45</v>
      </c>
      <c r="AY18" s="140" t="s">
        <v>8</v>
      </c>
    </row>
    <row r="19" spans="1:51" s="117" customFormat="1" ht="11.25" customHeight="1">
      <c r="A19" s="139">
        <v>16</v>
      </c>
      <c r="B19" s="139"/>
      <c r="C19" s="140" t="s">
        <v>156</v>
      </c>
      <c r="D19" s="140"/>
      <c r="E19" s="140">
        <f t="shared" si="0"/>
        <v>30</v>
      </c>
      <c r="F19" s="141" t="s">
        <v>157</v>
      </c>
      <c r="G19" s="142">
        <v>100</v>
      </c>
      <c r="H19" s="143">
        <f>INT((G19*Valores!$C$2*100)+0.5)/100</f>
        <v>933.97</v>
      </c>
      <c r="I19" s="144">
        <v>3727</v>
      </c>
      <c r="J19" s="145">
        <f>INT((I19*Valores!$C$2*100)+0.5)/100</f>
        <v>34809.06</v>
      </c>
      <c r="K19" s="146">
        <v>219</v>
      </c>
      <c r="L19" s="145">
        <f>INT((K19*Valores!$C$2*100)+0.5)/100</f>
        <v>2045.39</v>
      </c>
      <c r="M19" s="142">
        <v>0</v>
      </c>
      <c r="N19" s="145">
        <f>INT((M19*Valores!$C$2*100)+0.5)/100</f>
        <v>0</v>
      </c>
      <c r="O19" s="145">
        <f t="shared" si="1"/>
        <v>6025.9664999999995</v>
      </c>
      <c r="P19" s="145">
        <f t="shared" si="2"/>
        <v>0</v>
      </c>
      <c r="Q19" s="147">
        <f>Valores!$C$16</f>
        <v>8673.47</v>
      </c>
      <c r="R19" s="147">
        <f>Valores!$D$4</f>
        <v>4774.45</v>
      </c>
      <c r="S19" s="145">
        <v>0</v>
      </c>
      <c r="T19" s="148">
        <f>IF($H$5="NO",Valores!$C$44,Valores!$C$44/2)</f>
        <v>2384.69</v>
      </c>
      <c r="U19" s="145">
        <v>0</v>
      </c>
      <c r="V19" s="145">
        <f t="shared" si="3"/>
        <v>0</v>
      </c>
      <c r="W19" s="147">
        <f t="shared" si="9"/>
        <v>37788.42</v>
      </c>
      <c r="X19" s="147">
        <f t="shared" si="10"/>
        <v>15115.37</v>
      </c>
      <c r="Y19" s="149">
        <v>0</v>
      </c>
      <c r="Z19" s="145">
        <f>Y19*Valores!$C$2</f>
        <v>0</v>
      </c>
      <c r="AA19" s="145">
        <v>0</v>
      </c>
      <c r="AB19" s="148">
        <f>Valores!$C$89</f>
        <v>1153.8461538461538</v>
      </c>
      <c r="AC19" s="150">
        <f>Valores!$C$30</f>
        <v>199.86</v>
      </c>
      <c r="AD19" s="145">
        <f t="shared" si="4"/>
        <v>0</v>
      </c>
      <c r="AE19" s="145">
        <f>Valores!$C$31</f>
        <v>199.86</v>
      </c>
      <c r="AF19" s="149">
        <v>0</v>
      </c>
      <c r="AG19" s="145">
        <f>INT(((AF19*Valores!$C$2)*100)+0.5)/100</f>
        <v>0</v>
      </c>
      <c r="AH19" s="145">
        <f>IF($H$5="NO",Valores!$C$59,Valores!$C$59/2)</f>
        <v>406.53</v>
      </c>
      <c r="AI19" s="145">
        <f>IF($H$5="NO",Valores!$C$61,Valores!$C$61/2)</f>
        <v>116.15</v>
      </c>
      <c r="AJ19" s="151">
        <f t="shared" si="5"/>
        <v>114627.03265384614</v>
      </c>
      <c r="AK19" s="147">
        <f>Valores!$C$36</f>
        <v>1046.83</v>
      </c>
      <c r="AL19" s="148">
        <f>Valores!$C$9</f>
        <v>0</v>
      </c>
      <c r="AM19" s="148">
        <f>Valores!$C$84</f>
        <v>2275</v>
      </c>
      <c r="AN19" s="148"/>
      <c r="AO19" s="150">
        <f>Valores!$C$51</f>
        <v>327.6</v>
      </c>
      <c r="AP19" s="152">
        <f t="shared" si="6"/>
        <v>3321.83</v>
      </c>
      <c r="AQ19" s="153">
        <f>AJ19*-Valores!$C$68</f>
        <v>-12608.973591923075</v>
      </c>
      <c r="AR19" s="153">
        <f>AJ19*-Valores!$C$69</f>
        <v>0</v>
      </c>
      <c r="AS19" s="147">
        <f>AJ19*-Valores!$C$70</f>
        <v>-5158.216469423076</v>
      </c>
      <c r="AT19" s="147">
        <v>-159.43</v>
      </c>
      <c r="AU19" s="147">
        <f t="shared" si="7"/>
        <v>-53.83</v>
      </c>
      <c r="AV19" s="151">
        <f t="shared" si="8"/>
        <v>99968.4125925</v>
      </c>
      <c r="AW19" s="155"/>
      <c r="AX19" s="155">
        <v>45</v>
      </c>
      <c r="AY19" s="140" t="s">
        <v>8</v>
      </c>
    </row>
    <row r="20" spans="1:51" s="117" customFormat="1" ht="11.25" customHeight="1">
      <c r="A20" s="139">
        <v>17</v>
      </c>
      <c r="B20" s="139"/>
      <c r="C20" s="140" t="s">
        <v>158</v>
      </c>
      <c r="D20" s="140"/>
      <c r="E20" s="140">
        <f t="shared" si="0"/>
        <v>24</v>
      </c>
      <c r="F20" s="141" t="s">
        <v>159</v>
      </c>
      <c r="G20" s="142">
        <v>100</v>
      </c>
      <c r="H20" s="143">
        <f>INT((G20*Valores!$C$2*100)+0.5)/100</f>
        <v>933.97</v>
      </c>
      <c r="I20" s="144">
        <v>3727</v>
      </c>
      <c r="J20" s="145">
        <f>INT((I20*Valores!$C$2*100)+0.5)/100</f>
        <v>34809.06</v>
      </c>
      <c r="K20" s="146">
        <v>219</v>
      </c>
      <c r="L20" s="145">
        <f>INT((K20*Valores!$C$2*100)+0.5)/100</f>
        <v>2045.39</v>
      </c>
      <c r="M20" s="142">
        <v>0</v>
      </c>
      <c r="N20" s="145">
        <f>INT((M20*Valores!$C$2*100)+0.5)/100</f>
        <v>0</v>
      </c>
      <c r="O20" s="145">
        <f t="shared" si="1"/>
        <v>6025.9664999999995</v>
      </c>
      <c r="P20" s="145">
        <f t="shared" si="2"/>
        <v>0</v>
      </c>
      <c r="Q20" s="147">
        <f>Valores!$C$16</f>
        <v>8673.47</v>
      </c>
      <c r="R20" s="147">
        <f>Valores!$D$4</f>
        <v>4774.45</v>
      </c>
      <c r="S20" s="145">
        <v>0</v>
      </c>
      <c r="T20" s="148">
        <f>IF($H$5="NO",Valores!$C$44,Valores!$C$44/2)</f>
        <v>2384.69</v>
      </c>
      <c r="U20" s="145">
        <v>0</v>
      </c>
      <c r="V20" s="145">
        <f t="shared" si="3"/>
        <v>0</v>
      </c>
      <c r="W20" s="147">
        <f t="shared" si="9"/>
        <v>37788.42</v>
      </c>
      <c r="X20" s="147">
        <f t="shared" si="10"/>
        <v>15115.37</v>
      </c>
      <c r="Y20" s="149">
        <v>0</v>
      </c>
      <c r="Z20" s="145">
        <f>Y20*Valores!$C$2</f>
        <v>0</v>
      </c>
      <c r="AA20" s="145">
        <v>0</v>
      </c>
      <c r="AB20" s="148">
        <f>Valores!$C$89</f>
        <v>1153.8461538461538</v>
      </c>
      <c r="AC20" s="150">
        <f>Valores!$C$30</f>
        <v>199.86</v>
      </c>
      <c r="AD20" s="145">
        <f t="shared" si="4"/>
        <v>0</v>
      </c>
      <c r="AE20" s="145">
        <f>Valores!$C$31</f>
        <v>199.86</v>
      </c>
      <c r="AF20" s="149">
        <v>0</v>
      </c>
      <c r="AG20" s="145">
        <f>INT(((AF20*Valores!$C$2)*100)+0.5)/100</f>
        <v>0</v>
      </c>
      <c r="AH20" s="145">
        <f>IF($H$5="NO",Valores!$C$59,Valores!$C$59/2)</f>
        <v>406.53</v>
      </c>
      <c r="AI20" s="145">
        <f>IF($H$5="NO",Valores!$C$61,Valores!$C$61/2)</f>
        <v>116.15</v>
      </c>
      <c r="AJ20" s="151">
        <f t="shared" si="5"/>
        <v>114627.03265384614</v>
      </c>
      <c r="AK20" s="147">
        <f>Valores!$C$36</f>
        <v>1046.83</v>
      </c>
      <c r="AL20" s="148">
        <f>Valores!$C$9</f>
        <v>0</v>
      </c>
      <c r="AM20" s="148">
        <f>Valores!$C$84</f>
        <v>2275</v>
      </c>
      <c r="AN20" s="148"/>
      <c r="AO20" s="150">
        <f>Valores!$C$51</f>
        <v>327.6</v>
      </c>
      <c r="AP20" s="152">
        <f t="shared" si="6"/>
        <v>3321.83</v>
      </c>
      <c r="AQ20" s="153">
        <f>AJ20*-Valores!$C$68</f>
        <v>-12608.973591923075</v>
      </c>
      <c r="AR20" s="153">
        <f>AJ20*-Valores!$C$69</f>
        <v>0</v>
      </c>
      <c r="AS20" s="147">
        <f>AJ20*-Valores!$C$70</f>
        <v>-5158.216469423076</v>
      </c>
      <c r="AT20" s="147">
        <v>-159.43</v>
      </c>
      <c r="AU20" s="147">
        <f t="shared" si="7"/>
        <v>-53.83</v>
      </c>
      <c r="AV20" s="151">
        <f t="shared" si="8"/>
        <v>99968.4125925</v>
      </c>
      <c r="AW20" s="155"/>
      <c r="AX20" s="155">
        <v>45</v>
      </c>
      <c r="AY20" s="140" t="s">
        <v>8</v>
      </c>
    </row>
    <row r="21" spans="1:51" s="117" customFormat="1" ht="11.25" customHeight="1">
      <c r="A21" s="139">
        <v>18</v>
      </c>
      <c r="B21" s="139"/>
      <c r="C21" s="140" t="s">
        <v>160</v>
      </c>
      <c r="D21" s="140"/>
      <c r="E21" s="140">
        <f t="shared" si="0"/>
        <v>20</v>
      </c>
      <c r="F21" s="141" t="s">
        <v>161</v>
      </c>
      <c r="G21" s="142">
        <v>100</v>
      </c>
      <c r="H21" s="143">
        <f>INT((G21*Valores!$C$2*100)+0.5)/100</f>
        <v>933.97</v>
      </c>
      <c r="I21" s="144">
        <v>3727</v>
      </c>
      <c r="J21" s="145">
        <f>INT((I21*Valores!$C$2*100)+0.5)/100</f>
        <v>34809.06</v>
      </c>
      <c r="K21" s="146">
        <v>219</v>
      </c>
      <c r="L21" s="145">
        <f>INT((K21*Valores!$C$2*100)+0.5)/100</f>
        <v>2045.39</v>
      </c>
      <c r="M21" s="142">
        <v>0</v>
      </c>
      <c r="N21" s="145">
        <f>INT((M21*Valores!$C$2*100)+0.5)/100</f>
        <v>0</v>
      </c>
      <c r="O21" s="145">
        <f t="shared" si="1"/>
        <v>6025.9664999999995</v>
      </c>
      <c r="P21" s="145">
        <f t="shared" si="2"/>
        <v>0</v>
      </c>
      <c r="Q21" s="147">
        <f>Valores!$C$16</f>
        <v>8673.47</v>
      </c>
      <c r="R21" s="147">
        <f>Valores!$D$4</f>
        <v>4774.45</v>
      </c>
      <c r="S21" s="145">
        <v>0</v>
      </c>
      <c r="T21" s="148">
        <f>IF($H$5="NO",Valores!$C$44,Valores!$C$44/2)</f>
        <v>2384.69</v>
      </c>
      <c r="U21" s="145">
        <v>0</v>
      </c>
      <c r="V21" s="145">
        <f t="shared" si="3"/>
        <v>0</v>
      </c>
      <c r="W21" s="147">
        <f t="shared" si="9"/>
        <v>37788.42</v>
      </c>
      <c r="X21" s="147">
        <f t="shared" si="10"/>
        <v>15115.37</v>
      </c>
      <c r="Y21" s="149">
        <v>0</v>
      </c>
      <c r="Z21" s="145">
        <f>Y21*Valores!$C$2</f>
        <v>0</v>
      </c>
      <c r="AA21" s="145">
        <v>0</v>
      </c>
      <c r="AB21" s="148">
        <f>Valores!$C$89</f>
        <v>1153.8461538461538</v>
      </c>
      <c r="AC21" s="150">
        <f>Valores!$C$30</f>
        <v>199.86</v>
      </c>
      <c r="AD21" s="145">
        <f t="shared" si="4"/>
        <v>0</v>
      </c>
      <c r="AE21" s="145">
        <f>Valores!$C$31</f>
        <v>199.86</v>
      </c>
      <c r="AF21" s="149">
        <v>0</v>
      </c>
      <c r="AG21" s="145">
        <f>INT(((AF21*Valores!$C$2)*100)+0.5)/100</f>
        <v>0</v>
      </c>
      <c r="AH21" s="145">
        <f>IF($H$5="NO",Valores!$C$59,Valores!$C$59/2)</f>
        <v>406.53</v>
      </c>
      <c r="AI21" s="145">
        <f>IF($H$5="NO",Valores!$C$61,Valores!$C$61/2)</f>
        <v>116.15</v>
      </c>
      <c r="AJ21" s="151">
        <f t="shared" si="5"/>
        <v>114627.03265384614</v>
      </c>
      <c r="AK21" s="147">
        <f>Valores!$C$36</f>
        <v>1046.83</v>
      </c>
      <c r="AL21" s="148">
        <f>Valores!$C$9</f>
        <v>0</v>
      </c>
      <c r="AM21" s="148">
        <f>Valores!$C$84</f>
        <v>2275</v>
      </c>
      <c r="AN21" s="148"/>
      <c r="AO21" s="150">
        <f>Valores!$C$51</f>
        <v>327.6</v>
      </c>
      <c r="AP21" s="152">
        <f t="shared" si="6"/>
        <v>3321.83</v>
      </c>
      <c r="AQ21" s="153">
        <f>AJ21*-Valores!$C$68</f>
        <v>-12608.973591923075</v>
      </c>
      <c r="AR21" s="153">
        <f>AJ21*-Valores!$C$69</f>
        <v>0</v>
      </c>
      <c r="AS21" s="147">
        <f>AJ21*-Valores!$C$70</f>
        <v>-5158.216469423076</v>
      </c>
      <c r="AT21" s="147">
        <v>-159.43</v>
      </c>
      <c r="AU21" s="147">
        <f t="shared" si="7"/>
        <v>-53.83</v>
      </c>
      <c r="AV21" s="151">
        <f t="shared" si="8"/>
        <v>99968.4125925</v>
      </c>
      <c r="AW21" s="155"/>
      <c r="AX21" s="155">
        <v>45</v>
      </c>
      <c r="AY21" s="140" t="s">
        <v>8</v>
      </c>
    </row>
    <row r="22" spans="1:51" s="117" customFormat="1" ht="11.25" customHeight="1">
      <c r="A22" s="139">
        <v>19</v>
      </c>
      <c r="B22" s="139"/>
      <c r="C22" s="140" t="s">
        <v>162</v>
      </c>
      <c r="D22" s="140"/>
      <c r="E22" s="140">
        <f t="shared" si="0"/>
        <v>29</v>
      </c>
      <c r="F22" s="141" t="s">
        <v>163</v>
      </c>
      <c r="G22" s="142">
        <v>107</v>
      </c>
      <c r="H22" s="143">
        <f>INT((G22*Valores!$C$2*100)+0.5)/100</f>
        <v>999.35</v>
      </c>
      <c r="I22" s="144">
        <v>3720</v>
      </c>
      <c r="J22" s="145">
        <f>INT((I22*Valores!$C$2*100)+0.5)/100</f>
        <v>34743.68</v>
      </c>
      <c r="K22" s="146">
        <v>1226</v>
      </c>
      <c r="L22" s="145">
        <f>INT((K22*Valores!$C$2*100)+0.5)/100</f>
        <v>11450.47</v>
      </c>
      <c r="M22" s="142">
        <v>0</v>
      </c>
      <c r="N22" s="145">
        <f>INT((M22*Valores!$C$2*100)+0.5)/100</f>
        <v>0</v>
      </c>
      <c r="O22" s="145">
        <f t="shared" si="1"/>
        <v>8021.280000000001</v>
      </c>
      <c r="P22" s="145">
        <f t="shared" si="2"/>
        <v>0</v>
      </c>
      <c r="Q22" s="147">
        <f>Valores!$C$19</f>
        <v>8655.78</v>
      </c>
      <c r="R22" s="147">
        <f>Valores!$D$4</f>
        <v>4774.45</v>
      </c>
      <c r="S22" s="145">
        <v>0</v>
      </c>
      <c r="T22" s="148">
        <f>IF($H$5="NO",Valores!$C$44,Valores!$C$44/2)</f>
        <v>2384.69</v>
      </c>
      <c r="U22" s="145">
        <f>Valores!$C$24</f>
        <v>3897.01</v>
      </c>
      <c r="V22" s="145">
        <f t="shared" si="3"/>
        <v>3897.01</v>
      </c>
      <c r="W22" s="145">
        <v>0</v>
      </c>
      <c r="X22" s="145">
        <v>0</v>
      </c>
      <c r="Y22" s="149">
        <v>0</v>
      </c>
      <c r="Z22" s="145">
        <f>Y22*Valores!$C$2</f>
        <v>0</v>
      </c>
      <c r="AA22" s="145">
        <v>0</v>
      </c>
      <c r="AB22" s="148">
        <f>Valores!$C$89</f>
        <v>1153.8461538461538</v>
      </c>
      <c r="AC22" s="150">
        <f>Valores!$C$30</f>
        <v>199.86</v>
      </c>
      <c r="AD22" s="145">
        <f t="shared" si="4"/>
        <v>0</v>
      </c>
      <c r="AE22" s="145">
        <f>Valores!$C$31</f>
        <v>199.86</v>
      </c>
      <c r="AF22" s="149">
        <v>0</v>
      </c>
      <c r="AG22" s="145">
        <f>INT(((AF22*Valores!$C$2)*100)+0.5)/100</f>
        <v>0</v>
      </c>
      <c r="AH22" s="145">
        <f>IF($H$5="NO",Valores!$C$59,Valores!$C$59/2)</f>
        <v>406.53</v>
      </c>
      <c r="AI22" s="145">
        <f>IF($H$5="NO",Valores!$C$61,Valores!$C$61/2)</f>
        <v>116.15</v>
      </c>
      <c r="AJ22" s="151">
        <f t="shared" si="5"/>
        <v>77002.95615384614</v>
      </c>
      <c r="AK22" s="147">
        <f>Valores!$C$36</f>
        <v>1046.83</v>
      </c>
      <c r="AL22" s="148">
        <f>Valores!$C$9</f>
        <v>0</v>
      </c>
      <c r="AM22" s="148">
        <f>Valores!$C$84</f>
        <v>2275</v>
      </c>
      <c r="AN22" s="148"/>
      <c r="AO22" s="150">
        <f>Valores!$C$51</f>
        <v>327.6</v>
      </c>
      <c r="AP22" s="152">
        <f t="shared" si="6"/>
        <v>3321.83</v>
      </c>
      <c r="AQ22" s="153">
        <f>AJ22*-Valores!$C$68</f>
        <v>-8470.325176923076</v>
      </c>
      <c r="AR22" s="153">
        <f>AJ22*-Valores!$C$69</f>
        <v>0</v>
      </c>
      <c r="AS22" s="147">
        <f>AJ22*-Valores!$C$70</f>
        <v>-3465.133026923076</v>
      </c>
      <c r="AT22" s="147">
        <v>-159.43</v>
      </c>
      <c r="AU22" s="147">
        <f t="shared" si="7"/>
        <v>-53.83</v>
      </c>
      <c r="AV22" s="151">
        <f t="shared" si="8"/>
        <v>68176.06795</v>
      </c>
      <c r="AW22" s="155"/>
      <c r="AX22" s="155">
        <v>45</v>
      </c>
      <c r="AY22" s="140" t="s">
        <v>4</v>
      </c>
    </row>
    <row r="23" spans="1:51" s="117" customFormat="1" ht="11.25" customHeight="1">
      <c r="A23" s="157">
        <v>20</v>
      </c>
      <c r="B23" s="157" t="s">
        <v>143</v>
      </c>
      <c r="C23" s="140" t="s">
        <v>164</v>
      </c>
      <c r="D23" s="140"/>
      <c r="E23" s="140">
        <f t="shared" si="0"/>
        <v>20</v>
      </c>
      <c r="F23" s="141" t="s">
        <v>165</v>
      </c>
      <c r="G23" s="142">
        <v>100</v>
      </c>
      <c r="H23" s="143">
        <f>INT((G23*Valores!$C$2*100)+0.5)/100</f>
        <v>933.97</v>
      </c>
      <c r="I23" s="144">
        <v>3727</v>
      </c>
      <c r="J23" s="145">
        <f>INT((I23*Valores!$C$2*100)+0.5)/100</f>
        <v>34809.06</v>
      </c>
      <c r="K23" s="146">
        <v>219</v>
      </c>
      <c r="L23" s="145">
        <f>INT((K23*Valores!$C$2*100)+0.5)/100</f>
        <v>2045.39</v>
      </c>
      <c r="M23" s="142">
        <v>0</v>
      </c>
      <c r="N23" s="145">
        <f>INT((M23*Valores!$C$2*100)+0.5)/100</f>
        <v>0</v>
      </c>
      <c r="O23" s="145">
        <f t="shared" si="1"/>
        <v>6025.9664999999995</v>
      </c>
      <c r="P23" s="145">
        <f t="shared" si="2"/>
        <v>0</v>
      </c>
      <c r="Q23" s="147">
        <f>Valores!$C$16</f>
        <v>8673.47</v>
      </c>
      <c r="R23" s="147">
        <f>Valores!$D$4</f>
        <v>4774.45</v>
      </c>
      <c r="S23" s="145">
        <v>0</v>
      </c>
      <c r="T23" s="148">
        <f>IF($H$5="NO",Valores!$C$44,Valores!$C$44/2)</f>
        <v>2384.69</v>
      </c>
      <c r="U23" s="145">
        <v>0</v>
      </c>
      <c r="V23" s="145">
        <f t="shared" si="3"/>
        <v>0</v>
      </c>
      <c r="W23" s="147">
        <f>SUM(H23,J23,L23)</f>
        <v>37788.42</v>
      </c>
      <c r="X23" s="147">
        <f>INT((SUM(H23,J23,L23)*0.4*100)+0.49)/100</f>
        <v>15115.37</v>
      </c>
      <c r="Y23" s="149">
        <v>0</v>
      </c>
      <c r="Z23" s="145">
        <f>Y23*Valores!$C$2</f>
        <v>0</v>
      </c>
      <c r="AA23" s="145">
        <v>0</v>
      </c>
      <c r="AB23" s="148">
        <f>Valores!$C$89</f>
        <v>1153.8461538461538</v>
      </c>
      <c r="AC23" s="150">
        <f>Valores!$C$30</f>
        <v>199.86</v>
      </c>
      <c r="AD23" s="145">
        <f t="shared" si="4"/>
        <v>0</v>
      </c>
      <c r="AE23" s="145">
        <f>Valores!$C$31</f>
        <v>199.86</v>
      </c>
      <c r="AF23" s="149">
        <v>0</v>
      </c>
      <c r="AG23" s="145">
        <f>INT(((AF23*Valores!$C$2)*100)+0.5)/100</f>
        <v>0</v>
      </c>
      <c r="AH23" s="145">
        <f>IF($H$5="NO",Valores!$C$59,Valores!$C$59/2)</f>
        <v>406.53</v>
      </c>
      <c r="AI23" s="145">
        <f>IF($H$5="NO",Valores!$C$61,Valores!$C$61/2)</f>
        <v>116.15</v>
      </c>
      <c r="AJ23" s="151">
        <f t="shared" si="5"/>
        <v>114627.03265384614</v>
      </c>
      <c r="AK23" s="147">
        <f>Valores!$C$36</f>
        <v>1046.83</v>
      </c>
      <c r="AL23" s="148">
        <f>Valores!$C$9</f>
        <v>0</v>
      </c>
      <c r="AM23" s="148">
        <f>Valores!$C$84</f>
        <v>2275</v>
      </c>
      <c r="AN23" s="148"/>
      <c r="AO23" s="150">
        <f>Valores!$C$51</f>
        <v>327.6</v>
      </c>
      <c r="AP23" s="152">
        <f t="shared" si="6"/>
        <v>3321.83</v>
      </c>
      <c r="AQ23" s="153">
        <f>AJ23*-Valores!$C$68</f>
        <v>-12608.973591923075</v>
      </c>
      <c r="AR23" s="153">
        <f>AJ23*-Valores!$C$69</f>
        <v>0</v>
      </c>
      <c r="AS23" s="147">
        <f>AJ23*-Valores!$C$70</f>
        <v>-5158.216469423076</v>
      </c>
      <c r="AT23" s="147">
        <v>-159.43</v>
      </c>
      <c r="AU23" s="147">
        <f t="shared" si="7"/>
        <v>-53.83</v>
      </c>
      <c r="AV23" s="151">
        <f t="shared" si="8"/>
        <v>99968.4125925</v>
      </c>
      <c r="AW23" s="155"/>
      <c r="AX23" s="155">
        <v>45</v>
      </c>
      <c r="AY23" s="140" t="s">
        <v>8</v>
      </c>
    </row>
    <row r="24" spans="1:51" s="117" customFormat="1" ht="11.25" customHeight="1">
      <c r="A24" s="139">
        <v>21</v>
      </c>
      <c r="B24" s="139"/>
      <c r="C24" s="140" t="s">
        <v>166</v>
      </c>
      <c r="D24" s="140"/>
      <c r="E24" s="140">
        <f t="shared" si="0"/>
        <v>18</v>
      </c>
      <c r="F24" s="141" t="s">
        <v>167</v>
      </c>
      <c r="G24" s="142">
        <v>100</v>
      </c>
      <c r="H24" s="143">
        <f>INT((G24*Valores!$C$2*100)+0.5)/100</f>
        <v>933.97</v>
      </c>
      <c r="I24" s="144">
        <v>3727</v>
      </c>
      <c r="J24" s="145">
        <f>INT((I24*Valores!$C$2*100)+0.5)/100</f>
        <v>34809.06</v>
      </c>
      <c r="K24" s="146">
        <v>219</v>
      </c>
      <c r="L24" s="145">
        <f>INT((K24*Valores!$C$2*100)+0.5)/100</f>
        <v>2045.39</v>
      </c>
      <c r="M24" s="142">
        <v>0</v>
      </c>
      <c r="N24" s="145">
        <f>INT((M24*Valores!$C$2*100)+0.5)/100</f>
        <v>0</v>
      </c>
      <c r="O24" s="145">
        <f t="shared" si="1"/>
        <v>6025.9664999999995</v>
      </c>
      <c r="P24" s="145">
        <f t="shared" si="2"/>
        <v>0</v>
      </c>
      <c r="Q24" s="147">
        <f>Valores!$C$16</f>
        <v>8673.47</v>
      </c>
      <c r="R24" s="147">
        <f>Valores!$D$4</f>
        <v>4774.45</v>
      </c>
      <c r="S24" s="145">
        <v>0</v>
      </c>
      <c r="T24" s="148">
        <f>IF($H$5="NO",Valores!$C$44,Valores!$C$44/2)</f>
        <v>2384.69</v>
      </c>
      <c r="U24" s="145">
        <v>0</v>
      </c>
      <c r="V24" s="145">
        <f t="shared" si="3"/>
        <v>0</v>
      </c>
      <c r="W24" s="147">
        <f>SUM(H24,J24,L24)</f>
        <v>37788.42</v>
      </c>
      <c r="X24" s="147">
        <f>INT((SUM(H24,J24,L24)*0.4*100)+0.49)/100</f>
        <v>15115.37</v>
      </c>
      <c r="Y24" s="149">
        <v>0</v>
      </c>
      <c r="Z24" s="145">
        <f>Y24*Valores!$C$2</f>
        <v>0</v>
      </c>
      <c r="AA24" s="145">
        <v>0</v>
      </c>
      <c r="AB24" s="148">
        <f>Valores!$C$89</f>
        <v>1153.8461538461538</v>
      </c>
      <c r="AC24" s="150">
        <f>Valores!$C$30</f>
        <v>199.86</v>
      </c>
      <c r="AD24" s="145">
        <f t="shared" si="4"/>
        <v>0</v>
      </c>
      <c r="AE24" s="145">
        <f>Valores!$C$31</f>
        <v>199.86</v>
      </c>
      <c r="AF24" s="149">
        <v>0</v>
      </c>
      <c r="AG24" s="145">
        <f>INT(((AF24*Valores!$C$2)*100)+0.5)/100</f>
        <v>0</v>
      </c>
      <c r="AH24" s="145">
        <f>IF($H$5="NO",Valores!$C$59,Valores!$C$59/2)</f>
        <v>406.53</v>
      </c>
      <c r="AI24" s="145">
        <f>IF($H$5="NO",Valores!$C$61,Valores!$C$61/2)</f>
        <v>116.15</v>
      </c>
      <c r="AJ24" s="151">
        <f t="shared" si="5"/>
        <v>114627.03265384614</v>
      </c>
      <c r="AK24" s="147">
        <f>Valores!$C$36</f>
        <v>1046.83</v>
      </c>
      <c r="AL24" s="148">
        <f>Valores!$C$9</f>
        <v>0</v>
      </c>
      <c r="AM24" s="148">
        <f>Valores!$C$84</f>
        <v>2275</v>
      </c>
      <c r="AN24" s="148"/>
      <c r="AO24" s="150">
        <f>Valores!$C$51</f>
        <v>327.6</v>
      </c>
      <c r="AP24" s="152">
        <f t="shared" si="6"/>
        <v>3321.83</v>
      </c>
      <c r="AQ24" s="153">
        <f>AJ24*-Valores!$C$68</f>
        <v>-12608.973591923075</v>
      </c>
      <c r="AR24" s="153">
        <f>AJ24*-Valores!$C$69</f>
        <v>0</v>
      </c>
      <c r="AS24" s="147">
        <f>AJ24*-Valores!$C$70</f>
        <v>-5158.216469423076</v>
      </c>
      <c r="AT24" s="147">
        <v>-159.43</v>
      </c>
      <c r="AU24" s="147">
        <f t="shared" si="7"/>
        <v>-53.83</v>
      </c>
      <c r="AV24" s="151">
        <f t="shared" si="8"/>
        <v>99968.4125925</v>
      </c>
      <c r="AW24" s="155"/>
      <c r="AX24" s="155">
        <v>45</v>
      </c>
      <c r="AY24" s="140" t="s">
        <v>8</v>
      </c>
    </row>
    <row r="25" spans="1:51" s="117" customFormat="1" ht="11.25" customHeight="1">
      <c r="A25" s="139">
        <v>22</v>
      </c>
      <c r="B25" s="139"/>
      <c r="C25" s="140" t="s">
        <v>168</v>
      </c>
      <c r="D25" s="140"/>
      <c r="E25" s="140">
        <f t="shared" si="0"/>
        <v>18</v>
      </c>
      <c r="F25" s="141" t="s">
        <v>169</v>
      </c>
      <c r="G25" s="142">
        <v>100</v>
      </c>
      <c r="H25" s="143">
        <f>INT((G25*Valores!$C$2*100)+0.5)/100</f>
        <v>933.97</v>
      </c>
      <c r="I25" s="144">
        <v>3727</v>
      </c>
      <c r="J25" s="145">
        <f>INT((I25*Valores!$C$2*100)+0.5)/100</f>
        <v>34809.06</v>
      </c>
      <c r="K25" s="146">
        <v>219</v>
      </c>
      <c r="L25" s="145">
        <f>INT((K25*Valores!$C$2*100)+0.5)/100</f>
        <v>2045.39</v>
      </c>
      <c r="M25" s="142">
        <v>0</v>
      </c>
      <c r="N25" s="145">
        <f>INT((M25*Valores!$C$2*100)+0.5)/100</f>
        <v>0</v>
      </c>
      <c r="O25" s="145">
        <f t="shared" si="1"/>
        <v>6025.9664999999995</v>
      </c>
      <c r="P25" s="145">
        <f t="shared" si="2"/>
        <v>0</v>
      </c>
      <c r="Q25" s="147">
        <f>Valores!$C$16</f>
        <v>8673.47</v>
      </c>
      <c r="R25" s="147">
        <f>Valores!$D$4</f>
        <v>4774.45</v>
      </c>
      <c r="S25" s="145">
        <v>0</v>
      </c>
      <c r="T25" s="148">
        <f>IF($H$5="NO",Valores!$C$44,Valores!$C$44/2)</f>
        <v>2384.69</v>
      </c>
      <c r="U25" s="145">
        <v>0</v>
      </c>
      <c r="V25" s="145">
        <f t="shared" si="3"/>
        <v>0</v>
      </c>
      <c r="W25" s="147">
        <f>SUM(H25,J25,L25)</f>
        <v>37788.42</v>
      </c>
      <c r="X25" s="147">
        <f>INT((SUM(H25,J25,L25)*0.4*100)+0.49)/100</f>
        <v>15115.37</v>
      </c>
      <c r="Y25" s="149">
        <v>0</v>
      </c>
      <c r="Z25" s="145">
        <f>Y25*Valores!$C$2</f>
        <v>0</v>
      </c>
      <c r="AA25" s="145">
        <v>0</v>
      </c>
      <c r="AB25" s="148">
        <f>Valores!$C$89</f>
        <v>1153.8461538461538</v>
      </c>
      <c r="AC25" s="150">
        <f>Valores!$C$30</f>
        <v>199.86</v>
      </c>
      <c r="AD25" s="145">
        <f t="shared" si="4"/>
        <v>0</v>
      </c>
      <c r="AE25" s="145">
        <f>Valores!$C$31</f>
        <v>199.86</v>
      </c>
      <c r="AF25" s="149">
        <v>0</v>
      </c>
      <c r="AG25" s="145">
        <f>INT(((AF25*Valores!$C$2)*100)+0.5)/100</f>
        <v>0</v>
      </c>
      <c r="AH25" s="145">
        <f>IF($H$5="NO",Valores!$C$59,Valores!$C$59/2)</f>
        <v>406.53</v>
      </c>
      <c r="AI25" s="145">
        <f>IF($H$5="NO",Valores!$C$61,Valores!$C$61/2)</f>
        <v>116.15</v>
      </c>
      <c r="AJ25" s="151">
        <f t="shared" si="5"/>
        <v>114627.03265384614</v>
      </c>
      <c r="AK25" s="147">
        <f>Valores!$C$36</f>
        <v>1046.83</v>
      </c>
      <c r="AL25" s="148">
        <f>Valores!$C$9</f>
        <v>0</v>
      </c>
      <c r="AM25" s="148">
        <f>Valores!$C$84</f>
        <v>2275</v>
      </c>
      <c r="AN25" s="148"/>
      <c r="AO25" s="150">
        <f>Valores!$C$51</f>
        <v>327.6</v>
      </c>
      <c r="AP25" s="152">
        <f t="shared" si="6"/>
        <v>3321.83</v>
      </c>
      <c r="AQ25" s="153">
        <f>AJ25*-Valores!$C$68</f>
        <v>-12608.973591923075</v>
      </c>
      <c r="AR25" s="153">
        <f>AJ25*-Valores!$C$69</f>
        <v>0</v>
      </c>
      <c r="AS25" s="147">
        <f>AJ25*-Valores!$C$70</f>
        <v>-5158.216469423076</v>
      </c>
      <c r="AT25" s="147">
        <v>-159.43</v>
      </c>
      <c r="AU25" s="147">
        <f t="shared" si="7"/>
        <v>-53.83</v>
      </c>
      <c r="AV25" s="151">
        <f t="shared" si="8"/>
        <v>99968.4125925</v>
      </c>
      <c r="AW25" s="155"/>
      <c r="AX25" s="155">
        <v>45</v>
      </c>
      <c r="AY25" s="140" t="s">
        <v>8</v>
      </c>
    </row>
    <row r="26" spans="1:51" s="117" customFormat="1" ht="11.25" customHeight="1">
      <c r="A26" s="139">
        <v>23</v>
      </c>
      <c r="B26" s="139"/>
      <c r="C26" s="140" t="s">
        <v>170</v>
      </c>
      <c r="D26" s="140"/>
      <c r="E26" s="140">
        <f t="shared" si="0"/>
        <v>25</v>
      </c>
      <c r="F26" s="141" t="s">
        <v>171</v>
      </c>
      <c r="G26" s="142">
        <v>96</v>
      </c>
      <c r="H26" s="143">
        <f>INT((G26*Valores!$C$2*100)+0.5)/100</f>
        <v>896.61</v>
      </c>
      <c r="I26" s="144">
        <v>3737</v>
      </c>
      <c r="J26" s="145">
        <f>INT((I26*Valores!$C$2*100)+0.5)/100</f>
        <v>34902.46</v>
      </c>
      <c r="K26" s="146">
        <v>1220</v>
      </c>
      <c r="L26" s="145">
        <f>INT((K26*Valores!$C$2*100)+0.5)/100</f>
        <v>11394.43</v>
      </c>
      <c r="M26" s="142">
        <v>0</v>
      </c>
      <c r="N26" s="145">
        <f>INT((M26*Valores!$C$2*100)+0.5)/100</f>
        <v>0</v>
      </c>
      <c r="O26" s="145">
        <f t="shared" si="1"/>
        <v>8021.280000000001</v>
      </c>
      <c r="P26" s="145">
        <f t="shared" si="2"/>
        <v>0</v>
      </c>
      <c r="Q26" s="147">
        <f>Valores!$C$19</f>
        <v>8655.78</v>
      </c>
      <c r="R26" s="147">
        <f>Valores!$D$4</f>
        <v>4774.45</v>
      </c>
      <c r="S26" s="145">
        <v>0</v>
      </c>
      <c r="T26" s="148">
        <f>IF($H$5="NO",Valores!$C$44,Valores!$C$44/2)</f>
        <v>2384.69</v>
      </c>
      <c r="U26" s="145">
        <f>Valores!$C$24</f>
        <v>3897.01</v>
      </c>
      <c r="V26" s="145">
        <f t="shared" si="3"/>
        <v>3897.01</v>
      </c>
      <c r="W26" s="145">
        <v>0</v>
      </c>
      <c r="X26" s="145">
        <v>0</v>
      </c>
      <c r="Y26" s="149">
        <v>0</v>
      </c>
      <c r="Z26" s="145">
        <f>Y26*Valores!$C$2</f>
        <v>0</v>
      </c>
      <c r="AA26" s="145">
        <v>0</v>
      </c>
      <c r="AB26" s="148">
        <f>Valores!$C$89</f>
        <v>1153.8461538461538</v>
      </c>
      <c r="AC26" s="150">
        <f>Valores!$C$30</f>
        <v>199.86</v>
      </c>
      <c r="AD26" s="145">
        <f t="shared" si="4"/>
        <v>0</v>
      </c>
      <c r="AE26" s="145">
        <f>Valores!$C$31</f>
        <v>199.86</v>
      </c>
      <c r="AF26" s="149">
        <v>0</v>
      </c>
      <c r="AG26" s="145">
        <f>INT(((AF26*Valores!$C$2)*100)+0.5)/100</f>
        <v>0</v>
      </c>
      <c r="AH26" s="145">
        <f>IF($H$5="NO",Valores!$C$59,Valores!$C$59/2)</f>
        <v>406.53</v>
      </c>
      <c r="AI26" s="145">
        <f>IF($H$5="NO",Valores!$C$61,Valores!$C$61/2)</f>
        <v>116.15</v>
      </c>
      <c r="AJ26" s="151">
        <f t="shared" si="5"/>
        <v>77002.95615384614</v>
      </c>
      <c r="AK26" s="147">
        <f>Valores!$C$36</f>
        <v>1046.83</v>
      </c>
      <c r="AL26" s="148">
        <f>Valores!$C$9</f>
        <v>0</v>
      </c>
      <c r="AM26" s="148">
        <f>Valores!$C$84</f>
        <v>2275</v>
      </c>
      <c r="AN26" s="148"/>
      <c r="AO26" s="150">
        <f>Valores!$C$51</f>
        <v>327.6</v>
      </c>
      <c r="AP26" s="152">
        <f t="shared" si="6"/>
        <v>3321.83</v>
      </c>
      <c r="AQ26" s="153">
        <f>AJ26*-Valores!$C$68</f>
        <v>-8470.325176923076</v>
      </c>
      <c r="AR26" s="153">
        <f>AJ26*-Valores!$C$69</f>
        <v>0</v>
      </c>
      <c r="AS26" s="147">
        <f>AJ26*-Valores!$C$70</f>
        <v>-3465.133026923076</v>
      </c>
      <c r="AT26" s="147">
        <v>-159.43</v>
      </c>
      <c r="AU26" s="147">
        <f t="shared" si="7"/>
        <v>-53.83</v>
      </c>
      <c r="AV26" s="151">
        <f t="shared" si="8"/>
        <v>68176.06795</v>
      </c>
      <c r="AW26" s="155"/>
      <c r="AX26" s="155">
        <v>45</v>
      </c>
      <c r="AY26" s="140" t="s">
        <v>4</v>
      </c>
    </row>
    <row r="27" spans="1:51" s="117" customFormat="1" ht="11.25" customHeight="1">
      <c r="A27" s="139">
        <v>24</v>
      </c>
      <c r="B27" s="139"/>
      <c r="C27" s="140" t="s">
        <v>172</v>
      </c>
      <c r="D27" s="140"/>
      <c r="E27" s="140">
        <f t="shared" si="0"/>
        <v>27</v>
      </c>
      <c r="F27" s="141" t="s">
        <v>173</v>
      </c>
      <c r="G27" s="142">
        <v>96</v>
      </c>
      <c r="H27" s="143">
        <f>INT((G27*Valores!$C$2*100)+0.5)/100</f>
        <v>896.61</v>
      </c>
      <c r="I27" s="144">
        <v>3737</v>
      </c>
      <c r="J27" s="145">
        <f>INT((I27*Valores!$C$2*100)+0.5)/100</f>
        <v>34902.46</v>
      </c>
      <c r="K27" s="146">
        <v>1220</v>
      </c>
      <c r="L27" s="145">
        <f>INT((K27*Valores!$C$2*100)+0.5)/100</f>
        <v>11394.43</v>
      </c>
      <c r="M27" s="142">
        <v>0</v>
      </c>
      <c r="N27" s="145">
        <f>INT((M27*Valores!$C$2*100)+0.5)/100</f>
        <v>0</v>
      </c>
      <c r="O27" s="145">
        <f t="shared" si="1"/>
        <v>8021.280000000001</v>
      </c>
      <c r="P27" s="145">
        <f t="shared" si="2"/>
        <v>0</v>
      </c>
      <c r="Q27" s="147">
        <f>Valores!$C$19</f>
        <v>8655.78</v>
      </c>
      <c r="R27" s="147">
        <f>Valores!$D$4</f>
        <v>4774.45</v>
      </c>
      <c r="S27" s="145">
        <v>0</v>
      </c>
      <c r="T27" s="148">
        <f>IF($H$5="NO",Valores!$C$44,Valores!$C$44/2)</f>
        <v>2384.69</v>
      </c>
      <c r="U27" s="145">
        <f>Valores!$C$24</f>
        <v>3897.01</v>
      </c>
      <c r="V27" s="145">
        <f t="shared" si="3"/>
        <v>3897.01</v>
      </c>
      <c r="W27" s="145">
        <v>0</v>
      </c>
      <c r="X27" s="145">
        <v>0</v>
      </c>
      <c r="Y27" s="149">
        <v>0</v>
      </c>
      <c r="Z27" s="145">
        <f>Y27*Valores!$C$2</f>
        <v>0</v>
      </c>
      <c r="AA27" s="145">
        <v>0</v>
      </c>
      <c r="AB27" s="148">
        <f>Valores!$C$89</f>
        <v>1153.8461538461538</v>
      </c>
      <c r="AC27" s="150">
        <f>Valores!$C$30</f>
        <v>199.86</v>
      </c>
      <c r="AD27" s="145">
        <f t="shared" si="4"/>
        <v>0</v>
      </c>
      <c r="AE27" s="145">
        <f>Valores!$C$31</f>
        <v>199.86</v>
      </c>
      <c r="AF27" s="149">
        <v>0</v>
      </c>
      <c r="AG27" s="145">
        <f>INT(((AF27*Valores!$C$2)*100)+0.5)/100</f>
        <v>0</v>
      </c>
      <c r="AH27" s="145">
        <f>IF($H$5="NO",Valores!$C$59,Valores!$C$59/2)</f>
        <v>406.53</v>
      </c>
      <c r="AI27" s="145">
        <f>IF($H$5="NO",Valores!$C$61,Valores!$C$61/2)</f>
        <v>116.15</v>
      </c>
      <c r="AJ27" s="151">
        <f t="shared" si="5"/>
        <v>77002.95615384614</v>
      </c>
      <c r="AK27" s="147">
        <f>Valores!$C$36</f>
        <v>1046.83</v>
      </c>
      <c r="AL27" s="148">
        <f>Valores!$C$9</f>
        <v>0</v>
      </c>
      <c r="AM27" s="148">
        <f>Valores!$C$84</f>
        <v>2275</v>
      </c>
      <c r="AN27" s="148"/>
      <c r="AO27" s="150">
        <f>Valores!$C$51</f>
        <v>327.6</v>
      </c>
      <c r="AP27" s="152">
        <f t="shared" si="6"/>
        <v>3321.83</v>
      </c>
      <c r="AQ27" s="153">
        <f>AJ27*-Valores!$C$68</f>
        <v>-8470.325176923076</v>
      </c>
      <c r="AR27" s="153">
        <f>AJ27*-Valores!$C$69</f>
        <v>0</v>
      </c>
      <c r="AS27" s="147">
        <f>AJ27*-Valores!$C$70</f>
        <v>-3465.133026923076</v>
      </c>
      <c r="AT27" s="147">
        <v>-159.43</v>
      </c>
      <c r="AU27" s="147">
        <f t="shared" si="7"/>
        <v>-53.83</v>
      </c>
      <c r="AV27" s="151">
        <f t="shared" si="8"/>
        <v>68176.06795</v>
      </c>
      <c r="AW27" s="155"/>
      <c r="AX27" s="155">
        <v>45</v>
      </c>
      <c r="AY27" s="140" t="s">
        <v>4</v>
      </c>
    </row>
    <row r="28" spans="1:51" s="117" customFormat="1" ht="11.25" customHeight="1">
      <c r="A28" s="157">
        <v>25</v>
      </c>
      <c r="B28" s="157" t="s">
        <v>143</v>
      </c>
      <c r="C28" s="140" t="s">
        <v>174</v>
      </c>
      <c r="D28" s="140"/>
      <c r="E28" s="140">
        <f t="shared" si="0"/>
        <v>24</v>
      </c>
      <c r="F28" s="141" t="s">
        <v>175</v>
      </c>
      <c r="G28" s="142">
        <v>96</v>
      </c>
      <c r="H28" s="143">
        <f>INT((G28*Valores!$C$2*100)+0.5)/100</f>
        <v>896.61</v>
      </c>
      <c r="I28" s="144">
        <v>3737</v>
      </c>
      <c r="J28" s="145">
        <f>INT((I28*Valores!$C$2*100)+0.5)/100</f>
        <v>34902.46</v>
      </c>
      <c r="K28" s="146">
        <v>1220</v>
      </c>
      <c r="L28" s="145">
        <f>INT((K28*Valores!$C$2*100)+0.5)/100</f>
        <v>11394.43</v>
      </c>
      <c r="M28" s="142">
        <v>0</v>
      </c>
      <c r="N28" s="145">
        <f>INT((M28*Valores!$C$2*100)+0.5)/100</f>
        <v>0</v>
      </c>
      <c r="O28" s="145">
        <f t="shared" si="1"/>
        <v>8021.280000000001</v>
      </c>
      <c r="P28" s="145">
        <f t="shared" si="2"/>
        <v>0</v>
      </c>
      <c r="Q28" s="147">
        <f>Valores!$C$19</f>
        <v>8655.78</v>
      </c>
      <c r="R28" s="147">
        <f>Valores!$D$4</f>
        <v>4774.45</v>
      </c>
      <c r="S28" s="145">
        <v>0</v>
      </c>
      <c r="T28" s="148">
        <f>IF($H$5="NO",Valores!$C$44,Valores!$C$44/2)</f>
        <v>2384.69</v>
      </c>
      <c r="U28" s="145">
        <f>Valores!$C$24</f>
        <v>3897.01</v>
      </c>
      <c r="V28" s="145">
        <f t="shared" si="3"/>
        <v>3897.01</v>
      </c>
      <c r="W28" s="145">
        <v>0</v>
      </c>
      <c r="X28" s="145">
        <v>0</v>
      </c>
      <c r="Y28" s="149">
        <v>0</v>
      </c>
      <c r="Z28" s="145">
        <f>Y28*Valores!$C$2</f>
        <v>0</v>
      </c>
      <c r="AA28" s="145">
        <v>0</v>
      </c>
      <c r="AB28" s="148">
        <f>Valores!$C$89</f>
        <v>1153.8461538461538</v>
      </c>
      <c r="AC28" s="150">
        <f>Valores!$C$30</f>
        <v>199.86</v>
      </c>
      <c r="AD28" s="145">
        <f t="shared" si="4"/>
        <v>0</v>
      </c>
      <c r="AE28" s="145">
        <f>Valores!$C$31</f>
        <v>199.86</v>
      </c>
      <c r="AF28" s="149">
        <v>0</v>
      </c>
      <c r="AG28" s="145">
        <f>INT(((AF28*Valores!$C$2)*100)+0.5)/100</f>
        <v>0</v>
      </c>
      <c r="AH28" s="145">
        <f>IF($H$5="NO",Valores!$C$59,Valores!$C$59/2)</f>
        <v>406.53</v>
      </c>
      <c r="AI28" s="145">
        <f>IF($H$5="NO",Valores!$C$61,Valores!$C$61/2)</f>
        <v>116.15</v>
      </c>
      <c r="AJ28" s="151">
        <f t="shared" si="5"/>
        <v>77002.95615384614</v>
      </c>
      <c r="AK28" s="147">
        <f>Valores!$C$36</f>
        <v>1046.83</v>
      </c>
      <c r="AL28" s="148">
        <f>Valores!$C$9</f>
        <v>0</v>
      </c>
      <c r="AM28" s="148">
        <f>Valores!$C$84</f>
        <v>2275</v>
      </c>
      <c r="AN28" s="148"/>
      <c r="AO28" s="150">
        <f>Valores!$C$51</f>
        <v>327.6</v>
      </c>
      <c r="AP28" s="152">
        <f t="shared" si="6"/>
        <v>3321.83</v>
      </c>
      <c r="AQ28" s="153">
        <f>AJ28*-Valores!$C$68</f>
        <v>-8470.325176923076</v>
      </c>
      <c r="AR28" s="153">
        <f>AJ28*-Valores!$C$69</f>
        <v>0</v>
      </c>
      <c r="AS28" s="147">
        <f>AJ28*-Valores!$C$70</f>
        <v>-3465.133026923076</v>
      </c>
      <c r="AT28" s="147">
        <v>-159.43</v>
      </c>
      <c r="AU28" s="147">
        <f t="shared" si="7"/>
        <v>-53.83</v>
      </c>
      <c r="AV28" s="151">
        <f t="shared" si="8"/>
        <v>68176.06795</v>
      </c>
      <c r="AW28" s="155"/>
      <c r="AX28" s="155">
        <v>45</v>
      </c>
      <c r="AY28" s="140" t="s">
        <v>4</v>
      </c>
    </row>
    <row r="29" spans="1:51" s="117" customFormat="1" ht="11.25" customHeight="1">
      <c r="A29" s="139">
        <v>26</v>
      </c>
      <c r="B29" s="139"/>
      <c r="C29" s="140" t="s">
        <v>176</v>
      </c>
      <c r="D29" s="140"/>
      <c r="E29" s="140">
        <f t="shared" si="0"/>
        <v>22</v>
      </c>
      <c r="F29" s="141" t="s">
        <v>177</v>
      </c>
      <c r="G29" s="142">
        <v>107</v>
      </c>
      <c r="H29" s="143">
        <f>INT((G29*Valores!$C$2*100)+0.5)/100</f>
        <v>999.35</v>
      </c>
      <c r="I29" s="144">
        <v>3728</v>
      </c>
      <c r="J29" s="145">
        <f>INT((I29*Valores!$C$2*100)+0.5)/100</f>
        <v>34818.4</v>
      </c>
      <c r="K29" s="146">
        <v>1218</v>
      </c>
      <c r="L29" s="145">
        <f>INT((K29*Valores!$C$2*100)+0.5)/100</f>
        <v>11375.75</v>
      </c>
      <c r="M29" s="142">
        <v>0</v>
      </c>
      <c r="N29" s="145">
        <f>INT((M29*Valores!$C$2*100)+0.5)/100</f>
        <v>0</v>
      </c>
      <c r="O29" s="145">
        <f t="shared" si="1"/>
        <v>8021.280000000001</v>
      </c>
      <c r="P29" s="145">
        <f t="shared" si="2"/>
        <v>0</v>
      </c>
      <c r="Q29" s="147">
        <f>Valores!$C$19</f>
        <v>8655.78</v>
      </c>
      <c r="R29" s="147">
        <f>Valores!$D$4</f>
        <v>4774.45</v>
      </c>
      <c r="S29" s="145">
        <v>0</v>
      </c>
      <c r="T29" s="148">
        <f>IF($H$5="NO",Valores!$C$44,Valores!$C$44/2)</f>
        <v>2384.69</v>
      </c>
      <c r="U29" s="145">
        <f>Valores!$C$24</f>
        <v>3897.01</v>
      </c>
      <c r="V29" s="145">
        <f t="shared" si="3"/>
        <v>3897.01</v>
      </c>
      <c r="W29" s="145">
        <v>0</v>
      </c>
      <c r="X29" s="145">
        <v>0</v>
      </c>
      <c r="Y29" s="149">
        <v>0</v>
      </c>
      <c r="Z29" s="145">
        <f>Y29*Valores!$C$2</f>
        <v>0</v>
      </c>
      <c r="AA29" s="145">
        <v>0</v>
      </c>
      <c r="AB29" s="148">
        <f>Valores!$C$89</f>
        <v>1153.8461538461538</v>
      </c>
      <c r="AC29" s="150">
        <f>Valores!$C$30</f>
        <v>199.86</v>
      </c>
      <c r="AD29" s="145">
        <f t="shared" si="4"/>
        <v>0</v>
      </c>
      <c r="AE29" s="145">
        <f>Valores!$C$31</f>
        <v>199.86</v>
      </c>
      <c r="AF29" s="149">
        <v>0</v>
      </c>
      <c r="AG29" s="145">
        <f>INT(((AF29*Valores!$C$2)*100)+0.5)/100</f>
        <v>0</v>
      </c>
      <c r="AH29" s="145">
        <f>IF($H$5="NO",Valores!$C$59,Valores!$C$59/2)</f>
        <v>406.53</v>
      </c>
      <c r="AI29" s="145">
        <f>IF($H$5="NO",Valores!$C$61,Valores!$C$61/2)</f>
        <v>116.15</v>
      </c>
      <c r="AJ29" s="151">
        <f t="shared" si="5"/>
        <v>77002.95615384614</v>
      </c>
      <c r="AK29" s="147">
        <f>Valores!$C$36</f>
        <v>1046.83</v>
      </c>
      <c r="AL29" s="148">
        <f>Valores!$C$9</f>
        <v>0</v>
      </c>
      <c r="AM29" s="148">
        <f>Valores!$C$84</f>
        <v>2275</v>
      </c>
      <c r="AN29" s="148"/>
      <c r="AO29" s="150">
        <f>Valores!$C$51</f>
        <v>327.6</v>
      </c>
      <c r="AP29" s="152">
        <f t="shared" si="6"/>
        <v>3321.83</v>
      </c>
      <c r="AQ29" s="153">
        <f>AJ29*-Valores!$C$68</f>
        <v>-8470.325176923076</v>
      </c>
      <c r="AR29" s="153">
        <f>AJ29*-Valores!$C$69</f>
        <v>0</v>
      </c>
      <c r="AS29" s="147">
        <f>AJ29*-Valores!$C$70</f>
        <v>-3465.133026923076</v>
      </c>
      <c r="AT29" s="147">
        <v>-159.43</v>
      </c>
      <c r="AU29" s="147">
        <f t="shared" si="7"/>
        <v>-53.83</v>
      </c>
      <c r="AV29" s="151">
        <f t="shared" si="8"/>
        <v>68176.06795</v>
      </c>
      <c r="AW29" s="155"/>
      <c r="AX29" s="155">
        <v>45</v>
      </c>
      <c r="AY29" s="140" t="s">
        <v>8</v>
      </c>
    </row>
    <row r="30" spans="1:51" s="117" customFormat="1" ht="11.25" customHeight="1">
      <c r="A30" s="139">
        <v>27</v>
      </c>
      <c r="B30" s="139"/>
      <c r="C30" s="140" t="s">
        <v>178</v>
      </c>
      <c r="D30" s="140"/>
      <c r="E30" s="140">
        <f t="shared" si="0"/>
        <v>29</v>
      </c>
      <c r="F30" s="141" t="s">
        <v>179</v>
      </c>
      <c r="G30" s="142">
        <v>94</v>
      </c>
      <c r="H30" s="143">
        <f>INT((G30*Valores!$C$2*100)+0.5)/100</f>
        <v>877.93</v>
      </c>
      <c r="I30" s="144">
        <v>3624</v>
      </c>
      <c r="J30" s="145">
        <f>INT((I30*Valores!$C$2*100)+0.5)/100</f>
        <v>33847.07</v>
      </c>
      <c r="K30" s="146">
        <v>1219</v>
      </c>
      <c r="L30" s="145">
        <f>INT((K30*Valores!$C$2*100)+0.5)/100</f>
        <v>11385.09</v>
      </c>
      <c r="M30" s="142">
        <v>0</v>
      </c>
      <c r="N30" s="145">
        <f>INT((M30*Valores!$C$2*100)+0.5)/100</f>
        <v>0</v>
      </c>
      <c r="O30" s="145">
        <f t="shared" si="1"/>
        <v>7858.7685</v>
      </c>
      <c r="P30" s="145">
        <f t="shared" si="2"/>
        <v>0</v>
      </c>
      <c r="Q30" s="147">
        <f>Valores!$C$17</f>
        <v>8578.33</v>
      </c>
      <c r="R30" s="147">
        <f>Valores!$D$4</f>
        <v>4774.45</v>
      </c>
      <c r="S30" s="145">
        <v>0</v>
      </c>
      <c r="T30" s="148">
        <f>IF($H$5="NO",Valores!$C$44,Valores!$C$44/2)</f>
        <v>2384.69</v>
      </c>
      <c r="U30" s="145">
        <f>Valores!$C$24</f>
        <v>3897.01</v>
      </c>
      <c r="V30" s="145">
        <f t="shared" si="3"/>
        <v>3897.01</v>
      </c>
      <c r="W30" s="145">
        <v>0</v>
      </c>
      <c r="X30" s="145">
        <v>0</v>
      </c>
      <c r="Y30" s="149">
        <v>0</v>
      </c>
      <c r="Z30" s="145">
        <f>Y30*Valores!$C$2</f>
        <v>0</v>
      </c>
      <c r="AA30" s="145">
        <v>0</v>
      </c>
      <c r="AB30" s="148">
        <f>Valores!$C$89</f>
        <v>1153.8461538461538</v>
      </c>
      <c r="AC30" s="150">
        <f>Valores!$C$30</f>
        <v>199.86</v>
      </c>
      <c r="AD30" s="145">
        <f t="shared" si="4"/>
        <v>0</v>
      </c>
      <c r="AE30" s="145">
        <f>Valores!$C$31</f>
        <v>199.86</v>
      </c>
      <c r="AF30" s="149">
        <v>0</v>
      </c>
      <c r="AG30" s="145">
        <f>INT(((AF30*Valores!$C$2)*100)+0.5)/100</f>
        <v>0</v>
      </c>
      <c r="AH30" s="145">
        <f>IF($H$5="NO",Valores!$C$59,Valores!$C$59/2)</f>
        <v>406.53</v>
      </c>
      <c r="AI30" s="145">
        <f>IF($H$5="NO",Valores!$C$61,Valores!$C$61/2)</f>
        <v>116.15</v>
      </c>
      <c r="AJ30" s="151">
        <f t="shared" si="5"/>
        <v>75679.58465384615</v>
      </c>
      <c r="AK30" s="147">
        <f>Valores!$C$36</f>
        <v>1046.83</v>
      </c>
      <c r="AL30" s="148">
        <f>Valores!$C$9</f>
        <v>0</v>
      </c>
      <c r="AM30" s="148">
        <f>Valores!$C$84</f>
        <v>2275</v>
      </c>
      <c r="AN30" s="148"/>
      <c r="AO30" s="150">
        <f>Valores!$C$51</f>
        <v>327.6</v>
      </c>
      <c r="AP30" s="152">
        <f t="shared" si="6"/>
        <v>3321.83</v>
      </c>
      <c r="AQ30" s="153">
        <f>AJ30*-Valores!$C$68</f>
        <v>-8324.754311923076</v>
      </c>
      <c r="AR30" s="153">
        <f>AJ30*-Valores!$C$69</f>
        <v>0</v>
      </c>
      <c r="AS30" s="147">
        <f>AJ30*-Valores!$C$70</f>
        <v>-3405.5813094230766</v>
      </c>
      <c r="AT30" s="147">
        <v>-159.43</v>
      </c>
      <c r="AU30" s="147">
        <f t="shared" si="7"/>
        <v>-53.83</v>
      </c>
      <c r="AV30" s="151">
        <f t="shared" si="8"/>
        <v>67057.81903249999</v>
      </c>
      <c r="AW30" s="155"/>
      <c r="AX30" s="155">
        <v>45</v>
      </c>
      <c r="AY30" s="140" t="s">
        <v>4</v>
      </c>
    </row>
    <row r="31" spans="1:51" s="117" customFormat="1" ht="11.25" customHeight="1">
      <c r="A31" s="139">
        <v>28</v>
      </c>
      <c r="B31" s="139"/>
      <c r="C31" s="140" t="s">
        <v>180</v>
      </c>
      <c r="D31" s="140"/>
      <c r="E31" s="140">
        <f t="shared" si="0"/>
        <v>25</v>
      </c>
      <c r="F31" s="141" t="s">
        <v>181</v>
      </c>
      <c r="G31" s="142">
        <v>93</v>
      </c>
      <c r="H31" s="143">
        <f>INT((G31*Valores!$C$2*100)+0.5)/100</f>
        <v>868.59</v>
      </c>
      <c r="I31" s="144">
        <v>3627</v>
      </c>
      <c r="J31" s="145">
        <f>INT((I31*Valores!$C$2*100)+0.5)/100</f>
        <v>33875.09</v>
      </c>
      <c r="K31" s="146">
        <v>210</v>
      </c>
      <c r="L31" s="145">
        <f>INT((K31*Valores!$C$2*100)+0.5)/100</f>
        <v>1961.34</v>
      </c>
      <c r="M31" s="142">
        <v>0</v>
      </c>
      <c r="N31" s="145">
        <f>INT((M31*Valores!$C$2*100)+0.5)/100</f>
        <v>0</v>
      </c>
      <c r="O31" s="145">
        <f t="shared" si="1"/>
        <v>6448.007999999999</v>
      </c>
      <c r="P31" s="145">
        <f t="shared" si="2"/>
        <v>0</v>
      </c>
      <c r="Q31" s="147">
        <f>Valores!$C$17</f>
        <v>8578.33</v>
      </c>
      <c r="R31" s="147">
        <f>Valores!$D$4</f>
        <v>4774.45</v>
      </c>
      <c r="S31" s="145">
        <v>0</v>
      </c>
      <c r="T31" s="148">
        <f>IF($H$5="NO",Valores!$C$44,Valores!$C$44/2)</f>
        <v>2384.69</v>
      </c>
      <c r="U31" s="145">
        <f>Valores!$C$24</f>
        <v>3897.01</v>
      </c>
      <c r="V31" s="145">
        <f t="shared" si="3"/>
        <v>3897.01</v>
      </c>
      <c r="W31" s="145">
        <v>0</v>
      </c>
      <c r="X31" s="145">
        <v>0</v>
      </c>
      <c r="Y31" s="149">
        <v>0</v>
      </c>
      <c r="Z31" s="145">
        <f>Y31*Valores!$C$2</f>
        <v>0</v>
      </c>
      <c r="AA31" s="145">
        <v>0</v>
      </c>
      <c r="AB31" s="148">
        <f>Valores!$C$89</f>
        <v>1153.8461538461538</v>
      </c>
      <c r="AC31" s="150">
        <f>Valores!$C$30</f>
        <v>199.86</v>
      </c>
      <c r="AD31" s="145">
        <f t="shared" si="4"/>
        <v>0</v>
      </c>
      <c r="AE31" s="145">
        <f>Valores!$C$31</f>
        <v>199.86</v>
      </c>
      <c r="AF31" s="149">
        <v>0</v>
      </c>
      <c r="AG31" s="145">
        <f>INT(((AF31*Valores!$C$2)*100)+0.5)/100</f>
        <v>0</v>
      </c>
      <c r="AH31" s="145">
        <f>IF($H$5="NO",Valores!$C$59,Valores!$C$59/2)</f>
        <v>406.53</v>
      </c>
      <c r="AI31" s="145">
        <f>IF($H$5="NO",Valores!$C$61,Valores!$C$61/2)</f>
        <v>116.15</v>
      </c>
      <c r="AJ31" s="151">
        <f t="shared" si="5"/>
        <v>64863.75415384615</v>
      </c>
      <c r="AK31" s="147">
        <f>Valores!$C$36</f>
        <v>1046.83</v>
      </c>
      <c r="AL31" s="148">
        <f>Valores!$C$9</f>
        <v>0</v>
      </c>
      <c r="AM31" s="148">
        <f>Valores!$C$84</f>
        <v>2275</v>
      </c>
      <c r="AN31" s="148"/>
      <c r="AO31" s="150">
        <f>Valores!$C$51</f>
        <v>327.6</v>
      </c>
      <c r="AP31" s="152">
        <f t="shared" si="6"/>
        <v>3321.83</v>
      </c>
      <c r="AQ31" s="153">
        <f>AJ31*-Valores!$C$68</f>
        <v>-7135.012956923077</v>
      </c>
      <c r="AR31" s="153">
        <f>AJ31*-Valores!$C$69</f>
        <v>0</v>
      </c>
      <c r="AS31" s="147">
        <f>AJ31*-Valores!$C$70</f>
        <v>-2918.868936923077</v>
      </c>
      <c r="AT31" s="147">
        <v>-159.43</v>
      </c>
      <c r="AU31" s="147">
        <f t="shared" si="7"/>
        <v>-53.83</v>
      </c>
      <c r="AV31" s="151">
        <f t="shared" si="8"/>
        <v>57918.442259999996</v>
      </c>
      <c r="AW31" s="155"/>
      <c r="AX31" s="155">
        <v>45</v>
      </c>
      <c r="AY31" s="140" t="s">
        <v>8</v>
      </c>
    </row>
    <row r="32" spans="1:51" s="117" customFormat="1" ht="11.25" customHeight="1">
      <c r="A32" s="139">
        <v>29</v>
      </c>
      <c r="B32" s="139"/>
      <c r="C32" s="140" t="s">
        <v>182</v>
      </c>
      <c r="D32" s="140"/>
      <c r="E32" s="140">
        <f t="shared" si="0"/>
        <v>32</v>
      </c>
      <c r="F32" s="141" t="s">
        <v>183</v>
      </c>
      <c r="G32" s="142">
        <v>93</v>
      </c>
      <c r="H32" s="143">
        <f>INT((G32*Valores!$C$2*100)+0.5)/100</f>
        <v>868.59</v>
      </c>
      <c r="I32" s="144">
        <v>3630</v>
      </c>
      <c r="J32" s="145">
        <f>INT((I32*Valores!$C$2*100)+0.5)/100</f>
        <v>33903.11</v>
      </c>
      <c r="K32" s="146">
        <v>1214</v>
      </c>
      <c r="L32" s="145">
        <f>INT((K32*Valores!$C$2*100)+0.5)/100</f>
        <v>11338.4</v>
      </c>
      <c r="M32" s="142">
        <v>0</v>
      </c>
      <c r="N32" s="145">
        <f>INT((M32*Valores!$C$2*100)+0.5)/100</f>
        <v>0</v>
      </c>
      <c r="O32" s="145">
        <f t="shared" si="1"/>
        <v>7858.77</v>
      </c>
      <c r="P32" s="145">
        <f t="shared" si="2"/>
        <v>0</v>
      </c>
      <c r="Q32" s="147">
        <f>Valores!$C$17</f>
        <v>8578.33</v>
      </c>
      <c r="R32" s="147">
        <f>Valores!$D$4</f>
        <v>4774.45</v>
      </c>
      <c r="S32" s="145">
        <v>0</v>
      </c>
      <c r="T32" s="148">
        <f>IF($H$5="NO",Valores!$C$44,Valores!$C$44/2)</f>
        <v>2384.69</v>
      </c>
      <c r="U32" s="145">
        <f>Valores!$C$24</f>
        <v>3897.01</v>
      </c>
      <c r="V32" s="145">
        <f t="shared" si="3"/>
        <v>3897.01</v>
      </c>
      <c r="W32" s="145">
        <v>0</v>
      </c>
      <c r="X32" s="145">
        <v>0</v>
      </c>
      <c r="Y32" s="149">
        <v>0</v>
      </c>
      <c r="Z32" s="145">
        <f>Y32*Valores!$C$2</f>
        <v>0</v>
      </c>
      <c r="AA32" s="145">
        <v>0</v>
      </c>
      <c r="AB32" s="148">
        <f>Valores!$C$89</f>
        <v>1153.8461538461538</v>
      </c>
      <c r="AC32" s="150">
        <f>Valores!$C$30</f>
        <v>199.86</v>
      </c>
      <c r="AD32" s="145">
        <f t="shared" si="4"/>
        <v>0</v>
      </c>
      <c r="AE32" s="145">
        <f>Valores!$C$31</f>
        <v>199.86</v>
      </c>
      <c r="AF32" s="149">
        <v>0</v>
      </c>
      <c r="AG32" s="145">
        <f>INT(((AF32*Valores!$C$2)*100)+0.5)/100</f>
        <v>0</v>
      </c>
      <c r="AH32" s="145">
        <f>IF($H$5="NO",Valores!$C$59,Valores!$C$59/2)</f>
        <v>406.53</v>
      </c>
      <c r="AI32" s="145">
        <f>IF($H$5="NO",Valores!$C$61,Valores!$C$61/2)</f>
        <v>116.15</v>
      </c>
      <c r="AJ32" s="151">
        <f t="shared" si="5"/>
        <v>75679.59615384614</v>
      </c>
      <c r="AK32" s="147">
        <f>Valores!$C$36</f>
        <v>1046.83</v>
      </c>
      <c r="AL32" s="148">
        <f>Valores!$C$9</f>
        <v>0</v>
      </c>
      <c r="AM32" s="148">
        <f>Valores!$C$84</f>
        <v>2275</v>
      </c>
      <c r="AN32" s="148"/>
      <c r="AO32" s="150">
        <f>Valores!$C$51</f>
        <v>327.6</v>
      </c>
      <c r="AP32" s="152">
        <f t="shared" si="6"/>
        <v>3321.83</v>
      </c>
      <c r="AQ32" s="153">
        <f>AJ32*-Valores!$C$68</f>
        <v>-8324.755576923075</v>
      </c>
      <c r="AR32" s="153">
        <f>AJ32*-Valores!$C$69</f>
        <v>0</v>
      </c>
      <c r="AS32" s="147">
        <f>AJ32*-Valores!$C$70</f>
        <v>-3405.5818269230763</v>
      </c>
      <c r="AT32" s="147">
        <v>-159.43</v>
      </c>
      <c r="AU32" s="147">
        <f t="shared" si="7"/>
        <v>-53.83</v>
      </c>
      <c r="AV32" s="151">
        <f t="shared" si="8"/>
        <v>67057.82875</v>
      </c>
      <c r="AW32" s="155"/>
      <c r="AX32" s="155">
        <v>45</v>
      </c>
      <c r="AY32" s="140" t="s">
        <v>4</v>
      </c>
    </row>
    <row r="33" spans="1:51" s="117" customFormat="1" ht="11.25" customHeight="1">
      <c r="A33" s="157">
        <v>30</v>
      </c>
      <c r="B33" s="157" t="s">
        <v>143</v>
      </c>
      <c r="C33" s="140" t="s">
        <v>184</v>
      </c>
      <c r="D33" s="140"/>
      <c r="E33" s="140">
        <f t="shared" si="0"/>
        <v>35</v>
      </c>
      <c r="F33" s="141" t="s">
        <v>185</v>
      </c>
      <c r="G33" s="142">
        <v>96</v>
      </c>
      <c r="H33" s="143">
        <f>INT((G33*Valores!$C$2*100)+0.5)/100</f>
        <v>896.61</v>
      </c>
      <c r="I33" s="144">
        <v>3737</v>
      </c>
      <c r="J33" s="145">
        <f>INT((I33*Valores!$C$2*100)+0.5)/100</f>
        <v>34902.46</v>
      </c>
      <c r="K33" s="146">
        <v>1220</v>
      </c>
      <c r="L33" s="145">
        <f>INT((K33*Valores!$C$2*100)+0.5)/100</f>
        <v>11394.43</v>
      </c>
      <c r="M33" s="142">
        <v>0</v>
      </c>
      <c r="N33" s="145">
        <f>INT((M33*Valores!$C$2*100)+0.5)/100</f>
        <v>0</v>
      </c>
      <c r="O33" s="145">
        <f t="shared" si="1"/>
        <v>8021.280000000001</v>
      </c>
      <c r="P33" s="145">
        <f t="shared" si="2"/>
        <v>0</v>
      </c>
      <c r="Q33" s="147">
        <f>Valores!$C$19</f>
        <v>8655.78</v>
      </c>
      <c r="R33" s="147">
        <f>Valores!$D$4</f>
        <v>4774.45</v>
      </c>
      <c r="S33" s="145">
        <v>0</v>
      </c>
      <c r="T33" s="148">
        <f>IF($H$5="NO",Valores!$C$44,Valores!$C$44/2)</f>
        <v>2384.69</v>
      </c>
      <c r="U33" s="145">
        <f>Valores!$C$24</f>
        <v>3897.01</v>
      </c>
      <c r="V33" s="145">
        <f t="shared" si="3"/>
        <v>3897.01</v>
      </c>
      <c r="W33" s="145">
        <v>0</v>
      </c>
      <c r="X33" s="145">
        <v>0</v>
      </c>
      <c r="Y33" s="149">
        <v>0</v>
      </c>
      <c r="Z33" s="145">
        <f>Y33*Valores!$C$2</f>
        <v>0</v>
      </c>
      <c r="AA33" s="145">
        <f>SUM(L33,J33,H33,T33)*Valores!$C$3</f>
        <v>7436.7285</v>
      </c>
      <c r="AB33" s="148">
        <f>Valores!$C$89</f>
        <v>1153.8461538461538</v>
      </c>
      <c r="AC33" s="150">
        <f>Valores!$C$30</f>
        <v>199.86</v>
      </c>
      <c r="AD33" s="145">
        <f t="shared" si="4"/>
        <v>0</v>
      </c>
      <c r="AE33" s="145">
        <f>Valores!$C$31</f>
        <v>199.86</v>
      </c>
      <c r="AF33" s="149">
        <v>0</v>
      </c>
      <c r="AG33" s="145">
        <f>INT(((AF33*Valores!$C$2)*100)+0.5)/100</f>
        <v>0</v>
      </c>
      <c r="AH33" s="145">
        <f>IF($H$5="NO",Valores!$C$59,Valores!$C$59/2)</f>
        <v>406.53</v>
      </c>
      <c r="AI33" s="145">
        <f>IF($H$5="NO",Valores!$C$61,Valores!$C$61/2)</f>
        <v>116.15</v>
      </c>
      <c r="AJ33" s="151">
        <f t="shared" si="5"/>
        <v>84439.68465384614</v>
      </c>
      <c r="AK33" s="147">
        <f>Valores!$C$36</f>
        <v>1046.83</v>
      </c>
      <c r="AL33" s="148">
        <f>Valores!$C$9</f>
        <v>0</v>
      </c>
      <c r="AM33" s="148">
        <f>Valores!$C$84</f>
        <v>2275</v>
      </c>
      <c r="AN33" s="148"/>
      <c r="AO33" s="150">
        <f>Valores!$C$51</f>
        <v>327.6</v>
      </c>
      <c r="AP33" s="152">
        <f t="shared" si="6"/>
        <v>3321.83</v>
      </c>
      <c r="AQ33" s="153">
        <f>AJ33*-Valores!$C$68</f>
        <v>-9288.365311923075</v>
      </c>
      <c r="AR33" s="153">
        <f>AJ33*-Valores!$C$69</f>
        <v>0</v>
      </c>
      <c r="AS33" s="147">
        <f>AJ33*-Valores!$C$70</f>
        <v>-3799.785809423076</v>
      </c>
      <c r="AT33" s="147">
        <v>-159.43</v>
      </c>
      <c r="AU33" s="147">
        <f t="shared" si="7"/>
        <v>-53.83</v>
      </c>
      <c r="AV33" s="151">
        <f t="shared" si="8"/>
        <v>74460.1035325</v>
      </c>
      <c r="AW33" s="155"/>
      <c r="AX33" s="155">
        <v>45</v>
      </c>
      <c r="AY33" s="140" t="s">
        <v>8</v>
      </c>
    </row>
    <row r="34" spans="1:51" s="117" customFormat="1" ht="11.25" customHeight="1">
      <c r="A34" s="139">
        <v>31</v>
      </c>
      <c r="B34" s="139"/>
      <c r="C34" s="140" t="s">
        <v>186</v>
      </c>
      <c r="D34" s="140"/>
      <c r="E34" s="140">
        <f t="shared" si="0"/>
        <v>20</v>
      </c>
      <c r="F34" s="141" t="s">
        <v>187</v>
      </c>
      <c r="G34" s="142">
        <v>92</v>
      </c>
      <c r="H34" s="143">
        <f>INT((G34*Valores!$C$2*100)+0.5)/100</f>
        <v>859.25</v>
      </c>
      <c r="I34" s="144">
        <v>3483</v>
      </c>
      <c r="J34" s="145">
        <f>INT((I34*Valores!$C$2*100)+0.5)/100</f>
        <v>32530.18</v>
      </c>
      <c r="K34" s="146">
        <v>1217</v>
      </c>
      <c r="L34" s="145">
        <f>INT((K34*Valores!$C$2*100)+0.5)/100</f>
        <v>11366.41</v>
      </c>
      <c r="M34" s="142">
        <v>0</v>
      </c>
      <c r="N34" s="145">
        <f>INT((M34*Valores!$C$2*100)+0.5)/100</f>
        <v>0</v>
      </c>
      <c r="O34" s="145">
        <f t="shared" si="1"/>
        <v>7655.630999999999</v>
      </c>
      <c r="P34" s="145">
        <f t="shared" si="2"/>
        <v>0</v>
      </c>
      <c r="Q34" s="147">
        <f>Valores!$C$18</f>
        <v>14129.78</v>
      </c>
      <c r="R34" s="147">
        <f>Valores!$D$4</f>
        <v>4774.45</v>
      </c>
      <c r="S34" s="145">
        <v>0</v>
      </c>
      <c r="T34" s="148">
        <f>IF($H$5="NO",Valores!$C$44,Valores!$C$44/2)</f>
        <v>2384.69</v>
      </c>
      <c r="U34" s="145">
        <f>Valores!$C$24</f>
        <v>3897.01</v>
      </c>
      <c r="V34" s="145">
        <f t="shared" si="3"/>
        <v>3897.01</v>
      </c>
      <c r="W34" s="145">
        <v>0</v>
      </c>
      <c r="X34" s="145">
        <v>0</v>
      </c>
      <c r="Y34" s="149">
        <v>0</v>
      </c>
      <c r="Z34" s="145">
        <f>Y34*Valores!$C$2</f>
        <v>0</v>
      </c>
      <c r="AA34" s="145">
        <v>0</v>
      </c>
      <c r="AB34" s="148">
        <f>Valores!$C$91</f>
        <v>2307.6923076923076</v>
      </c>
      <c r="AC34" s="150">
        <f>Valores!$C$30</f>
        <v>199.86</v>
      </c>
      <c r="AD34" s="145">
        <f t="shared" si="4"/>
        <v>0</v>
      </c>
      <c r="AE34" s="145">
        <f>Valores!$C$31</f>
        <v>199.86</v>
      </c>
      <c r="AF34" s="149">
        <v>0</v>
      </c>
      <c r="AG34" s="145">
        <f>INT(((AF34*Valores!$C$2)*100)+0.5)/100</f>
        <v>0</v>
      </c>
      <c r="AH34" s="145">
        <f>IF($H$5="NO",Valores!$C$59,Valores!$C$59/2)</f>
        <v>406.53</v>
      </c>
      <c r="AI34" s="145">
        <f>IF($H$5="NO",Valores!$C$61,Valores!$C$61/2)</f>
        <v>116.15</v>
      </c>
      <c r="AJ34" s="151">
        <f t="shared" si="5"/>
        <v>80827.4933076923</v>
      </c>
      <c r="AK34" s="147">
        <f>Valores!$C$36</f>
        <v>1046.83</v>
      </c>
      <c r="AL34" s="148">
        <f>Valores!$C$9</f>
        <v>0</v>
      </c>
      <c r="AM34" s="148">
        <f>Valores!$C$86</f>
        <v>4550</v>
      </c>
      <c r="AN34" s="148"/>
      <c r="AO34" s="150">
        <f>Valores!$C$51</f>
        <v>327.6</v>
      </c>
      <c r="AP34" s="152">
        <f t="shared" si="6"/>
        <v>5596.83</v>
      </c>
      <c r="AQ34" s="153">
        <f>AJ34*-Valores!$C$68</f>
        <v>-8891.024263846153</v>
      </c>
      <c r="AR34" s="153">
        <f>AJ34*-Valores!$C$69</f>
        <v>0</v>
      </c>
      <c r="AS34" s="147">
        <f>AJ34*-Valores!$C$70</f>
        <v>-3637.2371988461537</v>
      </c>
      <c r="AT34" s="147">
        <v>-159.43</v>
      </c>
      <c r="AU34" s="147">
        <f t="shared" si="7"/>
        <v>-53.83</v>
      </c>
      <c r="AV34" s="151">
        <f t="shared" si="8"/>
        <v>73682.80184500001</v>
      </c>
      <c r="AW34" s="155"/>
      <c r="AX34" s="155">
        <v>45</v>
      </c>
      <c r="AY34" s="140" t="s">
        <v>4</v>
      </c>
    </row>
    <row r="35" spans="1:51" s="117" customFormat="1" ht="11.25" customHeight="1">
      <c r="A35" s="139">
        <v>32</v>
      </c>
      <c r="B35" s="139"/>
      <c r="C35" s="140" t="s">
        <v>188</v>
      </c>
      <c r="D35" s="140"/>
      <c r="E35" s="140">
        <f t="shared" si="0"/>
        <v>30</v>
      </c>
      <c r="F35" s="141" t="s">
        <v>189</v>
      </c>
      <c r="G35" s="142">
        <v>85</v>
      </c>
      <c r="H35" s="143">
        <f>INT((G35*Valores!$C$2*100)+0.5)/100</f>
        <v>793.87</v>
      </c>
      <c r="I35" s="144">
        <v>3498</v>
      </c>
      <c r="J35" s="145">
        <f>INT((I35*Valores!$C$2*100)+0.5)/100</f>
        <v>32670.27</v>
      </c>
      <c r="K35" s="146">
        <v>1209</v>
      </c>
      <c r="L35" s="145">
        <f>INT((K35*Valores!$C$2*100)+0.5)/100</f>
        <v>11291.7</v>
      </c>
      <c r="M35" s="142">
        <v>0</v>
      </c>
      <c r="N35" s="145">
        <f>INT((M35*Valores!$C$2*100)+0.5)/100</f>
        <v>0</v>
      </c>
      <c r="O35" s="145">
        <f t="shared" si="1"/>
        <v>7655.630999999999</v>
      </c>
      <c r="P35" s="145">
        <f t="shared" si="2"/>
        <v>0</v>
      </c>
      <c r="Q35" s="147">
        <f>Valores!$C$18</f>
        <v>14129.78</v>
      </c>
      <c r="R35" s="147">
        <f>Valores!$D$4</f>
        <v>4774.45</v>
      </c>
      <c r="S35" s="145">
        <v>0</v>
      </c>
      <c r="T35" s="148">
        <f>IF($H$5="NO",Valores!$C$44,Valores!$C$44/2)</f>
        <v>2384.69</v>
      </c>
      <c r="U35" s="145">
        <f>Valores!$C$24</f>
        <v>3897.01</v>
      </c>
      <c r="V35" s="145">
        <f t="shared" si="3"/>
        <v>3897.01</v>
      </c>
      <c r="W35" s="145">
        <v>0</v>
      </c>
      <c r="X35" s="145">
        <v>0</v>
      </c>
      <c r="Y35" s="149">
        <v>0</v>
      </c>
      <c r="Z35" s="145">
        <f>Y35*Valores!$C$2</f>
        <v>0</v>
      </c>
      <c r="AA35" s="145">
        <v>0</v>
      </c>
      <c r="AB35" s="148">
        <f>Valores!$C$91</f>
        <v>2307.6923076923076</v>
      </c>
      <c r="AC35" s="150">
        <f>Valores!$C$30</f>
        <v>199.86</v>
      </c>
      <c r="AD35" s="145">
        <f t="shared" si="4"/>
        <v>0</v>
      </c>
      <c r="AE35" s="145">
        <f>Valores!$C$31</f>
        <v>199.86</v>
      </c>
      <c r="AF35" s="149">
        <v>0</v>
      </c>
      <c r="AG35" s="145">
        <f>INT(((AF35*Valores!$C$2)*100)+0.5)/100</f>
        <v>0</v>
      </c>
      <c r="AH35" s="145">
        <f>IF($H$5="NO",Valores!$C$59,Valores!$C$59/2)</f>
        <v>406.53</v>
      </c>
      <c r="AI35" s="145">
        <f>IF($H$5="NO",Valores!$C$61,Valores!$C$61/2)</f>
        <v>116.15</v>
      </c>
      <c r="AJ35" s="151">
        <f t="shared" si="5"/>
        <v>80827.4933076923</v>
      </c>
      <c r="AK35" s="147">
        <f>Valores!$C$36</f>
        <v>1046.83</v>
      </c>
      <c r="AL35" s="148">
        <f>Valores!$C$9</f>
        <v>0</v>
      </c>
      <c r="AM35" s="148">
        <f>Valores!$C$86</f>
        <v>4550</v>
      </c>
      <c r="AN35" s="148"/>
      <c r="AO35" s="150">
        <f>Valores!$C$51</f>
        <v>327.6</v>
      </c>
      <c r="AP35" s="152">
        <f t="shared" si="6"/>
        <v>5596.83</v>
      </c>
      <c r="AQ35" s="153">
        <f>AJ35*-Valores!$C$68</f>
        <v>-8891.024263846153</v>
      </c>
      <c r="AR35" s="153">
        <f>AJ35*-Valores!$C$69</f>
        <v>0</v>
      </c>
      <c r="AS35" s="147">
        <f>AJ35*-Valores!$C$70</f>
        <v>-3637.2371988461537</v>
      </c>
      <c r="AT35" s="147">
        <v>-159.43</v>
      </c>
      <c r="AU35" s="147">
        <f t="shared" si="7"/>
        <v>-53.83</v>
      </c>
      <c r="AV35" s="151">
        <f t="shared" si="8"/>
        <v>73682.80184500001</v>
      </c>
      <c r="AW35" s="155"/>
      <c r="AX35" s="155">
        <v>45</v>
      </c>
      <c r="AY35" s="140" t="s">
        <v>4</v>
      </c>
    </row>
    <row r="36" spans="1:51" s="117" customFormat="1" ht="11.25" customHeight="1">
      <c r="A36" s="139">
        <v>33</v>
      </c>
      <c r="B36" s="139"/>
      <c r="C36" s="140" t="s">
        <v>190</v>
      </c>
      <c r="D36" s="140"/>
      <c r="E36" s="140">
        <f t="shared" si="0"/>
        <v>16</v>
      </c>
      <c r="F36" s="141" t="s">
        <v>191</v>
      </c>
      <c r="G36" s="142">
        <v>92</v>
      </c>
      <c r="H36" s="143">
        <f>INT((G36*Valores!$C$2*100)+0.5)/100</f>
        <v>859.25</v>
      </c>
      <c r="I36" s="144">
        <v>3483</v>
      </c>
      <c r="J36" s="145">
        <f>INT((I36*Valores!$C$2*100)+0.5)/100</f>
        <v>32530.18</v>
      </c>
      <c r="K36" s="146">
        <v>1217</v>
      </c>
      <c r="L36" s="145">
        <f>INT((K36*Valores!$C$2*100)+0.5)/100</f>
        <v>11366.41</v>
      </c>
      <c r="M36" s="142">
        <v>0</v>
      </c>
      <c r="N36" s="145">
        <f>INT((M36*Valores!$C$2*100)+0.5)/100</f>
        <v>0</v>
      </c>
      <c r="O36" s="145">
        <f t="shared" si="1"/>
        <v>7655.630999999999</v>
      </c>
      <c r="P36" s="145">
        <f t="shared" si="2"/>
        <v>0</v>
      </c>
      <c r="Q36" s="147">
        <f>Valores!$C$18</f>
        <v>14129.78</v>
      </c>
      <c r="R36" s="147">
        <f>Valores!$D$4</f>
        <v>4774.45</v>
      </c>
      <c r="S36" s="145">
        <v>0</v>
      </c>
      <c r="T36" s="148">
        <f>IF($H$5="NO",Valores!$C$44,Valores!$C$44/2)</f>
        <v>2384.69</v>
      </c>
      <c r="U36" s="145">
        <f>Valores!$C$24</f>
        <v>3897.01</v>
      </c>
      <c r="V36" s="145">
        <f t="shared" si="3"/>
        <v>3897.01</v>
      </c>
      <c r="W36" s="145">
        <v>0</v>
      </c>
      <c r="X36" s="145">
        <v>0</v>
      </c>
      <c r="Y36" s="149">
        <v>0</v>
      </c>
      <c r="Z36" s="145">
        <f>Y36*Valores!$C$2</f>
        <v>0</v>
      </c>
      <c r="AA36" s="145">
        <v>0</v>
      </c>
      <c r="AB36" s="148">
        <f>Valores!$C$91</f>
        <v>2307.6923076923076</v>
      </c>
      <c r="AC36" s="150">
        <f>Valores!$C$30</f>
        <v>199.86</v>
      </c>
      <c r="AD36" s="145">
        <f t="shared" si="4"/>
        <v>0</v>
      </c>
      <c r="AE36" s="145">
        <f>Valores!$C$31</f>
        <v>199.86</v>
      </c>
      <c r="AF36" s="149">
        <v>0</v>
      </c>
      <c r="AG36" s="145">
        <f>INT(((AF36*Valores!$C$2)*100)+0.5)/100</f>
        <v>0</v>
      </c>
      <c r="AH36" s="145">
        <f>IF($H$5="NO",Valores!$C$59,Valores!$C$59/2)</f>
        <v>406.53</v>
      </c>
      <c r="AI36" s="145">
        <f>IF($H$5="NO",Valores!$C$61,Valores!$C$61/2)</f>
        <v>116.15</v>
      </c>
      <c r="AJ36" s="151">
        <f t="shared" si="5"/>
        <v>80827.4933076923</v>
      </c>
      <c r="AK36" s="147">
        <f>Valores!$C$36</f>
        <v>1046.83</v>
      </c>
      <c r="AL36" s="148">
        <f>Valores!$C$9</f>
        <v>0</v>
      </c>
      <c r="AM36" s="148">
        <f>Valores!$C$86</f>
        <v>4550</v>
      </c>
      <c r="AN36" s="148"/>
      <c r="AO36" s="150">
        <f>Valores!$C$51</f>
        <v>327.6</v>
      </c>
      <c r="AP36" s="152">
        <f t="shared" si="6"/>
        <v>5596.83</v>
      </c>
      <c r="AQ36" s="153">
        <f>AJ36*-Valores!$C$68</f>
        <v>-8891.024263846153</v>
      </c>
      <c r="AR36" s="153">
        <f>AJ36*-Valores!$C$69</f>
        <v>0</v>
      </c>
      <c r="AS36" s="147">
        <f>AJ36*-Valores!$C$70</f>
        <v>-3637.2371988461537</v>
      </c>
      <c r="AT36" s="147">
        <v>-159.43</v>
      </c>
      <c r="AU36" s="147">
        <f t="shared" si="7"/>
        <v>-53.83</v>
      </c>
      <c r="AV36" s="151">
        <f t="shared" si="8"/>
        <v>73682.80184500001</v>
      </c>
      <c r="AW36" s="155"/>
      <c r="AX36" s="155">
        <v>45</v>
      </c>
      <c r="AY36" s="140" t="s">
        <v>4</v>
      </c>
    </row>
    <row r="37" spans="1:51" s="117" customFormat="1" ht="11.25" customHeight="1">
      <c r="A37" s="139">
        <v>34</v>
      </c>
      <c r="B37" s="139"/>
      <c r="C37" s="140" t="s">
        <v>192</v>
      </c>
      <c r="D37" s="140"/>
      <c r="E37" s="140">
        <f t="shared" si="0"/>
        <v>28</v>
      </c>
      <c r="F37" s="141" t="s">
        <v>193</v>
      </c>
      <c r="G37" s="142">
        <v>85</v>
      </c>
      <c r="H37" s="143">
        <f>INT((G37*Valores!$C$2*100)+0.5)/100</f>
        <v>793.87</v>
      </c>
      <c r="I37" s="144">
        <v>3498</v>
      </c>
      <c r="J37" s="145">
        <f>INT((I37*Valores!$C$2*100)+0.5)/100</f>
        <v>32670.27</v>
      </c>
      <c r="K37" s="146">
        <v>1209</v>
      </c>
      <c r="L37" s="145">
        <f>INT((K37*Valores!$C$2*100)+0.5)/100</f>
        <v>11291.7</v>
      </c>
      <c r="M37" s="142">
        <v>0</v>
      </c>
      <c r="N37" s="145">
        <f>INT((M37*Valores!$C$2*100)+0.5)/100</f>
        <v>0</v>
      </c>
      <c r="O37" s="145">
        <f t="shared" si="1"/>
        <v>7655.630999999999</v>
      </c>
      <c r="P37" s="145">
        <f t="shared" si="2"/>
        <v>0</v>
      </c>
      <c r="Q37" s="147">
        <f>Valores!$C$18</f>
        <v>14129.78</v>
      </c>
      <c r="R37" s="147">
        <f>Valores!$D$4</f>
        <v>4774.45</v>
      </c>
      <c r="S37" s="145">
        <v>0</v>
      </c>
      <c r="T37" s="148">
        <f>IF($H$5="NO",Valores!$C$44,Valores!$C$44/2)</f>
        <v>2384.69</v>
      </c>
      <c r="U37" s="145">
        <f>Valores!$C$24</f>
        <v>3897.01</v>
      </c>
      <c r="V37" s="145">
        <f t="shared" si="3"/>
        <v>3897.01</v>
      </c>
      <c r="W37" s="145">
        <v>0</v>
      </c>
      <c r="X37" s="145">
        <v>0</v>
      </c>
      <c r="Y37" s="149">
        <v>0</v>
      </c>
      <c r="Z37" s="145">
        <f>Y37*Valores!$C$2</f>
        <v>0</v>
      </c>
      <c r="AA37" s="145">
        <v>0</v>
      </c>
      <c r="AB37" s="148">
        <f>Valores!$C$91</f>
        <v>2307.6923076923076</v>
      </c>
      <c r="AC37" s="150">
        <f>Valores!$C$30</f>
        <v>199.86</v>
      </c>
      <c r="AD37" s="145">
        <f t="shared" si="4"/>
        <v>0</v>
      </c>
      <c r="AE37" s="145">
        <f>Valores!$C$31</f>
        <v>199.86</v>
      </c>
      <c r="AF37" s="149">
        <v>0</v>
      </c>
      <c r="AG37" s="145">
        <f>INT(((AF37*Valores!$C$2)*100)+0.5)/100</f>
        <v>0</v>
      </c>
      <c r="AH37" s="145">
        <f>IF($H$5="NO",Valores!$C$59,Valores!$C$59/2)</f>
        <v>406.53</v>
      </c>
      <c r="AI37" s="145">
        <f>IF($H$5="NO",Valores!$C$61,Valores!$C$61/2)</f>
        <v>116.15</v>
      </c>
      <c r="AJ37" s="151">
        <f t="shared" si="5"/>
        <v>80827.4933076923</v>
      </c>
      <c r="AK37" s="147">
        <f>Valores!$C$36</f>
        <v>1046.83</v>
      </c>
      <c r="AL37" s="148">
        <f>Valores!$C$9</f>
        <v>0</v>
      </c>
      <c r="AM37" s="148">
        <f>Valores!$C$86</f>
        <v>4550</v>
      </c>
      <c r="AN37" s="148"/>
      <c r="AO37" s="150">
        <f>Valores!$C$51</f>
        <v>327.6</v>
      </c>
      <c r="AP37" s="152">
        <f t="shared" si="6"/>
        <v>5596.83</v>
      </c>
      <c r="AQ37" s="153">
        <f>AJ37*-Valores!$C$68</f>
        <v>-8891.024263846153</v>
      </c>
      <c r="AR37" s="153">
        <f>AJ37*-Valores!$C$69</f>
        <v>0</v>
      </c>
      <c r="AS37" s="147">
        <f>AJ37*-Valores!$C$70</f>
        <v>-3637.2371988461537</v>
      </c>
      <c r="AT37" s="147">
        <v>-159.43</v>
      </c>
      <c r="AU37" s="147">
        <f t="shared" si="7"/>
        <v>-53.83</v>
      </c>
      <c r="AV37" s="151">
        <f t="shared" si="8"/>
        <v>73682.80184500001</v>
      </c>
      <c r="AW37" s="155"/>
      <c r="AX37" s="155">
        <v>45</v>
      </c>
      <c r="AY37" s="140" t="s">
        <v>8</v>
      </c>
    </row>
    <row r="38" spans="1:51" s="117" customFormat="1" ht="11.25" customHeight="1">
      <c r="A38" s="157">
        <v>35</v>
      </c>
      <c r="B38" s="157" t="s">
        <v>143</v>
      </c>
      <c r="C38" s="140" t="s">
        <v>194</v>
      </c>
      <c r="D38" s="140"/>
      <c r="E38" s="140">
        <f t="shared" si="0"/>
        <v>29</v>
      </c>
      <c r="F38" s="141" t="s">
        <v>195</v>
      </c>
      <c r="G38" s="142">
        <v>92</v>
      </c>
      <c r="H38" s="143">
        <f>INT((G38*Valores!$C$2*100)+0.5)/100</f>
        <v>859.25</v>
      </c>
      <c r="I38" s="144">
        <v>3483</v>
      </c>
      <c r="J38" s="145">
        <f>INT((I38*Valores!$C$2*100)+0.5)/100</f>
        <v>32530.18</v>
      </c>
      <c r="K38" s="146">
        <v>1217</v>
      </c>
      <c r="L38" s="145">
        <f>INT((K38*Valores!$C$2*100)+0.5)/100</f>
        <v>11366.41</v>
      </c>
      <c r="M38" s="142">
        <v>0</v>
      </c>
      <c r="N38" s="145">
        <f>INT((M38*Valores!$C$2*100)+0.5)/100</f>
        <v>0</v>
      </c>
      <c r="O38" s="145">
        <f t="shared" si="1"/>
        <v>7655.630999999999</v>
      </c>
      <c r="P38" s="145">
        <f t="shared" si="2"/>
        <v>0</v>
      </c>
      <c r="Q38" s="147">
        <f>Valores!$C$18</f>
        <v>14129.78</v>
      </c>
      <c r="R38" s="147">
        <f>Valores!$D$4</f>
        <v>4774.45</v>
      </c>
      <c r="S38" s="145">
        <v>0</v>
      </c>
      <c r="T38" s="148">
        <f>IF($H$5="NO",Valores!$C$44,Valores!$C$44/2)</f>
        <v>2384.69</v>
      </c>
      <c r="U38" s="145">
        <f>Valores!$C$24</f>
        <v>3897.01</v>
      </c>
      <c r="V38" s="145">
        <f t="shared" si="3"/>
        <v>3897.01</v>
      </c>
      <c r="W38" s="145">
        <v>0</v>
      </c>
      <c r="X38" s="145">
        <v>0</v>
      </c>
      <c r="Y38" s="149">
        <v>0</v>
      </c>
      <c r="Z38" s="145">
        <f>Y38*Valores!$C$2</f>
        <v>0</v>
      </c>
      <c r="AA38" s="145">
        <f>SUM(L38,J38,H38,T38)*Valores!$C$3</f>
        <v>7071.0795</v>
      </c>
      <c r="AB38" s="148">
        <f>Valores!$C$91</f>
        <v>2307.6923076923076</v>
      </c>
      <c r="AC38" s="150">
        <f>Valores!$C$30</f>
        <v>199.86</v>
      </c>
      <c r="AD38" s="145">
        <f t="shared" si="4"/>
        <v>0</v>
      </c>
      <c r="AE38" s="145">
        <f>Valores!$C$31</f>
        <v>199.86</v>
      </c>
      <c r="AF38" s="149">
        <v>0</v>
      </c>
      <c r="AG38" s="145">
        <f>INT(((AF38*Valores!$C$2)*100)+0.5)/100</f>
        <v>0</v>
      </c>
      <c r="AH38" s="145">
        <f>IF($H$5="NO",Valores!$C$59,Valores!$C$59/2)</f>
        <v>406.53</v>
      </c>
      <c r="AI38" s="145">
        <f>IF($H$5="NO",Valores!$C$61,Valores!$C$61/2)</f>
        <v>116.15</v>
      </c>
      <c r="AJ38" s="151">
        <f t="shared" si="5"/>
        <v>87898.57280769231</v>
      </c>
      <c r="AK38" s="147">
        <f>Valores!$C$36</f>
        <v>1046.83</v>
      </c>
      <c r="AL38" s="148">
        <f>Valores!$C$9</f>
        <v>0</v>
      </c>
      <c r="AM38" s="148">
        <f>Valores!$C$86</f>
        <v>4550</v>
      </c>
      <c r="AN38" s="148"/>
      <c r="AO38" s="150">
        <f>Valores!$C$51</f>
        <v>327.6</v>
      </c>
      <c r="AP38" s="152">
        <f t="shared" si="6"/>
        <v>5596.83</v>
      </c>
      <c r="AQ38" s="153">
        <f>AJ38*-Valores!$C$68</f>
        <v>-9668.843008846154</v>
      </c>
      <c r="AR38" s="153">
        <f>AJ38*-Valores!$C$69</f>
        <v>0</v>
      </c>
      <c r="AS38" s="147">
        <f>AJ38*-Valores!$C$70</f>
        <v>-3955.435776346154</v>
      </c>
      <c r="AT38" s="147">
        <v>-159.43</v>
      </c>
      <c r="AU38" s="147">
        <f t="shared" si="7"/>
        <v>-53.83</v>
      </c>
      <c r="AV38" s="151">
        <f t="shared" si="8"/>
        <v>79657.86402250001</v>
      </c>
      <c r="AW38" s="155"/>
      <c r="AX38" s="155">
        <v>45</v>
      </c>
      <c r="AY38" s="140" t="s">
        <v>8</v>
      </c>
    </row>
    <row r="39" spans="1:51" s="117" customFormat="1" ht="11.25" customHeight="1">
      <c r="A39" s="139">
        <v>36</v>
      </c>
      <c r="B39" s="139"/>
      <c r="C39" s="140" t="s">
        <v>196</v>
      </c>
      <c r="D39" s="140"/>
      <c r="E39" s="140">
        <f t="shared" si="0"/>
        <v>27</v>
      </c>
      <c r="F39" s="141" t="s">
        <v>197</v>
      </c>
      <c r="G39" s="142">
        <v>85</v>
      </c>
      <c r="H39" s="143">
        <f>INT((G39*Valores!$C$2*100)+0.5)/100</f>
        <v>793.87</v>
      </c>
      <c r="I39" s="144">
        <v>3498</v>
      </c>
      <c r="J39" s="145">
        <f>INT((I39*Valores!$C$2*100)+0.5)/100</f>
        <v>32670.27</v>
      </c>
      <c r="K39" s="146">
        <v>202</v>
      </c>
      <c r="L39" s="145">
        <f>INT((K39*Valores!$C$2*100)+0.5)/100</f>
        <v>1886.62</v>
      </c>
      <c r="M39" s="142">
        <v>0</v>
      </c>
      <c r="N39" s="145">
        <f>INT((M39*Valores!$C$2*100)+0.5)/100</f>
        <v>0</v>
      </c>
      <c r="O39" s="145">
        <f t="shared" si="1"/>
        <v>6244.869000000001</v>
      </c>
      <c r="P39" s="145">
        <f t="shared" si="2"/>
        <v>0</v>
      </c>
      <c r="Q39" s="147">
        <f>Valores!$C$18</f>
        <v>14129.78</v>
      </c>
      <c r="R39" s="147">
        <f>Valores!$D$4</f>
        <v>4774.45</v>
      </c>
      <c r="S39" s="145">
        <v>0</v>
      </c>
      <c r="T39" s="148">
        <f>IF($H$5="NO",Valores!$C$44,Valores!$C$44/2)</f>
        <v>2384.69</v>
      </c>
      <c r="U39" s="145">
        <f>Valores!$C$24</f>
        <v>3897.01</v>
      </c>
      <c r="V39" s="145">
        <f t="shared" si="3"/>
        <v>3897.01</v>
      </c>
      <c r="W39" s="145">
        <v>0</v>
      </c>
      <c r="X39" s="145">
        <v>0</v>
      </c>
      <c r="Y39" s="149">
        <v>0</v>
      </c>
      <c r="Z39" s="145">
        <f>Y39*Valores!$C$2</f>
        <v>0</v>
      </c>
      <c r="AA39" s="145">
        <v>0</v>
      </c>
      <c r="AB39" s="148">
        <f>Valores!$C$91</f>
        <v>2307.6923076923076</v>
      </c>
      <c r="AC39" s="150">
        <f>Valores!$C$30</f>
        <v>199.86</v>
      </c>
      <c r="AD39" s="145">
        <f t="shared" si="4"/>
        <v>0</v>
      </c>
      <c r="AE39" s="145">
        <f>Valores!$C$31</f>
        <v>199.86</v>
      </c>
      <c r="AF39" s="149">
        <v>0</v>
      </c>
      <c r="AG39" s="145">
        <f>INT(((AF39*Valores!$C$2)*100)+0.5)/100</f>
        <v>0</v>
      </c>
      <c r="AH39" s="145">
        <f>IF($H$5="NO",Valores!$C$59,Valores!$C$59/2)</f>
        <v>406.53</v>
      </c>
      <c r="AI39" s="145">
        <f>IF($H$5="NO",Valores!$C$61,Valores!$C$61/2)</f>
        <v>116.15</v>
      </c>
      <c r="AJ39" s="151">
        <f t="shared" si="5"/>
        <v>70011.6513076923</v>
      </c>
      <c r="AK39" s="147">
        <f>Valores!$C$36</f>
        <v>1046.83</v>
      </c>
      <c r="AL39" s="148">
        <f>Valores!$C$9</f>
        <v>0</v>
      </c>
      <c r="AM39" s="148">
        <f>Valores!$C$86</f>
        <v>4550</v>
      </c>
      <c r="AN39" s="148"/>
      <c r="AO39" s="150">
        <f>Valores!$C$51</f>
        <v>327.6</v>
      </c>
      <c r="AP39" s="152">
        <f t="shared" si="6"/>
        <v>5596.83</v>
      </c>
      <c r="AQ39" s="153">
        <f>AJ39*-Valores!$C$68</f>
        <v>-7701.281643846153</v>
      </c>
      <c r="AR39" s="153">
        <f>AJ39*-Valores!$C$69</f>
        <v>0</v>
      </c>
      <c r="AS39" s="147">
        <f>AJ39*-Valores!$C$70</f>
        <v>-3150.5243088461534</v>
      </c>
      <c r="AT39" s="147">
        <v>-159.43</v>
      </c>
      <c r="AU39" s="147">
        <f t="shared" si="7"/>
        <v>-53.83</v>
      </c>
      <c r="AV39" s="151">
        <f t="shared" si="8"/>
        <v>64543.41535499999</v>
      </c>
      <c r="AW39" s="155"/>
      <c r="AX39" s="155">
        <v>45</v>
      </c>
      <c r="AY39" s="140" t="s">
        <v>8</v>
      </c>
    </row>
    <row r="40" spans="1:51" s="117" customFormat="1" ht="11.25" customHeight="1">
      <c r="A40" s="139">
        <v>37</v>
      </c>
      <c r="B40" s="139"/>
      <c r="C40" s="140" t="s">
        <v>198</v>
      </c>
      <c r="D40" s="140"/>
      <c r="E40" s="140">
        <f t="shared" si="0"/>
        <v>22</v>
      </c>
      <c r="F40" s="141" t="s">
        <v>199</v>
      </c>
      <c r="G40" s="142">
        <v>85</v>
      </c>
      <c r="H40" s="143">
        <f>INT((G40*Valores!$C$2*100)+0.5)/100</f>
        <v>793.87</v>
      </c>
      <c r="I40" s="144">
        <v>3498</v>
      </c>
      <c r="J40" s="145">
        <f>INT((I40*Valores!$C$2*100)+0.5)/100</f>
        <v>32670.27</v>
      </c>
      <c r="K40" s="146">
        <v>1209</v>
      </c>
      <c r="L40" s="145">
        <f>INT((K40*Valores!$C$2*100)+0.5)/100</f>
        <v>11291.7</v>
      </c>
      <c r="M40" s="142">
        <v>0</v>
      </c>
      <c r="N40" s="145">
        <f>INT((M40*Valores!$C$2*100)+0.5)/100</f>
        <v>0</v>
      </c>
      <c r="O40" s="145">
        <f t="shared" si="1"/>
        <v>7655.630999999999</v>
      </c>
      <c r="P40" s="145">
        <f t="shared" si="2"/>
        <v>0</v>
      </c>
      <c r="Q40" s="147">
        <f>Valores!$C$18</f>
        <v>14129.78</v>
      </c>
      <c r="R40" s="147">
        <f>Valores!$D$4</f>
        <v>4774.45</v>
      </c>
      <c r="S40" s="145">
        <v>0</v>
      </c>
      <c r="T40" s="148">
        <f>IF($H$5="NO",Valores!$C$44,Valores!$C$44/2)</f>
        <v>2384.69</v>
      </c>
      <c r="U40" s="145">
        <f>Valores!$C$24</f>
        <v>3897.01</v>
      </c>
      <c r="V40" s="145">
        <f t="shared" si="3"/>
        <v>3897.01</v>
      </c>
      <c r="W40" s="145">
        <v>0</v>
      </c>
      <c r="X40" s="145">
        <v>0</v>
      </c>
      <c r="Y40" s="149">
        <v>0</v>
      </c>
      <c r="Z40" s="145">
        <f>Y40*Valores!$C$2</f>
        <v>0</v>
      </c>
      <c r="AA40" s="145">
        <v>0</v>
      </c>
      <c r="AB40" s="148">
        <f>Valores!$C$91</f>
        <v>2307.6923076923076</v>
      </c>
      <c r="AC40" s="150">
        <f>Valores!$C$30</f>
        <v>199.86</v>
      </c>
      <c r="AD40" s="145">
        <f t="shared" si="4"/>
        <v>0</v>
      </c>
      <c r="AE40" s="145">
        <f>Valores!$C$31</f>
        <v>199.86</v>
      </c>
      <c r="AF40" s="149">
        <v>0</v>
      </c>
      <c r="AG40" s="145">
        <f>INT(((AF40*Valores!$C$2)*100)+0.5)/100</f>
        <v>0</v>
      </c>
      <c r="AH40" s="145">
        <f>IF($H$5="NO",Valores!$C$59,Valores!$C$59/2)</f>
        <v>406.53</v>
      </c>
      <c r="AI40" s="145">
        <f>IF($H$5="NO",Valores!$C$61,Valores!$C$61/2)</f>
        <v>116.15</v>
      </c>
      <c r="AJ40" s="151">
        <f t="shared" si="5"/>
        <v>80827.4933076923</v>
      </c>
      <c r="AK40" s="147">
        <f>Valores!$C$36</f>
        <v>1046.83</v>
      </c>
      <c r="AL40" s="148">
        <f>Valores!$C$9</f>
        <v>0</v>
      </c>
      <c r="AM40" s="148">
        <f>Valores!$C$86</f>
        <v>4550</v>
      </c>
      <c r="AN40" s="148"/>
      <c r="AO40" s="150">
        <f>Valores!$C$51</f>
        <v>327.6</v>
      </c>
      <c r="AP40" s="152">
        <f t="shared" si="6"/>
        <v>5596.83</v>
      </c>
      <c r="AQ40" s="153">
        <f>AJ40*-Valores!$C$68</f>
        <v>-8891.024263846153</v>
      </c>
      <c r="AR40" s="153">
        <f>AJ40*-Valores!$C$69</f>
        <v>0</v>
      </c>
      <c r="AS40" s="147">
        <f>AJ40*-Valores!$C$70</f>
        <v>-3637.2371988461537</v>
      </c>
      <c r="AT40" s="147">
        <v>-159.43</v>
      </c>
      <c r="AU40" s="147">
        <f t="shared" si="7"/>
        <v>-53.83</v>
      </c>
      <c r="AV40" s="151">
        <f t="shared" si="8"/>
        <v>73682.80184500001</v>
      </c>
      <c r="AW40" s="155"/>
      <c r="AX40" s="155">
        <v>45</v>
      </c>
      <c r="AY40" s="140" t="s">
        <v>4</v>
      </c>
    </row>
    <row r="41" spans="1:51" s="117" customFormat="1" ht="11.25" customHeight="1">
      <c r="A41" s="139">
        <v>38</v>
      </c>
      <c r="B41" s="139"/>
      <c r="C41" s="140" t="s">
        <v>200</v>
      </c>
      <c r="D41" s="140"/>
      <c r="E41" s="140">
        <f t="shared" si="0"/>
        <v>30</v>
      </c>
      <c r="F41" s="141" t="s">
        <v>201</v>
      </c>
      <c r="G41" s="142">
        <v>85</v>
      </c>
      <c r="H41" s="143">
        <f>INT((G41*Valores!$C$2*100)+0.5)/100</f>
        <v>793.87</v>
      </c>
      <c r="I41" s="144">
        <v>3498</v>
      </c>
      <c r="J41" s="145">
        <f>INT((I41*Valores!$C$2*100)+0.5)/100</f>
        <v>32670.27</v>
      </c>
      <c r="K41" s="146">
        <v>1209</v>
      </c>
      <c r="L41" s="145">
        <f>INT((K41*Valores!$C$2*100)+0.5)/100</f>
        <v>11291.7</v>
      </c>
      <c r="M41" s="142">
        <v>0</v>
      </c>
      <c r="N41" s="145">
        <f>INT((M41*Valores!$C$2*100)+0.5)/100</f>
        <v>0</v>
      </c>
      <c r="O41" s="145">
        <f t="shared" si="1"/>
        <v>7655.630999999999</v>
      </c>
      <c r="P41" s="145">
        <f t="shared" si="2"/>
        <v>0</v>
      </c>
      <c r="Q41" s="147">
        <f>Valores!$C$18</f>
        <v>14129.78</v>
      </c>
      <c r="R41" s="147">
        <f>Valores!$D$4</f>
        <v>4774.45</v>
      </c>
      <c r="S41" s="145">
        <v>0</v>
      </c>
      <c r="T41" s="148">
        <f>IF($H$5="NO",Valores!$C$44,Valores!$C$44/2)</f>
        <v>2384.69</v>
      </c>
      <c r="U41" s="145">
        <f>Valores!$C$24</f>
        <v>3897.01</v>
      </c>
      <c r="V41" s="145">
        <f t="shared" si="3"/>
        <v>3897.01</v>
      </c>
      <c r="W41" s="145">
        <v>0</v>
      </c>
      <c r="X41" s="145">
        <v>0</v>
      </c>
      <c r="Y41" s="149">
        <v>0</v>
      </c>
      <c r="Z41" s="145">
        <f>Y41*Valores!$C$2</f>
        <v>0</v>
      </c>
      <c r="AA41" s="145">
        <v>0</v>
      </c>
      <c r="AB41" s="148">
        <f>Valores!$C$89</f>
        <v>1153.8461538461538</v>
      </c>
      <c r="AC41" s="150">
        <f>Valores!$C$30</f>
        <v>199.86</v>
      </c>
      <c r="AD41" s="145">
        <f t="shared" si="4"/>
        <v>0</v>
      </c>
      <c r="AE41" s="145">
        <f>Valores!$C$31</f>
        <v>199.86</v>
      </c>
      <c r="AF41" s="149">
        <v>0</v>
      </c>
      <c r="AG41" s="145">
        <f>INT(((AF41*Valores!$C$2)*100)+0.5)/100</f>
        <v>0</v>
      </c>
      <c r="AH41" s="145">
        <f>IF($H$5="NO",Valores!$C$59,Valores!$C$59/2)</f>
        <v>406.53</v>
      </c>
      <c r="AI41" s="145">
        <f>IF($H$5="NO",Valores!$C$61,Valores!$C$61/2)</f>
        <v>116.15</v>
      </c>
      <c r="AJ41" s="151">
        <f t="shared" si="5"/>
        <v>79673.64715384615</v>
      </c>
      <c r="AK41" s="147">
        <f>Valores!$C$36</f>
        <v>1046.83</v>
      </c>
      <c r="AL41" s="148">
        <f>Valores!$C$9</f>
        <v>0</v>
      </c>
      <c r="AM41" s="148">
        <f>Valores!$C$84</f>
        <v>2275</v>
      </c>
      <c r="AN41" s="148"/>
      <c r="AO41" s="150">
        <f>Valores!$C$51</f>
        <v>327.6</v>
      </c>
      <c r="AP41" s="152">
        <f t="shared" si="6"/>
        <v>3321.83</v>
      </c>
      <c r="AQ41" s="153">
        <f>AJ41*-Valores!$C$68</f>
        <v>-8764.101186923077</v>
      </c>
      <c r="AR41" s="153">
        <f>AJ41*-Valores!$C$69</f>
        <v>0</v>
      </c>
      <c r="AS41" s="147">
        <f>AJ41*-Valores!$C$70</f>
        <v>-3585.3141219230765</v>
      </c>
      <c r="AT41" s="147">
        <v>-159.43</v>
      </c>
      <c r="AU41" s="147">
        <f t="shared" si="7"/>
        <v>-53.83</v>
      </c>
      <c r="AV41" s="151">
        <f t="shared" si="8"/>
        <v>70432.80184500001</v>
      </c>
      <c r="AW41" s="155"/>
      <c r="AX41" s="155">
        <v>45</v>
      </c>
      <c r="AY41" s="140" t="s">
        <v>8</v>
      </c>
    </row>
    <row r="42" spans="1:51" s="117" customFormat="1" ht="11.25" customHeight="1">
      <c r="A42" s="139">
        <v>39</v>
      </c>
      <c r="B42" s="139"/>
      <c r="C42" s="140" t="s">
        <v>202</v>
      </c>
      <c r="D42" s="140"/>
      <c r="E42" s="140">
        <f t="shared" si="0"/>
        <v>30</v>
      </c>
      <c r="F42" s="141" t="s">
        <v>203</v>
      </c>
      <c r="G42" s="142">
        <v>101</v>
      </c>
      <c r="H42" s="143">
        <f>INT((G42*Valores!$C$2*100)+0.5)/100</f>
        <v>943.31</v>
      </c>
      <c r="I42" s="144">
        <v>2548</v>
      </c>
      <c r="J42" s="145">
        <f>INT((I42*Valores!$C$2*100)+0.5)/100</f>
        <v>23797.56</v>
      </c>
      <c r="K42" s="146">
        <v>216</v>
      </c>
      <c r="L42" s="145">
        <f>INT((K42*Valores!$C$2*100)+0.5)/100</f>
        <v>2017.38</v>
      </c>
      <c r="M42" s="142">
        <v>0</v>
      </c>
      <c r="N42" s="145">
        <f>INT((M42*Valores!$C$2*100)+0.5)/100</f>
        <v>0</v>
      </c>
      <c r="O42" s="145">
        <f t="shared" si="1"/>
        <v>4955.9925</v>
      </c>
      <c r="P42" s="145">
        <f t="shared" si="2"/>
        <v>0</v>
      </c>
      <c r="Q42" s="147">
        <f>Valores!$C$16</f>
        <v>8673.47</v>
      </c>
      <c r="R42" s="147">
        <f>Valores!$D$4</f>
        <v>4774.45</v>
      </c>
      <c r="S42" s="145">
        <v>0</v>
      </c>
      <c r="T42" s="148">
        <f>IF($H$5="NO",Valores!$C$44,Valores!$C$44/2)</f>
        <v>2384.69</v>
      </c>
      <c r="U42" s="145">
        <f>Valores!$C$24</f>
        <v>3897.01</v>
      </c>
      <c r="V42" s="145">
        <f t="shared" si="3"/>
        <v>3897.01</v>
      </c>
      <c r="W42" s="145">
        <v>0</v>
      </c>
      <c r="X42" s="145">
        <v>0</v>
      </c>
      <c r="Y42" s="149">
        <v>0</v>
      </c>
      <c r="Z42" s="145">
        <f>Y42*Valores!$C$2</f>
        <v>0</v>
      </c>
      <c r="AA42" s="145">
        <v>0</v>
      </c>
      <c r="AB42" s="148">
        <f>Valores!$C$89</f>
        <v>1153.8461538461538</v>
      </c>
      <c r="AC42" s="150">
        <f>Valores!$C$30</f>
        <v>199.86</v>
      </c>
      <c r="AD42" s="145">
        <f t="shared" si="4"/>
        <v>0</v>
      </c>
      <c r="AE42" s="145">
        <f>Valores!$C$31</f>
        <v>199.86</v>
      </c>
      <c r="AF42" s="149">
        <v>0</v>
      </c>
      <c r="AG42" s="145">
        <f>INT(((AF42*Valores!$C$2)*100)+0.5)/100</f>
        <v>0</v>
      </c>
      <c r="AH42" s="145">
        <f>IF($H$5="NO",Valores!$C$59,Valores!$C$59/2)</f>
        <v>406.53</v>
      </c>
      <c r="AI42" s="145">
        <f>IF($H$5="NO",Valores!$C$61,Valores!$C$61/2)</f>
        <v>116.15</v>
      </c>
      <c r="AJ42" s="151">
        <f t="shared" si="5"/>
        <v>53520.10865384616</v>
      </c>
      <c r="AK42" s="147">
        <f>Valores!$C$36</f>
        <v>1046.83</v>
      </c>
      <c r="AL42" s="148">
        <f>Valores!$C$9</f>
        <v>0</v>
      </c>
      <c r="AM42" s="148">
        <f>Valores!$C$84</f>
        <v>2275</v>
      </c>
      <c r="AN42" s="148"/>
      <c r="AO42" s="150">
        <f>Valores!$C$51</f>
        <v>327.6</v>
      </c>
      <c r="AP42" s="152">
        <f t="shared" si="6"/>
        <v>3321.83</v>
      </c>
      <c r="AQ42" s="153">
        <f>AJ42*-Valores!$C$68</f>
        <v>-5887.211951923077</v>
      </c>
      <c r="AR42" s="153">
        <f>AJ42*-Valores!$C$69</f>
        <v>0</v>
      </c>
      <c r="AS42" s="147">
        <f>AJ42*-Valores!$C$70</f>
        <v>-2408.4048894230773</v>
      </c>
      <c r="AT42" s="147">
        <v>-159.43</v>
      </c>
      <c r="AU42" s="147">
        <f t="shared" si="7"/>
        <v>-53.83</v>
      </c>
      <c r="AV42" s="151">
        <f t="shared" si="8"/>
        <v>48333.061812500004</v>
      </c>
      <c r="AW42" s="155"/>
      <c r="AX42" s="155">
        <v>45</v>
      </c>
      <c r="AY42" s="140" t="s">
        <v>8</v>
      </c>
    </row>
    <row r="43" spans="1:51" s="117" customFormat="1" ht="11.25" customHeight="1">
      <c r="A43" s="157">
        <v>40</v>
      </c>
      <c r="B43" s="157" t="s">
        <v>143</v>
      </c>
      <c r="C43" s="140" t="s">
        <v>204</v>
      </c>
      <c r="D43" s="140"/>
      <c r="E43" s="140">
        <f t="shared" si="0"/>
        <v>30</v>
      </c>
      <c r="F43" s="141" t="s">
        <v>203</v>
      </c>
      <c r="G43" s="142">
        <v>101</v>
      </c>
      <c r="H43" s="143">
        <f>INT((G43*Valores!$C$2*100)+0.5)/100</f>
        <v>943.31</v>
      </c>
      <c r="I43" s="144">
        <v>2548</v>
      </c>
      <c r="J43" s="145">
        <f>INT((I43*Valores!$C$2*100)+0.5)/100</f>
        <v>23797.56</v>
      </c>
      <c r="K43" s="146">
        <v>216</v>
      </c>
      <c r="L43" s="145">
        <f>INT((K43*Valores!$C$2*100)+0.5)/100</f>
        <v>2017.38</v>
      </c>
      <c r="M43" s="142">
        <v>0</v>
      </c>
      <c r="N43" s="145">
        <f>INT((M43*Valores!$C$2*100)+0.5)/100</f>
        <v>0</v>
      </c>
      <c r="O43" s="145">
        <f t="shared" si="1"/>
        <v>4955.9925</v>
      </c>
      <c r="P43" s="145">
        <f t="shared" si="2"/>
        <v>0</v>
      </c>
      <c r="Q43" s="147">
        <f>Valores!$C$16</f>
        <v>8673.47</v>
      </c>
      <c r="R43" s="147">
        <f>Valores!$D$4</f>
        <v>4774.45</v>
      </c>
      <c r="S43" s="145">
        <v>0</v>
      </c>
      <c r="T43" s="148">
        <f>IF($H$5="NO",Valores!$C$44,Valores!$C$44/2)</f>
        <v>2384.69</v>
      </c>
      <c r="U43" s="145">
        <f>Valores!$C$24</f>
        <v>3897.01</v>
      </c>
      <c r="V43" s="145">
        <f t="shared" si="3"/>
        <v>3897.01</v>
      </c>
      <c r="W43" s="145">
        <v>0</v>
      </c>
      <c r="X43" s="145">
        <v>0</v>
      </c>
      <c r="Y43" s="149">
        <v>0</v>
      </c>
      <c r="Z43" s="145">
        <f>Y43*Valores!$C$2</f>
        <v>0</v>
      </c>
      <c r="AA43" s="145">
        <v>0</v>
      </c>
      <c r="AB43" s="148">
        <f>Valores!$C$89</f>
        <v>1153.8461538461538</v>
      </c>
      <c r="AC43" s="150">
        <f>Valores!$C$30</f>
        <v>199.86</v>
      </c>
      <c r="AD43" s="145">
        <f t="shared" si="4"/>
        <v>0</v>
      </c>
      <c r="AE43" s="145">
        <f>Valores!$C$31</f>
        <v>199.86</v>
      </c>
      <c r="AF43" s="149">
        <v>0</v>
      </c>
      <c r="AG43" s="145">
        <f>INT(((AF43*Valores!$C$2)*100)+0.5)/100</f>
        <v>0</v>
      </c>
      <c r="AH43" s="145">
        <f>IF($H$5="NO",Valores!$C$59,Valores!$C$59/2)</f>
        <v>406.53</v>
      </c>
      <c r="AI43" s="145">
        <f>IF($H$5="NO",Valores!$C$61,Valores!$C$61/2)</f>
        <v>116.15</v>
      </c>
      <c r="AJ43" s="151">
        <f t="shared" si="5"/>
        <v>53520.10865384616</v>
      </c>
      <c r="AK43" s="147">
        <f>Valores!$C$36</f>
        <v>1046.83</v>
      </c>
      <c r="AL43" s="148">
        <f>Valores!$C$9</f>
        <v>0</v>
      </c>
      <c r="AM43" s="148">
        <f>Valores!$C$84</f>
        <v>2275</v>
      </c>
      <c r="AN43" s="148"/>
      <c r="AO43" s="150">
        <f>Valores!$C$51</f>
        <v>327.6</v>
      </c>
      <c r="AP43" s="152">
        <f t="shared" si="6"/>
        <v>3321.83</v>
      </c>
      <c r="AQ43" s="153">
        <f>AJ43*-Valores!$C$68</f>
        <v>-5887.211951923077</v>
      </c>
      <c r="AR43" s="153">
        <f>AJ43*-Valores!$C$69</f>
        <v>0</v>
      </c>
      <c r="AS43" s="147">
        <f>AJ43*-Valores!$C$70</f>
        <v>-2408.4048894230773</v>
      </c>
      <c r="AT43" s="147">
        <v>-159.43</v>
      </c>
      <c r="AU43" s="147">
        <f t="shared" si="7"/>
        <v>-53.83</v>
      </c>
      <c r="AV43" s="151">
        <f t="shared" si="8"/>
        <v>48333.061812500004</v>
      </c>
      <c r="AW43" s="155"/>
      <c r="AX43" s="155">
        <v>45</v>
      </c>
      <c r="AY43" s="140" t="s">
        <v>8</v>
      </c>
    </row>
    <row r="44" spans="1:51" s="117" customFormat="1" ht="11.25" customHeight="1">
      <c r="A44" s="139">
        <v>41</v>
      </c>
      <c r="B44" s="139"/>
      <c r="C44" s="140" t="s">
        <v>205</v>
      </c>
      <c r="D44" s="140"/>
      <c r="E44" s="140">
        <f t="shared" si="0"/>
        <v>27</v>
      </c>
      <c r="F44" s="141" t="s">
        <v>206</v>
      </c>
      <c r="G44" s="142">
        <v>96</v>
      </c>
      <c r="H44" s="143">
        <f>INT((G44*Valores!$C$2*100)+0.5)/100</f>
        <v>896.61</v>
      </c>
      <c r="I44" s="144">
        <v>2475</v>
      </c>
      <c r="J44" s="145">
        <f>INT((I44*Valores!$C$2*100)+0.5)/100</f>
        <v>23115.76</v>
      </c>
      <c r="K44" s="146">
        <v>213</v>
      </c>
      <c r="L44" s="145">
        <f>INT((K44*Valores!$C$2*100)+0.5)/100</f>
        <v>1989.36</v>
      </c>
      <c r="M44" s="142">
        <v>0</v>
      </c>
      <c r="N44" s="145">
        <f>INT((M44*Valores!$C$2*100)+0.5)/100</f>
        <v>0</v>
      </c>
      <c r="O44" s="145">
        <f t="shared" si="1"/>
        <v>4727.784</v>
      </c>
      <c r="P44" s="145">
        <f t="shared" si="2"/>
        <v>0</v>
      </c>
      <c r="Q44" s="147">
        <f>Valores!$C$16</f>
        <v>8673.47</v>
      </c>
      <c r="R44" s="147">
        <f>Valores!$D$4</f>
        <v>4774.45</v>
      </c>
      <c r="S44" s="145">
        <v>0</v>
      </c>
      <c r="T44" s="148">
        <f>IF($H$5="NO",Valores!$C$43,Valores!$C$43/2)</f>
        <v>1619.82</v>
      </c>
      <c r="U44" s="145">
        <f>Valores!$C$24</f>
        <v>3897.01</v>
      </c>
      <c r="V44" s="145">
        <f t="shared" si="3"/>
        <v>3897.01</v>
      </c>
      <c r="W44" s="145">
        <v>0</v>
      </c>
      <c r="X44" s="145">
        <v>0</v>
      </c>
      <c r="Y44" s="149">
        <v>0</v>
      </c>
      <c r="Z44" s="145">
        <f>Y44*Valores!$C$2</f>
        <v>0</v>
      </c>
      <c r="AA44" s="145">
        <v>0</v>
      </c>
      <c r="AB44" s="148">
        <f>Valores!$C$89</f>
        <v>1153.8461538461538</v>
      </c>
      <c r="AC44" s="150">
        <f>Valores!$C$30</f>
        <v>199.86</v>
      </c>
      <c r="AD44" s="145">
        <f t="shared" si="4"/>
        <v>0</v>
      </c>
      <c r="AE44" s="145">
        <f>Valores!$C$31</f>
        <v>199.86</v>
      </c>
      <c r="AF44" s="149">
        <v>0</v>
      </c>
      <c r="AG44" s="145">
        <f>INT(((AF44*Valores!$C$2)*100)+0.5)/100</f>
        <v>0</v>
      </c>
      <c r="AH44" s="145">
        <f>IF($H$5="NO",Valores!$C$59,Valores!$C$59/2)</f>
        <v>406.53</v>
      </c>
      <c r="AI44" s="145">
        <f>IF($H$5="NO",Valores!$C$61,Valores!$C$61/2)</f>
        <v>116.15</v>
      </c>
      <c r="AJ44" s="151">
        <f t="shared" si="5"/>
        <v>51770.51015384615</v>
      </c>
      <c r="AK44" s="147">
        <f>Valores!$C$36</f>
        <v>1046.83</v>
      </c>
      <c r="AL44" s="148">
        <f>Valores!$C$8</f>
        <v>0</v>
      </c>
      <c r="AM44" s="148">
        <f>Valores!$C$84</f>
        <v>2275</v>
      </c>
      <c r="AN44" s="148"/>
      <c r="AO44" s="150">
        <f>Valores!$C$52</f>
        <v>170.34</v>
      </c>
      <c r="AP44" s="152">
        <f t="shared" si="6"/>
        <v>3321.83</v>
      </c>
      <c r="AQ44" s="153">
        <f>AJ44*-Valores!$C$68</f>
        <v>-5694.756116923077</v>
      </c>
      <c r="AR44" s="153">
        <f>AJ44*-Valores!$C$69</f>
        <v>0</v>
      </c>
      <c r="AS44" s="147">
        <f>AJ44*-Valores!$C$70</f>
        <v>-2329.672956923077</v>
      </c>
      <c r="AT44" s="147">
        <v>-159.43</v>
      </c>
      <c r="AU44" s="147">
        <f t="shared" si="7"/>
        <v>-53.83</v>
      </c>
      <c r="AV44" s="151">
        <f t="shared" si="8"/>
        <v>46854.65108</v>
      </c>
      <c r="AW44" s="155"/>
      <c r="AX44" s="155">
        <v>45</v>
      </c>
      <c r="AY44" s="140" t="s">
        <v>4</v>
      </c>
    </row>
    <row r="45" spans="1:51" s="117" customFormat="1" ht="11.25" customHeight="1">
      <c r="A45" s="139">
        <v>42</v>
      </c>
      <c r="B45" s="139"/>
      <c r="C45" s="140" t="s">
        <v>207</v>
      </c>
      <c r="D45" s="140"/>
      <c r="E45" s="140">
        <f t="shared" si="0"/>
        <v>31</v>
      </c>
      <c r="F45" s="141" t="s">
        <v>208</v>
      </c>
      <c r="G45" s="142">
        <v>72</v>
      </c>
      <c r="H45" s="143">
        <f>INT((G45*Valores!$C$2*100)+0.5)/100</f>
        <v>672.46</v>
      </c>
      <c r="I45" s="144">
        <v>2471</v>
      </c>
      <c r="J45" s="145">
        <f>INT((I45*Valores!$C$2*100)+0.5)/100</f>
        <v>23078.4</v>
      </c>
      <c r="K45" s="146">
        <v>199</v>
      </c>
      <c r="L45" s="145">
        <f>INT((K45*Valores!$C$2*100)+0.5)/100</f>
        <v>1858.6</v>
      </c>
      <c r="M45" s="142">
        <v>0</v>
      </c>
      <c r="N45" s="145">
        <f>INT((M45*Valores!$C$2*100)+0.5)/100</f>
        <v>0</v>
      </c>
      <c r="O45" s="145">
        <f t="shared" si="1"/>
        <v>4668.9435</v>
      </c>
      <c r="P45" s="145">
        <f t="shared" si="2"/>
        <v>0</v>
      </c>
      <c r="Q45" s="147">
        <f>Valores!$C$16</f>
        <v>8673.47</v>
      </c>
      <c r="R45" s="147">
        <f>Valores!$D$4</f>
        <v>4774.45</v>
      </c>
      <c r="S45" s="145">
        <v>0</v>
      </c>
      <c r="T45" s="148">
        <f>IF($H$5="NO",Valores!$C$43,Valores!$C$43/2)</f>
        <v>1619.82</v>
      </c>
      <c r="U45" s="145">
        <f>Valores!$C$24</f>
        <v>3897.01</v>
      </c>
      <c r="V45" s="145">
        <f t="shared" si="3"/>
        <v>3897.01</v>
      </c>
      <c r="W45" s="145">
        <v>0</v>
      </c>
      <c r="X45" s="145">
        <v>0</v>
      </c>
      <c r="Y45" s="149">
        <v>0</v>
      </c>
      <c r="Z45" s="145">
        <f>Y45*Valores!$C$2</f>
        <v>0</v>
      </c>
      <c r="AA45" s="145">
        <v>0</v>
      </c>
      <c r="AB45" s="148">
        <f>Valores!$C$89</f>
        <v>1153.8461538461538</v>
      </c>
      <c r="AC45" s="150">
        <f>Valores!$C$30</f>
        <v>199.86</v>
      </c>
      <c r="AD45" s="145">
        <f t="shared" si="4"/>
        <v>0</v>
      </c>
      <c r="AE45" s="145">
        <f>Valores!$C$31</f>
        <v>199.86</v>
      </c>
      <c r="AF45" s="149">
        <v>0</v>
      </c>
      <c r="AG45" s="145">
        <f>INT(((AF45*Valores!$C$2)*100)+0.5)/100</f>
        <v>0</v>
      </c>
      <c r="AH45" s="145">
        <f>IF($H$5="NO",Valores!$C$59,Valores!$C$59/2)</f>
        <v>406.53</v>
      </c>
      <c r="AI45" s="145">
        <f>IF($H$5="NO",Valores!$C$61,Valores!$C$61/2)</f>
        <v>116.15</v>
      </c>
      <c r="AJ45" s="151">
        <f t="shared" si="5"/>
        <v>51319.39965384616</v>
      </c>
      <c r="AK45" s="147">
        <f>Valores!$C$36</f>
        <v>1046.83</v>
      </c>
      <c r="AL45" s="148">
        <f>Valores!$C$8</f>
        <v>0</v>
      </c>
      <c r="AM45" s="148">
        <f>Valores!$C$84</f>
        <v>2275</v>
      </c>
      <c r="AN45" s="148"/>
      <c r="AO45" s="150">
        <f>Valores!$C$52</f>
        <v>170.34</v>
      </c>
      <c r="AP45" s="152">
        <f t="shared" si="6"/>
        <v>3321.83</v>
      </c>
      <c r="AQ45" s="153">
        <f>AJ45*-Valores!$C$68</f>
        <v>-5645.133961923078</v>
      </c>
      <c r="AR45" s="153">
        <f>AJ45*-Valores!$C$69</f>
        <v>0</v>
      </c>
      <c r="AS45" s="147">
        <f>AJ45*-Valores!$C$70</f>
        <v>-2309.372984423077</v>
      </c>
      <c r="AT45" s="147">
        <v>-159.43</v>
      </c>
      <c r="AU45" s="147">
        <f t="shared" si="7"/>
        <v>-53.83</v>
      </c>
      <c r="AV45" s="151">
        <f t="shared" si="8"/>
        <v>46473.4627075</v>
      </c>
      <c r="AW45" s="155"/>
      <c r="AX45" s="155">
        <v>45</v>
      </c>
      <c r="AY45" s="140" t="s">
        <v>4</v>
      </c>
    </row>
    <row r="46" spans="1:51" s="117" customFormat="1" ht="11.25" customHeight="1">
      <c r="A46" s="139">
        <v>43</v>
      </c>
      <c r="B46" s="139"/>
      <c r="C46" s="140" t="s">
        <v>209</v>
      </c>
      <c r="D46" s="140"/>
      <c r="E46" s="140">
        <f t="shared" si="0"/>
        <v>31</v>
      </c>
      <c r="F46" s="141" t="s">
        <v>210</v>
      </c>
      <c r="G46" s="142">
        <f>G40</f>
        <v>85</v>
      </c>
      <c r="H46" s="143">
        <f>INT((G46*Valores!$C$2*100)+0.5)/100</f>
        <v>793.87</v>
      </c>
      <c r="I46" s="144">
        <f>I40</f>
        <v>3498</v>
      </c>
      <c r="J46" s="145">
        <f>INT((I46*Valores!$C$2*100)+0.5)/100</f>
        <v>32670.27</v>
      </c>
      <c r="K46" s="146">
        <f>K40</f>
        <v>1209</v>
      </c>
      <c r="L46" s="145">
        <f>INT((K46*Valores!$C$2*100)+0.5)/100</f>
        <v>11291.7</v>
      </c>
      <c r="M46" s="158">
        <v>0</v>
      </c>
      <c r="N46" s="145">
        <f>INT((M46*Valores!$C$2*100)+0.5)/100</f>
        <v>0</v>
      </c>
      <c r="O46" s="145">
        <f t="shared" si="1"/>
        <v>7655.630999999999</v>
      </c>
      <c r="P46" s="145">
        <f t="shared" si="2"/>
        <v>0</v>
      </c>
      <c r="Q46" s="147">
        <f>Q40</f>
        <v>14129.78</v>
      </c>
      <c r="R46" s="147">
        <f>R40</f>
        <v>4774.45</v>
      </c>
      <c r="S46" s="159">
        <v>0</v>
      </c>
      <c r="T46" s="148">
        <f>IF($H$5="NO",Valores!$C$44,Valores!$C$44/2)</f>
        <v>2384.69</v>
      </c>
      <c r="U46" s="159">
        <f>U40</f>
        <v>3897.01</v>
      </c>
      <c r="V46" s="145">
        <f t="shared" si="3"/>
        <v>3897.01</v>
      </c>
      <c r="W46" s="145">
        <v>0</v>
      </c>
      <c r="X46" s="145">
        <v>0</v>
      </c>
      <c r="Y46" s="149">
        <v>0</v>
      </c>
      <c r="Z46" s="145">
        <f>Y46*Valores!$C$2</f>
        <v>0</v>
      </c>
      <c r="AA46" s="145">
        <v>0</v>
      </c>
      <c r="AB46" s="147">
        <f>AB40</f>
        <v>2307.6923076923076</v>
      </c>
      <c r="AC46" s="159">
        <f>Valores!$C$30</f>
        <v>199.86</v>
      </c>
      <c r="AD46" s="145">
        <f t="shared" si="4"/>
        <v>0</v>
      </c>
      <c r="AE46" s="159">
        <f>Valores!$C$31</f>
        <v>199.86</v>
      </c>
      <c r="AF46" s="149">
        <v>0</v>
      </c>
      <c r="AG46" s="147">
        <f>INT(((AF46*Valores!$C$2)*100)+0.5)/100</f>
        <v>0</v>
      </c>
      <c r="AH46" s="145">
        <f>IF($H$5="NO",Valores!$C$59,Valores!$C$59/2)</f>
        <v>406.53</v>
      </c>
      <c r="AI46" s="145">
        <f>IF($H$5="NO",Valores!$C$61,Valores!$C$61/2)</f>
        <v>116.15</v>
      </c>
      <c r="AJ46" s="151">
        <f t="shared" si="5"/>
        <v>80827.4933076923</v>
      </c>
      <c r="AK46" s="147">
        <f>Valores!$C$36</f>
        <v>1046.83</v>
      </c>
      <c r="AL46" s="148">
        <f>AL40</f>
        <v>0</v>
      </c>
      <c r="AM46" s="147">
        <f>AM40</f>
        <v>4550</v>
      </c>
      <c r="AN46" s="148"/>
      <c r="AO46" s="150">
        <f>AO40</f>
        <v>327.6</v>
      </c>
      <c r="AP46" s="152">
        <f t="shared" si="6"/>
        <v>5596.83</v>
      </c>
      <c r="AQ46" s="153">
        <f>AJ46*-Valores!$C$68</f>
        <v>-8891.024263846153</v>
      </c>
      <c r="AR46" s="153">
        <f>AJ46*-Valores!$C$69</f>
        <v>0</v>
      </c>
      <c r="AS46" s="147">
        <f>AJ46*-Valores!$C$70</f>
        <v>-3637.2371988461537</v>
      </c>
      <c r="AT46" s="147">
        <v>-159.43</v>
      </c>
      <c r="AU46" s="147">
        <f t="shared" si="7"/>
        <v>-53.83</v>
      </c>
      <c r="AV46" s="151">
        <f t="shared" si="8"/>
        <v>73682.80184500001</v>
      </c>
      <c r="AW46" s="155"/>
      <c r="AX46" s="155">
        <v>45</v>
      </c>
      <c r="AY46" s="140" t="s">
        <v>8</v>
      </c>
    </row>
    <row r="47" spans="1:51" s="117" customFormat="1" ht="11.25" customHeight="1">
      <c r="A47" s="139">
        <v>44</v>
      </c>
      <c r="B47" s="139"/>
      <c r="C47" s="140" t="s">
        <v>211</v>
      </c>
      <c r="D47" s="140"/>
      <c r="E47" s="140">
        <f t="shared" si="0"/>
        <v>26</v>
      </c>
      <c r="F47" s="141" t="s">
        <v>212</v>
      </c>
      <c r="G47" s="142">
        <f>G89+G306</f>
        <v>518</v>
      </c>
      <c r="H47" s="143">
        <f>INT((G47*Valores!$C$2*100)+0.5)/100</f>
        <v>4837.96</v>
      </c>
      <c r="I47" s="144">
        <f>I89+I306</f>
        <v>1997</v>
      </c>
      <c r="J47" s="145">
        <f>INT((I47*Valores!$C$2*100)+0.5)/100</f>
        <v>18651.38</v>
      </c>
      <c r="K47" s="160">
        <v>0</v>
      </c>
      <c r="L47" s="145">
        <f>INT((K47*Valores!$C$2*100)+0.5)/100</f>
        <v>0</v>
      </c>
      <c r="M47" s="158">
        <v>0</v>
      </c>
      <c r="N47" s="145">
        <f>INT((M47*Valores!$C$2*100)+0.5)/100</f>
        <v>0</v>
      </c>
      <c r="O47" s="145">
        <f t="shared" si="1"/>
        <v>4402.112999999999</v>
      </c>
      <c r="P47" s="145">
        <f t="shared" si="2"/>
        <v>0</v>
      </c>
      <c r="Q47" s="147">
        <f aca="true" t="shared" si="11" ref="Q47:V47">Q89+Q306</f>
        <v>10473.48</v>
      </c>
      <c r="R47" s="147">
        <f t="shared" si="11"/>
        <v>4774.45</v>
      </c>
      <c r="S47" s="159">
        <f t="shared" si="11"/>
        <v>4359.58</v>
      </c>
      <c r="T47" s="159">
        <f t="shared" si="11"/>
        <v>1961.07</v>
      </c>
      <c r="U47" s="159">
        <f t="shared" si="11"/>
        <v>3897.01</v>
      </c>
      <c r="V47" s="147">
        <f t="shared" si="11"/>
        <v>3897.01</v>
      </c>
      <c r="W47" s="145">
        <v>0</v>
      </c>
      <c r="X47" s="145">
        <v>0</v>
      </c>
      <c r="Y47" s="149">
        <v>0</v>
      </c>
      <c r="Z47" s="145">
        <f>Y47*Valores!$C$2</f>
        <v>0</v>
      </c>
      <c r="AA47" s="145">
        <v>0</v>
      </c>
      <c r="AB47" s="147">
        <f>AB89+AB306</f>
        <v>1153.8461538461538</v>
      </c>
      <c r="AC47" s="147">
        <f>Valores!$C$30</f>
        <v>199.86</v>
      </c>
      <c r="AD47" s="145">
        <f t="shared" si="4"/>
        <v>0</v>
      </c>
      <c r="AE47" s="217">
        <f>Valores!$C$31</f>
        <v>199.86</v>
      </c>
      <c r="AF47" s="149">
        <v>0</v>
      </c>
      <c r="AG47" s="145">
        <f>INT(((AF47*Valores!$C$2)*100)+0.5)/100</f>
        <v>0</v>
      </c>
      <c r="AH47" s="145">
        <f>IF($H$5="NO",Valores!$C$59,Valores!$C$59/2)</f>
        <v>406.53</v>
      </c>
      <c r="AI47" s="145">
        <f>IF($H$5="NO",Valores!$C$61,Valores!$C$61/2)</f>
        <v>116.15</v>
      </c>
      <c r="AJ47" s="151">
        <f t="shared" si="5"/>
        <v>55433.28915384616</v>
      </c>
      <c r="AK47" s="147">
        <f>Valores!$C$36</f>
        <v>1046.83</v>
      </c>
      <c r="AL47" s="147">
        <f>AL89+AL306</f>
        <v>0</v>
      </c>
      <c r="AM47" s="147">
        <f>AM89+AM306</f>
        <v>2275</v>
      </c>
      <c r="AN47" s="148"/>
      <c r="AO47" s="147">
        <f>AO89+AO306</f>
        <v>170.34</v>
      </c>
      <c r="AP47" s="152">
        <f t="shared" si="6"/>
        <v>3321.83</v>
      </c>
      <c r="AQ47" s="153">
        <f>AJ47*-Valores!$C$68</f>
        <v>-6097.661806923078</v>
      </c>
      <c r="AR47" s="153">
        <f>AJ47*-Valores!$C$69</f>
        <v>0</v>
      </c>
      <c r="AS47" s="147">
        <f>AJ47*-Valores!$C$70</f>
        <v>-2494.4980119230772</v>
      </c>
      <c r="AT47" s="147">
        <v>-159.43</v>
      </c>
      <c r="AU47" s="147">
        <f t="shared" si="7"/>
        <v>-53.83</v>
      </c>
      <c r="AV47" s="151">
        <f t="shared" si="8"/>
        <v>49949.69933500001</v>
      </c>
      <c r="AW47" s="155"/>
      <c r="AX47" s="155"/>
      <c r="AY47" s="140" t="s">
        <v>8</v>
      </c>
    </row>
    <row r="48" spans="1:51" s="117" customFormat="1" ht="11.25" customHeight="1">
      <c r="A48" s="157">
        <v>45</v>
      </c>
      <c r="B48" s="157" t="s">
        <v>143</v>
      </c>
      <c r="C48" s="140" t="s">
        <v>213</v>
      </c>
      <c r="D48" s="140"/>
      <c r="E48" s="140">
        <f t="shared" si="0"/>
        <v>33</v>
      </c>
      <c r="F48" s="141" t="s">
        <v>214</v>
      </c>
      <c r="G48" s="142">
        <f>G56+G240</f>
        <v>572</v>
      </c>
      <c r="H48" s="143">
        <f>INT((G48*Valores!$C$2*100)+0.5)/100</f>
        <v>5342.31</v>
      </c>
      <c r="I48" s="161">
        <f>I56+I240</f>
        <v>2686</v>
      </c>
      <c r="J48" s="145">
        <f>INT((I48*Valores!$C$2*100)+0.5)/100</f>
        <v>25086.43</v>
      </c>
      <c r="K48" s="160">
        <v>0</v>
      </c>
      <c r="L48" s="145">
        <f>INT((K48*Valores!$C$2*100)+0.5)/100</f>
        <v>0</v>
      </c>
      <c r="M48" s="158">
        <v>0</v>
      </c>
      <c r="N48" s="145">
        <f>INT((M48*Valores!$C$2*100)+0.5)/100</f>
        <v>0</v>
      </c>
      <c r="O48" s="145">
        <f t="shared" si="1"/>
        <v>5539.6245</v>
      </c>
      <c r="P48" s="145">
        <f t="shared" si="2"/>
        <v>0</v>
      </c>
      <c r="Q48" s="145">
        <f>Q56+Q240</f>
        <v>10528.49</v>
      </c>
      <c r="R48" s="147">
        <f>Valores!$D$4</f>
        <v>4774.45</v>
      </c>
      <c r="S48" s="145">
        <f>S56+S240</f>
        <v>4359.58</v>
      </c>
      <c r="T48" s="148">
        <f>T56+T240</f>
        <v>2029.32</v>
      </c>
      <c r="U48" s="145">
        <f>U56+U240</f>
        <v>4472.77</v>
      </c>
      <c r="V48" s="145">
        <f aca="true" t="shared" si="12" ref="V48:V111">U48*(1+$J$2)</f>
        <v>4472.77</v>
      </c>
      <c r="W48" s="145">
        <v>0</v>
      </c>
      <c r="X48" s="145">
        <v>0</v>
      </c>
      <c r="Y48" s="149">
        <v>0</v>
      </c>
      <c r="Z48" s="145">
        <f>Y48*Valores!$C$2</f>
        <v>0</v>
      </c>
      <c r="AA48" s="145">
        <v>0</v>
      </c>
      <c r="AB48" s="145">
        <f>AB56+AB240</f>
        <v>1730.769230769231</v>
      </c>
      <c r="AC48" s="145">
        <f>AC56+AC240</f>
        <v>247.88304000000002</v>
      </c>
      <c r="AD48" s="145">
        <f t="shared" si="4"/>
        <v>0</v>
      </c>
      <c r="AE48" s="145">
        <f>Valores!$C$31</f>
        <v>199.86</v>
      </c>
      <c r="AF48" s="149">
        <v>0</v>
      </c>
      <c r="AG48" s="145">
        <f>INT(((AF48*Valores!$C$2)*100)+0.5)/100</f>
        <v>0</v>
      </c>
      <c r="AH48" s="150">
        <f>AH56+AH240</f>
        <v>569.1443999999999</v>
      </c>
      <c r="AI48" s="150">
        <f>AI56+AI240</f>
        <v>162.61520000000002</v>
      </c>
      <c r="AJ48" s="151">
        <f t="shared" si="5"/>
        <v>65043.24637076924</v>
      </c>
      <c r="AK48" s="150">
        <f>AK56+AK240</f>
        <v>1465.57</v>
      </c>
      <c r="AL48" s="148">
        <f>AL56+AL240</f>
        <v>0</v>
      </c>
      <c r="AM48" s="145">
        <f>AM56+AM240</f>
        <v>3412.5</v>
      </c>
      <c r="AN48" s="145"/>
      <c r="AO48" s="148">
        <f>AO56+AO240</f>
        <v>238.47</v>
      </c>
      <c r="AP48" s="152">
        <f t="shared" si="6"/>
        <v>4878.07</v>
      </c>
      <c r="AQ48" s="153">
        <f>AJ48*-Valores!$C$68</f>
        <v>-7154.757100784616</v>
      </c>
      <c r="AR48" s="153">
        <f>AJ48*-Valores!$C$69</f>
        <v>0</v>
      </c>
      <c r="AS48" s="147">
        <f>AJ48*-Valores!$C$70</f>
        <v>-2926.9460866846157</v>
      </c>
      <c r="AT48" s="147">
        <v>-159.43</v>
      </c>
      <c r="AU48" s="147">
        <f t="shared" si="7"/>
        <v>-53.83</v>
      </c>
      <c r="AV48" s="151">
        <f t="shared" si="8"/>
        <v>59626.353183299994</v>
      </c>
      <c r="AW48" s="155"/>
      <c r="AX48" s="155"/>
      <c r="AY48" s="140" t="s">
        <v>8</v>
      </c>
    </row>
    <row r="49" spans="1:51" s="117" customFormat="1" ht="11.25" customHeight="1">
      <c r="A49" s="139">
        <v>46</v>
      </c>
      <c r="B49" s="139"/>
      <c r="C49" s="140" t="s">
        <v>215</v>
      </c>
      <c r="D49" s="140"/>
      <c r="E49" s="140">
        <f t="shared" si="0"/>
        <v>33</v>
      </c>
      <c r="F49" s="141" t="s">
        <v>216</v>
      </c>
      <c r="G49" s="142">
        <v>108</v>
      </c>
      <c r="H49" s="143">
        <f>INT((G49*Valores!$C$2*100)+0.5)/100</f>
        <v>1008.69</v>
      </c>
      <c r="I49" s="144">
        <v>2907</v>
      </c>
      <c r="J49" s="145">
        <f>INT((I49*Valores!$C$2*100)+0.5)/100</f>
        <v>27150.51</v>
      </c>
      <c r="K49" s="160">
        <v>0</v>
      </c>
      <c r="L49" s="145">
        <f>INT((K49*Valores!$C$2*100)+0.5)/100</f>
        <v>0</v>
      </c>
      <c r="M49" s="142">
        <v>0</v>
      </c>
      <c r="N49" s="145">
        <f>INT((M49*Valores!$C$2*100)+0.5)/100</f>
        <v>0</v>
      </c>
      <c r="O49" s="145">
        <f t="shared" si="1"/>
        <v>5051.4045</v>
      </c>
      <c r="P49" s="145">
        <f t="shared" si="2"/>
        <v>0</v>
      </c>
      <c r="Q49" s="147">
        <f>Valores!$C$16</f>
        <v>8673.47</v>
      </c>
      <c r="R49" s="147">
        <f>Valores!$D$4</f>
        <v>4774.45</v>
      </c>
      <c r="S49" s="159">
        <f>Valores!$C$27</f>
        <v>4359.58</v>
      </c>
      <c r="T49" s="148">
        <f>IF($H$5="NO",Valores!$C$43,Valores!$C$43/2)</f>
        <v>1619.82</v>
      </c>
      <c r="U49" s="145">
        <f>Valores!$C$24</f>
        <v>3897.01</v>
      </c>
      <c r="V49" s="145">
        <f t="shared" si="12"/>
        <v>3897.01</v>
      </c>
      <c r="W49" s="145">
        <v>0</v>
      </c>
      <c r="X49" s="145">
        <v>0</v>
      </c>
      <c r="Y49" s="149">
        <v>0</v>
      </c>
      <c r="Z49" s="145">
        <f>Y49*Valores!$C$2</f>
        <v>0</v>
      </c>
      <c r="AA49" s="145">
        <v>0</v>
      </c>
      <c r="AB49" s="148">
        <f>Valores!$C$90</f>
        <v>1384.6153846153848</v>
      </c>
      <c r="AC49" s="150">
        <f>Valores!$C$30</f>
        <v>199.86</v>
      </c>
      <c r="AD49" s="145">
        <f t="shared" si="4"/>
        <v>0</v>
      </c>
      <c r="AE49" s="145">
        <f>Valores!$C$31</f>
        <v>199.86</v>
      </c>
      <c r="AF49" s="149">
        <v>0</v>
      </c>
      <c r="AG49" s="145">
        <f>INT(((AF49*Valores!$C$2)*100)+0.5)/100</f>
        <v>0</v>
      </c>
      <c r="AH49" s="145">
        <f>IF($H$5="NO",Valores!$C$59,Valores!$C$59/2)</f>
        <v>406.53</v>
      </c>
      <c r="AI49" s="145">
        <f>IF($H$5="NO",Valores!$C$61,Valores!$C$61/2)</f>
        <v>116.15</v>
      </c>
      <c r="AJ49" s="151">
        <f t="shared" si="5"/>
        <v>58841.94988461538</v>
      </c>
      <c r="AK49" s="147">
        <f>Valores!$C$36</f>
        <v>1046.83</v>
      </c>
      <c r="AL49" s="148">
        <f>Valores!$C$8</f>
        <v>0</v>
      </c>
      <c r="AM49" s="148">
        <f>Valores!$C$85</f>
        <v>2730</v>
      </c>
      <c r="AN49" s="148"/>
      <c r="AO49" s="150">
        <f>Valores!$C$52</f>
        <v>170.34</v>
      </c>
      <c r="AP49" s="152">
        <f t="shared" si="6"/>
        <v>3776.83</v>
      </c>
      <c r="AQ49" s="153">
        <f>AJ49*-Valores!$C$68</f>
        <v>-6472.614487307692</v>
      </c>
      <c r="AR49" s="153">
        <f>AJ49*-Valores!$C$69</f>
        <v>0</v>
      </c>
      <c r="AS49" s="147">
        <f>AJ49*-Valores!$C$70</f>
        <v>-2647.887744807692</v>
      </c>
      <c r="AT49" s="147">
        <v>-159.43</v>
      </c>
      <c r="AU49" s="147">
        <f t="shared" si="7"/>
        <v>-53.83</v>
      </c>
      <c r="AV49" s="151">
        <f t="shared" si="8"/>
        <v>53285.0176525</v>
      </c>
      <c r="AW49" s="155"/>
      <c r="AX49" s="155">
        <v>30</v>
      </c>
      <c r="AY49" s="140" t="s">
        <v>4</v>
      </c>
    </row>
    <row r="50" spans="1:51" s="117" customFormat="1" ht="11.25" customHeight="1">
      <c r="A50" s="139">
        <v>47</v>
      </c>
      <c r="B50" s="139"/>
      <c r="C50" s="140" t="s">
        <v>217</v>
      </c>
      <c r="D50" s="140"/>
      <c r="E50" s="140">
        <f t="shared" si="0"/>
        <v>33</v>
      </c>
      <c r="F50" s="141" t="s">
        <v>218</v>
      </c>
      <c r="G50" s="142">
        <v>88</v>
      </c>
      <c r="H50" s="143">
        <f>INT((G50*Valores!$C$2*100)+0.5)/100</f>
        <v>821.89</v>
      </c>
      <c r="I50" s="144">
        <v>2622</v>
      </c>
      <c r="J50" s="145">
        <f>INT((I50*Valores!$C$2*100)+0.5)/100</f>
        <v>24488.69</v>
      </c>
      <c r="K50" s="160">
        <v>0</v>
      </c>
      <c r="L50" s="145">
        <f>INT((K50*Valores!$C$2*100)+0.5)/100</f>
        <v>0</v>
      </c>
      <c r="M50" s="158">
        <v>0</v>
      </c>
      <c r="N50" s="145">
        <f>INT((M50*Valores!$C$2*100)+0.5)/100</f>
        <v>0</v>
      </c>
      <c r="O50" s="145">
        <f t="shared" si="1"/>
        <v>4624.111499999999</v>
      </c>
      <c r="P50" s="145">
        <f t="shared" si="2"/>
        <v>0</v>
      </c>
      <c r="Q50" s="147">
        <f>Valores!$C$16</f>
        <v>8673.47</v>
      </c>
      <c r="R50" s="147">
        <f>Valores!$D$4</f>
        <v>4774.45</v>
      </c>
      <c r="S50" s="159">
        <f>Valores!$C$27</f>
        <v>4359.58</v>
      </c>
      <c r="T50" s="148">
        <f>IF($H$5="NO",Valores!$C$43,Valores!$C$43/2)</f>
        <v>1619.82</v>
      </c>
      <c r="U50" s="145">
        <f>Valores!$C$24</f>
        <v>3897.01</v>
      </c>
      <c r="V50" s="145">
        <f t="shared" si="12"/>
        <v>3897.01</v>
      </c>
      <c r="W50" s="145">
        <v>0</v>
      </c>
      <c r="X50" s="145">
        <v>0</v>
      </c>
      <c r="Y50" s="149">
        <v>0</v>
      </c>
      <c r="Z50" s="145">
        <f>Y50*Valores!$C$2</f>
        <v>0</v>
      </c>
      <c r="AA50" s="145">
        <v>0</v>
      </c>
      <c r="AB50" s="148">
        <f>Valores!$C$90</f>
        <v>1384.6153846153848</v>
      </c>
      <c r="AC50" s="150">
        <f>Valores!$C$30</f>
        <v>199.86</v>
      </c>
      <c r="AD50" s="145">
        <f t="shared" si="4"/>
        <v>0</v>
      </c>
      <c r="AE50" s="145">
        <f>Valores!$C$31</f>
        <v>199.86</v>
      </c>
      <c r="AF50" s="149">
        <v>0</v>
      </c>
      <c r="AG50" s="145">
        <f>INT(((AF50*Valores!$C$2)*100)+0.5)/100</f>
        <v>0</v>
      </c>
      <c r="AH50" s="145">
        <f>IF($H$5="NO",Valores!$C$59,Valores!$C$59/2)</f>
        <v>406.53</v>
      </c>
      <c r="AI50" s="145">
        <f>IF($H$5="NO",Valores!$C$61,Valores!$C$61/2)</f>
        <v>116.15</v>
      </c>
      <c r="AJ50" s="151">
        <f t="shared" si="5"/>
        <v>55566.03688461538</v>
      </c>
      <c r="AK50" s="147">
        <f>Valores!$C$36</f>
        <v>1046.83</v>
      </c>
      <c r="AL50" s="148">
        <f>Valores!$C$8</f>
        <v>0</v>
      </c>
      <c r="AM50" s="148">
        <f>Valores!$C$85</f>
        <v>2730</v>
      </c>
      <c r="AN50" s="148"/>
      <c r="AO50" s="150">
        <f>Valores!$C$52</f>
        <v>170.34</v>
      </c>
      <c r="AP50" s="152">
        <f t="shared" si="6"/>
        <v>3776.83</v>
      </c>
      <c r="AQ50" s="153">
        <f>AJ50*-Valores!$C$68</f>
        <v>-6112.2640573076915</v>
      </c>
      <c r="AR50" s="153">
        <f>AJ50*-Valores!$C$69</f>
        <v>0</v>
      </c>
      <c r="AS50" s="147">
        <f>AJ50*-Valores!$C$70</f>
        <v>-2500.471659807692</v>
      </c>
      <c r="AT50" s="147">
        <v>-159.43</v>
      </c>
      <c r="AU50" s="147">
        <f t="shared" si="7"/>
        <v>-53.83</v>
      </c>
      <c r="AV50" s="151">
        <f t="shared" si="8"/>
        <v>50516.871167499994</v>
      </c>
      <c r="AW50" s="155"/>
      <c r="AX50" s="155">
        <v>30</v>
      </c>
      <c r="AY50" s="140" t="s">
        <v>4</v>
      </c>
    </row>
    <row r="51" spans="1:51" s="117" customFormat="1" ht="11.25" customHeight="1">
      <c r="A51" s="139">
        <v>48</v>
      </c>
      <c r="B51" s="139"/>
      <c r="C51" s="140" t="s">
        <v>219</v>
      </c>
      <c r="D51" s="140"/>
      <c r="E51" s="140">
        <f t="shared" si="0"/>
        <v>31</v>
      </c>
      <c r="F51" s="141" t="s">
        <v>220</v>
      </c>
      <c r="G51" s="142">
        <v>88</v>
      </c>
      <c r="H51" s="143">
        <f>INT((G51*Valores!$C$2*100)+0.5)/100</f>
        <v>821.89</v>
      </c>
      <c r="I51" s="144">
        <v>2622</v>
      </c>
      <c r="J51" s="145">
        <f>INT((I51*Valores!$C$2*100)+0.5)/100</f>
        <v>24488.69</v>
      </c>
      <c r="K51" s="160">
        <v>0</v>
      </c>
      <c r="L51" s="145">
        <f>INT((K51*Valores!$C$2*100)+0.5)/100</f>
        <v>0</v>
      </c>
      <c r="M51" s="158">
        <v>0</v>
      </c>
      <c r="N51" s="145">
        <f>INT((M51*Valores!$C$2*100)+0.5)/100</f>
        <v>0</v>
      </c>
      <c r="O51" s="145">
        <f t="shared" si="1"/>
        <v>4624.111499999999</v>
      </c>
      <c r="P51" s="145">
        <f t="shared" si="2"/>
        <v>0</v>
      </c>
      <c r="Q51" s="147">
        <f>Valores!$C$16</f>
        <v>8673.47</v>
      </c>
      <c r="R51" s="147">
        <f>Valores!$D$4</f>
        <v>4774.45</v>
      </c>
      <c r="S51" s="145">
        <f>Valores!$C$27</f>
        <v>4359.58</v>
      </c>
      <c r="T51" s="148">
        <f>IF($H$5="NO",Valores!$C$43,Valores!$C$43/2)</f>
        <v>1619.82</v>
      </c>
      <c r="U51" s="145">
        <f>Valores!$C$24</f>
        <v>3897.01</v>
      </c>
      <c r="V51" s="145">
        <f t="shared" si="12"/>
        <v>3897.01</v>
      </c>
      <c r="W51" s="145">
        <v>0</v>
      </c>
      <c r="X51" s="145">
        <v>0</v>
      </c>
      <c r="Y51" s="149">
        <v>0</v>
      </c>
      <c r="Z51" s="145">
        <f>Y51*Valores!$C$2</f>
        <v>0</v>
      </c>
      <c r="AA51" s="145">
        <v>0</v>
      </c>
      <c r="AB51" s="148">
        <f>Valores!$C$90</f>
        <v>1384.6153846153848</v>
      </c>
      <c r="AC51" s="150">
        <f>Valores!$C$30</f>
        <v>199.86</v>
      </c>
      <c r="AD51" s="145">
        <f t="shared" si="4"/>
        <v>0</v>
      </c>
      <c r="AE51" s="145">
        <f>Valores!$C$31</f>
        <v>199.86</v>
      </c>
      <c r="AF51" s="149">
        <v>0</v>
      </c>
      <c r="AG51" s="145">
        <f>INT(((AF51*Valores!$C$2)*100)+0.5)/100</f>
        <v>0</v>
      </c>
      <c r="AH51" s="145">
        <f>IF($H$5="NO",Valores!$C$59,Valores!$C$59/2)</f>
        <v>406.53</v>
      </c>
      <c r="AI51" s="145">
        <f>IF($H$5="NO",Valores!$C$61,Valores!$C$61/2)</f>
        <v>116.15</v>
      </c>
      <c r="AJ51" s="151">
        <f t="shared" si="5"/>
        <v>55566.03688461538</v>
      </c>
      <c r="AK51" s="147">
        <f>Valores!$C$36</f>
        <v>1046.83</v>
      </c>
      <c r="AL51" s="148">
        <f>Valores!$C$8</f>
        <v>0</v>
      </c>
      <c r="AM51" s="148">
        <f>Valores!$C$85</f>
        <v>2730</v>
      </c>
      <c r="AN51" s="148"/>
      <c r="AO51" s="150">
        <f>Valores!$C$52</f>
        <v>170.34</v>
      </c>
      <c r="AP51" s="152">
        <f t="shared" si="6"/>
        <v>3776.83</v>
      </c>
      <c r="AQ51" s="153">
        <f>AJ51*-Valores!$C$68</f>
        <v>-6112.2640573076915</v>
      </c>
      <c r="AR51" s="153">
        <f>AJ51*-Valores!$C$69</f>
        <v>0</v>
      </c>
      <c r="AS51" s="147">
        <f>AJ51*-Valores!$C$70</f>
        <v>-2500.471659807692</v>
      </c>
      <c r="AT51" s="147">
        <v>-159.43</v>
      </c>
      <c r="AU51" s="147">
        <f t="shared" si="7"/>
        <v>-53.83</v>
      </c>
      <c r="AV51" s="151">
        <f t="shared" si="8"/>
        <v>50516.871167499994</v>
      </c>
      <c r="AW51" s="155"/>
      <c r="AX51" s="155">
        <v>30</v>
      </c>
      <c r="AY51" s="140" t="s">
        <v>4</v>
      </c>
    </row>
    <row r="52" spans="1:51" s="117" customFormat="1" ht="11.25" customHeight="1">
      <c r="A52" s="139">
        <v>49</v>
      </c>
      <c r="B52" s="139"/>
      <c r="C52" s="140" t="s">
        <v>221</v>
      </c>
      <c r="D52" s="140"/>
      <c r="E52" s="140">
        <f t="shared" si="0"/>
        <v>26</v>
      </c>
      <c r="F52" s="141" t="s">
        <v>222</v>
      </c>
      <c r="G52" s="142">
        <v>80</v>
      </c>
      <c r="H52" s="143">
        <f>INT((G52*Valores!$C$2*100)+0.5)/100</f>
        <v>747.18</v>
      </c>
      <c r="I52" s="144">
        <v>2278</v>
      </c>
      <c r="J52" s="145">
        <f>INT((I52*Valores!$C$2*100)+0.5)/100</f>
        <v>21275.84</v>
      </c>
      <c r="K52" s="160">
        <v>0</v>
      </c>
      <c r="L52" s="145">
        <f>INT((K52*Valores!$C$2*100)+0.5)/100</f>
        <v>0</v>
      </c>
      <c r="M52" s="158">
        <v>0</v>
      </c>
      <c r="N52" s="145">
        <f>INT((M52*Valores!$C$2*100)+0.5)/100</f>
        <v>0</v>
      </c>
      <c r="O52" s="145">
        <f t="shared" si="1"/>
        <v>4130.9775</v>
      </c>
      <c r="P52" s="145">
        <f t="shared" si="2"/>
        <v>0</v>
      </c>
      <c r="Q52" s="147">
        <f>Valores!$C$16</f>
        <v>8673.47</v>
      </c>
      <c r="R52" s="147">
        <f>Valores!$D$4</f>
        <v>4774.45</v>
      </c>
      <c r="S52" s="159">
        <f>Valores!$C$27</f>
        <v>4359.58</v>
      </c>
      <c r="T52" s="148">
        <f>IF($H$5="NO",Valores!$C$43,Valores!$C$43/2)</f>
        <v>1619.82</v>
      </c>
      <c r="U52" s="145">
        <f>Valores!$C$24</f>
        <v>3897.01</v>
      </c>
      <c r="V52" s="145">
        <f t="shared" si="12"/>
        <v>3897.01</v>
      </c>
      <c r="W52" s="145">
        <v>0</v>
      </c>
      <c r="X52" s="145">
        <v>0</v>
      </c>
      <c r="Y52" s="149">
        <v>0</v>
      </c>
      <c r="Z52" s="145">
        <f>Y52*Valores!$C$2</f>
        <v>0</v>
      </c>
      <c r="AA52" s="145">
        <v>0</v>
      </c>
      <c r="AB52" s="148">
        <f>Valores!$C$90</f>
        <v>1384.6153846153848</v>
      </c>
      <c r="AC52" s="150">
        <f>Valores!$C$30</f>
        <v>199.86</v>
      </c>
      <c r="AD52" s="145">
        <f t="shared" si="4"/>
        <v>0</v>
      </c>
      <c r="AE52" s="145">
        <f>Valores!$C$31</f>
        <v>199.86</v>
      </c>
      <c r="AF52" s="149">
        <v>0</v>
      </c>
      <c r="AG52" s="145">
        <f>INT(((AF52*Valores!$C$2)*100)+0.5)/100</f>
        <v>0</v>
      </c>
      <c r="AH52" s="145">
        <f>IF($H$5="NO",Valores!$C$59,Valores!$C$59/2)</f>
        <v>406.53</v>
      </c>
      <c r="AI52" s="145">
        <f>IF($H$5="NO",Valores!$C$61,Valores!$C$61/2)</f>
        <v>116.15</v>
      </c>
      <c r="AJ52" s="151">
        <f t="shared" si="5"/>
        <v>51785.342884615384</v>
      </c>
      <c r="AK52" s="147">
        <f>Valores!$C$36</f>
        <v>1046.83</v>
      </c>
      <c r="AL52" s="148">
        <f>Valores!$C$8</f>
        <v>0</v>
      </c>
      <c r="AM52" s="148">
        <f>Valores!$C$85</f>
        <v>2730</v>
      </c>
      <c r="AN52" s="148"/>
      <c r="AO52" s="150">
        <f>Valores!$C$52</f>
        <v>170.34</v>
      </c>
      <c r="AP52" s="152">
        <f t="shared" si="6"/>
        <v>3776.83</v>
      </c>
      <c r="AQ52" s="153">
        <f>AJ52*-Valores!$C$68</f>
        <v>-5696.387717307693</v>
      </c>
      <c r="AR52" s="153">
        <f>AJ52*-Valores!$C$69</f>
        <v>0</v>
      </c>
      <c r="AS52" s="147">
        <f>AJ52*-Valores!$C$70</f>
        <v>-2330.340429807692</v>
      </c>
      <c r="AT52" s="147">
        <v>-159.43</v>
      </c>
      <c r="AU52" s="147">
        <f t="shared" si="7"/>
        <v>-53.83</v>
      </c>
      <c r="AV52" s="151">
        <f t="shared" si="8"/>
        <v>47322.1847375</v>
      </c>
      <c r="AW52" s="155"/>
      <c r="AX52" s="155">
        <v>30</v>
      </c>
      <c r="AY52" s="140" t="s">
        <v>4</v>
      </c>
    </row>
    <row r="53" spans="1:51" s="117" customFormat="1" ht="11.25" customHeight="1">
      <c r="A53" s="157">
        <v>50</v>
      </c>
      <c r="B53" s="157" t="s">
        <v>143</v>
      </c>
      <c r="C53" s="140" t="s">
        <v>223</v>
      </c>
      <c r="D53" s="140"/>
      <c r="E53" s="140">
        <f t="shared" si="0"/>
        <v>33</v>
      </c>
      <c r="F53" s="141" t="s">
        <v>224</v>
      </c>
      <c r="G53" s="142">
        <v>100</v>
      </c>
      <c r="H53" s="143">
        <f>INT((G53*Valores!$C$2*100)+0.5)/100</f>
        <v>933.97</v>
      </c>
      <c r="I53" s="144">
        <v>3620</v>
      </c>
      <c r="J53" s="145">
        <f>INT((I53*Valores!$C$2*100)+0.5)/100</f>
        <v>33809.71</v>
      </c>
      <c r="K53" s="160">
        <v>0</v>
      </c>
      <c r="L53" s="145">
        <f>INT((K53*Valores!$C$2*100)+0.5)/100</f>
        <v>0</v>
      </c>
      <c r="M53" s="158">
        <v>0</v>
      </c>
      <c r="N53" s="145">
        <f>INT((M53*Valores!$C$2*100)+0.5)/100</f>
        <v>0</v>
      </c>
      <c r="O53" s="145">
        <f t="shared" si="1"/>
        <v>6153.807000000001</v>
      </c>
      <c r="P53" s="145">
        <f t="shared" si="2"/>
        <v>0</v>
      </c>
      <c r="Q53" s="147">
        <f>Valores!$C$16</f>
        <v>8673.47</v>
      </c>
      <c r="R53" s="147">
        <f>Valores!$D$4</f>
        <v>4774.45</v>
      </c>
      <c r="S53" s="159">
        <f>Valores!$C$27</f>
        <v>4359.58</v>
      </c>
      <c r="T53" s="148">
        <f>IF($H$5="NO",Valores!$C$44,Valores!$C$44/2)</f>
        <v>2384.69</v>
      </c>
      <c r="U53" s="145">
        <f>Valores!$C$24</f>
        <v>3897.01</v>
      </c>
      <c r="V53" s="145">
        <f t="shared" si="12"/>
        <v>3897.01</v>
      </c>
      <c r="W53" s="145">
        <v>0</v>
      </c>
      <c r="X53" s="145">
        <v>0</v>
      </c>
      <c r="Y53" s="149">
        <v>0</v>
      </c>
      <c r="Z53" s="145">
        <f>Y53*Valores!$C$2</f>
        <v>0</v>
      </c>
      <c r="AA53" s="145">
        <v>0</v>
      </c>
      <c r="AB53" s="148">
        <f>Valores!$C$91</f>
        <v>2307.6923076923076</v>
      </c>
      <c r="AC53" s="150">
        <f>Valores!$C$30</f>
        <v>199.86</v>
      </c>
      <c r="AD53" s="145">
        <f t="shared" si="4"/>
        <v>0</v>
      </c>
      <c r="AE53" s="145">
        <f>Valores!$C$31</f>
        <v>199.86</v>
      </c>
      <c r="AF53" s="149">
        <v>0</v>
      </c>
      <c r="AG53" s="145">
        <f>INT(((AF53*Valores!$C$2)*100)+0.5)/100</f>
        <v>0</v>
      </c>
      <c r="AH53" s="145">
        <f>IF($H$5="NO",Valores!$C$59,Valores!$C$59/2)</f>
        <v>406.53</v>
      </c>
      <c r="AI53" s="145">
        <f>IF($H$5="NO",Valores!$C$61,Valores!$C$61/2)</f>
        <v>116.15</v>
      </c>
      <c r="AJ53" s="151">
        <f t="shared" si="5"/>
        <v>68216.77930769231</v>
      </c>
      <c r="AK53" s="147">
        <f>Valores!$C$36</f>
        <v>1046.83</v>
      </c>
      <c r="AL53" s="148">
        <f>Valores!$C$9</f>
        <v>0</v>
      </c>
      <c r="AM53" s="148">
        <f>Valores!$C$86</f>
        <v>4550</v>
      </c>
      <c r="AN53" s="148"/>
      <c r="AO53" s="150">
        <f>Valores!$C$52</f>
        <v>170.34</v>
      </c>
      <c r="AP53" s="152">
        <f t="shared" si="6"/>
        <v>5596.83</v>
      </c>
      <c r="AQ53" s="153">
        <f>AJ53*-Valores!$C$68</f>
        <v>-7503.845723846154</v>
      </c>
      <c r="AR53" s="153">
        <f>AJ53*-Valores!$C$69</f>
        <v>0</v>
      </c>
      <c r="AS53" s="147">
        <f>AJ53*-Valores!$C$70</f>
        <v>-3069.755068846154</v>
      </c>
      <c r="AT53" s="147">
        <v>-159.43</v>
      </c>
      <c r="AU53" s="147">
        <f t="shared" si="7"/>
        <v>-53.83</v>
      </c>
      <c r="AV53" s="151">
        <f t="shared" si="8"/>
        <v>63026.74851500001</v>
      </c>
      <c r="AW53" s="155"/>
      <c r="AX53" s="155"/>
      <c r="AY53" s="140" t="s">
        <v>4</v>
      </c>
    </row>
    <row r="54" spans="1:51" s="117" customFormat="1" ht="11.25" customHeight="1">
      <c r="A54" s="139">
        <v>51</v>
      </c>
      <c r="B54" s="139"/>
      <c r="C54" s="140" t="s">
        <v>225</v>
      </c>
      <c r="D54" s="140"/>
      <c r="E54" s="140">
        <f t="shared" si="0"/>
        <v>33</v>
      </c>
      <c r="F54" s="141" t="s">
        <v>226</v>
      </c>
      <c r="G54" s="142">
        <v>100</v>
      </c>
      <c r="H54" s="143">
        <f>INT((G54*Valores!$C$2*100)+0.5)/100</f>
        <v>933.97</v>
      </c>
      <c r="I54" s="144">
        <v>3560</v>
      </c>
      <c r="J54" s="145">
        <f>INT((I54*Valores!$C$2*100)+0.5)/100</f>
        <v>33249.33</v>
      </c>
      <c r="K54" s="160">
        <v>0</v>
      </c>
      <c r="L54" s="145">
        <f>INT((K54*Valores!$C$2*100)+0.5)/100</f>
        <v>0</v>
      </c>
      <c r="M54" s="158">
        <v>0</v>
      </c>
      <c r="N54" s="145">
        <f>INT((M54*Valores!$C$2*100)+0.5)/100</f>
        <v>0</v>
      </c>
      <c r="O54" s="145">
        <f t="shared" si="1"/>
        <v>6069.750000000001</v>
      </c>
      <c r="P54" s="145">
        <f t="shared" si="2"/>
        <v>0</v>
      </c>
      <c r="Q54" s="147">
        <f>Valores!$C$16</f>
        <v>8673.47</v>
      </c>
      <c r="R54" s="147">
        <f>Valores!$D$4</f>
        <v>4774.45</v>
      </c>
      <c r="S54" s="145">
        <v>0</v>
      </c>
      <c r="T54" s="148">
        <f>IF($H$5="NO",Valores!$C$44,Valores!$C$44/2)</f>
        <v>2384.69</v>
      </c>
      <c r="U54" s="145">
        <f>Valores!$C$24</f>
        <v>3897.01</v>
      </c>
      <c r="V54" s="145">
        <f t="shared" si="12"/>
        <v>3897.01</v>
      </c>
      <c r="W54" s="145">
        <v>0</v>
      </c>
      <c r="X54" s="145">
        <v>0</v>
      </c>
      <c r="Y54" s="149">
        <v>0</v>
      </c>
      <c r="Z54" s="145">
        <f>Y54*Valores!$C$2</f>
        <v>0</v>
      </c>
      <c r="AA54" s="145">
        <v>0</v>
      </c>
      <c r="AB54" s="148">
        <f>Valores!$C$91</f>
        <v>2307.6923076923076</v>
      </c>
      <c r="AC54" s="150">
        <f>Valores!$C$30</f>
        <v>199.86</v>
      </c>
      <c r="AD54" s="145">
        <f t="shared" si="4"/>
        <v>0</v>
      </c>
      <c r="AE54" s="145">
        <f>Valores!$C$31</f>
        <v>199.86</v>
      </c>
      <c r="AF54" s="149">
        <v>0</v>
      </c>
      <c r="AG54" s="145">
        <f>INT(((AF54*Valores!$C$2)*100)+0.5)/100</f>
        <v>0</v>
      </c>
      <c r="AH54" s="145">
        <f>IF($H$5="NO",Valores!$C$59,Valores!$C$59/2)</f>
        <v>406.53</v>
      </c>
      <c r="AI54" s="145">
        <f>IF($H$5="NO",Valores!$C$61,Valores!$C$61/2)</f>
        <v>116.15</v>
      </c>
      <c r="AJ54" s="151">
        <f t="shared" si="5"/>
        <v>63212.76230769231</v>
      </c>
      <c r="AK54" s="147">
        <f>Valores!$C$36</f>
        <v>1046.83</v>
      </c>
      <c r="AL54" s="148">
        <f>Valores!$C$9</f>
        <v>0</v>
      </c>
      <c r="AM54" s="148">
        <f>Valores!$C$86</f>
        <v>4550</v>
      </c>
      <c r="AN54" s="148"/>
      <c r="AO54" s="150">
        <f>Valores!$C$52</f>
        <v>170.34</v>
      </c>
      <c r="AP54" s="152">
        <f t="shared" si="6"/>
        <v>5596.83</v>
      </c>
      <c r="AQ54" s="153">
        <f>AJ54*-Valores!$C$68</f>
        <v>-6953.403853846155</v>
      </c>
      <c r="AR54" s="153">
        <f>AJ54*-Valores!$C$69</f>
        <v>0</v>
      </c>
      <c r="AS54" s="147">
        <f>AJ54*-Valores!$C$70</f>
        <v>-2844.5743038461537</v>
      </c>
      <c r="AT54" s="147">
        <v>-159.43</v>
      </c>
      <c r="AU54" s="147">
        <f t="shared" si="7"/>
        <v>-53.83</v>
      </c>
      <c r="AV54" s="151">
        <f t="shared" si="8"/>
        <v>58798.35415</v>
      </c>
      <c r="AW54" s="155"/>
      <c r="AX54" s="155"/>
      <c r="AY54" s="140" t="s">
        <v>8</v>
      </c>
    </row>
    <row r="55" spans="1:51" s="117" customFormat="1" ht="11.25" customHeight="1">
      <c r="A55" s="139">
        <v>52</v>
      </c>
      <c r="B55" s="139"/>
      <c r="C55" s="140" t="s">
        <v>227</v>
      </c>
      <c r="D55" s="140"/>
      <c r="E55" s="140">
        <f t="shared" si="0"/>
        <v>33</v>
      </c>
      <c r="F55" s="141" t="s">
        <v>228</v>
      </c>
      <c r="G55" s="142">
        <v>100</v>
      </c>
      <c r="H55" s="143">
        <f>INT((G55*Valores!$C$2*100)+0.5)/100</f>
        <v>933.97</v>
      </c>
      <c r="I55" s="144">
        <v>3360</v>
      </c>
      <c r="J55" s="145">
        <f>INT((I55*Valores!$C$2*100)+0.5)/100</f>
        <v>31381.39</v>
      </c>
      <c r="K55" s="160">
        <v>0</v>
      </c>
      <c r="L55" s="145">
        <f>INT((K55*Valores!$C$2*100)+0.5)/100</f>
        <v>0</v>
      </c>
      <c r="M55" s="158">
        <v>0</v>
      </c>
      <c r="N55" s="145">
        <f>INT((M55*Valores!$C$2*100)+0.5)/100</f>
        <v>0</v>
      </c>
      <c r="O55" s="145">
        <f t="shared" si="1"/>
        <v>5789.559</v>
      </c>
      <c r="P55" s="145">
        <f t="shared" si="2"/>
        <v>0</v>
      </c>
      <c r="Q55" s="147">
        <f>Valores!$C$16</f>
        <v>8673.47</v>
      </c>
      <c r="R55" s="147">
        <f>Valores!$D$4</f>
        <v>4774.45</v>
      </c>
      <c r="S55" s="159">
        <f>Valores!$C$27</f>
        <v>4359.58</v>
      </c>
      <c r="T55" s="148">
        <f>IF($H$5="NO",Valores!$C$44,Valores!$C$44/2)</f>
        <v>2384.69</v>
      </c>
      <c r="U55" s="145">
        <f>Valores!$C$24</f>
        <v>3897.01</v>
      </c>
      <c r="V55" s="145">
        <f t="shared" si="12"/>
        <v>3897.01</v>
      </c>
      <c r="W55" s="145">
        <v>0</v>
      </c>
      <c r="X55" s="145">
        <v>0</v>
      </c>
      <c r="Y55" s="149">
        <v>0</v>
      </c>
      <c r="Z55" s="145">
        <f>Y55*Valores!$C$2</f>
        <v>0</v>
      </c>
      <c r="AA55" s="145">
        <v>0</v>
      </c>
      <c r="AB55" s="148">
        <f>Valores!$C$91</f>
        <v>2307.6923076923076</v>
      </c>
      <c r="AC55" s="150">
        <f>Valores!$C$30</f>
        <v>199.86</v>
      </c>
      <c r="AD55" s="145">
        <f t="shared" si="4"/>
        <v>0</v>
      </c>
      <c r="AE55" s="145">
        <f>Valores!$C$31</f>
        <v>199.86</v>
      </c>
      <c r="AF55" s="149">
        <v>0</v>
      </c>
      <c r="AG55" s="145">
        <f>INT(((AF55*Valores!$C$2)*100)+0.5)/100</f>
        <v>0</v>
      </c>
      <c r="AH55" s="145">
        <f>IF($H$5="NO",Valores!$C$59,Valores!$C$59/2)</f>
        <v>406.53</v>
      </c>
      <c r="AI55" s="145">
        <f>IF($H$5="NO",Valores!$C$61,Valores!$C$61/2)</f>
        <v>116.15</v>
      </c>
      <c r="AJ55" s="151">
        <f t="shared" si="5"/>
        <v>65424.21130769231</v>
      </c>
      <c r="AK55" s="147">
        <f>Valores!$C$36</f>
        <v>1046.83</v>
      </c>
      <c r="AL55" s="148">
        <f>Valores!$C$9</f>
        <v>0</v>
      </c>
      <c r="AM55" s="148">
        <f>Valores!$C$86</f>
        <v>4550</v>
      </c>
      <c r="AN55" s="148"/>
      <c r="AO55" s="150">
        <f>Valores!$C$52</f>
        <v>170.34</v>
      </c>
      <c r="AP55" s="152">
        <f t="shared" si="6"/>
        <v>5596.83</v>
      </c>
      <c r="AQ55" s="153">
        <f>AJ55*-Valores!$C$68</f>
        <v>-7196.663243846155</v>
      </c>
      <c r="AR55" s="153">
        <f>AJ55*-Valores!$C$69</f>
        <v>0</v>
      </c>
      <c r="AS55" s="147">
        <f>AJ55*-Valores!$C$70</f>
        <v>-2944.089508846154</v>
      </c>
      <c r="AT55" s="147">
        <v>-159.43</v>
      </c>
      <c r="AU55" s="147">
        <f t="shared" si="7"/>
        <v>-53.83</v>
      </c>
      <c r="AV55" s="151">
        <f t="shared" si="8"/>
        <v>60667.028555000004</v>
      </c>
      <c r="AW55" s="155"/>
      <c r="AX55" s="155"/>
      <c r="AY55" s="140" t="s">
        <v>4</v>
      </c>
    </row>
    <row r="56" spans="1:51" s="117" customFormat="1" ht="11.25" customHeight="1">
      <c r="A56" s="139">
        <v>53</v>
      </c>
      <c r="B56" s="139"/>
      <c r="C56" s="140" t="s">
        <v>229</v>
      </c>
      <c r="D56" s="140"/>
      <c r="E56" s="140">
        <f t="shared" si="0"/>
        <v>25</v>
      </c>
      <c r="F56" s="141" t="s">
        <v>230</v>
      </c>
      <c r="G56" s="142">
        <v>98</v>
      </c>
      <c r="H56" s="143">
        <f>INT((G56*Valores!$C$2*100)+0.5)/100</f>
        <v>915.29</v>
      </c>
      <c r="I56" s="144">
        <v>2686</v>
      </c>
      <c r="J56" s="145">
        <f>INT((I56*Valores!$C$2*100)+0.5)/100</f>
        <v>25086.43</v>
      </c>
      <c r="K56" s="160">
        <v>0</v>
      </c>
      <c r="L56" s="145">
        <f>INT((K56*Valores!$C$2*100)+0.5)/100</f>
        <v>0</v>
      </c>
      <c r="M56" s="158">
        <v>0</v>
      </c>
      <c r="N56" s="145">
        <f>INT((M56*Valores!$C$2*100)+0.5)/100</f>
        <v>0</v>
      </c>
      <c r="O56" s="145">
        <f t="shared" si="1"/>
        <v>4727.7825</v>
      </c>
      <c r="P56" s="145">
        <f t="shared" si="2"/>
        <v>0</v>
      </c>
      <c r="Q56" s="147">
        <f>Valores!$C$16</f>
        <v>8673.47</v>
      </c>
      <c r="R56" s="147">
        <f>Valores!$D$4</f>
        <v>4774.45</v>
      </c>
      <c r="S56" s="145">
        <f>Valores!$C$27</f>
        <v>4359.58</v>
      </c>
      <c r="T56" s="148">
        <f>IF($H$5="NO",Valores!$C$43,Valores!$C$43/2)</f>
        <v>1619.82</v>
      </c>
      <c r="U56" s="145">
        <f>Valores!$C$24</f>
        <v>3897.01</v>
      </c>
      <c r="V56" s="145">
        <f t="shared" si="12"/>
        <v>3897.01</v>
      </c>
      <c r="W56" s="145">
        <v>0</v>
      </c>
      <c r="X56" s="145">
        <v>0</v>
      </c>
      <c r="Y56" s="149">
        <v>0</v>
      </c>
      <c r="Z56" s="145">
        <f>Y56*Valores!$C$2</f>
        <v>0</v>
      </c>
      <c r="AA56" s="145">
        <v>0</v>
      </c>
      <c r="AB56" s="148">
        <f>Valores!$C$90</f>
        <v>1384.6153846153848</v>
      </c>
      <c r="AC56" s="150">
        <f>Valores!$C$30</f>
        <v>199.86</v>
      </c>
      <c r="AD56" s="145">
        <f t="shared" si="4"/>
        <v>0</v>
      </c>
      <c r="AE56" s="145">
        <f>Valores!$C$31</f>
        <v>199.86</v>
      </c>
      <c r="AF56" s="149">
        <v>0</v>
      </c>
      <c r="AG56" s="145">
        <f>INT(((AF56*Valores!$C$2)*100)+0.5)/100</f>
        <v>0</v>
      </c>
      <c r="AH56" s="145">
        <f>IF($H$5="NO",Valores!$C$59,Valores!$C$59/2)</f>
        <v>406.53</v>
      </c>
      <c r="AI56" s="145">
        <f>IF($H$5="NO",Valores!$C$61,Valores!$C$61/2)</f>
        <v>116.15</v>
      </c>
      <c r="AJ56" s="151">
        <f t="shared" si="5"/>
        <v>56360.84788461539</v>
      </c>
      <c r="AK56" s="147">
        <f>Valores!$C$36</f>
        <v>1046.83</v>
      </c>
      <c r="AL56" s="148">
        <f>Valores!$C$8</f>
        <v>0</v>
      </c>
      <c r="AM56" s="148">
        <f>Valores!$C$85</f>
        <v>2730</v>
      </c>
      <c r="AN56" s="148"/>
      <c r="AO56" s="150">
        <f>Valores!$C$52</f>
        <v>170.34</v>
      </c>
      <c r="AP56" s="152">
        <f t="shared" si="6"/>
        <v>3776.83</v>
      </c>
      <c r="AQ56" s="153">
        <f>AJ56*-Valores!$C$68</f>
        <v>-6199.693267307693</v>
      </c>
      <c r="AR56" s="153">
        <f>AJ56*-Valores!$C$69</f>
        <v>0</v>
      </c>
      <c r="AS56" s="147">
        <f>AJ56*-Valores!$C$70</f>
        <v>-2536.2381548076924</v>
      </c>
      <c r="AT56" s="147">
        <v>-159.43</v>
      </c>
      <c r="AU56" s="147">
        <f t="shared" si="7"/>
        <v>-53.83</v>
      </c>
      <c r="AV56" s="151">
        <f t="shared" si="8"/>
        <v>51188.4864625</v>
      </c>
      <c r="AW56" s="155"/>
      <c r="AX56" s="155">
        <v>30</v>
      </c>
      <c r="AY56" s="140" t="s">
        <v>4</v>
      </c>
    </row>
    <row r="57" spans="1:51" s="117" customFormat="1" ht="11.25" customHeight="1">
      <c r="A57" s="139">
        <v>54</v>
      </c>
      <c r="B57" s="139"/>
      <c r="C57" s="140" t="s">
        <v>231</v>
      </c>
      <c r="D57" s="140"/>
      <c r="E57" s="140">
        <f t="shared" si="0"/>
        <v>28</v>
      </c>
      <c r="F57" s="141" t="s">
        <v>232</v>
      </c>
      <c r="G57" s="142">
        <v>94</v>
      </c>
      <c r="H57" s="143">
        <f>INT((G57*Valores!$C$2*100)+0.5)/100</f>
        <v>877.93</v>
      </c>
      <c r="I57" s="144">
        <v>2690</v>
      </c>
      <c r="J57" s="145">
        <f>INT((I57*Valores!$C$2*100)+0.5)/100</f>
        <v>25123.79</v>
      </c>
      <c r="K57" s="160">
        <v>0</v>
      </c>
      <c r="L57" s="145">
        <f>INT((K57*Valores!$C$2*100)+0.5)/100</f>
        <v>0</v>
      </c>
      <c r="M57" s="158">
        <v>0</v>
      </c>
      <c r="N57" s="145">
        <f>INT((M57*Valores!$C$2*100)+0.5)/100</f>
        <v>0</v>
      </c>
      <c r="O57" s="145">
        <f t="shared" si="1"/>
        <v>4727.7825</v>
      </c>
      <c r="P57" s="145">
        <f t="shared" si="2"/>
        <v>0</v>
      </c>
      <c r="Q57" s="147">
        <f>Valores!$C$16</f>
        <v>8673.47</v>
      </c>
      <c r="R57" s="147">
        <f>Valores!$D$4</f>
        <v>4774.45</v>
      </c>
      <c r="S57" s="159">
        <f>Valores!$C$27</f>
        <v>4359.58</v>
      </c>
      <c r="T57" s="148">
        <f>IF($H$5="NO",Valores!$C$43,Valores!$C$43/2)</f>
        <v>1619.82</v>
      </c>
      <c r="U57" s="145">
        <f>Valores!$C$24</f>
        <v>3897.01</v>
      </c>
      <c r="V57" s="145">
        <f t="shared" si="12"/>
        <v>3897.01</v>
      </c>
      <c r="W57" s="145">
        <v>0</v>
      </c>
      <c r="X57" s="145">
        <v>0</v>
      </c>
      <c r="Y57" s="149">
        <v>0</v>
      </c>
      <c r="Z57" s="145">
        <f>Y57*Valores!$C$2</f>
        <v>0</v>
      </c>
      <c r="AA57" s="145">
        <v>0</v>
      </c>
      <c r="AB57" s="148">
        <f>Valores!$C$90</f>
        <v>1384.6153846153848</v>
      </c>
      <c r="AC57" s="150">
        <f>Valores!$C$30</f>
        <v>199.86</v>
      </c>
      <c r="AD57" s="145">
        <f t="shared" si="4"/>
        <v>0</v>
      </c>
      <c r="AE57" s="145">
        <f>Valores!$C$31</f>
        <v>199.86</v>
      </c>
      <c r="AF57" s="149">
        <v>94</v>
      </c>
      <c r="AG57" s="145">
        <f>INT(((AF57*Valores!$C$2)*100)+0.5)/100</f>
        <v>877.93</v>
      </c>
      <c r="AH57" s="145">
        <f>IF($H$5="NO",Valores!$C$59,Valores!$C$59/2)</f>
        <v>406.53</v>
      </c>
      <c r="AI57" s="145">
        <f>IF($H$5="NO",Valores!$C$61,Valores!$C$61/2)</f>
        <v>116.15</v>
      </c>
      <c r="AJ57" s="151">
        <f t="shared" si="5"/>
        <v>57238.77788461539</v>
      </c>
      <c r="AK57" s="147">
        <f>Valores!$C$36</f>
        <v>1046.83</v>
      </c>
      <c r="AL57" s="148">
        <f>Valores!$C$8</f>
        <v>0</v>
      </c>
      <c r="AM57" s="148">
        <f>Valores!$C$85</f>
        <v>2730</v>
      </c>
      <c r="AN57" s="148"/>
      <c r="AO57" s="150">
        <f>Valores!$C$52</f>
        <v>170.34</v>
      </c>
      <c r="AP57" s="152">
        <f t="shared" si="6"/>
        <v>3776.83</v>
      </c>
      <c r="AQ57" s="153">
        <f>AJ57*-Valores!$C$68</f>
        <v>-6296.265567307692</v>
      </c>
      <c r="AR57" s="153">
        <f>AJ57*-Valores!$C$69</f>
        <v>0</v>
      </c>
      <c r="AS57" s="147">
        <f>AJ57*-Valores!$C$70</f>
        <v>-2575.7450048076926</v>
      </c>
      <c r="AT57" s="147">
        <v>-159.43</v>
      </c>
      <c r="AU57" s="147">
        <f t="shared" si="7"/>
        <v>-53.83</v>
      </c>
      <c r="AV57" s="151">
        <f t="shared" si="8"/>
        <v>51930.3373125</v>
      </c>
      <c r="AW57" s="155"/>
      <c r="AX57" s="155">
        <v>25</v>
      </c>
      <c r="AY57" s="140" t="s">
        <v>4</v>
      </c>
    </row>
    <row r="58" spans="1:51" s="117" customFormat="1" ht="11.25" customHeight="1">
      <c r="A58" s="157">
        <v>55</v>
      </c>
      <c r="B58" s="157" t="s">
        <v>143</v>
      </c>
      <c r="C58" s="140" t="s">
        <v>233</v>
      </c>
      <c r="D58" s="140"/>
      <c r="E58" s="140">
        <f t="shared" si="0"/>
        <v>25</v>
      </c>
      <c r="F58" s="141" t="s">
        <v>234</v>
      </c>
      <c r="G58" s="142">
        <v>93</v>
      </c>
      <c r="H58" s="143">
        <f>INT((G58*Valores!$C$2*100)+0.5)/100</f>
        <v>868.59</v>
      </c>
      <c r="I58" s="144">
        <v>2547</v>
      </c>
      <c r="J58" s="145">
        <f>INT((I58*Valores!$C$2*100)+0.5)/100</f>
        <v>23788.22</v>
      </c>
      <c r="K58" s="160">
        <v>0</v>
      </c>
      <c r="L58" s="145">
        <f>INT((K58*Valores!$C$2*100)+0.5)/100</f>
        <v>0</v>
      </c>
      <c r="M58" s="158">
        <v>0</v>
      </c>
      <c r="N58" s="145">
        <f>INT((M58*Valores!$C$2*100)+0.5)/100</f>
        <v>0</v>
      </c>
      <c r="O58" s="145">
        <f t="shared" si="1"/>
        <v>4526.045999999999</v>
      </c>
      <c r="P58" s="145">
        <f t="shared" si="2"/>
        <v>0</v>
      </c>
      <c r="Q58" s="147">
        <f>Valores!$C$16</f>
        <v>8673.47</v>
      </c>
      <c r="R58" s="147">
        <f>Valores!$D$4</f>
        <v>4774.45</v>
      </c>
      <c r="S58" s="159">
        <f>Valores!$C$27</f>
        <v>4359.58</v>
      </c>
      <c r="T58" s="148">
        <f>IF($H$5="NO",Valores!$C$43,Valores!$C$43/2)</f>
        <v>1619.82</v>
      </c>
      <c r="U58" s="145">
        <f>Valores!$C$24</f>
        <v>3897.01</v>
      </c>
      <c r="V58" s="145">
        <f t="shared" si="12"/>
        <v>3897.01</v>
      </c>
      <c r="W58" s="145">
        <v>0</v>
      </c>
      <c r="X58" s="145">
        <v>0</v>
      </c>
      <c r="Y58" s="149">
        <v>0</v>
      </c>
      <c r="Z58" s="145">
        <f>Y58*Valores!$C$2</f>
        <v>0</v>
      </c>
      <c r="AA58" s="145">
        <v>0</v>
      </c>
      <c r="AB58" s="148">
        <f>Valores!$C$90</f>
        <v>1384.6153846153848</v>
      </c>
      <c r="AC58" s="150">
        <f>Valores!$C$30</f>
        <v>199.86</v>
      </c>
      <c r="AD58" s="145">
        <f t="shared" si="4"/>
        <v>0</v>
      </c>
      <c r="AE58" s="145">
        <f>Valores!$C$31</f>
        <v>199.86</v>
      </c>
      <c r="AF58" s="149">
        <v>0</v>
      </c>
      <c r="AG58" s="145">
        <f>INT(((AF58*Valores!$C$2)*100)+0.5)/100</f>
        <v>0</v>
      </c>
      <c r="AH58" s="145">
        <f>IF($H$5="NO",Valores!$C$59,Valores!$C$59/2)</f>
        <v>406.53</v>
      </c>
      <c r="AI58" s="145">
        <f>IF($H$5="NO",Valores!$C$61,Valores!$C$61/2)</f>
        <v>116.15</v>
      </c>
      <c r="AJ58" s="151">
        <f t="shared" si="5"/>
        <v>54814.201384615386</v>
      </c>
      <c r="AK58" s="147">
        <f>Valores!$C$36</f>
        <v>1046.83</v>
      </c>
      <c r="AL58" s="148">
        <f>Valores!$C$8</f>
        <v>0</v>
      </c>
      <c r="AM58" s="148">
        <f>Valores!$C$85</f>
        <v>2730</v>
      </c>
      <c r="AN58" s="148"/>
      <c r="AO58" s="150">
        <f>Valores!$C$52</f>
        <v>170.34</v>
      </c>
      <c r="AP58" s="152">
        <f t="shared" si="6"/>
        <v>3776.83</v>
      </c>
      <c r="AQ58" s="153">
        <f>AJ58*-Valores!$C$68</f>
        <v>-6029.5621523076925</v>
      </c>
      <c r="AR58" s="153">
        <f>AJ58*-Valores!$C$69</f>
        <v>0</v>
      </c>
      <c r="AS58" s="147">
        <f>AJ58*-Valores!$C$70</f>
        <v>-2466.6390623076923</v>
      </c>
      <c r="AT58" s="147">
        <v>-159.43</v>
      </c>
      <c r="AU58" s="147">
        <f t="shared" si="7"/>
        <v>-53.83</v>
      </c>
      <c r="AV58" s="151">
        <f t="shared" si="8"/>
        <v>49881.57017</v>
      </c>
      <c r="AW58" s="155"/>
      <c r="AX58" s="155">
        <v>30</v>
      </c>
      <c r="AY58" s="140" t="s">
        <v>4</v>
      </c>
    </row>
    <row r="59" spans="1:51" s="117" customFormat="1" ht="11.25" customHeight="1">
      <c r="A59" s="139">
        <v>56</v>
      </c>
      <c r="B59" s="139"/>
      <c r="C59" s="140" t="s">
        <v>235</v>
      </c>
      <c r="D59" s="140"/>
      <c r="E59" s="140">
        <f t="shared" si="0"/>
        <v>28</v>
      </c>
      <c r="F59" s="141" t="s">
        <v>236</v>
      </c>
      <c r="G59" s="142">
        <v>89</v>
      </c>
      <c r="H59" s="143">
        <f>INT((G59*Valores!$C$2*100)+0.5)/100</f>
        <v>831.23</v>
      </c>
      <c r="I59" s="144">
        <v>2551</v>
      </c>
      <c r="J59" s="145">
        <f>INT((I59*Valores!$C$2*100)+0.5)/100</f>
        <v>23825.57</v>
      </c>
      <c r="K59" s="160">
        <v>0</v>
      </c>
      <c r="L59" s="145">
        <f>INT((K59*Valores!$C$2*100)+0.5)/100</f>
        <v>0</v>
      </c>
      <c r="M59" s="158">
        <v>0</v>
      </c>
      <c r="N59" s="145">
        <f>INT((M59*Valores!$C$2*100)+0.5)/100</f>
        <v>0</v>
      </c>
      <c r="O59" s="145">
        <f t="shared" si="1"/>
        <v>4526.044499999999</v>
      </c>
      <c r="P59" s="145">
        <f t="shared" si="2"/>
        <v>0</v>
      </c>
      <c r="Q59" s="147">
        <f>Valores!$C$16</f>
        <v>8673.47</v>
      </c>
      <c r="R59" s="147">
        <f>Valores!$D$4</f>
        <v>4774.45</v>
      </c>
      <c r="S59" s="159">
        <f>Valores!$C$27</f>
        <v>4359.58</v>
      </c>
      <c r="T59" s="148">
        <f>IF($H$5="NO",Valores!$C$43,Valores!$C$43/2)</f>
        <v>1619.82</v>
      </c>
      <c r="U59" s="145">
        <f>Valores!$C$24</f>
        <v>3897.01</v>
      </c>
      <c r="V59" s="145">
        <f t="shared" si="12"/>
        <v>3897.01</v>
      </c>
      <c r="W59" s="145">
        <v>0</v>
      </c>
      <c r="X59" s="145">
        <v>0</v>
      </c>
      <c r="Y59" s="149">
        <v>0</v>
      </c>
      <c r="Z59" s="145">
        <f>Y59*Valores!$C$2</f>
        <v>0</v>
      </c>
      <c r="AA59" s="145">
        <v>0</v>
      </c>
      <c r="AB59" s="148">
        <f>Valores!$C$90</f>
        <v>1384.6153846153848</v>
      </c>
      <c r="AC59" s="150">
        <f>Valores!$C$30</f>
        <v>199.86</v>
      </c>
      <c r="AD59" s="145">
        <f t="shared" si="4"/>
        <v>0</v>
      </c>
      <c r="AE59" s="145">
        <f>Valores!$C$31</f>
        <v>199.86</v>
      </c>
      <c r="AF59" s="149">
        <v>94</v>
      </c>
      <c r="AG59" s="145">
        <f>INT(((AF59*Valores!$C$2)*100)+0.5)/100</f>
        <v>877.93</v>
      </c>
      <c r="AH59" s="145">
        <f>IF($H$5="NO",Valores!$C$59,Valores!$C$59/2)</f>
        <v>406.53</v>
      </c>
      <c r="AI59" s="145">
        <f>IF($H$5="NO",Valores!$C$61,Valores!$C$61/2)</f>
        <v>116.15</v>
      </c>
      <c r="AJ59" s="151">
        <f t="shared" si="5"/>
        <v>55692.119884615386</v>
      </c>
      <c r="AK59" s="147">
        <f>Valores!$C$36</f>
        <v>1046.83</v>
      </c>
      <c r="AL59" s="148">
        <f>Valores!$C$8</f>
        <v>0</v>
      </c>
      <c r="AM59" s="148">
        <f>Valores!$C$85</f>
        <v>2730</v>
      </c>
      <c r="AN59" s="148"/>
      <c r="AO59" s="150">
        <f>Valores!$C$52</f>
        <v>170.34</v>
      </c>
      <c r="AP59" s="152">
        <f t="shared" si="6"/>
        <v>3776.83</v>
      </c>
      <c r="AQ59" s="153">
        <f>AJ59*-Valores!$C$68</f>
        <v>-6126.133187307692</v>
      </c>
      <c r="AR59" s="153">
        <f>AJ59*-Valores!$C$69</f>
        <v>0</v>
      </c>
      <c r="AS59" s="147">
        <f>AJ59*-Valores!$C$70</f>
        <v>-2506.1453948076924</v>
      </c>
      <c r="AT59" s="147">
        <v>-159.43</v>
      </c>
      <c r="AU59" s="147">
        <f t="shared" si="7"/>
        <v>-53.83</v>
      </c>
      <c r="AV59" s="151">
        <f t="shared" si="8"/>
        <v>50623.4113025</v>
      </c>
      <c r="AW59" s="155"/>
      <c r="AX59" s="155">
        <v>25</v>
      </c>
      <c r="AY59" s="140" t="s">
        <v>4</v>
      </c>
    </row>
    <row r="60" spans="1:51" s="117" customFormat="1" ht="11.25" customHeight="1">
      <c r="A60" s="139">
        <v>57</v>
      </c>
      <c r="B60" s="139"/>
      <c r="C60" s="140" t="s">
        <v>237</v>
      </c>
      <c r="D60" s="140"/>
      <c r="E60" s="140">
        <f t="shared" si="0"/>
        <v>25</v>
      </c>
      <c r="F60" s="141" t="s">
        <v>238</v>
      </c>
      <c r="G60" s="142">
        <v>89</v>
      </c>
      <c r="H60" s="143">
        <f>INT((G60*Valores!$C$2*100)+0.5)/100</f>
        <v>831.23</v>
      </c>
      <c r="I60" s="144">
        <v>2251</v>
      </c>
      <c r="J60" s="145">
        <f>INT((I60*Valores!$C$2*100)+0.5)/100</f>
        <v>21023.66</v>
      </c>
      <c r="K60" s="160">
        <v>0</v>
      </c>
      <c r="L60" s="145">
        <f>INT((K60*Valores!$C$2*100)+0.5)/100</f>
        <v>0</v>
      </c>
      <c r="M60" s="158">
        <v>0</v>
      </c>
      <c r="N60" s="145">
        <f>INT((M60*Valores!$C$2*100)+0.5)/100</f>
        <v>0</v>
      </c>
      <c r="O60" s="145">
        <f t="shared" si="1"/>
        <v>4105.758</v>
      </c>
      <c r="P60" s="145">
        <f t="shared" si="2"/>
        <v>0</v>
      </c>
      <c r="Q60" s="147">
        <f>Valores!$C$16</f>
        <v>8673.47</v>
      </c>
      <c r="R60" s="147">
        <f>Valores!$D$4</f>
        <v>4774.45</v>
      </c>
      <c r="S60" s="159">
        <f>Valores!$C$27</f>
        <v>4359.58</v>
      </c>
      <c r="T60" s="148">
        <f>IF($H$5="NO",Valores!$C$43,Valores!$C$43/2)</f>
        <v>1619.82</v>
      </c>
      <c r="U60" s="145">
        <f>Valores!$C$24</f>
        <v>3897.01</v>
      </c>
      <c r="V60" s="145">
        <f t="shared" si="12"/>
        <v>3897.01</v>
      </c>
      <c r="W60" s="145">
        <v>0</v>
      </c>
      <c r="X60" s="145">
        <v>0</v>
      </c>
      <c r="Y60" s="149">
        <v>0</v>
      </c>
      <c r="Z60" s="145">
        <f>Y60*Valores!$C$2</f>
        <v>0</v>
      </c>
      <c r="AA60" s="145">
        <v>0</v>
      </c>
      <c r="AB60" s="148">
        <f>Valores!$C$90</f>
        <v>1384.6153846153848</v>
      </c>
      <c r="AC60" s="150">
        <f>Valores!$C$30</f>
        <v>199.86</v>
      </c>
      <c r="AD60" s="145">
        <f t="shared" si="4"/>
        <v>0</v>
      </c>
      <c r="AE60" s="145">
        <f>Valores!$C$31</f>
        <v>199.86</v>
      </c>
      <c r="AF60" s="149">
        <v>0</v>
      </c>
      <c r="AG60" s="145">
        <f>INT(((AF60*Valores!$C$2)*100)+0.5)/100</f>
        <v>0</v>
      </c>
      <c r="AH60" s="145">
        <f>IF($H$5="NO",Valores!$C$59,Valores!$C$59/2)</f>
        <v>406.53</v>
      </c>
      <c r="AI60" s="145">
        <f>IF($H$5="NO",Valores!$C$61,Valores!$C$61/2)</f>
        <v>116.15</v>
      </c>
      <c r="AJ60" s="151">
        <f t="shared" si="5"/>
        <v>51591.99338461539</v>
      </c>
      <c r="AK60" s="147">
        <f>Valores!$C$36</f>
        <v>1046.83</v>
      </c>
      <c r="AL60" s="148">
        <f>Valores!$C$8</f>
        <v>0</v>
      </c>
      <c r="AM60" s="148">
        <f>Valores!$C$85</f>
        <v>2730</v>
      </c>
      <c r="AN60" s="148"/>
      <c r="AO60" s="150">
        <f>Valores!$C$52</f>
        <v>170.34</v>
      </c>
      <c r="AP60" s="152">
        <f t="shared" si="6"/>
        <v>3776.83</v>
      </c>
      <c r="AQ60" s="153">
        <f>AJ60*-Valores!$C$68</f>
        <v>-5675.119272307693</v>
      </c>
      <c r="AR60" s="153">
        <f>AJ60*-Valores!$C$69</f>
        <v>0</v>
      </c>
      <c r="AS60" s="147">
        <f>AJ60*-Valores!$C$70</f>
        <v>-2321.6397023076925</v>
      </c>
      <c r="AT60" s="147">
        <v>-159.43</v>
      </c>
      <c r="AU60" s="147">
        <f t="shared" si="7"/>
        <v>-53.83</v>
      </c>
      <c r="AV60" s="151">
        <f t="shared" si="8"/>
        <v>47158.804410000004</v>
      </c>
      <c r="AW60" s="155"/>
      <c r="AX60" s="155">
        <v>30</v>
      </c>
      <c r="AY60" s="140" t="s">
        <v>4</v>
      </c>
    </row>
    <row r="61" spans="1:51" s="117" customFormat="1" ht="11.25" customHeight="1">
      <c r="A61" s="139">
        <v>58</v>
      </c>
      <c r="B61" s="139"/>
      <c r="C61" s="140" t="s">
        <v>239</v>
      </c>
      <c r="D61" s="140"/>
      <c r="E61" s="140">
        <f t="shared" si="0"/>
        <v>28</v>
      </c>
      <c r="F61" s="141" t="s">
        <v>240</v>
      </c>
      <c r="G61" s="142">
        <v>85</v>
      </c>
      <c r="H61" s="143">
        <f>INT((G61*Valores!$C$2*100)+0.5)/100</f>
        <v>793.87</v>
      </c>
      <c r="I61" s="144">
        <v>2255</v>
      </c>
      <c r="J61" s="145">
        <f>INT((I61*Valores!$C$2*100)+0.5)/100</f>
        <v>21061.02</v>
      </c>
      <c r="K61" s="160">
        <v>0</v>
      </c>
      <c r="L61" s="145">
        <f>INT((K61*Valores!$C$2*100)+0.5)/100</f>
        <v>0</v>
      </c>
      <c r="M61" s="158">
        <v>0</v>
      </c>
      <c r="N61" s="145">
        <f>INT((M61*Valores!$C$2*100)+0.5)/100</f>
        <v>0</v>
      </c>
      <c r="O61" s="145">
        <f t="shared" si="1"/>
        <v>4105.758</v>
      </c>
      <c r="P61" s="145">
        <f t="shared" si="2"/>
        <v>0</v>
      </c>
      <c r="Q61" s="147">
        <f>Valores!$C$16</f>
        <v>8673.47</v>
      </c>
      <c r="R61" s="147">
        <f>Valores!$D$4</f>
        <v>4774.45</v>
      </c>
      <c r="S61" s="145">
        <f>Valores!$C$27</f>
        <v>4359.58</v>
      </c>
      <c r="T61" s="148">
        <f>IF($H$5="NO",Valores!$C$43,Valores!$C$43/2)</f>
        <v>1619.82</v>
      </c>
      <c r="U61" s="145">
        <f>Valores!$C$24</f>
        <v>3897.01</v>
      </c>
      <c r="V61" s="145">
        <f t="shared" si="12"/>
        <v>3897.01</v>
      </c>
      <c r="W61" s="145">
        <v>0</v>
      </c>
      <c r="X61" s="145">
        <v>0</v>
      </c>
      <c r="Y61" s="149">
        <v>0</v>
      </c>
      <c r="Z61" s="145">
        <f>Y61*Valores!$C$2</f>
        <v>0</v>
      </c>
      <c r="AA61" s="145">
        <v>0</v>
      </c>
      <c r="AB61" s="148">
        <f>Valores!$C$90</f>
        <v>1384.6153846153848</v>
      </c>
      <c r="AC61" s="150">
        <f>Valores!$C$30</f>
        <v>199.86</v>
      </c>
      <c r="AD61" s="145">
        <f t="shared" si="4"/>
        <v>0</v>
      </c>
      <c r="AE61" s="145">
        <f>Valores!$C$31</f>
        <v>199.86</v>
      </c>
      <c r="AF61" s="149">
        <v>94</v>
      </c>
      <c r="AG61" s="145">
        <f>INT(((AF61*Valores!$C$2)*100)+0.5)/100</f>
        <v>877.93</v>
      </c>
      <c r="AH61" s="145">
        <f>IF($H$5="NO",Valores!$C$59,Valores!$C$59/2)</f>
        <v>406.53</v>
      </c>
      <c r="AI61" s="145">
        <f>IF($H$5="NO",Valores!$C$61,Valores!$C$61/2)</f>
        <v>116.15</v>
      </c>
      <c r="AJ61" s="151">
        <f t="shared" si="5"/>
        <v>52469.92338461539</v>
      </c>
      <c r="AK61" s="147">
        <f>Valores!$C$36</f>
        <v>1046.83</v>
      </c>
      <c r="AL61" s="148">
        <f>Valores!$C$8</f>
        <v>0</v>
      </c>
      <c r="AM61" s="148">
        <f>Valores!$C$85</f>
        <v>2730</v>
      </c>
      <c r="AN61" s="148"/>
      <c r="AO61" s="150">
        <f>Valores!$C$52</f>
        <v>170.34</v>
      </c>
      <c r="AP61" s="152">
        <f t="shared" si="6"/>
        <v>3776.83</v>
      </c>
      <c r="AQ61" s="153">
        <f>AJ61*-Valores!$C$68</f>
        <v>-5771.691572307693</v>
      </c>
      <c r="AR61" s="153">
        <f>AJ61*-Valores!$C$69</f>
        <v>0</v>
      </c>
      <c r="AS61" s="147">
        <f>AJ61*-Valores!$C$70</f>
        <v>-2361.146552307692</v>
      </c>
      <c r="AT61" s="147">
        <v>-159.43</v>
      </c>
      <c r="AU61" s="147">
        <f t="shared" si="7"/>
        <v>-53.83</v>
      </c>
      <c r="AV61" s="151">
        <f t="shared" si="8"/>
        <v>47900.65526000001</v>
      </c>
      <c r="AW61" s="155"/>
      <c r="AX61" s="155">
        <v>25</v>
      </c>
      <c r="AY61" s="140" t="s">
        <v>4</v>
      </c>
    </row>
    <row r="62" spans="1:51" s="117" customFormat="1" ht="11.25" customHeight="1">
      <c r="A62" s="139">
        <v>59</v>
      </c>
      <c r="B62" s="139"/>
      <c r="C62" s="140" t="s">
        <v>241</v>
      </c>
      <c r="D62" s="140"/>
      <c r="E62" s="140">
        <f t="shared" si="0"/>
        <v>33</v>
      </c>
      <c r="F62" s="141" t="s">
        <v>242</v>
      </c>
      <c r="G62" s="142">
        <v>100</v>
      </c>
      <c r="H62" s="143">
        <f>INT((G62*Valores!$C$2*100)+0.5)/100</f>
        <v>933.97</v>
      </c>
      <c r="I62" s="144">
        <v>3180</v>
      </c>
      <c r="J62" s="145">
        <f>INT((I62*Valores!$C$2*100)+0.5)/100</f>
        <v>29700.25</v>
      </c>
      <c r="K62" s="160">
        <v>0</v>
      </c>
      <c r="L62" s="145">
        <f>INT((K62*Valores!$C$2*100)+0.5)/100</f>
        <v>0</v>
      </c>
      <c r="M62" s="158">
        <v>0</v>
      </c>
      <c r="N62" s="145">
        <f>INT((M62*Valores!$C$2*100)+0.5)/100</f>
        <v>0</v>
      </c>
      <c r="O62" s="145">
        <f t="shared" si="1"/>
        <v>5537.388000000001</v>
      </c>
      <c r="P62" s="145">
        <f t="shared" si="2"/>
        <v>0</v>
      </c>
      <c r="Q62" s="147">
        <f>Valores!$C$16</f>
        <v>8673.47</v>
      </c>
      <c r="R62" s="147">
        <f>Valores!$D$4</f>
        <v>4774.45</v>
      </c>
      <c r="S62" s="159">
        <f>Valores!$C$27</f>
        <v>4359.58</v>
      </c>
      <c r="T62" s="148">
        <f>IF($H$5="NO",Valores!$C$44,Valores!$C$44/2)</f>
        <v>2384.69</v>
      </c>
      <c r="U62" s="145">
        <f>Valores!$C$24</f>
        <v>3897.01</v>
      </c>
      <c r="V62" s="145">
        <f t="shared" si="12"/>
        <v>3897.01</v>
      </c>
      <c r="W62" s="145">
        <v>0</v>
      </c>
      <c r="X62" s="145">
        <v>0</v>
      </c>
      <c r="Y62" s="149">
        <v>0</v>
      </c>
      <c r="Z62" s="145">
        <f>Y62*Valores!$C$2</f>
        <v>0</v>
      </c>
      <c r="AA62" s="145">
        <v>0</v>
      </c>
      <c r="AB62" s="148">
        <f>Valores!$C$90</f>
        <v>1384.6153846153848</v>
      </c>
      <c r="AC62" s="150">
        <f>Valores!$C$30</f>
        <v>199.86</v>
      </c>
      <c r="AD62" s="145">
        <f t="shared" si="4"/>
        <v>0</v>
      </c>
      <c r="AE62" s="145">
        <f>Valores!$C$31</f>
        <v>199.86</v>
      </c>
      <c r="AF62" s="149">
        <v>0</v>
      </c>
      <c r="AG62" s="145">
        <f>INT(((AF62*Valores!$C$2)*100)+0.5)/100</f>
        <v>0</v>
      </c>
      <c r="AH62" s="145">
        <f>IF($H$5="NO",Valores!$C$59,Valores!$C$59/2)</f>
        <v>406.53</v>
      </c>
      <c r="AI62" s="145">
        <f>IF($H$5="NO",Valores!$C$61,Valores!$C$61/2)</f>
        <v>116.15</v>
      </c>
      <c r="AJ62" s="151">
        <f t="shared" si="5"/>
        <v>62567.82338461539</v>
      </c>
      <c r="AK62" s="147">
        <f>Valores!$C$36</f>
        <v>1046.83</v>
      </c>
      <c r="AL62" s="148">
        <f>Valores!$C$9</f>
        <v>0</v>
      </c>
      <c r="AM62" s="148">
        <f>Valores!$C$85</f>
        <v>2730</v>
      </c>
      <c r="AN62" s="148"/>
      <c r="AO62" s="150">
        <f>Valores!$C$52</f>
        <v>170.34</v>
      </c>
      <c r="AP62" s="152">
        <f t="shared" si="6"/>
        <v>3776.83</v>
      </c>
      <c r="AQ62" s="153">
        <f>AJ62*-Valores!$C$68</f>
        <v>-6882.460572307693</v>
      </c>
      <c r="AR62" s="153">
        <f>AJ62*-Valores!$C$69</f>
        <v>0</v>
      </c>
      <c r="AS62" s="147">
        <f>AJ62*-Valores!$C$70</f>
        <v>-2815.5520523076925</v>
      </c>
      <c r="AT62" s="147">
        <v>-159.43</v>
      </c>
      <c r="AU62" s="147">
        <f t="shared" si="7"/>
        <v>-53.83</v>
      </c>
      <c r="AV62" s="151">
        <f t="shared" si="8"/>
        <v>56433.38076000001</v>
      </c>
      <c r="AW62" s="155"/>
      <c r="AX62" s="155"/>
      <c r="AY62" s="140" t="s">
        <v>4</v>
      </c>
    </row>
    <row r="63" spans="1:51" s="117" customFormat="1" ht="11.25" customHeight="1">
      <c r="A63" s="157">
        <v>60</v>
      </c>
      <c r="B63" s="157" t="s">
        <v>143</v>
      </c>
      <c r="C63" s="140" t="s">
        <v>243</v>
      </c>
      <c r="D63" s="140"/>
      <c r="E63" s="140">
        <f t="shared" si="0"/>
        <v>30</v>
      </c>
      <c r="F63" s="141" t="s">
        <v>244</v>
      </c>
      <c r="G63" s="142">
        <v>83</v>
      </c>
      <c r="H63" s="143">
        <f>INT((G63*Valores!$C$2*100)+0.5)/100</f>
        <v>775.2</v>
      </c>
      <c r="I63" s="144">
        <v>2352</v>
      </c>
      <c r="J63" s="145">
        <f>INT((I63*Valores!$C$2*100)+0.5)/100</f>
        <v>21966.97</v>
      </c>
      <c r="K63" s="160">
        <v>0</v>
      </c>
      <c r="L63" s="145">
        <f>INT((K63*Valores!$C$2*100)+0.5)/100</f>
        <v>0</v>
      </c>
      <c r="M63" s="158">
        <v>0</v>
      </c>
      <c r="N63" s="145">
        <f>INT((M63*Valores!$C$2*100)+0.5)/100</f>
        <v>0</v>
      </c>
      <c r="O63" s="145">
        <f t="shared" si="1"/>
        <v>4238.849999999999</v>
      </c>
      <c r="P63" s="145">
        <f t="shared" si="2"/>
        <v>0</v>
      </c>
      <c r="Q63" s="147">
        <f>Valores!$C$16</f>
        <v>8673.47</v>
      </c>
      <c r="R63" s="147">
        <f>Valores!$D$4</f>
        <v>4774.45</v>
      </c>
      <c r="S63" s="159">
        <f>Valores!$C$27</f>
        <v>4359.58</v>
      </c>
      <c r="T63" s="148">
        <f>IF($H$5="NO",Valores!$C$43,Valores!$C$43/2)</f>
        <v>1619.82</v>
      </c>
      <c r="U63" s="145">
        <f>Valores!$C$24</f>
        <v>3897.01</v>
      </c>
      <c r="V63" s="145">
        <f t="shared" si="12"/>
        <v>3897.01</v>
      </c>
      <c r="W63" s="145">
        <v>0</v>
      </c>
      <c r="X63" s="145">
        <v>0</v>
      </c>
      <c r="Y63" s="149">
        <v>0</v>
      </c>
      <c r="Z63" s="145">
        <f>Y63*Valores!$C$2</f>
        <v>0</v>
      </c>
      <c r="AA63" s="145">
        <v>0</v>
      </c>
      <c r="AB63" s="148">
        <f>Valores!$C$90</f>
        <v>1384.6153846153848</v>
      </c>
      <c r="AC63" s="150">
        <f>Valores!$C$30</f>
        <v>199.86</v>
      </c>
      <c r="AD63" s="145">
        <f t="shared" si="4"/>
        <v>0</v>
      </c>
      <c r="AE63" s="145">
        <f>Valores!$C$31</f>
        <v>199.86</v>
      </c>
      <c r="AF63" s="149">
        <v>0</v>
      </c>
      <c r="AG63" s="145">
        <f>INT(((AF63*Valores!$C$2)*100)+0.5)/100</f>
        <v>0</v>
      </c>
      <c r="AH63" s="145">
        <f>IF($H$5="NO",Valores!$C$59,Valores!$C$59/2)</f>
        <v>406.53</v>
      </c>
      <c r="AI63" s="145">
        <f>IF($H$5="NO",Valores!$C$61,Valores!$C$61/2)</f>
        <v>116.15</v>
      </c>
      <c r="AJ63" s="151">
        <f t="shared" si="5"/>
        <v>52612.36538461538</v>
      </c>
      <c r="AK63" s="147">
        <f>Valores!$C$36</f>
        <v>1046.83</v>
      </c>
      <c r="AL63" s="148">
        <f>Valores!$C$8</f>
        <v>0</v>
      </c>
      <c r="AM63" s="148">
        <f>Valores!$C$85</f>
        <v>2730</v>
      </c>
      <c r="AN63" s="148"/>
      <c r="AO63" s="150">
        <f>Valores!$C$52</f>
        <v>170.34</v>
      </c>
      <c r="AP63" s="152">
        <f t="shared" si="6"/>
        <v>3776.83</v>
      </c>
      <c r="AQ63" s="153">
        <f>AJ63*-Valores!$C$68</f>
        <v>-5787.360192307692</v>
      </c>
      <c r="AR63" s="153">
        <f>AJ63*-Valores!$C$69</f>
        <v>0</v>
      </c>
      <c r="AS63" s="147">
        <f>AJ63*-Valores!$C$70</f>
        <v>-2367.556442307692</v>
      </c>
      <c r="AT63" s="147">
        <v>-159.43</v>
      </c>
      <c r="AU63" s="147">
        <f t="shared" si="7"/>
        <v>-53.83</v>
      </c>
      <c r="AV63" s="151">
        <f t="shared" si="8"/>
        <v>48021.018749999996</v>
      </c>
      <c r="AW63" s="155"/>
      <c r="AX63" s="155">
        <v>30</v>
      </c>
      <c r="AY63" s="140" t="s">
        <v>4</v>
      </c>
    </row>
    <row r="64" spans="1:51" s="117" customFormat="1" ht="11.25" customHeight="1">
      <c r="A64" s="139">
        <v>61</v>
      </c>
      <c r="B64" s="139"/>
      <c r="C64" s="140" t="s">
        <v>245</v>
      </c>
      <c r="D64" s="140"/>
      <c r="E64" s="140">
        <f t="shared" si="0"/>
        <v>33</v>
      </c>
      <c r="F64" s="141" t="s">
        <v>246</v>
      </c>
      <c r="G64" s="142">
        <v>81</v>
      </c>
      <c r="H64" s="143">
        <f>INT((G64*Valores!$C$2*100)+0.5)/100</f>
        <v>756.52</v>
      </c>
      <c r="I64" s="144">
        <v>2354</v>
      </c>
      <c r="J64" s="145">
        <f>INT((I64*Valores!$C$2*100)+0.5)/100</f>
        <v>21985.65</v>
      </c>
      <c r="K64" s="160">
        <v>0</v>
      </c>
      <c r="L64" s="145">
        <f>INT((K64*Valores!$C$2*100)+0.5)/100</f>
        <v>0</v>
      </c>
      <c r="M64" s="158">
        <v>0</v>
      </c>
      <c r="N64" s="145">
        <f>INT((M64*Valores!$C$2*100)+0.5)/100</f>
        <v>0</v>
      </c>
      <c r="O64" s="145">
        <f t="shared" si="1"/>
        <v>4238.849999999999</v>
      </c>
      <c r="P64" s="145">
        <f t="shared" si="2"/>
        <v>0</v>
      </c>
      <c r="Q64" s="147">
        <f>Valores!$C$16</f>
        <v>8673.47</v>
      </c>
      <c r="R64" s="147">
        <f>Valores!$D$4</f>
        <v>4774.45</v>
      </c>
      <c r="S64" s="159">
        <f>Valores!$C$27</f>
        <v>4359.58</v>
      </c>
      <c r="T64" s="148">
        <f>IF($H$5="NO",Valores!$C$43,Valores!$C$43/2)</f>
        <v>1619.82</v>
      </c>
      <c r="U64" s="145">
        <f>Valores!$C$24</f>
        <v>3897.01</v>
      </c>
      <c r="V64" s="145">
        <f t="shared" si="12"/>
        <v>3897.01</v>
      </c>
      <c r="W64" s="145">
        <v>0</v>
      </c>
      <c r="X64" s="145">
        <v>0</v>
      </c>
      <c r="Y64" s="149">
        <v>0</v>
      </c>
      <c r="Z64" s="145">
        <f>Y64*Valores!$C$2</f>
        <v>0</v>
      </c>
      <c r="AA64" s="145">
        <v>0</v>
      </c>
      <c r="AB64" s="148">
        <f>Valores!$C$90</f>
        <v>1384.6153846153848</v>
      </c>
      <c r="AC64" s="150">
        <f>Valores!$C$30</f>
        <v>199.86</v>
      </c>
      <c r="AD64" s="145">
        <f t="shared" si="4"/>
        <v>0</v>
      </c>
      <c r="AE64" s="145">
        <f>Valores!$C$31</f>
        <v>199.86</v>
      </c>
      <c r="AF64" s="149">
        <v>94</v>
      </c>
      <c r="AG64" s="145">
        <f>INT(((AF64*Valores!$C$2)*100)+0.5)/100</f>
        <v>877.93</v>
      </c>
      <c r="AH64" s="145">
        <f>IF($H$5="NO",Valores!$C$59,Valores!$C$59/2)</f>
        <v>406.53</v>
      </c>
      <c r="AI64" s="145">
        <f>IF($H$5="NO",Valores!$C$61,Valores!$C$61/2)</f>
        <v>116.15</v>
      </c>
      <c r="AJ64" s="151">
        <f t="shared" si="5"/>
        <v>53490.29538461538</v>
      </c>
      <c r="AK64" s="147">
        <f>Valores!$C$36</f>
        <v>1046.83</v>
      </c>
      <c r="AL64" s="148">
        <f>Valores!$C$8</f>
        <v>0</v>
      </c>
      <c r="AM64" s="148">
        <f>Valores!$C$85</f>
        <v>2730</v>
      </c>
      <c r="AN64" s="148"/>
      <c r="AO64" s="150">
        <f>Valores!$C$52</f>
        <v>170.34</v>
      </c>
      <c r="AP64" s="152">
        <f t="shared" si="6"/>
        <v>3776.83</v>
      </c>
      <c r="AQ64" s="153">
        <f>AJ64*-Valores!$C$68</f>
        <v>-5883.932492307692</v>
      </c>
      <c r="AR64" s="153">
        <f>AJ64*-Valores!$C$69</f>
        <v>0</v>
      </c>
      <c r="AS64" s="147">
        <f>AJ64*-Valores!$C$70</f>
        <v>-2407.0632923076923</v>
      </c>
      <c r="AT64" s="147">
        <v>-159.43</v>
      </c>
      <c r="AU64" s="147">
        <f t="shared" si="7"/>
        <v>-53.83</v>
      </c>
      <c r="AV64" s="151">
        <f t="shared" si="8"/>
        <v>48762.8696</v>
      </c>
      <c r="AW64" s="155"/>
      <c r="AX64" s="155">
        <v>25</v>
      </c>
      <c r="AY64" s="140" t="s">
        <v>4</v>
      </c>
    </row>
    <row r="65" spans="1:51" s="117" customFormat="1" ht="11.25" customHeight="1">
      <c r="A65" s="139">
        <v>62</v>
      </c>
      <c r="B65" s="139"/>
      <c r="C65" s="140" t="s">
        <v>247</v>
      </c>
      <c r="D65" s="140"/>
      <c r="E65" s="140">
        <f t="shared" si="0"/>
        <v>30</v>
      </c>
      <c r="F65" s="141" t="s">
        <v>248</v>
      </c>
      <c r="G65" s="142">
        <v>81</v>
      </c>
      <c r="H65" s="143">
        <f>INT((G65*Valores!$C$2*100)+0.5)/100</f>
        <v>756.52</v>
      </c>
      <c r="I65" s="144">
        <v>2094</v>
      </c>
      <c r="J65" s="145">
        <f>INT((I65*Valores!$C$2*100)+0.5)/100</f>
        <v>19557.33</v>
      </c>
      <c r="K65" s="160">
        <v>0</v>
      </c>
      <c r="L65" s="145">
        <f>INT((K65*Valores!$C$2*100)+0.5)/100</f>
        <v>0</v>
      </c>
      <c r="M65" s="158">
        <v>0</v>
      </c>
      <c r="N65" s="145">
        <f>INT((M65*Valores!$C$2*100)+0.5)/100</f>
        <v>0</v>
      </c>
      <c r="O65" s="145">
        <f t="shared" si="1"/>
        <v>3874.602</v>
      </c>
      <c r="P65" s="145">
        <f t="shared" si="2"/>
        <v>0</v>
      </c>
      <c r="Q65" s="147">
        <f>Valores!$C$16</f>
        <v>8673.47</v>
      </c>
      <c r="R65" s="147">
        <f>Valores!$D$4</f>
        <v>4774.45</v>
      </c>
      <c r="S65" s="159">
        <f>Valores!$C$27</f>
        <v>4359.58</v>
      </c>
      <c r="T65" s="148">
        <f>IF($H$5="NO",Valores!$C$43,Valores!$C$43/2)</f>
        <v>1619.82</v>
      </c>
      <c r="U65" s="145">
        <f>Valores!$C$24</f>
        <v>3897.01</v>
      </c>
      <c r="V65" s="145">
        <f t="shared" si="12"/>
        <v>3897.01</v>
      </c>
      <c r="W65" s="145">
        <v>0</v>
      </c>
      <c r="X65" s="145">
        <v>0</v>
      </c>
      <c r="Y65" s="149">
        <v>0</v>
      </c>
      <c r="Z65" s="145">
        <f>Y65*Valores!$C$2</f>
        <v>0</v>
      </c>
      <c r="AA65" s="145">
        <v>0</v>
      </c>
      <c r="AB65" s="148">
        <f>Valores!$C$90</f>
        <v>1384.6153846153848</v>
      </c>
      <c r="AC65" s="150">
        <f>Valores!$C$30</f>
        <v>199.86</v>
      </c>
      <c r="AD65" s="145">
        <f t="shared" si="4"/>
        <v>0</v>
      </c>
      <c r="AE65" s="145">
        <f>Valores!$C$31</f>
        <v>199.86</v>
      </c>
      <c r="AF65" s="149">
        <v>0</v>
      </c>
      <c r="AG65" s="145">
        <f>INT(((AF65*Valores!$C$2)*100)+0.5)/100</f>
        <v>0</v>
      </c>
      <c r="AH65" s="145">
        <f>IF($H$5="NO",Valores!$C$59,Valores!$C$59/2)</f>
        <v>406.53</v>
      </c>
      <c r="AI65" s="145">
        <f>IF($H$5="NO",Valores!$C$61,Valores!$C$61/2)</f>
        <v>116.15</v>
      </c>
      <c r="AJ65" s="151">
        <f t="shared" si="5"/>
        <v>49819.79738461538</v>
      </c>
      <c r="AK65" s="147">
        <f>Valores!$C$36</f>
        <v>1046.83</v>
      </c>
      <c r="AL65" s="148">
        <f>Valores!$C$8</f>
        <v>0</v>
      </c>
      <c r="AM65" s="148">
        <f>Valores!$C$85</f>
        <v>2730</v>
      </c>
      <c r="AN65" s="148"/>
      <c r="AO65" s="150">
        <f>Valores!$C$52</f>
        <v>170.34</v>
      </c>
      <c r="AP65" s="152">
        <f t="shared" si="6"/>
        <v>3776.83</v>
      </c>
      <c r="AQ65" s="153">
        <f>AJ65*-Valores!$C$68</f>
        <v>-5480.177712307693</v>
      </c>
      <c r="AR65" s="153">
        <f>AJ65*-Valores!$C$69</f>
        <v>0</v>
      </c>
      <c r="AS65" s="147">
        <f>AJ65*-Valores!$C$70</f>
        <v>-2241.890882307692</v>
      </c>
      <c r="AT65" s="147">
        <v>-159.43</v>
      </c>
      <c r="AU65" s="147">
        <f t="shared" si="7"/>
        <v>-53.83</v>
      </c>
      <c r="AV65" s="151">
        <f t="shared" si="8"/>
        <v>45661.29879</v>
      </c>
      <c r="AW65" s="155"/>
      <c r="AX65" s="155">
        <v>30</v>
      </c>
      <c r="AY65" s="140" t="s">
        <v>4</v>
      </c>
    </row>
    <row r="66" spans="1:51" s="117" customFormat="1" ht="11.25" customHeight="1">
      <c r="A66" s="139">
        <v>63</v>
      </c>
      <c r="B66" s="139"/>
      <c r="C66" s="140" t="s">
        <v>249</v>
      </c>
      <c r="D66" s="140"/>
      <c r="E66" s="140">
        <f t="shared" si="0"/>
        <v>33</v>
      </c>
      <c r="F66" s="141" t="s">
        <v>250</v>
      </c>
      <c r="G66" s="142">
        <v>80</v>
      </c>
      <c r="H66" s="143">
        <f>INT((G66*Valores!$C$2*100)+0.5)/100</f>
        <v>747.18</v>
      </c>
      <c r="I66" s="144">
        <v>2095</v>
      </c>
      <c r="J66" s="145">
        <f>INT((I66*Valores!$C$2*100)+0.5)/100</f>
        <v>19566.67</v>
      </c>
      <c r="K66" s="160">
        <v>0</v>
      </c>
      <c r="L66" s="145">
        <f>INT((K66*Valores!$C$2*100)+0.5)/100</f>
        <v>0</v>
      </c>
      <c r="M66" s="158">
        <v>0</v>
      </c>
      <c r="N66" s="145">
        <f>INT((M66*Valores!$C$2*100)+0.5)/100</f>
        <v>0</v>
      </c>
      <c r="O66" s="145">
        <f t="shared" si="1"/>
        <v>3874.602</v>
      </c>
      <c r="P66" s="145">
        <f t="shared" si="2"/>
        <v>0</v>
      </c>
      <c r="Q66" s="147">
        <f>Valores!$C$16</f>
        <v>8673.47</v>
      </c>
      <c r="R66" s="147">
        <f>Valores!$D$4</f>
        <v>4774.45</v>
      </c>
      <c r="S66" s="145">
        <f>Valores!$C$27</f>
        <v>4359.58</v>
      </c>
      <c r="T66" s="148">
        <f>IF($H$5="NO",Valores!$C$43,Valores!$C$43/2)</f>
        <v>1619.82</v>
      </c>
      <c r="U66" s="145">
        <f>Valores!$C$24</f>
        <v>3897.01</v>
      </c>
      <c r="V66" s="145">
        <f t="shared" si="12"/>
        <v>3897.01</v>
      </c>
      <c r="W66" s="145">
        <v>0</v>
      </c>
      <c r="X66" s="145">
        <v>0</v>
      </c>
      <c r="Y66" s="149">
        <v>0</v>
      </c>
      <c r="Z66" s="145">
        <f>Y66*Valores!$C$2</f>
        <v>0</v>
      </c>
      <c r="AA66" s="145">
        <v>0</v>
      </c>
      <c r="AB66" s="148">
        <f>Valores!$C$90</f>
        <v>1384.6153846153848</v>
      </c>
      <c r="AC66" s="150">
        <f>Valores!$C$30</f>
        <v>199.86</v>
      </c>
      <c r="AD66" s="145">
        <f t="shared" si="4"/>
        <v>0</v>
      </c>
      <c r="AE66" s="145">
        <f>Valores!$C$31</f>
        <v>199.86</v>
      </c>
      <c r="AF66" s="149">
        <v>94</v>
      </c>
      <c r="AG66" s="145">
        <f>INT(((AF66*Valores!$C$2)*100)+0.5)/100</f>
        <v>877.93</v>
      </c>
      <c r="AH66" s="145">
        <f>IF($H$5="NO",Valores!$C$59,Valores!$C$59/2)</f>
        <v>406.53</v>
      </c>
      <c r="AI66" s="145">
        <f>IF($H$5="NO",Valores!$C$61,Valores!$C$61/2)</f>
        <v>116.15</v>
      </c>
      <c r="AJ66" s="151">
        <f t="shared" si="5"/>
        <v>50697.727384615384</v>
      </c>
      <c r="AK66" s="147">
        <f>Valores!$C$36</f>
        <v>1046.83</v>
      </c>
      <c r="AL66" s="148">
        <f>Valores!$C$8</f>
        <v>0</v>
      </c>
      <c r="AM66" s="148">
        <f>Valores!$C$85</f>
        <v>2730</v>
      </c>
      <c r="AN66" s="148"/>
      <c r="AO66" s="150">
        <f>Valores!$C$52</f>
        <v>170.34</v>
      </c>
      <c r="AP66" s="152">
        <f t="shared" si="6"/>
        <v>3776.83</v>
      </c>
      <c r="AQ66" s="153">
        <f>AJ66*-Valores!$C$68</f>
        <v>-5576.7500123076925</v>
      </c>
      <c r="AR66" s="153">
        <f>AJ66*-Valores!$C$69</f>
        <v>0</v>
      </c>
      <c r="AS66" s="147">
        <f>AJ66*-Valores!$C$70</f>
        <v>-2281.397732307692</v>
      </c>
      <c r="AT66" s="147">
        <v>-159.43</v>
      </c>
      <c r="AU66" s="147">
        <f t="shared" si="7"/>
        <v>-53.83</v>
      </c>
      <c r="AV66" s="151">
        <f t="shared" si="8"/>
        <v>46403.14964</v>
      </c>
      <c r="AW66" s="155"/>
      <c r="AX66" s="155">
        <v>25</v>
      </c>
      <c r="AY66" s="140" t="s">
        <v>4</v>
      </c>
    </row>
    <row r="67" spans="1:51" s="117" customFormat="1" ht="11.25" customHeight="1">
      <c r="A67" s="139">
        <v>64</v>
      </c>
      <c r="B67" s="139"/>
      <c r="C67" s="140" t="s">
        <v>251</v>
      </c>
      <c r="D67" s="140"/>
      <c r="E67" s="140">
        <f t="shared" si="0"/>
        <v>30</v>
      </c>
      <c r="F67" s="141" t="s">
        <v>252</v>
      </c>
      <c r="G67" s="142">
        <v>79</v>
      </c>
      <c r="H67" s="143">
        <f>INT((G67*Valores!$C$2*100)+0.5)/100</f>
        <v>737.84</v>
      </c>
      <c r="I67" s="144">
        <v>1944</v>
      </c>
      <c r="J67" s="145">
        <f>INT((I67*Valores!$C$2*100)+0.5)/100</f>
        <v>18156.38</v>
      </c>
      <c r="K67" s="160">
        <v>0</v>
      </c>
      <c r="L67" s="145">
        <f>INT((K67*Valores!$C$2*100)+0.5)/100</f>
        <v>0</v>
      </c>
      <c r="M67" s="158">
        <v>0</v>
      </c>
      <c r="N67" s="145">
        <f>INT((M67*Valores!$C$2*100)+0.5)/100</f>
        <v>0</v>
      </c>
      <c r="O67" s="145">
        <f t="shared" si="1"/>
        <v>3661.6575000000003</v>
      </c>
      <c r="P67" s="145">
        <f t="shared" si="2"/>
        <v>0</v>
      </c>
      <c r="Q67" s="147">
        <f>Valores!$C$16</f>
        <v>8673.47</v>
      </c>
      <c r="R67" s="147">
        <f>Valores!$D$4</f>
        <v>4774.45</v>
      </c>
      <c r="S67" s="159">
        <f>Valores!$C$27</f>
        <v>4359.58</v>
      </c>
      <c r="T67" s="148">
        <f>IF($H$5="NO",Valores!$C$43,Valores!$C$43/2)</f>
        <v>1619.82</v>
      </c>
      <c r="U67" s="145">
        <f>Valores!$C$24</f>
        <v>3897.01</v>
      </c>
      <c r="V67" s="145">
        <f t="shared" si="12"/>
        <v>3897.01</v>
      </c>
      <c r="W67" s="145">
        <v>0</v>
      </c>
      <c r="X67" s="145">
        <v>0</v>
      </c>
      <c r="Y67" s="149">
        <v>0</v>
      </c>
      <c r="Z67" s="145">
        <f>Y67*Valores!$C$2</f>
        <v>0</v>
      </c>
      <c r="AA67" s="145">
        <v>0</v>
      </c>
      <c r="AB67" s="148">
        <f>Valores!$C$90</f>
        <v>1384.6153846153848</v>
      </c>
      <c r="AC67" s="150">
        <f>Valores!$C$30</f>
        <v>199.86</v>
      </c>
      <c r="AD67" s="145">
        <f t="shared" si="4"/>
        <v>0</v>
      </c>
      <c r="AE67" s="145">
        <f>Valores!$C$31</f>
        <v>199.86</v>
      </c>
      <c r="AF67" s="149">
        <v>0</v>
      </c>
      <c r="AG67" s="145">
        <f>INT(((AF67*Valores!$C$2)*100)+0.5)/100</f>
        <v>0</v>
      </c>
      <c r="AH67" s="145">
        <f>IF($H$5="NO",Valores!$C$59,Valores!$C$59/2)</f>
        <v>406.53</v>
      </c>
      <c r="AI67" s="145">
        <f>IF($H$5="NO",Valores!$C$61,Valores!$C$61/2)</f>
        <v>116.15</v>
      </c>
      <c r="AJ67" s="151">
        <f t="shared" si="5"/>
        <v>48187.22288461539</v>
      </c>
      <c r="AK67" s="147">
        <f>Valores!$C$36</f>
        <v>1046.83</v>
      </c>
      <c r="AL67" s="148">
        <f>Valores!$C$8</f>
        <v>0</v>
      </c>
      <c r="AM67" s="148">
        <f>Valores!$C$85</f>
        <v>2730</v>
      </c>
      <c r="AN67" s="148"/>
      <c r="AO67" s="150">
        <f>Valores!$C$52</f>
        <v>170.34</v>
      </c>
      <c r="AP67" s="152">
        <f t="shared" si="6"/>
        <v>3776.83</v>
      </c>
      <c r="AQ67" s="153">
        <f>AJ67*-Valores!$C$68</f>
        <v>-5300.5945173076925</v>
      </c>
      <c r="AR67" s="153">
        <f>AJ67*-Valores!$C$69</f>
        <v>0</v>
      </c>
      <c r="AS67" s="147">
        <f>AJ67*-Valores!$C$70</f>
        <v>-2168.425029807692</v>
      </c>
      <c r="AT67" s="147">
        <v>-159.43</v>
      </c>
      <c r="AU67" s="147">
        <f t="shared" si="7"/>
        <v>-53.83</v>
      </c>
      <c r="AV67" s="151">
        <f t="shared" si="8"/>
        <v>44281.7733375</v>
      </c>
      <c r="AW67" s="155"/>
      <c r="AX67" s="155">
        <v>30</v>
      </c>
      <c r="AY67" s="140" t="s">
        <v>4</v>
      </c>
    </row>
    <row r="68" spans="1:51" s="117" customFormat="1" ht="11.25" customHeight="1">
      <c r="A68" s="157">
        <v>65</v>
      </c>
      <c r="B68" s="157" t="s">
        <v>143</v>
      </c>
      <c r="C68" s="140" t="s">
        <v>253</v>
      </c>
      <c r="D68" s="140"/>
      <c r="E68" s="140">
        <f t="shared" si="0"/>
        <v>33</v>
      </c>
      <c r="F68" s="141" t="s">
        <v>254</v>
      </c>
      <c r="G68" s="142">
        <v>79</v>
      </c>
      <c r="H68" s="143">
        <f>INT((G68*Valores!$C$2*100)+0.5)/100</f>
        <v>737.84</v>
      </c>
      <c r="I68" s="144">
        <v>1944</v>
      </c>
      <c r="J68" s="145">
        <f>INT((I68*Valores!$C$2*100)+0.5)/100</f>
        <v>18156.38</v>
      </c>
      <c r="K68" s="160">
        <v>0</v>
      </c>
      <c r="L68" s="145">
        <f>INT((K68*Valores!$C$2*100)+0.5)/100</f>
        <v>0</v>
      </c>
      <c r="M68" s="158">
        <v>0</v>
      </c>
      <c r="N68" s="145">
        <f>INT((M68*Valores!$C$2*100)+0.5)/100</f>
        <v>0</v>
      </c>
      <c r="O68" s="145">
        <f t="shared" si="1"/>
        <v>3661.6575000000003</v>
      </c>
      <c r="P68" s="145">
        <f t="shared" si="2"/>
        <v>0</v>
      </c>
      <c r="Q68" s="147">
        <f>Valores!$C$16</f>
        <v>8673.47</v>
      </c>
      <c r="R68" s="147">
        <f>Valores!$D$4</f>
        <v>4774.45</v>
      </c>
      <c r="S68" s="159">
        <f>Valores!$C$27</f>
        <v>4359.58</v>
      </c>
      <c r="T68" s="148">
        <f>IF($H$5="NO",Valores!$C$43,Valores!$C$43/2)</f>
        <v>1619.82</v>
      </c>
      <c r="U68" s="145">
        <f>Valores!$C$24</f>
        <v>3897.01</v>
      </c>
      <c r="V68" s="145">
        <f t="shared" si="12"/>
        <v>3897.01</v>
      </c>
      <c r="W68" s="145">
        <v>0</v>
      </c>
      <c r="X68" s="145">
        <v>0</v>
      </c>
      <c r="Y68" s="149">
        <v>0</v>
      </c>
      <c r="Z68" s="145">
        <f>Y68*Valores!$C$2</f>
        <v>0</v>
      </c>
      <c r="AA68" s="145">
        <v>0</v>
      </c>
      <c r="AB68" s="148">
        <f>Valores!$C$90</f>
        <v>1384.6153846153848</v>
      </c>
      <c r="AC68" s="150">
        <f>Valores!$C$30</f>
        <v>199.86</v>
      </c>
      <c r="AD68" s="145">
        <f t="shared" si="4"/>
        <v>0</v>
      </c>
      <c r="AE68" s="145">
        <f>Valores!$C$31</f>
        <v>199.86</v>
      </c>
      <c r="AF68" s="149">
        <v>94</v>
      </c>
      <c r="AG68" s="145">
        <f>INT(((AF68*Valores!$C$2)*100)+0.5)/100</f>
        <v>877.93</v>
      </c>
      <c r="AH68" s="145">
        <f>IF($H$5="NO",Valores!$C$59,Valores!$C$59/2)</f>
        <v>406.53</v>
      </c>
      <c r="AI68" s="145">
        <f>IF($H$5="NO",Valores!$C$61,Valores!$C$61/2)</f>
        <v>116.15</v>
      </c>
      <c r="AJ68" s="151">
        <f t="shared" si="5"/>
        <v>49065.15288461539</v>
      </c>
      <c r="AK68" s="147">
        <f>Valores!$C$36</f>
        <v>1046.83</v>
      </c>
      <c r="AL68" s="148">
        <f>Valores!$C$8</f>
        <v>0</v>
      </c>
      <c r="AM68" s="148">
        <f>Valores!$C$85</f>
        <v>2730</v>
      </c>
      <c r="AN68" s="148"/>
      <c r="AO68" s="150">
        <f>Valores!$C$52</f>
        <v>170.34</v>
      </c>
      <c r="AP68" s="152">
        <f t="shared" si="6"/>
        <v>3776.83</v>
      </c>
      <c r="AQ68" s="153">
        <f>AJ68*-Valores!$C$68</f>
        <v>-5397.166817307693</v>
      </c>
      <c r="AR68" s="153">
        <f>AJ68*-Valores!$C$69</f>
        <v>0</v>
      </c>
      <c r="AS68" s="147">
        <f>AJ68*-Valores!$C$70</f>
        <v>-2207.9318798076924</v>
      </c>
      <c r="AT68" s="147">
        <v>-159.43</v>
      </c>
      <c r="AU68" s="147">
        <f t="shared" si="7"/>
        <v>-53.83</v>
      </c>
      <c r="AV68" s="151">
        <f t="shared" si="8"/>
        <v>45023.624187500005</v>
      </c>
      <c r="AW68" s="155"/>
      <c r="AX68" s="155">
        <v>25</v>
      </c>
      <c r="AY68" s="140" t="s">
        <v>8</v>
      </c>
    </row>
    <row r="69" spans="1:51" s="117" customFormat="1" ht="11.25" customHeight="1">
      <c r="A69" s="139">
        <v>66</v>
      </c>
      <c r="B69" s="139"/>
      <c r="C69" s="140" t="s">
        <v>255</v>
      </c>
      <c r="D69" s="140"/>
      <c r="E69" s="140">
        <f t="shared" si="0"/>
        <v>29</v>
      </c>
      <c r="F69" s="141" t="s">
        <v>256</v>
      </c>
      <c r="G69" s="142">
        <v>100</v>
      </c>
      <c r="H69" s="143">
        <f>INT((G69*Valores!$C$2*100)+0.5)/100</f>
        <v>933.97</v>
      </c>
      <c r="I69" s="144">
        <v>2864</v>
      </c>
      <c r="J69" s="145">
        <f>INT((I69*Valores!$C$2*100)+0.5)/100</f>
        <v>26748.9</v>
      </c>
      <c r="K69" s="160">
        <v>0</v>
      </c>
      <c r="L69" s="145">
        <f>INT((K69*Valores!$C$2*100)+0.5)/100</f>
        <v>0</v>
      </c>
      <c r="M69" s="158">
        <v>0</v>
      </c>
      <c r="N69" s="145">
        <f>INT((M69*Valores!$C$2*100)+0.5)/100</f>
        <v>0</v>
      </c>
      <c r="O69" s="145">
        <f t="shared" si="1"/>
        <v>4979.955000000001</v>
      </c>
      <c r="P69" s="145">
        <f t="shared" si="2"/>
        <v>0</v>
      </c>
      <c r="Q69" s="147">
        <f>Valores!$C$16</f>
        <v>8673.47</v>
      </c>
      <c r="R69" s="147">
        <f>Valores!$D$4</f>
        <v>4774.45</v>
      </c>
      <c r="S69" s="145">
        <v>0</v>
      </c>
      <c r="T69" s="148">
        <f>IF($H$5="NO",Valores!$C$43,Valores!$C$43/2)</f>
        <v>1619.82</v>
      </c>
      <c r="U69" s="145">
        <f>Valores!$C$24</f>
        <v>3897.01</v>
      </c>
      <c r="V69" s="145">
        <f t="shared" si="12"/>
        <v>3897.01</v>
      </c>
      <c r="W69" s="145">
        <v>0</v>
      </c>
      <c r="X69" s="145">
        <v>0</v>
      </c>
      <c r="Y69" s="149">
        <v>0</v>
      </c>
      <c r="Z69" s="145">
        <f>Y69*Valores!$C$2</f>
        <v>0</v>
      </c>
      <c r="AA69" s="145">
        <v>0</v>
      </c>
      <c r="AB69" s="148">
        <f>Valores!$C$89</f>
        <v>1153.8461538461538</v>
      </c>
      <c r="AC69" s="150">
        <f>Valores!$C$30</f>
        <v>199.86</v>
      </c>
      <c r="AD69" s="145">
        <f t="shared" si="4"/>
        <v>0</v>
      </c>
      <c r="AE69" s="145">
        <f>Valores!$C$31</f>
        <v>199.86</v>
      </c>
      <c r="AF69" s="149">
        <v>0</v>
      </c>
      <c r="AG69" s="145">
        <f>INT(((AF69*Valores!$C$2)*100)+0.5)/100</f>
        <v>0</v>
      </c>
      <c r="AH69" s="145">
        <f>IF($H$5="NO",Valores!$C$59,Valores!$C$59/2)</f>
        <v>406.53</v>
      </c>
      <c r="AI69" s="145">
        <f>IF($H$5="NO",Valores!$C$61,Valores!$C$61/2)</f>
        <v>116.15</v>
      </c>
      <c r="AJ69" s="151">
        <f t="shared" si="5"/>
        <v>53703.82115384616</v>
      </c>
      <c r="AK69" s="147">
        <f>Valores!$C$36</f>
        <v>1046.83</v>
      </c>
      <c r="AL69" s="148">
        <f>Valores!$C$8</f>
        <v>0</v>
      </c>
      <c r="AM69" s="148">
        <f>Valores!$C$84</f>
        <v>2275</v>
      </c>
      <c r="AN69" s="148"/>
      <c r="AO69" s="150">
        <f>Valores!$C$51</f>
        <v>327.6</v>
      </c>
      <c r="AP69" s="152">
        <f t="shared" si="6"/>
        <v>3321.83</v>
      </c>
      <c r="AQ69" s="153">
        <f>AJ69*-Valores!$C$68</f>
        <v>-5907.4203269230775</v>
      </c>
      <c r="AR69" s="153">
        <f>AJ69*-Valores!$C$69</f>
        <v>0</v>
      </c>
      <c r="AS69" s="147">
        <f>AJ69*-Valores!$C$70</f>
        <v>-2416.6719519230774</v>
      </c>
      <c r="AT69" s="147">
        <v>-159.43</v>
      </c>
      <c r="AU69" s="147">
        <f t="shared" si="7"/>
        <v>-53.83</v>
      </c>
      <c r="AV69" s="151">
        <f t="shared" si="8"/>
        <v>48488.29887500001</v>
      </c>
      <c r="AW69" s="155"/>
      <c r="AX69" s="155"/>
      <c r="AY69" s="140" t="s">
        <v>4</v>
      </c>
    </row>
    <row r="70" spans="1:51" s="117" customFormat="1" ht="11.25" customHeight="1">
      <c r="A70" s="139">
        <v>67</v>
      </c>
      <c r="B70" s="139"/>
      <c r="C70" s="140" t="s">
        <v>257</v>
      </c>
      <c r="D70" s="140"/>
      <c r="E70" s="140">
        <f t="shared" si="0"/>
        <v>24</v>
      </c>
      <c r="F70" s="141" t="s">
        <v>258</v>
      </c>
      <c r="G70" s="142">
        <v>79</v>
      </c>
      <c r="H70" s="143">
        <f>INT((G70*Valores!$C$2*100)+0.5)/100</f>
        <v>737.84</v>
      </c>
      <c r="I70" s="144">
        <v>2161</v>
      </c>
      <c r="J70" s="145">
        <f>INT((I70*Valores!$C$2*100)+0.5)/100</f>
        <v>20183.09</v>
      </c>
      <c r="K70" s="160">
        <v>0</v>
      </c>
      <c r="L70" s="145">
        <f>INT((K70*Valores!$C$2*100)+0.5)/100</f>
        <v>0</v>
      </c>
      <c r="M70" s="158">
        <v>0</v>
      </c>
      <c r="N70" s="145">
        <f>INT((M70*Valores!$C$2*100)+0.5)/100</f>
        <v>0</v>
      </c>
      <c r="O70" s="145">
        <f t="shared" si="1"/>
        <v>3965.664</v>
      </c>
      <c r="P70" s="145">
        <f t="shared" si="2"/>
        <v>0</v>
      </c>
      <c r="Q70" s="147">
        <f>Valores!$C$16</f>
        <v>8673.47</v>
      </c>
      <c r="R70" s="147">
        <f>Valores!$D$4</f>
        <v>4774.45</v>
      </c>
      <c r="S70" s="159">
        <f>Valores!$C$27</f>
        <v>4359.58</v>
      </c>
      <c r="T70" s="148">
        <f>IF($H$5="NO",Valores!$C$43,Valores!$C$43/2)</f>
        <v>1619.82</v>
      </c>
      <c r="U70" s="145">
        <f>Valores!$C$24</f>
        <v>3897.01</v>
      </c>
      <c r="V70" s="145">
        <f t="shared" si="12"/>
        <v>3897.01</v>
      </c>
      <c r="W70" s="145">
        <v>0</v>
      </c>
      <c r="X70" s="145">
        <v>0</v>
      </c>
      <c r="Y70" s="149">
        <v>0</v>
      </c>
      <c r="Z70" s="145">
        <f>Y70*Valores!$C$2</f>
        <v>0</v>
      </c>
      <c r="AA70" s="145">
        <v>0</v>
      </c>
      <c r="AB70" s="148">
        <f>Valores!$C$89</f>
        <v>1153.8461538461538</v>
      </c>
      <c r="AC70" s="150">
        <f>Valores!$C$30</f>
        <v>199.86</v>
      </c>
      <c r="AD70" s="145">
        <f t="shared" si="4"/>
        <v>0</v>
      </c>
      <c r="AE70" s="145">
        <f>Valores!$C$31</f>
        <v>199.86</v>
      </c>
      <c r="AF70" s="149">
        <v>0</v>
      </c>
      <c r="AG70" s="145">
        <f>INT(((AF70*Valores!$C$2)*100)+0.5)/100</f>
        <v>0</v>
      </c>
      <c r="AH70" s="145">
        <f>IF($H$5="NO",Valores!$C$59,Valores!$C$59/2)</f>
        <v>406.53</v>
      </c>
      <c r="AI70" s="145">
        <f>IF($H$5="NO",Valores!$C$61,Valores!$C$61/2)</f>
        <v>116.15</v>
      </c>
      <c r="AJ70" s="151">
        <f t="shared" si="5"/>
        <v>50287.17015384616</v>
      </c>
      <c r="AK70" s="147">
        <f>Valores!$C$36</f>
        <v>1046.83</v>
      </c>
      <c r="AL70" s="148">
        <f>Valores!$C$8</f>
        <v>0</v>
      </c>
      <c r="AM70" s="148">
        <f>Valores!$C$85</f>
        <v>2730</v>
      </c>
      <c r="AN70" s="148"/>
      <c r="AO70" s="150">
        <f>Valores!$C$52</f>
        <v>170.34</v>
      </c>
      <c r="AP70" s="152">
        <f t="shared" si="6"/>
        <v>3776.83</v>
      </c>
      <c r="AQ70" s="153">
        <f>AJ70*-Valores!$C$68</f>
        <v>-5531.588716923077</v>
      </c>
      <c r="AR70" s="153">
        <f>AJ70*-Valores!$C$69</f>
        <v>0</v>
      </c>
      <c r="AS70" s="147">
        <f>AJ70*-Valores!$C$70</f>
        <v>-2262.922656923077</v>
      </c>
      <c r="AT70" s="147">
        <v>-159.43</v>
      </c>
      <c r="AU70" s="147">
        <f t="shared" si="7"/>
        <v>-53.83</v>
      </c>
      <c r="AV70" s="151">
        <f t="shared" si="8"/>
        <v>46056.228780000005</v>
      </c>
      <c r="AW70" s="155"/>
      <c r="AX70" s="155">
        <v>30</v>
      </c>
      <c r="AY70" s="140" t="s">
        <v>4</v>
      </c>
    </row>
    <row r="71" spans="1:51" s="117" customFormat="1" ht="11.25" customHeight="1">
      <c r="A71" s="139">
        <v>68</v>
      </c>
      <c r="B71" s="139"/>
      <c r="C71" s="140" t="s">
        <v>259</v>
      </c>
      <c r="D71" s="140"/>
      <c r="E71" s="140">
        <f t="shared" si="0"/>
        <v>32</v>
      </c>
      <c r="F71" s="141" t="s">
        <v>260</v>
      </c>
      <c r="G71" s="142">
        <v>90</v>
      </c>
      <c r="H71" s="143">
        <f>INT((G71*Valores!$C$2*100)+0.5)/100</f>
        <v>840.57</v>
      </c>
      <c r="I71" s="144">
        <v>3010</v>
      </c>
      <c r="J71" s="145">
        <f>INT((I71*Valores!$C$2*100)+0.5)/100</f>
        <v>28112.5</v>
      </c>
      <c r="K71" s="160">
        <v>0</v>
      </c>
      <c r="L71" s="145">
        <f>INT((K71*Valores!$C$2*100)+0.5)/100</f>
        <v>0</v>
      </c>
      <c r="M71" s="158">
        <v>0</v>
      </c>
      <c r="N71" s="145">
        <f>INT((M71*Valores!$C$2*100)+0.5)/100</f>
        <v>0</v>
      </c>
      <c r="O71" s="145">
        <f t="shared" si="1"/>
        <v>5285.2155</v>
      </c>
      <c r="P71" s="145">
        <f t="shared" si="2"/>
        <v>0</v>
      </c>
      <c r="Q71" s="147">
        <f>Valores!$C$16</f>
        <v>8673.47</v>
      </c>
      <c r="R71" s="147">
        <f>Valores!$D$4</f>
        <v>4774.45</v>
      </c>
      <c r="S71" s="145">
        <f>Valores!$C$27</f>
        <v>4359.58</v>
      </c>
      <c r="T71" s="148">
        <f>IF($H$5="NO",Valores!$C$44,Valores!$C$44/2)</f>
        <v>2384.69</v>
      </c>
      <c r="U71" s="145">
        <f>Valores!$C$24</f>
        <v>3897.01</v>
      </c>
      <c r="V71" s="145">
        <f t="shared" si="12"/>
        <v>3897.01</v>
      </c>
      <c r="W71" s="145">
        <v>0</v>
      </c>
      <c r="X71" s="145">
        <v>0</v>
      </c>
      <c r="Y71" s="149">
        <v>0</v>
      </c>
      <c r="Z71" s="145">
        <f>Y71*Valores!$C$2</f>
        <v>0</v>
      </c>
      <c r="AA71" s="145">
        <v>0</v>
      </c>
      <c r="AB71" s="148">
        <f>Valores!$C$89</f>
        <v>1153.8461538461538</v>
      </c>
      <c r="AC71" s="150">
        <f>Valores!$C$30</f>
        <v>199.86</v>
      </c>
      <c r="AD71" s="145">
        <f t="shared" si="4"/>
        <v>0</v>
      </c>
      <c r="AE71" s="145">
        <f>Valores!$C$31</f>
        <v>199.86</v>
      </c>
      <c r="AF71" s="149">
        <v>0</v>
      </c>
      <c r="AG71" s="145">
        <f>INT(((AF71*Valores!$C$2)*100)+0.5)/100</f>
        <v>0</v>
      </c>
      <c r="AH71" s="145">
        <f>IF($H$5="NO",Valores!$C$59,Valores!$C$59/2)</f>
        <v>406.53</v>
      </c>
      <c r="AI71" s="145">
        <f>IF($H$5="NO",Valores!$C$61,Valores!$C$61/2)</f>
        <v>116.15</v>
      </c>
      <c r="AJ71" s="151">
        <f t="shared" si="5"/>
        <v>60403.73165384616</v>
      </c>
      <c r="AK71" s="147">
        <f>Valores!$C$36</f>
        <v>1046.83</v>
      </c>
      <c r="AL71" s="148">
        <f>Valores!$C$9</f>
        <v>0</v>
      </c>
      <c r="AM71" s="148">
        <f>Valores!$C$85</f>
        <v>2730</v>
      </c>
      <c r="AN71" s="148"/>
      <c r="AO71" s="150">
        <f>Valores!$C$52</f>
        <v>170.34</v>
      </c>
      <c r="AP71" s="152">
        <f t="shared" si="6"/>
        <v>3776.83</v>
      </c>
      <c r="AQ71" s="153">
        <f>AJ71*-Valores!$C$68</f>
        <v>-6644.410481923078</v>
      </c>
      <c r="AR71" s="153">
        <f>AJ71*-Valores!$C$69</f>
        <v>0</v>
      </c>
      <c r="AS71" s="147">
        <f>AJ71*-Valores!$C$70</f>
        <v>-2718.1679244230772</v>
      </c>
      <c r="AT71" s="147">
        <v>-159.43</v>
      </c>
      <c r="AU71" s="147">
        <f t="shared" si="7"/>
        <v>-53.83</v>
      </c>
      <c r="AV71" s="151">
        <f t="shared" si="8"/>
        <v>54604.723247500006</v>
      </c>
      <c r="AW71" s="155"/>
      <c r="AX71" s="155"/>
      <c r="AY71" s="140" t="s">
        <v>4</v>
      </c>
    </row>
    <row r="72" spans="1:51" s="117" customFormat="1" ht="11.25" customHeight="1">
      <c r="A72" s="139">
        <v>69</v>
      </c>
      <c r="B72" s="139"/>
      <c r="C72" s="140" t="s">
        <v>261</v>
      </c>
      <c r="D72" s="140"/>
      <c r="E72" s="140">
        <f t="shared" si="0"/>
        <v>27</v>
      </c>
      <c r="F72" s="141" t="s">
        <v>262</v>
      </c>
      <c r="G72" s="142">
        <v>78</v>
      </c>
      <c r="H72" s="143">
        <f>INT((G72*Valores!$C$2*100)+0.5)/100</f>
        <v>728.5</v>
      </c>
      <c r="I72" s="144">
        <v>2162</v>
      </c>
      <c r="J72" s="145">
        <f>INT((I72*Valores!$C$2*100)+0.5)/100</f>
        <v>20192.43</v>
      </c>
      <c r="K72" s="160">
        <v>0</v>
      </c>
      <c r="L72" s="145">
        <f>INT((K72*Valores!$C$2*100)+0.5)/100</f>
        <v>0</v>
      </c>
      <c r="M72" s="158">
        <v>0</v>
      </c>
      <c r="N72" s="145">
        <f>INT((M72*Valores!$C$2*100)+0.5)/100</f>
        <v>0</v>
      </c>
      <c r="O72" s="145">
        <f t="shared" si="1"/>
        <v>3965.664</v>
      </c>
      <c r="P72" s="145">
        <f t="shared" si="2"/>
        <v>0</v>
      </c>
      <c r="Q72" s="147">
        <f>Valores!$C$16</f>
        <v>8673.47</v>
      </c>
      <c r="R72" s="147">
        <f>Valores!$D$4</f>
        <v>4774.45</v>
      </c>
      <c r="S72" s="159">
        <f>Valores!$C$27</f>
        <v>4359.58</v>
      </c>
      <c r="T72" s="148">
        <f>IF($H$5="NO",Valores!$C$43,Valores!$C$43/2)</f>
        <v>1619.82</v>
      </c>
      <c r="U72" s="145">
        <f>Valores!$C$24</f>
        <v>3897.01</v>
      </c>
      <c r="V72" s="145">
        <f t="shared" si="12"/>
        <v>3897.01</v>
      </c>
      <c r="W72" s="145">
        <v>0</v>
      </c>
      <c r="X72" s="145">
        <v>0</v>
      </c>
      <c r="Y72" s="149">
        <v>0</v>
      </c>
      <c r="Z72" s="145">
        <f>Y72*Valores!$C$2</f>
        <v>0</v>
      </c>
      <c r="AA72" s="145">
        <v>0</v>
      </c>
      <c r="AB72" s="148">
        <f>Valores!$C$89</f>
        <v>1153.8461538461538</v>
      </c>
      <c r="AC72" s="150">
        <f>Valores!$C$30</f>
        <v>199.86</v>
      </c>
      <c r="AD72" s="145">
        <f t="shared" si="4"/>
        <v>0</v>
      </c>
      <c r="AE72" s="145">
        <f>Valores!$C$31</f>
        <v>199.86</v>
      </c>
      <c r="AF72" s="149">
        <v>0</v>
      </c>
      <c r="AG72" s="145">
        <f>INT(((AF72*Valores!$C$2)*100)+0.5)/100</f>
        <v>0</v>
      </c>
      <c r="AH72" s="145">
        <f>IF($H$5="NO",Valores!$C$59,Valores!$C$59/2)</f>
        <v>406.53</v>
      </c>
      <c r="AI72" s="145">
        <f>IF($H$5="NO",Valores!$C$61,Valores!$C$61/2)</f>
        <v>116.15</v>
      </c>
      <c r="AJ72" s="151">
        <f t="shared" si="5"/>
        <v>50287.17015384616</v>
      </c>
      <c r="AK72" s="147">
        <f>Valores!$C$36</f>
        <v>1046.83</v>
      </c>
      <c r="AL72" s="148">
        <f>Valores!$C$8</f>
        <v>0</v>
      </c>
      <c r="AM72" s="148">
        <f>Valores!$C$85</f>
        <v>2730</v>
      </c>
      <c r="AN72" s="148"/>
      <c r="AO72" s="150">
        <f>Valores!$C$52</f>
        <v>170.34</v>
      </c>
      <c r="AP72" s="152">
        <f t="shared" si="6"/>
        <v>3776.83</v>
      </c>
      <c r="AQ72" s="153">
        <f>AJ72*-Valores!$C$68</f>
        <v>-5531.588716923077</v>
      </c>
      <c r="AR72" s="153">
        <f>AJ72*-Valores!$C$69</f>
        <v>0</v>
      </c>
      <c r="AS72" s="147">
        <f>AJ72*-Valores!$C$70</f>
        <v>-2262.922656923077</v>
      </c>
      <c r="AT72" s="147">
        <v>-159.43</v>
      </c>
      <c r="AU72" s="147">
        <f t="shared" si="7"/>
        <v>-53.83</v>
      </c>
      <c r="AV72" s="151">
        <f t="shared" si="8"/>
        <v>46056.228780000005</v>
      </c>
      <c r="AW72" s="155"/>
      <c r="AX72" s="155">
        <v>25</v>
      </c>
      <c r="AY72" s="140" t="s">
        <v>4</v>
      </c>
    </row>
    <row r="73" spans="1:51" s="117" customFormat="1" ht="11.25" customHeight="1">
      <c r="A73" s="157">
        <v>70</v>
      </c>
      <c r="B73" s="157" t="s">
        <v>143</v>
      </c>
      <c r="C73" s="140" t="s">
        <v>263</v>
      </c>
      <c r="D73" s="140"/>
      <c r="E73" s="140">
        <f aca="true" t="shared" si="13" ref="E73:E136">LEN(F73)</f>
        <v>32</v>
      </c>
      <c r="F73" s="141" t="s">
        <v>264</v>
      </c>
      <c r="G73" s="142">
        <v>90</v>
      </c>
      <c r="H73" s="143">
        <f>INT((G73*Valores!$C$2*100)+0.5)/100</f>
        <v>840.57</v>
      </c>
      <c r="I73" s="144">
        <v>2800</v>
      </c>
      <c r="J73" s="145">
        <f>INT((I73*Valores!$C$2*100)+0.5)/100</f>
        <v>26151.16</v>
      </c>
      <c r="K73" s="160">
        <v>0</v>
      </c>
      <c r="L73" s="145">
        <f>INT((K73*Valores!$C$2*100)+0.5)/100</f>
        <v>0</v>
      </c>
      <c r="M73" s="158">
        <v>0</v>
      </c>
      <c r="N73" s="145">
        <f>INT((M73*Valores!$C$2*100)+0.5)/100</f>
        <v>0</v>
      </c>
      <c r="O73" s="145">
        <f aca="true" t="shared" si="14" ref="O73:O136">IF($J$2=0,IF(C73&lt;&gt;"13-930",(SUM(H73,J73,L73,N73,Z73,U73,T73)*$O$2),0),0)</f>
        <v>4991.0145</v>
      </c>
      <c r="P73" s="145">
        <f aca="true" t="shared" si="15" ref="P73:P136">SUM(H73,J73,L73,N73,Z73,T73)*$J$2</f>
        <v>0</v>
      </c>
      <c r="Q73" s="147">
        <f>Valores!$C$16</f>
        <v>8673.47</v>
      </c>
      <c r="R73" s="147">
        <f>Valores!$D$4</f>
        <v>4774.45</v>
      </c>
      <c r="S73" s="145">
        <v>0</v>
      </c>
      <c r="T73" s="148">
        <f>IF($H$5="NO",Valores!$C$44,Valores!$C$44/2)</f>
        <v>2384.69</v>
      </c>
      <c r="U73" s="145">
        <f>Valores!$C$24</f>
        <v>3897.01</v>
      </c>
      <c r="V73" s="145">
        <f t="shared" si="12"/>
        <v>3897.01</v>
      </c>
      <c r="W73" s="145">
        <v>0</v>
      </c>
      <c r="X73" s="145">
        <v>0</v>
      </c>
      <c r="Y73" s="149">
        <v>0</v>
      </c>
      <c r="Z73" s="145">
        <f>Y73*Valores!$C$2</f>
        <v>0</v>
      </c>
      <c r="AA73" s="145">
        <v>0</v>
      </c>
      <c r="AB73" s="148">
        <f>Valores!$C$91</f>
        <v>2307.6923076923076</v>
      </c>
      <c r="AC73" s="150">
        <f>Valores!$C$30</f>
        <v>199.86</v>
      </c>
      <c r="AD73" s="145">
        <f t="shared" si="4"/>
        <v>0</v>
      </c>
      <c r="AE73" s="145">
        <f>Valores!$C$31</f>
        <v>199.86</v>
      </c>
      <c r="AF73" s="149">
        <v>0</v>
      </c>
      <c r="AG73" s="145">
        <f>INT(((AF73*Valores!$C$2)*100)+0.5)/100</f>
        <v>0</v>
      </c>
      <c r="AH73" s="145">
        <f>IF($H$5="NO",Valores!$C$59,Valores!$C$59/2)</f>
        <v>406.53</v>
      </c>
      <c r="AI73" s="145">
        <f>IF($H$5="NO",Valores!$C$61,Valores!$C$61/2)</f>
        <v>116.15</v>
      </c>
      <c r="AJ73" s="151">
        <f t="shared" si="5"/>
        <v>54942.45680769231</v>
      </c>
      <c r="AK73" s="147">
        <f>Valores!$C$36</f>
        <v>1046.83</v>
      </c>
      <c r="AL73" s="148">
        <f>Valores!$C$9</f>
        <v>0</v>
      </c>
      <c r="AM73" s="148">
        <f>Valores!$C$86</f>
        <v>4550</v>
      </c>
      <c r="AN73" s="148"/>
      <c r="AO73" s="150">
        <f>Valores!$C$52</f>
        <v>170.34</v>
      </c>
      <c r="AP73" s="152">
        <f aca="true" t="shared" si="16" ref="AP73:AP136">IF($H$4="SI",SUM(AK73:AO73),SUM(AK73:AM73))</f>
        <v>5596.83</v>
      </c>
      <c r="AQ73" s="153">
        <f>AJ73*-Valores!$C$68</f>
        <v>-6043.670248846154</v>
      </c>
      <c r="AR73" s="153">
        <f>AJ73*-Valores!$C$69</f>
        <v>0</v>
      </c>
      <c r="AS73" s="147">
        <f>AJ73*-Valores!$C$70</f>
        <v>-2472.410556346154</v>
      </c>
      <c r="AT73" s="147">
        <v>-159.43</v>
      </c>
      <c r="AU73" s="147">
        <f t="shared" si="7"/>
        <v>-53.83</v>
      </c>
      <c r="AV73" s="151">
        <f t="shared" si="8"/>
        <v>51809.9460025</v>
      </c>
      <c r="AW73" s="155"/>
      <c r="AX73" s="155"/>
      <c r="AY73" s="140" t="s">
        <v>8</v>
      </c>
    </row>
    <row r="74" spans="1:51" s="117" customFormat="1" ht="11.25" customHeight="1">
      <c r="A74" s="139">
        <v>71</v>
      </c>
      <c r="B74" s="139"/>
      <c r="C74" s="140" t="s">
        <v>265</v>
      </c>
      <c r="D74" s="140"/>
      <c r="E74" s="140">
        <f t="shared" si="13"/>
        <v>27</v>
      </c>
      <c r="F74" s="141" t="s">
        <v>266</v>
      </c>
      <c r="G74" s="142">
        <v>79</v>
      </c>
      <c r="H74" s="143">
        <f>INT((G74*Valores!$C$2*100)+0.5)/100</f>
        <v>737.84</v>
      </c>
      <c r="I74" s="144">
        <v>2161</v>
      </c>
      <c r="J74" s="145">
        <f>INT((I74*Valores!$C$2*100)+0.5)/100</f>
        <v>20183.09</v>
      </c>
      <c r="K74" s="160">
        <v>0</v>
      </c>
      <c r="L74" s="145">
        <f>INT((K74*Valores!$C$2*100)+0.5)/100</f>
        <v>0</v>
      </c>
      <c r="M74" s="158">
        <v>0</v>
      </c>
      <c r="N74" s="145">
        <f>INT((M74*Valores!$C$2*100)+0.5)/100</f>
        <v>0</v>
      </c>
      <c r="O74" s="145">
        <f t="shared" si="14"/>
        <v>3965.664</v>
      </c>
      <c r="P74" s="145">
        <f t="shared" si="15"/>
        <v>0</v>
      </c>
      <c r="Q74" s="147">
        <f>Valores!$C$16</f>
        <v>8673.47</v>
      </c>
      <c r="R74" s="147">
        <f>Valores!$D$4</f>
        <v>4774.45</v>
      </c>
      <c r="S74" s="159">
        <f>Valores!$C$27</f>
        <v>4359.58</v>
      </c>
      <c r="T74" s="148">
        <f>IF($H$5="NO",Valores!$C$43,Valores!$C$43/2)</f>
        <v>1619.82</v>
      </c>
      <c r="U74" s="145">
        <f>Valores!$C$24</f>
        <v>3897.01</v>
      </c>
      <c r="V74" s="145">
        <f t="shared" si="12"/>
        <v>3897.01</v>
      </c>
      <c r="W74" s="145">
        <v>0</v>
      </c>
      <c r="X74" s="145">
        <v>0</v>
      </c>
      <c r="Y74" s="149">
        <v>0</v>
      </c>
      <c r="Z74" s="145">
        <f>Y74*Valores!$C$2</f>
        <v>0</v>
      </c>
      <c r="AA74" s="145">
        <v>0</v>
      </c>
      <c r="AB74" s="148">
        <f>Valores!$C$91</f>
        <v>2307.6923076923076</v>
      </c>
      <c r="AC74" s="150">
        <f>Valores!$C$30</f>
        <v>199.86</v>
      </c>
      <c r="AD74" s="145">
        <f aca="true" t="shared" si="17" ref="AD74:AD137">SUM(H74,J74,L74,Z74,T74)*$H$3/100</f>
        <v>0</v>
      </c>
      <c r="AE74" s="145">
        <f>Valores!$C$31</f>
        <v>199.86</v>
      </c>
      <c r="AF74" s="149">
        <v>0</v>
      </c>
      <c r="AG74" s="145">
        <f>INT(((AF74*Valores!$C$2)*100)+0.5)/100</f>
        <v>0</v>
      </c>
      <c r="AH74" s="145">
        <f>IF($H$5="NO",Valores!$C$59,Valores!$C$59/2)</f>
        <v>406.53</v>
      </c>
      <c r="AI74" s="145">
        <f>IF($H$5="NO",Valores!$C$61,Valores!$C$61/2)</f>
        <v>116.15</v>
      </c>
      <c r="AJ74" s="151">
        <f aca="true" t="shared" si="18" ref="AJ74:AJ137">SUM(H74,J74,L74,N74,O74,P74,Q74,R74,S74,V74,W74,X74,Z74,AA74,AC74,AD74,AE74,AG74,T74,AH74,AI74,AB74)</f>
        <v>51441.016307692305</v>
      </c>
      <c r="AK74" s="147">
        <f>Valores!$C$36</f>
        <v>1046.83</v>
      </c>
      <c r="AL74" s="148">
        <f>Valores!$C$8</f>
        <v>0</v>
      </c>
      <c r="AM74" s="148">
        <f>Valores!$C$86</f>
        <v>4550</v>
      </c>
      <c r="AN74" s="148"/>
      <c r="AO74" s="150">
        <f>Valores!$C$52</f>
        <v>170.34</v>
      </c>
      <c r="AP74" s="152">
        <f t="shared" si="16"/>
        <v>5596.83</v>
      </c>
      <c r="AQ74" s="153">
        <f>AJ74*-Valores!$C$68</f>
        <v>-5658.5117938461535</v>
      </c>
      <c r="AR74" s="153">
        <f>AJ74*-Valores!$C$69</f>
        <v>0</v>
      </c>
      <c r="AS74" s="147">
        <f>AJ74*-Valores!$C$70</f>
        <v>-2314.8457338461535</v>
      </c>
      <c r="AT74" s="147">
        <v>-159.43</v>
      </c>
      <c r="AU74" s="147">
        <f aca="true" t="shared" si="19" ref="AU74:AU137">IF($H$6=0,-53.83,(-53.83+$H$6*(-53.83)))</f>
        <v>-53.83</v>
      </c>
      <c r="AV74" s="151">
        <f aca="true" t="shared" si="20" ref="AV74:AV137">AJ74+AP74+AR74+AS74+AQ74+AT74+AU74</f>
        <v>48851.22878</v>
      </c>
      <c r="AW74" s="155"/>
      <c r="AX74" s="155">
        <v>30</v>
      </c>
      <c r="AY74" s="140" t="s">
        <v>4</v>
      </c>
    </row>
    <row r="75" spans="1:51" s="117" customFormat="1" ht="11.25" customHeight="1">
      <c r="A75" s="139">
        <v>72</v>
      </c>
      <c r="B75" s="139"/>
      <c r="C75" s="140" t="s">
        <v>267</v>
      </c>
      <c r="D75" s="140"/>
      <c r="E75" s="140">
        <f t="shared" si="13"/>
        <v>32</v>
      </c>
      <c r="F75" s="141" t="s">
        <v>268</v>
      </c>
      <c r="G75" s="142">
        <v>90</v>
      </c>
      <c r="H75" s="143">
        <f>INT((G75*Valores!$C$2*100)+0.5)/100</f>
        <v>840.57</v>
      </c>
      <c r="I75" s="144">
        <v>2720</v>
      </c>
      <c r="J75" s="145">
        <f>INT((I75*Valores!$C$2*100)+0.5)/100</f>
        <v>25403.98</v>
      </c>
      <c r="K75" s="160">
        <v>0</v>
      </c>
      <c r="L75" s="145">
        <f>INT((K75*Valores!$C$2*100)+0.5)/100</f>
        <v>0</v>
      </c>
      <c r="M75" s="158">
        <v>0</v>
      </c>
      <c r="N75" s="145">
        <f>INT((M75*Valores!$C$2*100)+0.5)/100</f>
        <v>0</v>
      </c>
      <c r="O75" s="145">
        <f t="shared" si="14"/>
        <v>4878.937499999999</v>
      </c>
      <c r="P75" s="145">
        <f t="shared" si="15"/>
        <v>0</v>
      </c>
      <c r="Q75" s="147">
        <f>Valores!$C$16</f>
        <v>8673.47</v>
      </c>
      <c r="R75" s="147">
        <f>Valores!$D$4</f>
        <v>4774.45</v>
      </c>
      <c r="S75" s="145">
        <v>0</v>
      </c>
      <c r="T75" s="148">
        <f>IF($H$5="NO",Valores!$C$44,Valores!$C$44/2)</f>
        <v>2384.69</v>
      </c>
      <c r="U75" s="145">
        <f>Valores!$C$24</f>
        <v>3897.01</v>
      </c>
      <c r="V75" s="145">
        <f t="shared" si="12"/>
        <v>3897.01</v>
      </c>
      <c r="W75" s="145">
        <v>0</v>
      </c>
      <c r="X75" s="145">
        <v>0</v>
      </c>
      <c r="Y75" s="149">
        <v>0</v>
      </c>
      <c r="Z75" s="145">
        <f>Y75*Valores!$C$2</f>
        <v>0</v>
      </c>
      <c r="AA75" s="145">
        <v>0</v>
      </c>
      <c r="AB75" s="148">
        <f>Valores!$C$91</f>
        <v>2307.6923076923076</v>
      </c>
      <c r="AC75" s="150">
        <f>Valores!$C$30</f>
        <v>199.86</v>
      </c>
      <c r="AD75" s="145">
        <f t="shared" si="17"/>
        <v>0</v>
      </c>
      <c r="AE75" s="145">
        <f>Valores!$C$31</f>
        <v>199.86</v>
      </c>
      <c r="AF75" s="149">
        <v>0</v>
      </c>
      <c r="AG75" s="145">
        <f>INT(((AF75*Valores!$C$2)*100)+0.5)/100</f>
        <v>0</v>
      </c>
      <c r="AH75" s="145">
        <f>IF($H$5="NO",Valores!$C$59,Valores!$C$59/2)</f>
        <v>406.53</v>
      </c>
      <c r="AI75" s="145">
        <f>IF($H$5="NO",Valores!$C$61,Valores!$C$61/2)</f>
        <v>116.15</v>
      </c>
      <c r="AJ75" s="151">
        <f t="shared" si="18"/>
        <v>54083.199807692305</v>
      </c>
      <c r="AK75" s="147">
        <f>Valores!$C$36</f>
        <v>1046.83</v>
      </c>
      <c r="AL75" s="148">
        <f>Valores!$C$9</f>
        <v>0</v>
      </c>
      <c r="AM75" s="148">
        <f>Valores!$C$86</f>
        <v>4550</v>
      </c>
      <c r="AN75" s="148"/>
      <c r="AO75" s="150">
        <f>Valores!$C$52</f>
        <v>170.34</v>
      </c>
      <c r="AP75" s="152">
        <f t="shared" si="16"/>
        <v>5596.83</v>
      </c>
      <c r="AQ75" s="153">
        <f>AJ75*-Valores!$C$68</f>
        <v>-5949.151978846154</v>
      </c>
      <c r="AR75" s="153">
        <f>AJ75*-Valores!$C$69</f>
        <v>0</v>
      </c>
      <c r="AS75" s="147">
        <f>AJ75*-Valores!$C$70</f>
        <v>-2433.7439913461535</v>
      </c>
      <c r="AT75" s="147">
        <v>-159.43</v>
      </c>
      <c r="AU75" s="147">
        <f t="shared" si="19"/>
        <v>-53.83</v>
      </c>
      <c r="AV75" s="151">
        <f t="shared" si="20"/>
        <v>51083.873837499996</v>
      </c>
      <c r="AW75" s="155"/>
      <c r="AX75" s="155"/>
      <c r="AY75" s="140" t="s">
        <v>8</v>
      </c>
    </row>
    <row r="76" spans="1:51" s="117" customFormat="1" ht="11.25" customHeight="1">
      <c r="A76" s="139">
        <v>73</v>
      </c>
      <c r="B76" s="139"/>
      <c r="C76" s="140" t="s">
        <v>269</v>
      </c>
      <c r="D76" s="140"/>
      <c r="E76" s="140">
        <f t="shared" si="13"/>
        <v>16</v>
      </c>
      <c r="F76" s="141" t="s">
        <v>270</v>
      </c>
      <c r="G76" s="142">
        <v>78</v>
      </c>
      <c r="H76" s="143">
        <f>INT((G76*Valores!$C$2*100)+0.5)/100</f>
        <v>728.5</v>
      </c>
      <c r="I76" s="144">
        <v>1284</v>
      </c>
      <c r="J76" s="145">
        <f>INT((I76*Valores!$C$2*100)+0.5)/100</f>
        <v>11992.17</v>
      </c>
      <c r="K76" s="160">
        <v>0</v>
      </c>
      <c r="L76" s="145">
        <f>INT((K76*Valores!$C$2*100)+0.5)/100</f>
        <v>0</v>
      </c>
      <c r="M76" s="158">
        <v>0</v>
      </c>
      <c r="N76" s="145">
        <f>INT((M76*Valores!$C$2*100)+0.5)/100</f>
        <v>0</v>
      </c>
      <c r="O76" s="145">
        <f t="shared" si="14"/>
        <v>2728.65</v>
      </c>
      <c r="P76" s="145">
        <f t="shared" si="15"/>
        <v>0</v>
      </c>
      <c r="Q76" s="147">
        <f>Valores!$C$15</f>
        <v>8642.51</v>
      </c>
      <c r="R76" s="147">
        <f>Valores!$D$4</f>
        <v>4774.45</v>
      </c>
      <c r="S76" s="145">
        <f>Valores!$C$27</f>
        <v>4359.58</v>
      </c>
      <c r="T76" s="148">
        <f>IF($H$5="NO",Valores!$C$43,Valores!$C$43/2)</f>
        <v>1619.82</v>
      </c>
      <c r="U76" s="159">
        <f>Valores!$C$25</f>
        <v>3850.51</v>
      </c>
      <c r="V76" s="145">
        <f t="shared" si="12"/>
        <v>3850.51</v>
      </c>
      <c r="W76" s="145">
        <v>0</v>
      </c>
      <c r="X76" s="145">
        <v>0</v>
      </c>
      <c r="Y76" s="149">
        <v>0</v>
      </c>
      <c r="Z76" s="145">
        <f>Y76*Valores!$C$2</f>
        <v>0</v>
      </c>
      <c r="AA76" s="145">
        <v>0</v>
      </c>
      <c r="AB76" s="148">
        <f>Valores!$C$89</f>
        <v>1153.8461538461538</v>
      </c>
      <c r="AC76" s="150">
        <f>Valores!$C$30</f>
        <v>199.86</v>
      </c>
      <c r="AD76" s="145">
        <f t="shared" si="17"/>
        <v>0</v>
      </c>
      <c r="AE76" s="145">
        <f>Valores!$C$31</f>
        <v>199.86</v>
      </c>
      <c r="AF76" s="149">
        <v>0</v>
      </c>
      <c r="AG76" s="145">
        <f>INT(((AF76*Valores!$C$2)*100)+0.5)/100</f>
        <v>0</v>
      </c>
      <c r="AH76" s="145">
        <f>IF($H$5="NO",Valores!$C$59,Valores!$C$59/2)</f>
        <v>406.53</v>
      </c>
      <c r="AI76" s="145">
        <f>IF($H$5="NO",Valores!$C$61,Valores!$C$61/2)</f>
        <v>116.15</v>
      </c>
      <c r="AJ76" s="151">
        <f t="shared" si="18"/>
        <v>40772.43615384616</v>
      </c>
      <c r="AK76" s="147">
        <f>Valores!$C$36</f>
        <v>1046.83</v>
      </c>
      <c r="AL76" s="148">
        <f>Valores!$C$8</f>
        <v>0</v>
      </c>
      <c r="AM76" s="148">
        <f>Valores!$C$84</f>
        <v>2275</v>
      </c>
      <c r="AN76" s="148"/>
      <c r="AO76" s="150">
        <f>Valores!$C$52</f>
        <v>170.34</v>
      </c>
      <c r="AP76" s="152">
        <f t="shared" si="16"/>
        <v>3321.83</v>
      </c>
      <c r="AQ76" s="153">
        <f>AJ76*-Valores!$C$68</f>
        <v>-4484.967976923078</v>
      </c>
      <c r="AR76" s="153">
        <f>AJ76*-Valores!$C$69</f>
        <v>0</v>
      </c>
      <c r="AS76" s="147">
        <f>AJ76*-Valores!$C$70</f>
        <v>-1834.7596269230771</v>
      </c>
      <c r="AT76" s="147">
        <v>-159.43</v>
      </c>
      <c r="AU76" s="147">
        <f t="shared" si="19"/>
        <v>-53.83</v>
      </c>
      <c r="AV76" s="151">
        <f t="shared" si="20"/>
        <v>37561.27855</v>
      </c>
      <c r="AW76" s="155"/>
      <c r="AX76" s="155">
        <v>30</v>
      </c>
      <c r="AY76" s="140" t="s">
        <v>4</v>
      </c>
    </row>
    <row r="77" spans="1:51" s="117" customFormat="1" ht="11.25" customHeight="1">
      <c r="A77" s="139">
        <v>74</v>
      </c>
      <c r="B77" s="139"/>
      <c r="C77" s="140" t="s">
        <v>271</v>
      </c>
      <c r="D77" s="140"/>
      <c r="E77" s="140">
        <f t="shared" si="13"/>
        <v>33</v>
      </c>
      <c r="F77" s="141" t="s">
        <v>272</v>
      </c>
      <c r="G77" s="142">
        <v>78</v>
      </c>
      <c r="H77" s="143">
        <f>INT((G77*Valores!$C$2*100)+0.5)/100</f>
        <v>728.5</v>
      </c>
      <c r="I77" s="144">
        <v>1284</v>
      </c>
      <c r="J77" s="145">
        <f>INT((I77*Valores!$C$2*100)+0.5)/100</f>
        <v>11992.17</v>
      </c>
      <c r="K77" s="160">
        <v>0</v>
      </c>
      <c r="L77" s="145">
        <f>INT((K77*Valores!$C$2*100)+0.5)/100</f>
        <v>0</v>
      </c>
      <c r="M77" s="158">
        <v>0</v>
      </c>
      <c r="N77" s="145">
        <f>INT((M77*Valores!$C$2*100)+0.5)/100</f>
        <v>0</v>
      </c>
      <c r="O77" s="145">
        <f t="shared" si="14"/>
        <v>2728.65</v>
      </c>
      <c r="P77" s="145">
        <f t="shared" si="15"/>
        <v>0</v>
      </c>
      <c r="Q77" s="147">
        <f>Valores!$C$15</f>
        <v>8642.51</v>
      </c>
      <c r="R77" s="147">
        <f>Valores!$D$4</f>
        <v>4774.45</v>
      </c>
      <c r="S77" s="159">
        <f>Valores!$C$27</f>
        <v>4359.58</v>
      </c>
      <c r="T77" s="148">
        <f>IF($H$5="NO",Valores!$C$43,Valores!$C$43/2)</f>
        <v>1619.82</v>
      </c>
      <c r="U77" s="159">
        <f>Valores!$C$25</f>
        <v>3850.51</v>
      </c>
      <c r="V77" s="145">
        <f t="shared" si="12"/>
        <v>3850.51</v>
      </c>
      <c r="W77" s="145">
        <v>0</v>
      </c>
      <c r="X77" s="145">
        <v>0</v>
      </c>
      <c r="Y77" s="149">
        <v>0</v>
      </c>
      <c r="Z77" s="145">
        <f>Y77*Valores!$C$2</f>
        <v>0</v>
      </c>
      <c r="AA77" s="145">
        <v>0</v>
      </c>
      <c r="AB77" s="148">
        <f>Valores!$C$89</f>
        <v>1153.8461538461538</v>
      </c>
      <c r="AC77" s="150">
        <f>Valores!$C$30</f>
        <v>199.86</v>
      </c>
      <c r="AD77" s="145">
        <f t="shared" si="17"/>
        <v>0</v>
      </c>
      <c r="AE77" s="145">
        <f>Valores!$C$31</f>
        <v>199.86</v>
      </c>
      <c r="AF77" s="149">
        <v>0</v>
      </c>
      <c r="AG77" s="145">
        <f>INT(((AF77*Valores!$C$2)*100)+0.5)/100</f>
        <v>0</v>
      </c>
      <c r="AH77" s="145">
        <f>IF($H$5="NO",Valores!$C$59,Valores!$C$59/2)</f>
        <v>406.53</v>
      </c>
      <c r="AI77" s="145">
        <f>IF($H$5="NO",Valores!$C$61,Valores!$C$61/2)</f>
        <v>116.15</v>
      </c>
      <c r="AJ77" s="151">
        <f t="shared" si="18"/>
        <v>40772.43615384616</v>
      </c>
      <c r="AK77" s="147">
        <f>Valores!$C$36</f>
        <v>1046.83</v>
      </c>
      <c r="AL77" s="148">
        <f>Valores!$C$8</f>
        <v>0</v>
      </c>
      <c r="AM77" s="148">
        <f>Valores!$C$84</f>
        <v>2275</v>
      </c>
      <c r="AN77" s="148"/>
      <c r="AO77" s="150">
        <v>0</v>
      </c>
      <c r="AP77" s="152">
        <f t="shared" si="16"/>
        <v>3321.83</v>
      </c>
      <c r="AQ77" s="153">
        <f>AJ77*-Valores!$C$68</f>
        <v>-4484.967976923078</v>
      </c>
      <c r="AR77" s="153">
        <f>AJ77*-Valores!$C$69</f>
        <v>0</v>
      </c>
      <c r="AS77" s="147">
        <f>AJ77*-Valores!$C$70</f>
        <v>-1834.7596269230771</v>
      </c>
      <c r="AT77" s="147">
        <v>-159.43</v>
      </c>
      <c r="AU77" s="147">
        <f t="shared" si="19"/>
        <v>-53.83</v>
      </c>
      <c r="AV77" s="151">
        <f t="shared" si="20"/>
        <v>37561.27855</v>
      </c>
      <c r="AW77" s="155"/>
      <c r="AX77" s="155"/>
      <c r="AY77" s="140" t="s">
        <v>8</v>
      </c>
    </row>
    <row r="78" spans="1:51" s="117" customFormat="1" ht="11.25" customHeight="1">
      <c r="A78" s="157">
        <v>75</v>
      </c>
      <c r="B78" s="157" t="s">
        <v>143</v>
      </c>
      <c r="C78" s="140" t="s">
        <v>273</v>
      </c>
      <c r="D78" s="140"/>
      <c r="E78" s="140">
        <f t="shared" si="13"/>
        <v>33</v>
      </c>
      <c r="F78" s="141" t="s">
        <v>274</v>
      </c>
      <c r="G78" s="142">
        <v>78</v>
      </c>
      <c r="H78" s="143">
        <f>INT((G78*Valores!$C$2*100)+0.5)/100</f>
        <v>728.5</v>
      </c>
      <c r="I78" s="144">
        <v>1284</v>
      </c>
      <c r="J78" s="145">
        <f>INT((I78*Valores!$C$2*100)+0.5)/100</f>
        <v>11992.17</v>
      </c>
      <c r="K78" s="160">
        <v>0</v>
      </c>
      <c r="L78" s="145">
        <f>INT((K78*Valores!$C$2*100)+0.5)/100</f>
        <v>0</v>
      </c>
      <c r="M78" s="158">
        <v>0</v>
      </c>
      <c r="N78" s="145">
        <f>INT((M78*Valores!$C$2*100)+0.5)/100</f>
        <v>0</v>
      </c>
      <c r="O78" s="145">
        <f t="shared" si="14"/>
        <v>2151.0735</v>
      </c>
      <c r="P78" s="145">
        <f t="shared" si="15"/>
        <v>0</v>
      </c>
      <c r="Q78" s="147">
        <f>Valores!$C$20</f>
        <v>8160.2</v>
      </c>
      <c r="R78" s="147">
        <f>Valores!$D$4</f>
        <v>4774.45</v>
      </c>
      <c r="S78" s="159">
        <f>Valores!$C$27</f>
        <v>4359.58</v>
      </c>
      <c r="T78" s="148">
        <f>IF($H$5="NO",Valores!$C$43,Valores!$C$43/2)</f>
        <v>1619.82</v>
      </c>
      <c r="U78" s="159">
        <v>0</v>
      </c>
      <c r="V78" s="145">
        <f t="shared" si="12"/>
        <v>0</v>
      </c>
      <c r="W78" s="145">
        <v>0</v>
      </c>
      <c r="X78" s="145">
        <v>0</v>
      </c>
      <c r="Y78" s="149">
        <v>0</v>
      </c>
      <c r="Z78" s="145">
        <f>Y78*Valores!$C$2</f>
        <v>0</v>
      </c>
      <c r="AA78" s="145">
        <v>0</v>
      </c>
      <c r="AB78" s="148">
        <f>Valores!$C$89</f>
        <v>1153.8461538461538</v>
      </c>
      <c r="AC78" s="150">
        <f>Valores!$C$30</f>
        <v>199.86</v>
      </c>
      <c r="AD78" s="145">
        <f t="shared" si="17"/>
        <v>0</v>
      </c>
      <c r="AE78" s="145">
        <f>Valores!$C$31</f>
        <v>199.86</v>
      </c>
      <c r="AF78" s="149">
        <v>0</v>
      </c>
      <c r="AG78" s="145">
        <f>INT(((AF78*Valores!$C$2)*100)+0.5)/100</f>
        <v>0</v>
      </c>
      <c r="AH78" s="145">
        <f>IF($H$5="NO",Valores!$C$59,Valores!$C$59/2)</f>
        <v>406.53</v>
      </c>
      <c r="AI78" s="145">
        <f>IF($H$5="NO",Valores!$C$61,Valores!$C$61/2)</f>
        <v>116.15</v>
      </c>
      <c r="AJ78" s="151">
        <f t="shared" si="18"/>
        <v>35862.03965384616</v>
      </c>
      <c r="AK78" s="147">
        <f>Valores!$C$36</f>
        <v>1046.83</v>
      </c>
      <c r="AL78" s="148">
        <f>Valores!$C$8</f>
        <v>0</v>
      </c>
      <c r="AM78" s="148">
        <f>Valores!$C$84</f>
        <v>2275</v>
      </c>
      <c r="AN78" s="148"/>
      <c r="AO78" s="150">
        <v>0</v>
      </c>
      <c r="AP78" s="152">
        <f t="shared" si="16"/>
        <v>3321.83</v>
      </c>
      <c r="AQ78" s="153">
        <f>AJ78*-Valores!$C$68</f>
        <v>-3944.8243619230775</v>
      </c>
      <c r="AR78" s="153">
        <f>AJ78*-Valores!$C$69</f>
        <v>0</v>
      </c>
      <c r="AS78" s="147">
        <f>AJ78*-Valores!$C$70</f>
        <v>-1613.791784423077</v>
      </c>
      <c r="AT78" s="147">
        <v>-159.43</v>
      </c>
      <c r="AU78" s="147">
        <f t="shared" si="19"/>
        <v>-53.83</v>
      </c>
      <c r="AV78" s="151">
        <f t="shared" si="20"/>
        <v>33411.9935075</v>
      </c>
      <c r="AW78" s="155"/>
      <c r="AX78" s="155"/>
      <c r="AY78" s="140" t="s">
        <v>8</v>
      </c>
    </row>
    <row r="79" spans="1:51" s="117" customFormat="1" ht="11.25" customHeight="1">
      <c r="A79" s="139">
        <v>76</v>
      </c>
      <c r="B79" s="139"/>
      <c r="C79" s="140" t="s">
        <v>275</v>
      </c>
      <c r="D79" s="140"/>
      <c r="E79" s="140">
        <f t="shared" si="13"/>
        <v>29</v>
      </c>
      <c r="F79" s="141" t="s">
        <v>276</v>
      </c>
      <c r="G79" s="142">
        <v>82</v>
      </c>
      <c r="H79" s="143">
        <f>INT((G79*Valores!$C$2*100)+0.5)/100</f>
        <v>765.86</v>
      </c>
      <c r="I79" s="144">
        <v>2038</v>
      </c>
      <c r="J79" s="145">
        <f>INT((I79*Valores!$C$2*100)+0.5)/100</f>
        <v>19034.31</v>
      </c>
      <c r="K79" s="160">
        <v>0</v>
      </c>
      <c r="L79" s="145">
        <f>INT((K79*Valores!$C$2*100)+0.5)/100</f>
        <v>0</v>
      </c>
      <c r="M79" s="158">
        <v>0</v>
      </c>
      <c r="N79" s="145">
        <f>INT((M79*Valores!$C$2*100)+0.5)/100</f>
        <v>0</v>
      </c>
      <c r="O79" s="145">
        <f t="shared" si="14"/>
        <v>3797.5499999999997</v>
      </c>
      <c r="P79" s="145">
        <f t="shared" si="15"/>
        <v>0</v>
      </c>
      <c r="Q79" s="163">
        <f>Valores!$C$16</f>
        <v>8673.47</v>
      </c>
      <c r="R79" s="163">
        <f>Valores!$D$4</f>
        <v>4774.45</v>
      </c>
      <c r="S79" s="162">
        <f>Valores!$C$27</f>
        <v>4359.58</v>
      </c>
      <c r="T79" s="148">
        <f>IF($H$5="NO",Valores!$C$43,Valores!$C$43/2)</f>
        <v>1619.82</v>
      </c>
      <c r="U79" s="148">
        <f>Valores!$C$24</f>
        <v>3897.01</v>
      </c>
      <c r="V79" s="145">
        <f t="shared" si="12"/>
        <v>3897.01</v>
      </c>
      <c r="W79" s="145">
        <v>0</v>
      </c>
      <c r="X79" s="145">
        <v>0</v>
      </c>
      <c r="Y79" s="149">
        <v>0</v>
      </c>
      <c r="Z79" s="145">
        <f>Y79*Valores!$C$2</f>
        <v>0</v>
      </c>
      <c r="AA79" s="145">
        <v>0</v>
      </c>
      <c r="AB79" s="148">
        <f>Valores!$C$89</f>
        <v>1153.8461538461538</v>
      </c>
      <c r="AC79" s="150">
        <f>Valores!$C$30</f>
        <v>199.86</v>
      </c>
      <c r="AD79" s="145">
        <f t="shared" si="17"/>
        <v>0</v>
      </c>
      <c r="AE79" s="145">
        <f>Valores!$C$31</f>
        <v>199.86</v>
      </c>
      <c r="AF79" s="149">
        <v>0</v>
      </c>
      <c r="AG79" s="145">
        <f>INT(((AF79*Valores!$C$2)*100)+0.5)/100</f>
        <v>0</v>
      </c>
      <c r="AH79" s="145">
        <f>IF($H$5="NO",Valores!$C$59,Valores!$C$59/2)</f>
        <v>406.53</v>
      </c>
      <c r="AI79" s="145">
        <f>IF($H$5="NO",Valores!$C$61,Valores!$C$61/2)</f>
        <v>116.15</v>
      </c>
      <c r="AJ79" s="151">
        <f t="shared" si="18"/>
        <v>48998.29615384616</v>
      </c>
      <c r="AK79" s="147">
        <f>Valores!$C$36</f>
        <v>1046.83</v>
      </c>
      <c r="AL79" s="148">
        <f>Valores!$C$8</f>
        <v>0</v>
      </c>
      <c r="AM79" s="148">
        <f>Valores!$C$84</f>
        <v>2275</v>
      </c>
      <c r="AN79" s="148"/>
      <c r="AO79" s="150">
        <f>Valores!$C$52</f>
        <v>170.34</v>
      </c>
      <c r="AP79" s="152">
        <f t="shared" si="16"/>
        <v>3321.83</v>
      </c>
      <c r="AQ79" s="153">
        <f>AJ79*-Valores!$C$68</f>
        <v>-5389.812576923077</v>
      </c>
      <c r="AR79" s="153">
        <f>AJ79*-Valores!$C$69</f>
        <v>0</v>
      </c>
      <c r="AS79" s="147">
        <f>AJ79*-Valores!$C$70</f>
        <v>-2204.923326923077</v>
      </c>
      <c r="AT79" s="147">
        <v>-159.43</v>
      </c>
      <c r="AU79" s="147">
        <f t="shared" si="19"/>
        <v>-53.83</v>
      </c>
      <c r="AV79" s="151">
        <f t="shared" si="20"/>
        <v>44512.13025000001</v>
      </c>
      <c r="AW79" s="155"/>
      <c r="AX79" s="155">
        <v>25</v>
      </c>
      <c r="AY79" s="140" t="s">
        <v>4</v>
      </c>
    </row>
    <row r="80" spans="1:51" s="117" customFormat="1" ht="11.25" customHeight="1">
      <c r="A80" s="139">
        <v>77</v>
      </c>
      <c r="B80" s="139"/>
      <c r="C80" s="140" t="s">
        <v>277</v>
      </c>
      <c r="D80" s="140"/>
      <c r="E80" s="140">
        <f t="shared" si="13"/>
        <v>24</v>
      </c>
      <c r="F80" s="141" t="s">
        <v>278</v>
      </c>
      <c r="G80" s="142">
        <v>78</v>
      </c>
      <c r="H80" s="143">
        <f>INT((G80*Valores!$C$2*100)+0.5)/100</f>
        <v>728.5</v>
      </c>
      <c r="I80" s="144">
        <v>2072</v>
      </c>
      <c r="J80" s="145">
        <f>INT((I80*Valores!$C$2*100)+0.5)/100</f>
        <v>19351.86</v>
      </c>
      <c r="K80" s="160">
        <v>0</v>
      </c>
      <c r="L80" s="145">
        <f>INT((K80*Valores!$C$2*100)+0.5)/100</f>
        <v>0</v>
      </c>
      <c r="M80" s="158">
        <v>0</v>
      </c>
      <c r="N80" s="145">
        <f>INT((M80*Valores!$C$2*100)+0.5)/100</f>
        <v>0</v>
      </c>
      <c r="O80" s="145">
        <f t="shared" si="14"/>
        <v>3839.5785</v>
      </c>
      <c r="P80" s="145">
        <f t="shared" si="15"/>
        <v>0</v>
      </c>
      <c r="Q80" s="163">
        <f>Valores!$C$16</f>
        <v>8673.47</v>
      </c>
      <c r="R80" s="163">
        <f>Valores!$D$4</f>
        <v>4774.45</v>
      </c>
      <c r="S80" s="162">
        <f>Valores!$C$27</f>
        <v>4359.58</v>
      </c>
      <c r="T80" s="148">
        <f>IF($H$5="NO",Valores!$C$43,Valores!$C$43/2)</f>
        <v>1619.82</v>
      </c>
      <c r="U80" s="148">
        <f>Valores!$C$24</f>
        <v>3897.01</v>
      </c>
      <c r="V80" s="145">
        <f t="shared" si="12"/>
        <v>3897.01</v>
      </c>
      <c r="W80" s="145">
        <v>0</v>
      </c>
      <c r="X80" s="145">
        <v>0</v>
      </c>
      <c r="Y80" s="149">
        <v>0</v>
      </c>
      <c r="Z80" s="145">
        <f>Y80*Valores!$C$2</f>
        <v>0</v>
      </c>
      <c r="AA80" s="145">
        <v>0</v>
      </c>
      <c r="AB80" s="148">
        <f>Valores!$C$91</f>
        <v>2307.6923076923076</v>
      </c>
      <c r="AC80" s="150">
        <f>Valores!$C$30</f>
        <v>199.86</v>
      </c>
      <c r="AD80" s="145">
        <f t="shared" si="17"/>
        <v>0</v>
      </c>
      <c r="AE80" s="145">
        <f>Valores!$C$31</f>
        <v>199.86</v>
      </c>
      <c r="AF80" s="149">
        <v>0</v>
      </c>
      <c r="AG80" s="145">
        <f>INT(((AF80*Valores!$C$2)*100)+0.5)/100</f>
        <v>0</v>
      </c>
      <c r="AH80" s="145">
        <f>IF($H$5="NO",Valores!$C$59,Valores!$C$59/2)</f>
        <v>406.53</v>
      </c>
      <c r="AI80" s="145">
        <f>IF($H$5="NO",Valores!$C$61,Valores!$C$61/2)</f>
        <v>116.15</v>
      </c>
      <c r="AJ80" s="151">
        <f t="shared" si="18"/>
        <v>50474.360807692305</v>
      </c>
      <c r="AK80" s="147">
        <f>Valores!$C$36</f>
        <v>1046.83</v>
      </c>
      <c r="AL80" s="148">
        <f>Valores!$C$8</f>
        <v>0</v>
      </c>
      <c r="AM80" s="148">
        <f>Valores!$C$86</f>
        <v>4550</v>
      </c>
      <c r="AN80" s="148"/>
      <c r="AO80" s="150">
        <f>Valores!$C$52</f>
        <v>170.34</v>
      </c>
      <c r="AP80" s="152">
        <f t="shared" si="16"/>
        <v>5596.83</v>
      </c>
      <c r="AQ80" s="153">
        <f>AJ80*-Valores!$C$68</f>
        <v>-5552.179688846153</v>
      </c>
      <c r="AR80" s="153">
        <f>AJ80*-Valores!$C$69</f>
        <v>0</v>
      </c>
      <c r="AS80" s="147">
        <f>AJ80*-Valores!$C$70</f>
        <v>-2271.3462363461535</v>
      </c>
      <c r="AT80" s="147">
        <v>-159.43</v>
      </c>
      <c r="AU80" s="147">
        <f t="shared" si="19"/>
        <v>-53.83</v>
      </c>
      <c r="AV80" s="151">
        <f t="shared" si="20"/>
        <v>48034.4048825</v>
      </c>
      <c r="AW80" s="155"/>
      <c r="AX80" s="155">
        <v>30</v>
      </c>
      <c r="AY80" s="140" t="s">
        <v>4</v>
      </c>
    </row>
    <row r="81" spans="1:51" s="117" customFormat="1" ht="11.25" customHeight="1">
      <c r="A81" s="139">
        <v>78</v>
      </c>
      <c r="B81" s="139"/>
      <c r="C81" s="140" t="s">
        <v>279</v>
      </c>
      <c r="D81" s="140"/>
      <c r="E81" s="140">
        <f t="shared" si="13"/>
        <v>24</v>
      </c>
      <c r="F81" s="141" t="s">
        <v>280</v>
      </c>
      <c r="G81" s="142">
        <v>78</v>
      </c>
      <c r="H81" s="143">
        <f>INT((G81*Valores!$C$2*100)+0.5)/100</f>
        <v>728.5</v>
      </c>
      <c r="I81" s="144">
        <v>1770</v>
      </c>
      <c r="J81" s="145">
        <f>INT((I81*Valores!$C$2*100)+0.5)/100</f>
        <v>16531.27</v>
      </c>
      <c r="K81" s="160">
        <v>0</v>
      </c>
      <c r="L81" s="145">
        <f>INT((K81*Valores!$C$2*100)+0.5)/100</f>
        <v>0</v>
      </c>
      <c r="M81" s="158">
        <v>0</v>
      </c>
      <c r="N81" s="145">
        <f>INT((M81*Valores!$C$2*100)+0.5)/100</f>
        <v>0</v>
      </c>
      <c r="O81" s="145">
        <f t="shared" si="14"/>
        <v>3416.49</v>
      </c>
      <c r="P81" s="145">
        <f t="shared" si="15"/>
        <v>0</v>
      </c>
      <c r="Q81" s="163">
        <f>Valores!$C$16</f>
        <v>8673.47</v>
      </c>
      <c r="R81" s="163">
        <f>Valores!$D$4</f>
        <v>4774.45</v>
      </c>
      <c r="S81" s="148">
        <f>Valores!$C$27</f>
        <v>4359.58</v>
      </c>
      <c r="T81" s="148">
        <f>IF($H$5="NO",Valores!$C$43,Valores!$C$43/2)</f>
        <v>1619.82</v>
      </c>
      <c r="U81" s="148">
        <f>Valores!$C$24</f>
        <v>3897.01</v>
      </c>
      <c r="V81" s="145">
        <f t="shared" si="12"/>
        <v>3897.01</v>
      </c>
      <c r="W81" s="145">
        <v>0</v>
      </c>
      <c r="X81" s="145">
        <v>0</v>
      </c>
      <c r="Y81" s="149">
        <v>0</v>
      </c>
      <c r="Z81" s="145">
        <f>Y81*Valores!$C$2</f>
        <v>0</v>
      </c>
      <c r="AA81" s="145">
        <v>0</v>
      </c>
      <c r="AB81" s="148">
        <f>Valores!$C$91</f>
        <v>2307.6923076923076</v>
      </c>
      <c r="AC81" s="150">
        <f>Valores!$C$30</f>
        <v>199.86</v>
      </c>
      <c r="AD81" s="145">
        <f t="shared" si="17"/>
        <v>0</v>
      </c>
      <c r="AE81" s="145">
        <f>Valores!$C$31</f>
        <v>199.86</v>
      </c>
      <c r="AF81" s="149">
        <v>0</v>
      </c>
      <c r="AG81" s="145">
        <f>INT(((AF81*Valores!$C$2)*100)+0.5)/100</f>
        <v>0</v>
      </c>
      <c r="AH81" s="145">
        <f>IF($H$5="NO",Valores!$C$59,Valores!$C$59/2)</f>
        <v>406.53</v>
      </c>
      <c r="AI81" s="145">
        <f>IF($H$5="NO",Valores!$C$61,Valores!$C$61/2)</f>
        <v>116.15</v>
      </c>
      <c r="AJ81" s="151">
        <f t="shared" si="18"/>
        <v>47230.68230769231</v>
      </c>
      <c r="AK81" s="147">
        <f>Valores!$C$36</f>
        <v>1046.83</v>
      </c>
      <c r="AL81" s="148">
        <f>Valores!$C$8</f>
        <v>0</v>
      </c>
      <c r="AM81" s="148">
        <f>Valores!$C$86</f>
        <v>4550</v>
      </c>
      <c r="AN81" s="148"/>
      <c r="AO81" s="150">
        <f>Valores!$C$52</f>
        <v>170.34</v>
      </c>
      <c r="AP81" s="152">
        <f t="shared" si="16"/>
        <v>5596.83</v>
      </c>
      <c r="AQ81" s="153">
        <f>AJ81*-Valores!$C$68</f>
        <v>-5195.3750538461545</v>
      </c>
      <c r="AR81" s="153">
        <f>AJ81*-Valores!$C$69</f>
        <v>0</v>
      </c>
      <c r="AS81" s="147">
        <f>AJ81*-Valores!$C$70</f>
        <v>-2125.3807038461537</v>
      </c>
      <c r="AT81" s="147">
        <v>-159.43</v>
      </c>
      <c r="AU81" s="147">
        <f t="shared" si="19"/>
        <v>-53.83</v>
      </c>
      <c r="AV81" s="151">
        <f t="shared" si="20"/>
        <v>45293.49655</v>
      </c>
      <c r="AW81" s="155"/>
      <c r="AX81" s="155"/>
      <c r="AY81" s="140" t="s">
        <v>4</v>
      </c>
    </row>
    <row r="82" spans="1:51" s="117" customFormat="1" ht="11.25" customHeight="1">
      <c r="A82" s="139">
        <v>79</v>
      </c>
      <c r="B82" s="139"/>
      <c r="C82" s="140" t="s">
        <v>281</v>
      </c>
      <c r="D82" s="140"/>
      <c r="E82" s="140">
        <f t="shared" si="13"/>
        <v>27</v>
      </c>
      <c r="F82" s="141" t="s">
        <v>282</v>
      </c>
      <c r="G82" s="142">
        <v>77</v>
      </c>
      <c r="H82" s="143">
        <f>INT((G82*Valores!$C$2*100)+0.5)/100</f>
        <v>719.16</v>
      </c>
      <c r="I82" s="144">
        <v>2073</v>
      </c>
      <c r="J82" s="145">
        <f>INT((I82*Valores!$C$2*100)+0.5)/100</f>
        <v>19361.2</v>
      </c>
      <c r="K82" s="160">
        <v>0</v>
      </c>
      <c r="L82" s="145">
        <f>INT((K82*Valores!$C$2*100)+0.5)/100</f>
        <v>0</v>
      </c>
      <c r="M82" s="158">
        <v>0</v>
      </c>
      <c r="N82" s="145">
        <f>INT((M82*Valores!$C$2*100)+0.5)/100</f>
        <v>0</v>
      </c>
      <c r="O82" s="145">
        <f t="shared" si="14"/>
        <v>3839.5785</v>
      </c>
      <c r="P82" s="145">
        <f t="shared" si="15"/>
        <v>0</v>
      </c>
      <c r="Q82" s="163">
        <f>Valores!$C$16</f>
        <v>8673.47</v>
      </c>
      <c r="R82" s="163">
        <f>Valores!$D$4</f>
        <v>4774.45</v>
      </c>
      <c r="S82" s="162">
        <f>Valores!$C$27</f>
        <v>4359.58</v>
      </c>
      <c r="T82" s="148">
        <f>IF($H$5="NO",Valores!$C$43,Valores!$C$43/2)</f>
        <v>1619.82</v>
      </c>
      <c r="U82" s="148">
        <f>Valores!$C$24</f>
        <v>3897.01</v>
      </c>
      <c r="V82" s="145">
        <f t="shared" si="12"/>
        <v>3897.01</v>
      </c>
      <c r="W82" s="145">
        <v>0</v>
      </c>
      <c r="X82" s="145">
        <v>0</v>
      </c>
      <c r="Y82" s="149">
        <v>0</v>
      </c>
      <c r="Z82" s="145">
        <f>Y82*Valores!$C$2</f>
        <v>0</v>
      </c>
      <c r="AA82" s="145">
        <v>0</v>
      </c>
      <c r="AB82" s="148">
        <f>Valores!$C$89</f>
        <v>1153.8461538461538</v>
      </c>
      <c r="AC82" s="150">
        <f>Valores!$C$30</f>
        <v>199.86</v>
      </c>
      <c r="AD82" s="145">
        <f t="shared" si="17"/>
        <v>0</v>
      </c>
      <c r="AE82" s="145">
        <f>Valores!$C$31</f>
        <v>199.86</v>
      </c>
      <c r="AF82" s="149">
        <v>0</v>
      </c>
      <c r="AG82" s="145">
        <f>INT(((AF82*Valores!$C$2)*100)+0.5)/100</f>
        <v>0</v>
      </c>
      <c r="AH82" s="145">
        <f>IF($H$5="NO",Valores!$C$59,Valores!$C$59/2)</f>
        <v>406.53</v>
      </c>
      <c r="AI82" s="145">
        <f>IF($H$5="NO",Valores!$C$61,Valores!$C$61/2)</f>
        <v>116.15</v>
      </c>
      <c r="AJ82" s="151">
        <f t="shared" si="18"/>
        <v>49320.514653846156</v>
      </c>
      <c r="AK82" s="147">
        <f>Valores!$C$36</f>
        <v>1046.83</v>
      </c>
      <c r="AL82" s="148">
        <f>Valores!$C$8</f>
        <v>0</v>
      </c>
      <c r="AM82" s="148">
        <f>Valores!$C$84</f>
        <v>2275</v>
      </c>
      <c r="AN82" s="148"/>
      <c r="AO82" s="150">
        <f>Valores!$C$52</f>
        <v>170.34</v>
      </c>
      <c r="AP82" s="152">
        <f t="shared" si="16"/>
        <v>3321.83</v>
      </c>
      <c r="AQ82" s="153">
        <f>AJ82*-Valores!$C$68</f>
        <v>-5425.256611923077</v>
      </c>
      <c r="AR82" s="153">
        <f>AJ82*-Valores!$C$69</f>
        <v>0</v>
      </c>
      <c r="AS82" s="147">
        <f>AJ82*-Valores!$C$70</f>
        <v>-2219.423159423077</v>
      </c>
      <c r="AT82" s="147">
        <v>-159.43</v>
      </c>
      <c r="AU82" s="147">
        <f t="shared" si="19"/>
        <v>-53.83</v>
      </c>
      <c r="AV82" s="151">
        <f t="shared" si="20"/>
        <v>44784.4048825</v>
      </c>
      <c r="AW82" s="155"/>
      <c r="AX82" s="155">
        <v>25</v>
      </c>
      <c r="AY82" s="140" t="s">
        <v>8</v>
      </c>
    </row>
    <row r="83" spans="1:51" s="117" customFormat="1" ht="11.25" customHeight="1">
      <c r="A83" s="157">
        <v>80</v>
      </c>
      <c r="B83" s="157" t="s">
        <v>143</v>
      </c>
      <c r="C83" s="140" t="s">
        <v>283</v>
      </c>
      <c r="D83" s="140"/>
      <c r="E83" s="140">
        <f t="shared" si="13"/>
        <v>27</v>
      </c>
      <c r="F83" s="141" t="s">
        <v>284</v>
      </c>
      <c r="G83" s="142">
        <v>76</v>
      </c>
      <c r="H83" s="143">
        <f>INT((G83*Valores!$C$2*100)+0.5)/100</f>
        <v>709.82</v>
      </c>
      <c r="I83" s="144">
        <v>1872</v>
      </c>
      <c r="J83" s="145">
        <f>INT((I83*Valores!$C$2*100)+0.5)/100</f>
        <v>17483.92</v>
      </c>
      <c r="K83" s="160">
        <v>0</v>
      </c>
      <c r="L83" s="145">
        <f>INT((K83*Valores!$C$2*100)+0.5)/100</f>
        <v>0</v>
      </c>
      <c r="M83" s="158">
        <v>0</v>
      </c>
      <c r="N83" s="145">
        <f>INT((M83*Valores!$C$2*100)+0.5)/100</f>
        <v>0</v>
      </c>
      <c r="O83" s="145">
        <f t="shared" si="14"/>
        <v>3556.5854999999997</v>
      </c>
      <c r="P83" s="145">
        <f t="shared" si="15"/>
        <v>0</v>
      </c>
      <c r="Q83" s="163">
        <f>Valores!$C$16</f>
        <v>8673.47</v>
      </c>
      <c r="R83" s="163">
        <f>Valores!$D$4</f>
        <v>4774.45</v>
      </c>
      <c r="S83" s="148">
        <v>0</v>
      </c>
      <c r="T83" s="148">
        <f>IF($H$5="NO",Valores!$C$43,Valores!$C$43/2)</f>
        <v>1619.82</v>
      </c>
      <c r="U83" s="148">
        <f>Valores!$C$24</f>
        <v>3897.01</v>
      </c>
      <c r="V83" s="145">
        <f t="shared" si="12"/>
        <v>3897.01</v>
      </c>
      <c r="W83" s="145">
        <v>0</v>
      </c>
      <c r="X83" s="145">
        <v>0</v>
      </c>
      <c r="Y83" s="149">
        <v>0</v>
      </c>
      <c r="Z83" s="145">
        <f>Y83*Valores!$C$2</f>
        <v>0</v>
      </c>
      <c r="AA83" s="145">
        <v>0</v>
      </c>
      <c r="AB83" s="148">
        <f>Valores!$C$89</f>
        <v>1153.8461538461538</v>
      </c>
      <c r="AC83" s="150">
        <f>Valores!$C$30</f>
        <v>199.86</v>
      </c>
      <c r="AD83" s="145">
        <f t="shared" si="17"/>
        <v>0</v>
      </c>
      <c r="AE83" s="145">
        <f>Valores!$C$31</f>
        <v>199.86</v>
      </c>
      <c r="AF83" s="149">
        <v>0</v>
      </c>
      <c r="AG83" s="145">
        <f>INT(((AF83*Valores!$C$2)*100)+0.5)/100</f>
        <v>0</v>
      </c>
      <c r="AH83" s="145">
        <f>IF($H$5="NO",Valores!$C$59,Valores!$C$59/2)</f>
        <v>406.53</v>
      </c>
      <c r="AI83" s="145">
        <f>IF($H$5="NO",Valores!$C$61,Valores!$C$61/2)</f>
        <v>116.15</v>
      </c>
      <c r="AJ83" s="151">
        <f t="shared" si="18"/>
        <v>42791.32165384616</v>
      </c>
      <c r="AK83" s="147">
        <f>Valores!$C$36</f>
        <v>1046.83</v>
      </c>
      <c r="AL83" s="148">
        <f>Valores!$C$8</f>
        <v>0</v>
      </c>
      <c r="AM83" s="148">
        <f>Valores!$C$84</f>
        <v>2275</v>
      </c>
      <c r="AN83" s="148"/>
      <c r="AO83" s="150">
        <f>Valores!$C$52</f>
        <v>170.34</v>
      </c>
      <c r="AP83" s="152">
        <f t="shared" si="16"/>
        <v>3321.83</v>
      </c>
      <c r="AQ83" s="153">
        <f>AJ83*-Valores!$C$68</f>
        <v>-4707.045381923077</v>
      </c>
      <c r="AR83" s="153">
        <f>AJ83*-Valores!$C$69</f>
        <v>0</v>
      </c>
      <c r="AS83" s="147">
        <f>AJ83*-Valores!$C$70</f>
        <v>-1925.609474423077</v>
      </c>
      <c r="AT83" s="147">
        <v>-159.43</v>
      </c>
      <c r="AU83" s="147">
        <f t="shared" si="19"/>
        <v>-53.83</v>
      </c>
      <c r="AV83" s="151">
        <f t="shared" si="20"/>
        <v>39267.2367975</v>
      </c>
      <c r="AW83" s="155"/>
      <c r="AX83" s="155">
        <v>30</v>
      </c>
      <c r="AY83" s="140" t="s">
        <v>8</v>
      </c>
    </row>
    <row r="84" spans="1:51" s="117" customFormat="1" ht="11.25" customHeight="1">
      <c r="A84" s="139">
        <v>81</v>
      </c>
      <c r="B84" s="139"/>
      <c r="C84" s="140" t="s">
        <v>285</v>
      </c>
      <c r="D84" s="140"/>
      <c r="E84" s="140">
        <f t="shared" si="13"/>
        <v>30</v>
      </c>
      <c r="F84" s="141" t="s">
        <v>286</v>
      </c>
      <c r="G84" s="142">
        <v>75</v>
      </c>
      <c r="H84" s="143">
        <f>INT((G84*Valores!$C$2*100)+0.5)/100</f>
        <v>700.48</v>
      </c>
      <c r="I84" s="144">
        <v>1873</v>
      </c>
      <c r="J84" s="145">
        <f>INT((I84*Valores!$C$2*100)+0.5)/100</f>
        <v>17493.26</v>
      </c>
      <c r="K84" s="160">
        <v>0</v>
      </c>
      <c r="L84" s="145">
        <f>INT((K84*Valores!$C$2*100)+0.5)/100</f>
        <v>0</v>
      </c>
      <c r="M84" s="158">
        <v>0</v>
      </c>
      <c r="N84" s="145">
        <f>INT((M84*Valores!$C$2*100)+0.5)/100</f>
        <v>0</v>
      </c>
      <c r="O84" s="145">
        <f t="shared" si="14"/>
        <v>3556.5854999999997</v>
      </c>
      <c r="P84" s="145">
        <f t="shared" si="15"/>
        <v>0</v>
      </c>
      <c r="Q84" s="163">
        <f>Valores!$C$16</f>
        <v>8673.47</v>
      </c>
      <c r="R84" s="163">
        <f>Valores!$D$4</f>
        <v>4774.45</v>
      </c>
      <c r="S84" s="162">
        <f>Valores!$C$27</f>
        <v>4359.58</v>
      </c>
      <c r="T84" s="148">
        <f>IF($H$5="NO",Valores!$C$43,Valores!$C$43/2)</f>
        <v>1619.82</v>
      </c>
      <c r="U84" s="148">
        <f>Valores!$C$24</f>
        <v>3897.01</v>
      </c>
      <c r="V84" s="145">
        <f t="shared" si="12"/>
        <v>3897.01</v>
      </c>
      <c r="W84" s="145">
        <v>0</v>
      </c>
      <c r="X84" s="145">
        <v>0</v>
      </c>
      <c r="Y84" s="149">
        <v>0</v>
      </c>
      <c r="Z84" s="145">
        <f>Y84*Valores!$C$2</f>
        <v>0</v>
      </c>
      <c r="AA84" s="145">
        <v>0</v>
      </c>
      <c r="AB84" s="148">
        <f>Valores!$C$90</f>
        <v>1384.6153846153848</v>
      </c>
      <c r="AC84" s="150">
        <f>Valores!$C$30</f>
        <v>199.86</v>
      </c>
      <c r="AD84" s="145">
        <f t="shared" si="17"/>
        <v>0</v>
      </c>
      <c r="AE84" s="145">
        <f>Valores!$C$31</f>
        <v>199.86</v>
      </c>
      <c r="AF84" s="149">
        <v>0</v>
      </c>
      <c r="AG84" s="145">
        <f>INT(((AF84*Valores!$C$2)*100)+0.5)/100</f>
        <v>0</v>
      </c>
      <c r="AH84" s="145">
        <f>IF($H$5="NO",Valores!$C$59,Valores!$C$59/2)</f>
        <v>406.53</v>
      </c>
      <c r="AI84" s="145">
        <f>IF($H$5="NO",Valores!$C$61,Valores!$C$61/2)</f>
        <v>116.15</v>
      </c>
      <c r="AJ84" s="151">
        <f t="shared" si="18"/>
        <v>47381.670884615385</v>
      </c>
      <c r="AK84" s="147">
        <f>Valores!$C$36</f>
        <v>1046.83</v>
      </c>
      <c r="AL84" s="148">
        <f>Valores!$C$8</f>
        <v>0</v>
      </c>
      <c r="AM84" s="148">
        <f>Valores!$C$85</f>
        <v>2730</v>
      </c>
      <c r="AN84" s="148"/>
      <c r="AO84" s="150">
        <f>Valores!$C$52</f>
        <v>170.34</v>
      </c>
      <c r="AP84" s="152">
        <f t="shared" si="16"/>
        <v>3776.83</v>
      </c>
      <c r="AQ84" s="153">
        <f>AJ84*-Valores!$C$68</f>
        <v>-5211.983797307693</v>
      </c>
      <c r="AR84" s="153">
        <f>AJ84*-Valores!$C$69</f>
        <v>0</v>
      </c>
      <c r="AS84" s="147">
        <f>AJ84*-Valores!$C$70</f>
        <v>-2132.1751898076923</v>
      </c>
      <c r="AT84" s="147">
        <v>-159.43</v>
      </c>
      <c r="AU84" s="147">
        <f t="shared" si="19"/>
        <v>-53.83</v>
      </c>
      <c r="AV84" s="151">
        <f t="shared" si="20"/>
        <v>43601.0818975</v>
      </c>
      <c r="AW84" s="155"/>
      <c r="AX84" s="155">
        <v>25</v>
      </c>
      <c r="AY84" s="140" t="s">
        <v>4</v>
      </c>
    </row>
    <row r="85" spans="1:51" s="117" customFormat="1" ht="11.25" customHeight="1">
      <c r="A85" s="139">
        <v>82</v>
      </c>
      <c r="B85" s="139"/>
      <c r="C85" s="140" t="s">
        <v>287</v>
      </c>
      <c r="D85" s="140"/>
      <c r="E85" s="140">
        <f t="shared" si="13"/>
        <v>27</v>
      </c>
      <c r="F85" s="141" t="s">
        <v>288</v>
      </c>
      <c r="G85" s="142">
        <v>76</v>
      </c>
      <c r="H85" s="143">
        <f>INT((G85*Valores!$C$2*100)+0.5)/100</f>
        <v>709.82</v>
      </c>
      <c r="I85" s="144">
        <v>1752</v>
      </c>
      <c r="J85" s="145">
        <f>INT((I85*Valores!$C$2*100)+0.5)/100</f>
        <v>16363.15</v>
      </c>
      <c r="K85" s="160">
        <v>0</v>
      </c>
      <c r="L85" s="145">
        <f>INT((K85*Valores!$C$2*100)+0.5)/100</f>
        <v>0</v>
      </c>
      <c r="M85" s="158">
        <v>0</v>
      </c>
      <c r="N85" s="145">
        <f>INT((M85*Valores!$C$2*100)+0.5)/100</f>
        <v>0</v>
      </c>
      <c r="O85" s="145">
        <f t="shared" si="14"/>
        <v>3388.4700000000003</v>
      </c>
      <c r="P85" s="145">
        <f t="shared" si="15"/>
        <v>0</v>
      </c>
      <c r="Q85" s="163">
        <f>Valores!$C$15</f>
        <v>8642.51</v>
      </c>
      <c r="R85" s="163">
        <f>Valores!$D$4</f>
        <v>4774.45</v>
      </c>
      <c r="S85" s="162">
        <f>Valores!$C$27</f>
        <v>4359.58</v>
      </c>
      <c r="T85" s="148">
        <f>IF($H$5="NO",Valores!$C$43,Valores!$C$43/2)</f>
        <v>1619.82</v>
      </c>
      <c r="U85" s="148">
        <f>Valores!$C$24</f>
        <v>3897.01</v>
      </c>
      <c r="V85" s="145">
        <f t="shared" si="12"/>
        <v>3897.01</v>
      </c>
      <c r="W85" s="145">
        <v>0</v>
      </c>
      <c r="X85" s="145">
        <v>0</v>
      </c>
      <c r="Y85" s="149">
        <v>0</v>
      </c>
      <c r="Z85" s="145">
        <f>Y85*Valores!$C$2</f>
        <v>0</v>
      </c>
      <c r="AA85" s="145">
        <v>0</v>
      </c>
      <c r="AB85" s="148">
        <f>Valores!$C$89</f>
        <v>1153.8461538461538</v>
      </c>
      <c r="AC85" s="150">
        <f>Valores!$C$30</f>
        <v>199.86</v>
      </c>
      <c r="AD85" s="145">
        <f t="shared" si="17"/>
        <v>0</v>
      </c>
      <c r="AE85" s="145">
        <f>Valores!$C$31</f>
        <v>199.86</v>
      </c>
      <c r="AF85" s="149">
        <v>0</v>
      </c>
      <c r="AG85" s="145">
        <f>INT(((AF85*Valores!$C$2)*100)+0.5)/100</f>
        <v>0</v>
      </c>
      <c r="AH85" s="145">
        <f>IF($H$5="NO",Valores!$C$59,Valores!$C$59/2)</f>
        <v>406.53</v>
      </c>
      <c r="AI85" s="145">
        <f>IF($H$5="NO",Valores!$C$61,Valores!$C$61/2)</f>
        <v>116.15</v>
      </c>
      <c r="AJ85" s="151">
        <f t="shared" si="18"/>
        <v>45831.05615384616</v>
      </c>
      <c r="AK85" s="147">
        <f>Valores!$C$36</f>
        <v>1046.83</v>
      </c>
      <c r="AL85" s="148">
        <f>Valores!$C$8</f>
        <v>0</v>
      </c>
      <c r="AM85" s="148">
        <f>Valores!$C$84</f>
        <v>2275</v>
      </c>
      <c r="AN85" s="148"/>
      <c r="AO85" s="150">
        <f>Valores!$C$52</f>
        <v>170.34</v>
      </c>
      <c r="AP85" s="152">
        <f t="shared" si="16"/>
        <v>3321.83</v>
      </c>
      <c r="AQ85" s="153">
        <f>AJ85*-Valores!$C$68</f>
        <v>-5041.416176923078</v>
      </c>
      <c r="AR85" s="153">
        <f>AJ85*-Valores!$C$69</f>
        <v>0</v>
      </c>
      <c r="AS85" s="147">
        <f>AJ85*-Valores!$C$70</f>
        <v>-2062.3975269230773</v>
      </c>
      <c r="AT85" s="147">
        <v>-159.43</v>
      </c>
      <c r="AU85" s="147">
        <f t="shared" si="19"/>
        <v>-53.83</v>
      </c>
      <c r="AV85" s="151">
        <f t="shared" si="20"/>
        <v>41835.812450000005</v>
      </c>
      <c r="AW85" s="155"/>
      <c r="AX85" s="155">
        <v>25</v>
      </c>
      <c r="AY85" s="140" t="s">
        <v>8</v>
      </c>
    </row>
    <row r="86" spans="1:51" s="117" customFormat="1" ht="11.25" customHeight="1">
      <c r="A86" s="139">
        <v>83</v>
      </c>
      <c r="B86" s="139"/>
      <c r="C86" s="140" t="s">
        <v>289</v>
      </c>
      <c r="D86" s="140"/>
      <c r="E86" s="140">
        <f t="shared" si="13"/>
        <v>31</v>
      </c>
      <c r="F86" s="141" t="s">
        <v>290</v>
      </c>
      <c r="G86" s="142">
        <v>78</v>
      </c>
      <c r="H86" s="143">
        <f>INT((G86*Valores!$C$2*100)+0.5)/100</f>
        <v>728.5</v>
      </c>
      <c r="I86" s="144">
        <v>1770</v>
      </c>
      <c r="J86" s="145">
        <f>INT((I86*Valores!$C$2*100)+0.5)/100</f>
        <v>16531.27</v>
      </c>
      <c r="K86" s="160">
        <v>0</v>
      </c>
      <c r="L86" s="145">
        <f>INT((K86*Valores!$C$2*100)+0.5)/100</f>
        <v>0</v>
      </c>
      <c r="M86" s="158">
        <v>0</v>
      </c>
      <c r="N86" s="145">
        <f>INT((M86*Valores!$C$2*100)+0.5)/100</f>
        <v>0</v>
      </c>
      <c r="O86" s="145">
        <f t="shared" si="14"/>
        <v>3387.801</v>
      </c>
      <c r="P86" s="145">
        <f t="shared" si="15"/>
        <v>0</v>
      </c>
      <c r="Q86" s="163">
        <f>Valores!$C$16</f>
        <v>8673.47</v>
      </c>
      <c r="R86" s="163">
        <f>Valores!$D$4</f>
        <v>4774.45</v>
      </c>
      <c r="S86" s="148">
        <f>Valores!$C$27</f>
        <v>4359.58</v>
      </c>
      <c r="T86" s="148">
        <f>IF($H$5="NO",Valores!$C$42,Valores!$C$42/2)</f>
        <v>1428.56</v>
      </c>
      <c r="U86" s="162">
        <f>Valores!$C$24</f>
        <v>3897.01</v>
      </c>
      <c r="V86" s="145">
        <f t="shared" si="12"/>
        <v>3897.01</v>
      </c>
      <c r="W86" s="145">
        <v>0</v>
      </c>
      <c r="X86" s="145">
        <v>0</v>
      </c>
      <c r="Y86" s="149">
        <v>0</v>
      </c>
      <c r="Z86" s="145">
        <f>Y86*Valores!$C$2</f>
        <v>0</v>
      </c>
      <c r="AA86" s="145">
        <v>0</v>
      </c>
      <c r="AB86" s="148">
        <f>Valores!$C$89</f>
        <v>1153.8461538461538</v>
      </c>
      <c r="AC86" s="150">
        <f>Valores!$C$30</f>
        <v>199.86</v>
      </c>
      <c r="AD86" s="145">
        <f t="shared" si="17"/>
        <v>0</v>
      </c>
      <c r="AE86" s="145">
        <f>Valores!$C$31</f>
        <v>199.86</v>
      </c>
      <c r="AF86" s="149">
        <v>0</v>
      </c>
      <c r="AG86" s="145">
        <f>INT(((AF86*Valores!$C$2)*100)+0.5)/100</f>
        <v>0</v>
      </c>
      <c r="AH86" s="145">
        <f>IF($H$5="NO",Valores!$C$59,Valores!$C$59/2)</f>
        <v>406.53</v>
      </c>
      <c r="AI86" s="145">
        <f>IF($H$5="NO",Valores!$C$61,Valores!$C$61/2)</f>
        <v>116.15</v>
      </c>
      <c r="AJ86" s="151">
        <f t="shared" si="18"/>
        <v>45856.88715384615</v>
      </c>
      <c r="AK86" s="147">
        <f>Valores!$C$36</f>
        <v>1046.83</v>
      </c>
      <c r="AL86" s="148">
        <f>Valores!$C$7</f>
        <v>0</v>
      </c>
      <c r="AM86" s="148">
        <f>Valores!$C$84</f>
        <v>2275</v>
      </c>
      <c r="AN86" s="148"/>
      <c r="AO86" s="150">
        <f>Valores!$C$52</f>
        <v>170.34</v>
      </c>
      <c r="AP86" s="152">
        <f t="shared" si="16"/>
        <v>3321.83</v>
      </c>
      <c r="AQ86" s="153">
        <f>AJ86*-Valores!$C$68</f>
        <v>-5044.257586923077</v>
      </c>
      <c r="AR86" s="153">
        <f>AJ86*-Valores!$C$69</f>
        <v>0</v>
      </c>
      <c r="AS86" s="147">
        <f>AJ86*-Valores!$C$70</f>
        <v>-2063.5599219230767</v>
      </c>
      <c r="AT86" s="147">
        <v>-159.43</v>
      </c>
      <c r="AU86" s="147">
        <f t="shared" si="19"/>
        <v>-53.83</v>
      </c>
      <c r="AV86" s="151">
        <f t="shared" si="20"/>
        <v>41857.639644999996</v>
      </c>
      <c r="AW86" s="155"/>
      <c r="AX86" s="155">
        <v>27</v>
      </c>
      <c r="AY86" s="140" t="s">
        <v>4</v>
      </c>
    </row>
    <row r="87" spans="1:51" s="117" customFormat="1" ht="11.25" customHeight="1">
      <c r="A87" s="139">
        <v>84</v>
      </c>
      <c r="B87" s="139"/>
      <c r="C87" s="140" t="s">
        <v>291</v>
      </c>
      <c r="D87" s="140"/>
      <c r="E87" s="140">
        <f t="shared" si="13"/>
        <v>28</v>
      </c>
      <c r="F87" s="141" t="s">
        <v>292</v>
      </c>
      <c r="G87" s="142">
        <v>76</v>
      </c>
      <c r="H87" s="143">
        <f>INT((G87*Valores!$C$2*100)+0.5)/100</f>
        <v>709.82</v>
      </c>
      <c r="I87" s="144">
        <v>1872</v>
      </c>
      <c r="J87" s="145">
        <f>INT((I87*Valores!$C$2*100)+0.5)/100</f>
        <v>17483.92</v>
      </c>
      <c r="K87" s="160">
        <v>0</v>
      </c>
      <c r="L87" s="145">
        <f>INT((K87*Valores!$C$2*100)+0.5)/100</f>
        <v>0</v>
      </c>
      <c r="M87" s="158">
        <v>0</v>
      </c>
      <c r="N87" s="145">
        <f>INT((M87*Valores!$C$2*100)+0.5)/100</f>
        <v>0</v>
      </c>
      <c r="O87" s="145">
        <f t="shared" si="14"/>
        <v>3527.8965000000003</v>
      </c>
      <c r="P87" s="145">
        <f t="shared" si="15"/>
        <v>0</v>
      </c>
      <c r="Q87" s="163">
        <f>Valores!$C$16</f>
        <v>8673.47</v>
      </c>
      <c r="R87" s="163">
        <f>Valores!$D$4</f>
        <v>4774.45</v>
      </c>
      <c r="S87" s="148">
        <v>0</v>
      </c>
      <c r="T87" s="148">
        <f>IF($H$5="NO",Valores!$C$42,Valores!$C$42/2)</f>
        <v>1428.56</v>
      </c>
      <c r="U87" s="162">
        <f>Valores!$C$24</f>
        <v>3897.01</v>
      </c>
      <c r="V87" s="145">
        <f t="shared" si="12"/>
        <v>3897.01</v>
      </c>
      <c r="W87" s="145">
        <v>0</v>
      </c>
      <c r="X87" s="145">
        <v>0</v>
      </c>
      <c r="Y87" s="149">
        <v>0</v>
      </c>
      <c r="Z87" s="145">
        <f>Y87*Valores!$C$2</f>
        <v>0</v>
      </c>
      <c r="AA87" s="145">
        <v>0</v>
      </c>
      <c r="AB87" s="148">
        <f>Valores!$C$89</f>
        <v>1153.8461538461538</v>
      </c>
      <c r="AC87" s="150">
        <f>Valores!$C$30</f>
        <v>199.86</v>
      </c>
      <c r="AD87" s="145">
        <f t="shared" si="17"/>
        <v>0</v>
      </c>
      <c r="AE87" s="145">
        <f>Valores!$C$31</f>
        <v>199.86</v>
      </c>
      <c r="AF87" s="149">
        <v>0</v>
      </c>
      <c r="AG87" s="145">
        <f>INT(((AF87*Valores!$C$2)*100)+0.5)/100</f>
        <v>0</v>
      </c>
      <c r="AH87" s="145">
        <f>IF($H$5="NO",Valores!$C$59,Valores!$C$59/2)</f>
        <v>406.53</v>
      </c>
      <c r="AI87" s="145">
        <f>IF($H$5="NO",Valores!$C$61,Valores!$C$61/2)</f>
        <v>116.15</v>
      </c>
      <c r="AJ87" s="151">
        <f t="shared" si="18"/>
        <v>42571.37265384615</v>
      </c>
      <c r="AK87" s="147">
        <f>Valores!$C$36</f>
        <v>1046.83</v>
      </c>
      <c r="AL87" s="148">
        <f>Valores!$C$7</f>
        <v>0</v>
      </c>
      <c r="AM87" s="148">
        <f>Valores!$C$84</f>
        <v>2275</v>
      </c>
      <c r="AN87" s="148"/>
      <c r="AO87" s="150">
        <f>Valores!$C$52</f>
        <v>170.34</v>
      </c>
      <c r="AP87" s="152">
        <f t="shared" si="16"/>
        <v>3321.83</v>
      </c>
      <c r="AQ87" s="153">
        <f>AJ87*-Valores!$C$68</f>
        <v>-4682.850991923076</v>
      </c>
      <c r="AR87" s="153">
        <f>AJ87*-Valores!$C$69</f>
        <v>0</v>
      </c>
      <c r="AS87" s="147">
        <f>AJ87*-Valores!$C$70</f>
        <v>-1915.7117694230767</v>
      </c>
      <c r="AT87" s="147">
        <v>-159.43</v>
      </c>
      <c r="AU87" s="147">
        <f t="shared" si="19"/>
        <v>-53.83</v>
      </c>
      <c r="AV87" s="151">
        <f t="shared" si="20"/>
        <v>39081.379892499994</v>
      </c>
      <c r="AW87" s="155"/>
      <c r="AX87" s="155">
        <v>27</v>
      </c>
      <c r="AY87" s="140" t="s">
        <v>4</v>
      </c>
    </row>
    <row r="88" spans="1:51" s="117" customFormat="1" ht="11.25" customHeight="1">
      <c r="A88" s="157">
        <v>85</v>
      </c>
      <c r="B88" s="157" t="s">
        <v>143</v>
      </c>
      <c r="C88" s="140" t="s">
        <v>293</v>
      </c>
      <c r="D88" s="140"/>
      <c r="E88" s="140">
        <f t="shared" si="13"/>
        <v>21</v>
      </c>
      <c r="F88" s="141" t="s">
        <v>294</v>
      </c>
      <c r="G88" s="142">
        <v>169</v>
      </c>
      <c r="H88" s="143">
        <f>INT((G88*Valores!$C$2*100)+0.5)/100</f>
        <v>1578.41</v>
      </c>
      <c r="I88" s="144">
        <f>1997</f>
        <v>1997</v>
      </c>
      <c r="J88" s="145">
        <f>INT((I88*Valores!$C$2*100)+0.5)/100</f>
        <v>18651.38</v>
      </c>
      <c r="K88" s="160">
        <v>0</v>
      </c>
      <c r="L88" s="145">
        <f>INT((K88*Valores!$C$2*100)+0.5)/100</f>
        <v>0</v>
      </c>
      <c r="M88" s="158">
        <v>0</v>
      </c>
      <c r="N88" s="145">
        <f>INT((M88*Valores!$C$2*100)+0.5)/100</f>
        <v>0</v>
      </c>
      <c r="O88" s="145">
        <f t="shared" si="14"/>
        <v>3861.9930000000004</v>
      </c>
      <c r="P88" s="145">
        <f t="shared" si="15"/>
        <v>0</v>
      </c>
      <c r="Q88" s="147">
        <f>Valores!$C$16</f>
        <v>8673.47</v>
      </c>
      <c r="R88" s="147">
        <f>Valores!$D$4</f>
        <v>4774.45</v>
      </c>
      <c r="S88" s="159">
        <f>Valores!$C$27</f>
        <v>4359.58</v>
      </c>
      <c r="T88" s="148">
        <f>IF($H$5="NO",Valores!$C$43,Valores!$C$43/2)</f>
        <v>1619.82</v>
      </c>
      <c r="U88" s="145">
        <f>Valores!$C$24</f>
        <v>3897.01</v>
      </c>
      <c r="V88" s="145">
        <f t="shared" si="12"/>
        <v>3897.01</v>
      </c>
      <c r="W88" s="145">
        <v>0</v>
      </c>
      <c r="X88" s="145">
        <v>0</v>
      </c>
      <c r="Y88" s="149">
        <v>0</v>
      </c>
      <c r="Z88" s="145">
        <f>Y88*Valores!$C$2</f>
        <v>0</v>
      </c>
      <c r="AA88" s="145">
        <v>0</v>
      </c>
      <c r="AB88" s="148">
        <f>Valores!$C$89</f>
        <v>1153.8461538461538</v>
      </c>
      <c r="AC88" s="150">
        <f>Valores!$C$30</f>
        <v>199.86</v>
      </c>
      <c r="AD88" s="145">
        <f t="shared" si="17"/>
        <v>0</v>
      </c>
      <c r="AE88" s="145">
        <f>Valores!$C$31</f>
        <v>199.86</v>
      </c>
      <c r="AF88" s="149">
        <v>0</v>
      </c>
      <c r="AG88" s="145">
        <f>INT(((AF88*Valores!$C$2)*100)+0.5)/100</f>
        <v>0</v>
      </c>
      <c r="AH88" s="145">
        <f>IF($H$5="NO",Valores!$C$59,Valores!$C$59/2)</f>
        <v>406.53</v>
      </c>
      <c r="AI88" s="145">
        <f>IF($H$5="NO",Valores!$C$61,Valores!$C$61/2)</f>
        <v>116.15</v>
      </c>
      <c r="AJ88" s="151">
        <f t="shared" si="18"/>
        <v>49492.35915384616</v>
      </c>
      <c r="AK88" s="147">
        <f>Valores!$C$36</f>
        <v>1046.83</v>
      </c>
      <c r="AL88" s="148">
        <f>Valores!$C$8</f>
        <v>0</v>
      </c>
      <c r="AM88" s="148">
        <f>Valores!$C$84</f>
        <v>2275</v>
      </c>
      <c r="AN88" s="148"/>
      <c r="AO88" s="150">
        <f>Valores!$C$52</f>
        <v>170.34</v>
      </c>
      <c r="AP88" s="152">
        <f t="shared" si="16"/>
        <v>3321.83</v>
      </c>
      <c r="AQ88" s="153">
        <f>AJ88*-Valores!$C$68</f>
        <v>-5444.159506923078</v>
      </c>
      <c r="AR88" s="153">
        <f>AJ88*-Valores!$C$69</f>
        <v>0</v>
      </c>
      <c r="AS88" s="147">
        <f>AJ88*-Valores!$C$70</f>
        <v>-2227.1561619230774</v>
      </c>
      <c r="AT88" s="147">
        <v>-159.43</v>
      </c>
      <c r="AU88" s="147">
        <f t="shared" si="19"/>
        <v>-53.83</v>
      </c>
      <c r="AV88" s="151">
        <f t="shared" si="20"/>
        <v>44929.61348500001</v>
      </c>
      <c r="AW88" s="155"/>
      <c r="AX88" s="155">
        <v>25</v>
      </c>
      <c r="AY88" s="140" t="s">
        <v>8</v>
      </c>
    </row>
    <row r="89" spans="1:51" s="117" customFormat="1" ht="11.25" customHeight="1">
      <c r="A89" s="139">
        <v>86</v>
      </c>
      <c r="B89" s="139"/>
      <c r="C89" s="140" t="s">
        <v>295</v>
      </c>
      <c r="D89" s="140"/>
      <c r="E89" s="140">
        <f t="shared" si="13"/>
        <v>28</v>
      </c>
      <c r="F89" s="141" t="s">
        <v>296</v>
      </c>
      <c r="G89" s="142">
        <v>218</v>
      </c>
      <c r="H89" s="143">
        <f>INT((G89*Valores!$C$2*100)+0.5)/100</f>
        <v>2036.05</v>
      </c>
      <c r="I89" s="144">
        <f>1997</f>
        <v>1997</v>
      </c>
      <c r="J89" s="145">
        <f>INT((I89*Valores!$C$2*100)+0.5)/100</f>
        <v>18651.38</v>
      </c>
      <c r="K89" s="160">
        <v>0</v>
      </c>
      <c r="L89" s="145">
        <f>INT((K89*Valores!$C$2*100)+0.5)/100</f>
        <v>0</v>
      </c>
      <c r="M89" s="158">
        <v>0</v>
      </c>
      <c r="N89" s="145">
        <f>INT((M89*Valores!$C$2*100)+0.5)/100</f>
        <v>0</v>
      </c>
      <c r="O89" s="145">
        <f t="shared" si="14"/>
        <v>3930.639</v>
      </c>
      <c r="P89" s="145">
        <f t="shared" si="15"/>
        <v>0</v>
      </c>
      <c r="Q89" s="147">
        <f>Valores!$C$21</f>
        <v>10473.48</v>
      </c>
      <c r="R89" s="147">
        <f>Valores!$D$4</f>
        <v>4774.45</v>
      </c>
      <c r="S89" s="159">
        <f>Valores!$C$27</f>
        <v>4359.58</v>
      </c>
      <c r="T89" s="148">
        <f>IF($H$5="NO",Valores!$C$43,Valores!$C$43/2)</f>
        <v>1619.82</v>
      </c>
      <c r="U89" s="145">
        <f>Valores!$C$24</f>
        <v>3897.01</v>
      </c>
      <c r="V89" s="145">
        <f t="shared" si="12"/>
        <v>3897.01</v>
      </c>
      <c r="W89" s="145">
        <v>0</v>
      </c>
      <c r="X89" s="145">
        <v>0</v>
      </c>
      <c r="Y89" s="149">
        <v>0</v>
      </c>
      <c r="Z89" s="145">
        <f>Y89*Valores!$C$2</f>
        <v>0</v>
      </c>
      <c r="AA89" s="145">
        <v>0</v>
      </c>
      <c r="AB89" s="148">
        <f>Valores!$C$89</f>
        <v>1153.8461538461538</v>
      </c>
      <c r="AC89" s="150">
        <f>Valores!$C$30</f>
        <v>199.86</v>
      </c>
      <c r="AD89" s="145">
        <f t="shared" si="17"/>
        <v>0</v>
      </c>
      <c r="AE89" s="145">
        <f>Valores!$C$31</f>
        <v>199.86</v>
      </c>
      <c r="AF89" s="149">
        <v>0</v>
      </c>
      <c r="AG89" s="145">
        <f>INT(((AF89*Valores!$C$2)*100)+0.5)/100</f>
        <v>0</v>
      </c>
      <c r="AH89" s="145">
        <f>IF($H$5="NO",Valores!$C$59,Valores!$C$59/2)</f>
        <v>406.53</v>
      </c>
      <c r="AI89" s="145">
        <f>IF($H$5="NO",Valores!$C$61,Valores!$C$61/2)</f>
        <v>116.15</v>
      </c>
      <c r="AJ89" s="151">
        <f t="shared" si="18"/>
        <v>51818.65515384616</v>
      </c>
      <c r="AK89" s="147">
        <f>Valores!$C$36</f>
        <v>1046.83</v>
      </c>
      <c r="AL89" s="148">
        <f>Valores!$C$8</f>
        <v>0</v>
      </c>
      <c r="AM89" s="148">
        <f>Valores!$C$84</f>
        <v>2275</v>
      </c>
      <c r="AN89" s="148"/>
      <c r="AO89" s="150">
        <f>Valores!$C$52</f>
        <v>170.34</v>
      </c>
      <c r="AP89" s="152">
        <f t="shared" si="16"/>
        <v>3321.83</v>
      </c>
      <c r="AQ89" s="153">
        <f>AJ89*-Valores!$C$68</f>
        <v>-5700.052066923077</v>
      </c>
      <c r="AR89" s="153">
        <f>AJ89*-Valores!$C$69</f>
        <v>0</v>
      </c>
      <c r="AS89" s="147">
        <f>AJ89*-Valores!$C$70</f>
        <v>-2331.839481923077</v>
      </c>
      <c r="AT89" s="147">
        <v>-159.43</v>
      </c>
      <c r="AU89" s="147">
        <f t="shared" si="19"/>
        <v>-53.83</v>
      </c>
      <c r="AV89" s="151">
        <f t="shared" si="20"/>
        <v>46895.33360500001</v>
      </c>
      <c r="AW89" s="155"/>
      <c r="AX89" s="155">
        <v>25</v>
      </c>
      <c r="AY89" s="140" t="s">
        <v>4</v>
      </c>
    </row>
    <row r="90" spans="1:51" s="117" customFormat="1" ht="11.25" customHeight="1">
      <c r="A90" s="139">
        <v>87</v>
      </c>
      <c r="B90" s="139"/>
      <c r="C90" s="140" t="s">
        <v>295</v>
      </c>
      <c r="D90" s="140"/>
      <c r="E90" s="140">
        <f t="shared" si="13"/>
        <v>41</v>
      </c>
      <c r="F90" s="141" t="s">
        <v>297</v>
      </c>
      <c r="G90" s="142">
        <v>218</v>
      </c>
      <c r="H90" s="143">
        <f>INT((G90*Valores!$C$2*100)+0.5)/100</f>
        <v>2036.05</v>
      </c>
      <c r="I90" s="144">
        <f>1997</f>
        <v>1997</v>
      </c>
      <c r="J90" s="145">
        <f>INT((I90*Valores!$C$2*100)+0.5)/100</f>
        <v>18651.38</v>
      </c>
      <c r="K90" s="160">
        <v>0</v>
      </c>
      <c r="L90" s="145">
        <f>INT((K90*Valores!$C$2*100)+0.5)/100</f>
        <v>0</v>
      </c>
      <c r="M90" s="158">
        <v>0</v>
      </c>
      <c r="N90" s="145">
        <f>INT((M90*Valores!$C$2*100)+0.5)/100</f>
        <v>0</v>
      </c>
      <c r="O90" s="145">
        <f t="shared" si="14"/>
        <v>3930.639</v>
      </c>
      <c r="P90" s="145">
        <f t="shared" si="15"/>
        <v>0</v>
      </c>
      <c r="Q90" s="147">
        <f>Valores!$C$21</f>
        <v>10473.48</v>
      </c>
      <c r="R90" s="147">
        <f>Valores!$D$4</f>
        <v>4774.45</v>
      </c>
      <c r="S90" s="159">
        <f>Valores!$C$27</f>
        <v>4359.58</v>
      </c>
      <c r="T90" s="148">
        <f>IF($H$5="NO",Valores!$C$43,Valores!$C$43/2)</f>
        <v>1619.82</v>
      </c>
      <c r="U90" s="145">
        <f>Valores!$C$24</f>
        <v>3897.01</v>
      </c>
      <c r="V90" s="145">
        <f t="shared" si="12"/>
        <v>3897.01</v>
      </c>
      <c r="W90" s="145">
        <v>0</v>
      </c>
      <c r="X90" s="145">
        <v>0</v>
      </c>
      <c r="Y90" s="149">
        <v>0</v>
      </c>
      <c r="Z90" s="145">
        <f>Y90*Valores!$C$2</f>
        <v>0</v>
      </c>
      <c r="AA90" s="145">
        <v>0</v>
      </c>
      <c r="AB90" s="148">
        <f>Valores!$C$89</f>
        <v>1153.8461538461538</v>
      </c>
      <c r="AC90" s="150">
        <f>Valores!$C$30</f>
        <v>199.86</v>
      </c>
      <c r="AD90" s="145">
        <f t="shared" si="17"/>
        <v>0</v>
      </c>
      <c r="AE90" s="145">
        <f>Valores!$C$31</f>
        <v>199.86</v>
      </c>
      <c r="AF90" s="149">
        <v>19</v>
      </c>
      <c r="AG90" s="145">
        <f>INT(((AF90*Valores!$C$2)*100)+0.5)/100</f>
        <v>177.45</v>
      </c>
      <c r="AH90" s="145">
        <f>IF($H$5="NO",Valores!$C$59,Valores!$C$59/2)</f>
        <v>406.53</v>
      </c>
      <c r="AI90" s="145">
        <f>IF($H$5="NO",Valores!$C$61,Valores!$C$61/2)</f>
        <v>116.15</v>
      </c>
      <c r="AJ90" s="151">
        <f t="shared" si="18"/>
        <v>51996.105153846154</v>
      </c>
      <c r="AK90" s="147">
        <f>Valores!$C$36</f>
        <v>1046.83</v>
      </c>
      <c r="AL90" s="148">
        <f>Valores!$C$8</f>
        <v>0</v>
      </c>
      <c r="AM90" s="148">
        <f>Valores!$C$84</f>
        <v>2275</v>
      </c>
      <c r="AN90" s="148"/>
      <c r="AO90" s="150">
        <f>Valores!$C$52</f>
        <v>170.34</v>
      </c>
      <c r="AP90" s="152">
        <f t="shared" si="16"/>
        <v>3321.83</v>
      </c>
      <c r="AQ90" s="153">
        <f>AJ90*-Valores!$C$68</f>
        <v>-5719.571566923077</v>
      </c>
      <c r="AR90" s="153">
        <f>AJ90*-Valores!$C$69</f>
        <v>0</v>
      </c>
      <c r="AS90" s="147">
        <f>AJ90*-Valores!$C$70</f>
        <v>-2339.824731923077</v>
      </c>
      <c r="AT90" s="147">
        <v>-159.43</v>
      </c>
      <c r="AU90" s="147">
        <f t="shared" si="19"/>
        <v>-53.83</v>
      </c>
      <c r="AV90" s="151">
        <f t="shared" si="20"/>
        <v>47045.278855</v>
      </c>
      <c r="AW90" s="155"/>
      <c r="AX90" s="155">
        <v>25</v>
      </c>
      <c r="AY90" s="140" t="s">
        <v>4</v>
      </c>
    </row>
    <row r="91" spans="1:51" s="117" customFormat="1" ht="11.25" customHeight="1">
      <c r="A91" s="139">
        <v>88</v>
      </c>
      <c r="B91" s="139"/>
      <c r="C91" s="140" t="s">
        <v>298</v>
      </c>
      <c r="D91" s="140"/>
      <c r="E91" s="140">
        <f t="shared" si="13"/>
        <v>33</v>
      </c>
      <c r="F91" s="141" t="s">
        <v>299</v>
      </c>
      <c r="G91" s="142">
        <f>75+143</f>
        <v>218</v>
      </c>
      <c r="H91" s="143">
        <f>INT((G91*Valores!$C$2*100)+0.5)/100</f>
        <v>2036.05</v>
      </c>
      <c r="I91" s="144">
        <v>1997</v>
      </c>
      <c r="J91" s="145">
        <f>INT((I91*Valores!$C$2*100)+0.5)/100</f>
        <v>18651.38</v>
      </c>
      <c r="K91" s="160">
        <v>0</v>
      </c>
      <c r="L91" s="145">
        <f>INT((K91*Valores!$C$2*100)+0.5)/100</f>
        <v>0</v>
      </c>
      <c r="M91" s="158">
        <v>0</v>
      </c>
      <c r="N91" s="145">
        <f>INT((M91*Valores!$C$2*100)+0.5)/100</f>
        <v>0</v>
      </c>
      <c r="O91" s="145">
        <f t="shared" si="14"/>
        <v>3809.1525</v>
      </c>
      <c r="P91" s="145">
        <f t="shared" si="15"/>
        <v>0</v>
      </c>
      <c r="Q91" s="147">
        <f>Valores!$C$16</f>
        <v>8673.47</v>
      </c>
      <c r="R91" s="147">
        <f>Valores!$D$4</f>
        <v>4774.45</v>
      </c>
      <c r="S91" s="145">
        <f>Valores!$C$27</f>
        <v>4359.58</v>
      </c>
      <c r="T91" s="148">
        <f>Valores!$C$43/2</f>
        <v>809.91</v>
      </c>
      <c r="U91" s="145">
        <f>Valores!$C$24</f>
        <v>3897.01</v>
      </c>
      <c r="V91" s="145">
        <f t="shared" si="12"/>
        <v>3897.01</v>
      </c>
      <c r="W91" s="145">
        <v>0</v>
      </c>
      <c r="X91" s="145">
        <v>0</v>
      </c>
      <c r="Y91" s="149">
        <v>0</v>
      </c>
      <c r="Z91" s="145">
        <f>Y91*Valores!$C$2</f>
        <v>0</v>
      </c>
      <c r="AA91" s="145">
        <v>0</v>
      </c>
      <c r="AB91" s="148">
        <f>Valores!$C$89</f>
        <v>1153.8461538461538</v>
      </c>
      <c r="AC91" s="150">
        <f>Valores!$C$30</f>
        <v>199.86</v>
      </c>
      <c r="AD91" s="145">
        <f t="shared" si="17"/>
        <v>0</v>
      </c>
      <c r="AE91" s="145">
        <f>Valores!$C$31</f>
        <v>199.86</v>
      </c>
      <c r="AF91" s="149">
        <v>0</v>
      </c>
      <c r="AG91" s="145">
        <f>INT(((AF91*Valores!$C$2)*100)+0.5)/100</f>
        <v>0</v>
      </c>
      <c r="AH91" s="145">
        <f>Valores!$C$59/2</f>
        <v>203.265</v>
      </c>
      <c r="AI91" s="145">
        <f>Valores!$C$61/2</f>
        <v>58.075</v>
      </c>
      <c r="AJ91" s="151">
        <f t="shared" si="18"/>
        <v>48825.908653846156</v>
      </c>
      <c r="AK91" s="147">
        <f>Valores!$C$36</f>
        <v>1046.83</v>
      </c>
      <c r="AL91" s="148">
        <f>Valores!$C$8/2</f>
        <v>0</v>
      </c>
      <c r="AM91" s="148">
        <f>Valores!$C$84</f>
        <v>2275</v>
      </c>
      <c r="AN91" s="148"/>
      <c r="AO91" s="150">
        <f>Valores!$C$52</f>
        <v>170.34</v>
      </c>
      <c r="AP91" s="152">
        <f t="shared" si="16"/>
        <v>3321.83</v>
      </c>
      <c r="AQ91" s="153">
        <f>AJ91*-Valores!$C$68</f>
        <v>-5370.849951923077</v>
      </c>
      <c r="AR91" s="153">
        <f>AJ91*-Valores!$C$69</f>
        <v>0</v>
      </c>
      <c r="AS91" s="147">
        <f>AJ91*-Valores!$C$70</f>
        <v>-2197.165889423077</v>
      </c>
      <c r="AT91" s="147">
        <v>-159.43</v>
      </c>
      <c r="AU91" s="147">
        <f t="shared" si="19"/>
        <v>-53.83</v>
      </c>
      <c r="AV91" s="151">
        <f t="shared" si="20"/>
        <v>44366.4628125</v>
      </c>
      <c r="AW91" s="155"/>
      <c r="AX91" s="155">
        <v>25</v>
      </c>
      <c r="AY91" s="140" t="s">
        <v>8</v>
      </c>
    </row>
    <row r="92" spans="1:51" s="117" customFormat="1" ht="11.25" customHeight="1">
      <c r="A92" s="139">
        <v>89</v>
      </c>
      <c r="B92" s="139"/>
      <c r="C92" s="140" t="s">
        <v>300</v>
      </c>
      <c r="D92" s="140"/>
      <c r="E92" s="140">
        <f t="shared" si="13"/>
        <v>28</v>
      </c>
      <c r="F92" s="141" t="s">
        <v>301</v>
      </c>
      <c r="G92" s="142">
        <v>187</v>
      </c>
      <c r="H92" s="143">
        <f>INT((G92*Valores!$C$2*100)+0.5)/100</f>
        <v>1746.52</v>
      </c>
      <c r="I92" s="144">
        <v>1704</v>
      </c>
      <c r="J92" s="145">
        <f>INT((I92*Valores!$C$2*100)+0.5)/100</f>
        <v>15914.85</v>
      </c>
      <c r="K92" s="160">
        <v>0</v>
      </c>
      <c r="L92" s="145">
        <f>INT((K92*Valores!$C$2*100)+0.5)/100</f>
        <v>0</v>
      </c>
      <c r="M92" s="158">
        <v>0</v>
      </c>
      <c r="N92" s="145">
        <f>INT((M92*Valores!$C$2*100)+0.5)/100</f>
        <v>0</v>
      </c>
      <c r="O92" s="145">
        <f t="shared" si="14"/>
        <v>3476.7299999999996</v>
      </c>
      <c r="P92" s="145">
        <f t="shared" si="15"/>
        <v>0</v>
      </c>
      <c r="Q92" s="147">
        <f>Valores!$C$16</f>
        <v>8673.47</v>
      </c>
      <c r="R92" s="147">
        <f>Valores!$D$4</f>
        <v>4774.45</v>
      </c>
      <c r="S92" s="145">
        <f>Valores!$C$27</f>
        <v>4359.58</v>
      </c>
      <c r="T92" s="148">
        <f>IF($H$5="NO",Valores!$C$43,Valores!$C$43/2)</f>
        <v>1619.82</v>
      </c>
      <c r="U92" s="145">
        <f>Valores!$C$24</f>
        <v>3897.01</v>
      </c>
      <c r="V92" s="145">
        <f t="shared" si="12"/>
        <v>3897.01</v>
      </c>
      <c r="W92" s="145">
        <v>0</v>
      </c>
      <c r="X92" s="145">
        <v>0</v>
      </c>
      <c r="Y92" s="149">
        <v>0</v>
      </c>
      <c r="Z92" s="145">
        <f>Y92*Valores!$C$2</f>
        <v>0</v>
      </c>
      <c r="AA92" s="145">
        <v>0</v>
      </c>
      <c r="AB92" s="148">
        <f>Valores!$C$89</f>
        <v>1153.8461538461538</v>
      </c>
      <c r="AC92" s="150">
        <f>Valores!$C$30</f>
        <v>199.86</v>
      </c>
      <c r="AD92" s="145">
        <f t="shared" si="17"/>
        <v>0</v>
      </c>
      <c r="AE92" s="145">
        <f>Valores!$C$31</f>
        <v>199.86</v>
      </c>
      <c r="AF92" s="149">
        <v>0</v>
      </c>
      <c r="AG92" s="145">
        <f>INT(((AF92*Valores!$C$2)*100)+0.5)/100</f>
        <v>0</v>
      </c>
      <c r="AH92" s="145">
        <f>IF($H$5="NO",Valores!$C$59,Valores!$C$59/2)</f>
        <v>406.53</v>
      </c>
      <c r="AI92" s="145">
        <f>IF($H$5="NO",Valores!$C$61,Valores!$C$61/2)</f>
        <v>116.15</v>
      </c>
      <c r="AJ92" s="151">
        <f t="shared" si="18"/>
        <v>46538.67615384616</v>
      </c>
      <c r="AK92" s="147">
        <f>Valores!$C$36</f>
        <v>1046.83</v>
      </c>
      <c r="AL92" s="148">
        <f>Valores!$C$8</f>
        <v>0</v>
      </c>
      <c r="AM92" s="148">
        <f>Valores!$C$84</f>
        <v>2275</v>
      </c>
      <c r="AN92" s="148"/>
      <c r="AO92" s="150">
        <f>Valores!$C$52</f>
        <v>170.34</v>
      </c>
      <c r="AP92" s="152">
        <f t="shared" si="16"/>
        <v>3321.83</v>
      </c>
      <c r="AQ92" s="153">
        <f>AJ92*-Valores!$C$68</f>
        <v>-5119.254376923077</v>
      </c>
      <c r="AR92" s="153">
        <f>AJ92*-Valores!$C$69</f>
        <v>0</v>
      </c>
      <c r="AS92" s="147">
        <f>AJ92*-Valores!$C$70</f>
        <v>-2094.240426923077</v>
      </c>
      <c r="AT92" s="147">
        <v>-159.43</v>
      </c>
      <c r="AU92" s="147">
        <f t="shared" si="19"/>
        <v>-53.83</v>
      </c>
      <c r="AV92" s="151">
        <f t="shared" si="20"/>
        <v>42433.751350000006</v>
      </c>
      <c r="AW92" s="155"/>
      <c r="AX92" s="155">
        <v>25</v>
      </c>
      <c r="AY92" s="140" t="s">
        <v>4</v>
      </c>
    </row>
    <row r="93" spans="1:51" s="117" customFormat="1" ht="11.25" customHeight="1">
      <c r="A93" s="157">
        <v>90</v>
      </c>
      <c r="B93" s="157" t="s">
        <v>143</v>
      </c>
      <c r="C93" s="140" t="s">
        <v>300</v>
      </c>
      <c r="D93" s="140"/>
      <c r="E93" s="140">
        <f t="shared" si="13"/>
        <v>41</v>
      </c>
      <c r="F93" s="141" t="s">
        <v>302</v>
      </c>
      <c r="G93" s="142">
        <v>187</v>
      </c>
      <c r="H93" s="143">
        <f>INT((G93*Valores!$C$2*100)+0.5)/100</f>
        <v>1746.52</v>
      </c>
      <c r="I93" s="144">
        <v>1704</v>
      </c>
      <c r="J93" s="145">
        <f>INT((I93*Valores!$C$2*100)+0.5)/100</f>
        <v>15914.85</v>
      </c>
      <c r="K93" s="160">
        <v>0</v>
      </c>
      <c r="L93" s="145">
        <f>INT((K93*Valores!$C$2*100)+0.5)/100</f>
        <v>0</v>
      </c>
      <c r="M93" s="158">
        <v>0</v>
      </c>
      <c r="N93" s="145">
        <f>INT((M93*Valores!$C$2*100)+0.5)/100</f>
        <v>0</v>
      </c>
      <c r="O93" s="145">
        <f t="shared" si="14"/>
        <v>3476.7299999999996</v>
      </c>
      <c r="P93" s="145">
        <f t="shared" si="15"/>
        <v>0</v>
      </c>
      <c r="Q93" s="147">
        <f>Valores!$C$16</f>
        <v>8673.47</v>
      </c>
      <c r="R93" s="147">
        <f>Valores!$D$4</f>
        <v>4774.45</v>
      </c>
      <c r="S93" s="145">
        <f>Valores!$C$27</f>
        <v>4359.58</v>
      </c>
      <c r="T93" s="148">
        <f>IF($H$5="NO",Valores!$C$43,Valores!$C$43/2)</f>
        <v>1619.82</v>
      </c>
      <c r="U93" s="145">
        <f>Valores!$C$24</f>
        <v>3897.01</v>
      </c>
      <c r="V93" s="145">
        <f t="shared" si="12"/>
        <v>3897.01</v>
      </c>
      <c r="W93" s="145">
        <v>0</v>
      </c>
      <c r="X93" s="145">
        <v>0</v>
      </c>
      <c r="Y93" s="149">
        <v>0</v>
      </c>
      <c r="Z93" s="145">
        <f>Y93*Valores!$C$2</f>
        <v>0</v>
      </c>
      <c r="AA93" s="145">
        <v>0</v>
      </c>
      <c r="AB93" s="148">
        <f>Valores!$C$89</f>
        <v>1153.8461538461538</v>
      </c>
      <c r="AC93" s="150">
        <f>Valores!$C$30</f>
        <v>199.86</v>
      </c>
      <c r="AD93" s="145">
        <f t="shared" si="17"/>
        <v>0</v>
      </c>
      <c r="AE93" s="145">
        <f>Valores!$C$31</f>
        <v>199.86</v>
      </c>
      <c r="AF93" s="149">
        <v>19</v>
      </c>
      <c r="AG93" s="145">
        <f>INT(((AF93*Valores!$C$2)*100)+0.5)/100</f>
        <v>177.45</v>
      </c>
      <c r="AH93" s="145">
        <f>IF($H$5="NO",Valores!$C$59,Valores!$C$59/2)</f>
        <v>406.53</v>
      </c>
      <c r="AI93" s="145">
        <f>IF($H$5="NO",Valores!$C$61,Valores!$C$61/2)</f>
        <v>116.15</v>
      </c>
      <c r="AJ93" s="151">
        <f t="shared" si="18"/>
        <v>46716.126153846155</v>
      </c>
      <c r="AK93" s="147">
        <f>Valores!$C$36</f>
        <v>1046.83</v>
      </c>
      <c r="AL93" s="148">
        <f>Valores!$C$8</f>
        <v>0</v>
      </c>
      <c r="AM93" s="148">
        <f>Valores!$C$84</f>
        <v>2275</v>
      </c>
      <c r="AN93" s="148"/>
      <c r="AO93" s="150">
        <f>Valores!$C$52</f>
        <v>170.34</v>
      </c>
      <c r="AP93" s="152">
        <f t="shared" si="16"/>
        <v>3321.83</v>
      </c>
      <c r="AQ93" s="153">
        <f>AJ93*-Valores!$C$68</f>
        <v>-5138.773876923077</v>
      </c>
      <c r="AR93" s="153">
        <f>AJ93*-Valores!$C$69</f>
        <v>0</v>
      </c>
      <c r="AS93" s="147">
        <f>AJ93*-Valores!$C$70</f>
        <v>-2102.225676923077</v>
      </c>
      <c r="AT93" s="147">
        <v>-159.43</v>
      </c>
      <c r="AU93" s="147">
        <f t="shared" si="19"/>
        <v>-53.83</v>
      </c>
      <c r="AV93" s="151">
        <f t="shared" si="20"/>
        <v>42583.6966</v>
      </c>
      <c r="AW93" s="155"/>
      <c r="AX93" s="155">
        <v>25</v>
      </c>
      <c r="AY93" s="140" t="s">
        <v>4</v>
      </c>
    </row>
    <row r="94" spans="1:51" s="117" customFormat="1" ht="11.25" customHeight="1">
      <c r="A94" s="139">
        <v>91</v>
      </c>
      <c r="B94" s="139"/>
      <c r="C94" s="140" t="s">
        <v>303</v>
      </c>
      <c r="D94" s="140"/>
      <c r="E94" s="140">
        <f t="shared" si="13"/>
        <v>28</v>
      </c>
      <c r="F94" s="141" t="s">
        <v>304</v>
      </c>
      <c r="G94" s="142">
        <v>161</v>
      </c>
      <c r="H94" s="143">
        <f>INT((G94*Valores!$C$2*100)+0.5)/100</f>
        <v>1503.69</v>
      </c>
      <c r="I94" s="144">
        <f>1480</f>
        <v>1480</v>
      </c>
      <c r="J94" s="145">
        <f>INT((I94*Valores!$C$2*100)+0.5)/100</f>
        <v>13822.76</v>
      </c>
      <c r="K94" s="160">
        <v>0</v>
      </c>
      <c r="L94" s="145">
        <f>INT((K94*Valores!$C$2*100)+0.5)/100</f>
        <v>0</v>
      </c>
      <c r="M94" s="158">
        <v>0</v>
      </c>
      <c r="N94" s="145">
        <f>INT((M94*Valores!$C$2*100)+0.5)/100</f>
        <v>0</v>
      </c>
      <c r="O94" s="145">
        <f t="shared" si="14"/>
        <v>3126.4919999999997</v>
      </c>
      <c r="P94" s="145">
        <f t="shared" si="15"/>
        <v>0</v>
      </c>
      <c r="Q94" s="147">
        <f>Valores!$C$16</f>
        <v>8673.47</v>
      </c>
      <c r="R94" s="147">
        <f>Valores!$D$4</f>
        <v>4774.45</v>
      </c>
      <c r="S94" s="159">
        <f>Valores!$C$27</f>
        <v>4359.58</v>
      </c>
      <c r="T94" s="148">
        <f>IF($H$5="NO",Valores!$C$43,Valores!$C$43/2)</f>
        <v>1619.82</v>
      </c>
      <c r="U94" s="145">
        <f>Valores!$C$24</f>
        <v>3897.01</v>
      </c>
      <c r="V94" s="145">
        <f t="shared" si="12"/>
        <v>3897.01</v>
      </c>
      <c r="W94" s="145">
        <v>0</v>
      </c>
      <c r="X94" s="145">
        <v>0</v>
      </c>
      <c r="Y94" s="149">
        <v>0</v>
      </c>
      <c r="Z94" s="145">
        <f>Y94*Valores!$C$2</f>
        <v>0</v>
      </c>
      <c r="AA94" s="145">
        <v>0</v>
      </c>
      <c r="AB94" s="148">
        <f>Valores!$C$89</f>
        <v>1153.8461538461538</v>
      </c>
      <c r="AC94" s="150">
        <f>Valores!$C$30</f>
        <v>199.86</v>
      </c>
      <c r="AD94" s="145">
        <f t="shared" si="17"/>
        <v>0</v>
      </c>
      <c r="AE94" s="145">
        <f>Valores!$C$31</f>
        <v>199.86</v>
      </c>
      <c r="AF94" s="149">
        <v>0</v>
      </c>
      <c r="AG94" s="145">
        <f>INT(((AF94*Valores!$C$2)*100)+0.5)/100</f>
        <v>0</v>
      </c>
      <c r="AH94" s="145">
        <f>IF($H$5="NO",Valores!$C$59,Valores!$C$59/2)</f>
        <v>406.53</v>
      </c>
      <c r="AI94" s="145">
        <f>IF($H$5="NO",Valores!$C$61,Valores!$C$61/2)</f>
        <v>116.15</v>
      </c>
      <c r="AJ94" s="151">
        <f t="shared" si="18"/>
        <v>43853.518153846155</v>
      </c>
      <c r="AK94" s="147">
        <f>Valores!$C$36</f>
        <v>1046.83</v>
      </c>
      <c r="AL94" s="148">
        <f>Valores!$C$8</f>
        <v>0</v>
      </c>
      <c r="AM94" s="148">
        <f>Valores!$C$84</f>
        <v>2275</v>
      </c>
      <c r="AN94" s="148"/>
      <c r="AO94" s="150">
        <f>Valores!$C$52</f>
        <v>170.34</v>
      </c>
      <c r="AP94" s="152">
        <f t="shared" si="16"/>
        <v>3321.83</v>
      </c>
      <c r="AQ94" s="153">
        <f>AJ94*-Valores!$C$68</f>
        <v>-4823.886996923077</v>
      </c>
      <c r="AR94" s="153">
        <f>AJ94*-Valores!$C$69</f>
        <v>0</v>
      </c>
      <c r="AS94" s="147">
        <f>AJ94*-Valores!$C$70</f>
        <v>-1973.4083169230769</v>
      </c>
      <c r="AT94" s="147">
        <v>-159.43</v>
      </c>
      <c r="AU94" s="147">
        <f t="shared" si="19"/>
        <v>-53.83</v>
      </c>
      <c r="AV94" s="151">
        <f t="shared" si="20"/>
        <v>40164.792839999995</v>
      </c>
      <c r="AW94" s="155"/>
      <c r="AX94" s="155">
        <v>25</v>
      </c>
      <c r="AY94" s="140" t="s">
        <v>4</v>
      </c>
    </row>
    <row r="95" spans="1:51" s="117" customFormat="1" ht="11.25" customHeight="1">
      <c r="A95" s="139">
        <v>92</v>
      </c>
      <c r="B95" s="139"/>
      <c r="C95" s="140" t="s">
        <v>303</v>
      </c>
      <c r="D95" s="140"/>
      <c r="E95" s="140">
        <f t="shared" si="13"/>
        <v>41</v>
      </c>
      <c r="F95" s="141" t="s">
        <v>305</v>
      </c>
      <c r="G95" s="142">
        <v>161</v>
      </c>
      <c r="H95" s="143">
        <f>INT((G95*Valores!$C$2*100)+0.5)/100</f>
        <v>1503.69</v>
      </c>
      <c r="I95" s="144">
        <f>1480</f>
        <v>1480</v>
      </c>
      <c r="J95" s="145">
        <f>INT((I95*Valores!$C$2*100)+0.5)/100</f>
        <v>13822.76</v>
      </c>
      <c r="K95" s="160">
        <v>0</v>
      </c>
      <c r="L95" s="145">
        <f>INT((K95*Valores!$C$2*100)+0.5)/100</f>
        <v>0</v>
      </c>
      <c r="M95" s="158">
        <v>0</v>
      </c>
      <c r="N95" s="145">
        <f>INT((M95*Valores!$C$2*100)+0.5)/100</f>
        <v>0</v>
      </c>
      <c r="O95" s="145">
        <f t="shared" si="14"/>
        <v>3126.4919999999997</v>
      </c>
      <c r="P95" s="145">
        <f t="shared" si="15"/>
        <v>0</v>
      </c>
      <c r="Q95" s="147">
        <f>Valores!$C$16</f>
        <v>8673.47</v>
      </c>
      <c r="R95" s="147">
        <f>Valores!$D$4</f>
        <v>4774.45</v>
      </c>
      <c r="S95" s="159">
        <f>Valores!$C$27</f>
        <v>4359.58</v>
      </c>
      <c r="T95" s="148">
        <f>IF($H$5="NO",Valores!$C$43,Valores!$C$43/2)</f>
        <v>1619.82</v>
      </c>
      <c r="U95" s="145">
        <f>Valores!$C$24</f>
        <v>3897.01</v>
      </c>
      <c r="V95" s="145">
        <f t="shared" si="12"/>
        <v>3897.01</v>
      </c>
      <c r="W95" s="145">
        <v>0</v>
      </c>
      <c r="X95" s="145">
        <v>0</v>
      </c>
      <c r="Y95" s="149">
        <v>0</v>
      </c>
      <c r="Z95" s="145">
        <f>Y95*Valores!$C$2</f>
        <v>0</v>
      </c>
      <c r="AA95" s="145">
        <v>0</v>
      </c>
      <c r="AB95" s="148">
        <f>Valores!$C$89</f>
        <v>1153.8461538461538</v>
      </c>
      <c r="AC95" s="150">
        <f>Valores!$C$30</f>
        <v>199.86</v>
      </c>
      <c r="AD95" s="145">
        <f t="shared" si="17"/>
        <v>0</v>
      </c>
      <c r="AE95" s="145">
        <f>Valores!$C$31</f>
        <v>199.86</v>
      </c>
      <c r="AF95" s="149">
        <v>19</v>
      </c>
      <c r="AG95" s="145">
        <f>INT(((AF95*Valores!$C$2)*100)+0.5)/100</f>
        <v>177.45</v>
      </c>
      <c r="AH95" s="145">
        <f>IF($H$5="NO",Valores!$C$59,Valores!$C$59/2)</f>
        <v>406.53</v>
      </c>
      <c r="AI95" s="145">
        <f>IF($H$5="NO",Valores!$C$61,Valores!$C$61/2)</f>
        <v>116.15</v>
      </c>
      <c r="AJ95" s="151">
        <f t="shared" si="18"/>
        <v>44030.96815384615</v>
      </c>
      <c r="AK95" s="147">
        <f>Valores!$C$36</f>
        <v>1046.83</v>
      </c>
      <c r="AL95" s="148">
        <f>Valores!$C$8</f>
        <v>0</v>
      </c>
      <c r="AM95" s="148">
        <f>Valores!$C$84</f>
        <v>2275</v>
      </c>
      <c r="AN95" s="148"/>
      <c r="AO95" s="150">
        <f>Valores!$C$52</f>
        <v>170.34</v>
      </c>
      <c r="AP95" s="152">
        <f t="shared" si="16"/>
        <v>3321.83</v>
      </c>
      <c r="AQ95" s="153">
        <f>AJ95*-Valores!$C$68</f>
        <v>-4843.406496923077</v>
      </c>
      <c r="AR95" s="153">
        <f>AJ95*-Valores!$C$69</f>
        <v>0</v>
      </c>
      <c r="AS95" s="147">
        <f>AJ95*-Valores!$C$70</f>
        <v>-1981.3935669230768</v>
      </c>
      <c r="AT95" s="147">
        <v>-159.43</v>
      </c>
      <c r="AU95" s="147">
        <f t="shared" si="19"/>
        <v>-53.83</v>
      </c>
      <c r="AV95" s="151">
        <f t="shared" si="20"/>
        <v>40314.73809</v>
      </c>
      <c r="AW95" s="155"/>
      <c r="AX95" s="155">
        <v>25</v>
      </c>
      <c r="AY95" s="140" t="s">
        <v>4</v>
      </c>
    </row>
    <row r="96" spans="1:51" s="117" customFormat="1" ht="11.25" customHeight="1">
      <c r="A96" s="139">
        <v>93</v>
      </c>
      <c r="B96" s="139"/>
      <c r="C96" s="140" t="s">
        <v>306</v>
      </c>
      <c r="D96" s="140"/>
      <c r="E96" s="140">
        <f t="shared" si="13"/>
        <v>26</v>
      </c>
      <c r="F96" s="141" t="s">
        <v>307</v>
      </c>
      <c r="G96" s="142">
        <v>179</v>
      </c>
      <c r="H96" s="143">
        <f>INT((G96*Valores!$C$2*100)+0.5)/100</f>
        <v>1671.81</v>
      </c>
      <c r="I96" s="144">
        <v>1712</v>
      </c>
      <c r="J96" s="145">
        <f>INT((I96*Valores!$C$2*100)+0.5)/100</f>
        <v>15989.57</v>
      </c>
      <c r="K96" s="160">
        <v>0</v>
      </c>
      <c r="L96" s="145">
        <f>INT((K96*Valores!$C$2*100)+0.5)/100</f>
        <v>0</v>
      </c>
      <c r="M96" s="158">
        <v>0</v>
      </c>
      <c r="N96" s="145">
        <f>INT((M96*Valores!$C$2*100)+0.5)/100</f>
        <v>0</v>
      </c>
      <c r="O96" s="145">
        <f t="shared" si="14"/>
        <v>3476.7315</v>
      </c>
      <c r="P96" s="145">
        <f t="shared" si="15"/>
        <v>0</v>
      </c>
      <c r="Q96" s="147">
        <f>Valores!$C$16</f>
        <v>8673.47</v>
      </c>
      <c r="R96" s="147">
        <f>Valores!$D$4</f>
        <v>4774.45</v>
      </c>
      <c r="S96" s="159">
        <f>Valores!$C$27</f>
        <v>4359.58</v>
      </c>
      <c r="T96" s="148">
        <f>IF($H$5="NO",Valores!$C$43,Valores!$C$43/2)</f>
        <v>1619.82</v>
      </c>
      <c r="U96" s="145">
        <f>Valores!$C$24</f>
        <v>3897.01</v>
      </c>
      <c r="V96" s="145">
        <f t="shared" si="12"/>
        <v>3897.01</v>
      </c>
      <c r="W96" s="145">
        <v>0</v>
      </c>
      <c r="X96" s="145">
        <v>0</v>
      </c>
      <c r="Y96" s="149">
        <v>0</v>
      </c>
      <c r="Z96" s="145">
        <f>Y96*Valores!$C$2</f>
        <v>0</v>
      </c>
      <c r="AA96" s="145">
        <v>0</v>
      </c>
      <c r="AB96" s="148">
        <f>Valores!$C$89</f>
        <v>1153.8461538461538</v>
      </c>
      <c r="AC96" s="150">
        <f>Valores!$C$30</f>
        <v>199.86</v>
      </c>
      <c r="AD96" s="145">
        <f t="shared" si="17"/>
        <v>0</v>
      </c>
      <c r="AE96" s="145">
        <f>Valores!$C$31</f>
        <v>199.86</v>
      </c>
      <c r="AF96" s="149">
        <v>0</v>
      </c>
      <c r="AG96" s="145">
        <f>INT(((AF96*Valores!$C$2)*100)+0.5)/100</f>
        <v>0</v>
      </c>
      <c r="AH96" s="145">
        <f>IF($H$5="NO",Valores!$C$59,Valores!$C$59/2)</f>
        <v>406.53</v>
      </c>
      <c r="AI96" s="145">
        <f>IF($H$5="NO",Valores!$C$61,Valores!$C$61/2)</f>
        <v>116.15</v>
      </c>
      <c r="AJ96" s="151">
        <f t="shared" si="18"/>
        <v>46538.68765384616</v>
      </c>
      <c r="AK96" s="147">
        <f>Valores!$C$36</f>
        <v>1046.83</v>
      </c>
      <c r="AL96" s="148">
        <f>Valores!$C$8</f>
        <v>0</v>
      </c>
      <c r="AM96" s="148">
        <f>Valores!$C$84</f>
        <v>2275</v>
      </c>
      <c r="AN96" s="148"/>
      <c r="AO96" s="150">
        <f>Valores!$C$52</f>
        <v>170.34</v>
      </c>
      <c r="AP96" s="152">
        <f t="shared" si="16"/>
        <v>3321.83</v>
      </c>
      <c r="AQ96" s="153">
        <f>AJ96*-Valores!$C$68</f>
        <v>-5119.255641923078</v>
      </c>
      <c r="AR96" s="153">
        <f>AJ96*-Valores!$C$69</f>
        <v>0</v>
      </c>
      <c r="AS96" s="147">
        <f>AJ96*-Valores!$C$70</f>
        <v>-2094.240944423077</v>
      </c>
      <c r="AT96" s="147">
        <v>-159.43</v>
      </c>
      <c r="AU96" s="147">
        <f t="shared" si="19"/>
        <v>-53.83</v>
      </c>
      <c r="AV96" s="151">
        <f t="shared" si="20"/>
        <v>42433.7610675</v>
      </c>
      <c r="AW96" s="155"/>
      <c r="AX96" s="155">
        <v>25</v>
      </c>
      <c r="AY96" s="140" t="s">
        <v>4</v>
      </c>
    </row>
    <row r="97" spans="1:51" s="117" customFormat="1" ht="11.25" customHeight="1">
      <c r="A97" s="139">
        <v>94</v>
      </c>
      <c r="B97" s="139"/>
      <c r="C97" s="140" t="s">
        <v>308</v>
      </c>
      <c r="D97" s="140"/>
      <c r="E97" s="140">
        <f t="shared" si="13"/>
        <v>30</v>
      </c>
      <c r="F97" s="141" t="s">
        <v>309</v>
      </c>
      <c r="G97" s="142">
        <v>64</v>
      </c>
      <c r="H97" s="143">
        <f>INT((G97*Valores!$C$2*100)+0.5)/100</f>
        <v>597.74</v>
      </c>
      <c r="I97" s="144">
        <v>2086</v>
      </c>
      <c r="J97" s="145">
        <f>INT((I97*Valores!$C$2*100)+0.5)/100</f>
        <v>19482.61</v>
      </c>
      <c r="K97" s="160">
        <v>0</v>
      </c>
      <c r="L97" s="145">
        <f>INT((K97*Valores!$C$2*100)+0.5)/100</f>
        <v>0</v>
      </c>
      <c r="M97" s="158">
        <v>0</v>
      </c>
      <c r="N97" s="145">
        <f>INT((M97*Valores!$C$2*100)+0.5)/100</f>
        <v>0</v>
      </c>
      <c r="O97" s="145">
        <f t="shared" si="14"/>
        <v>3839.5769999999998</v>
      </c>
      <c r="P97" s="145">
        <f t="shared" si="15"/>
        <v>0</v>
      </c>
      <c r="Q97" s="147">
        <f>Valores!$C$16</f>
        <v>8673.47</v>
      </c>
      <c r="R97" s="147">
        <f>Valores!$D$4</f>
        <v>4774.45</v>
      </c>
      <c r="S97" s="159">
        <f>Valores!$C$27</f>
        <v>4359.58</v>
      </c>
      <c r="T97" s="148">
        <f>IF($H$5="NO",Valores!$C$43,Valores!$C$43/2)</f>
        <v>1619.82</v>
      </c>
      <c r="U97" s="145">
        <f>Valores!$C$24</f>
        <v>3897.01</v>
      </c>
      <c r="V97" s="145">
        <f t="shared" si="12"/>
        <v>3897.01</v>
      </c>
      <c r="W97" s="145">
        <v>0</v>
      </c>
      <c r="X97" s="145">
        <v>0</v>
      </c>
      <c r="Y97" s="149">
        <v>0</v>
      </c>
      <c r="Z97" s="145">
        <f>Y97*Valores!$C$2</f>
        <v>0</v>
      </c>
      <c r="AA97" s="145">
        <v>0</v>
      </c>
      <c r="AB97" s="148">
        <f>Valores!$C$90</f>
        <v>1384.6153846153848</v>
      </c>
      <c r="AC97" s="150">
        <f>Valores!$C$30</f>
        <v>199.86</v>
      </c>
      <c r="AD97" s="145">
        <f t="shared" si="17"/>
        <v>0</v>
      </c>
      <c r="AE97" s="145">
        <f>Valores!$C$31</f>
        <v>199.86</v>
      </c>
      <c r="AF97" s="149">
        <v>0</v>
      </c>
      <c r="AG97" s="145">
        <f>INT(((AF97*Valores!$C$2)*100)+0.5)/100</f>
        <v>0</v>
      </c>
      <c r="AH97" s="145">
        <f>IF($H$5="NO",Valores!$C$59,Valores!$C$59/2)</f>
        <v>406.53</v>
      </c>
      <c r="AI97" s="145">
        <f>IF($H$5="NO",Valores!$C$61,Valores!$C$61/2)</f>
        <v>116.15</v>
      </c>
      <c r="AJ97" s="151">
        <f t="shared" si="18"/>
        <v>49551.27238461539</v>
      </c>
      <c r="AK97" s="147">
        <f>Valores!$C$36</f>
        <v>1046.83</v>
      </c>
      <c r="AL97" s="148">
        <f>Valores!$C$8</f>
        <v>0</v>
      </c>
      <c r="AM97" s="148">
        <f>Valores!$C$85</f>
        <v>2730</v>
      </c>
      <c r="AN97" s="148"/>
      <c r="AO97" s="150">
        <f>Valores!$C$52</f>
        <v>170.34</v>
      </c>
      <c r="AP97" s="152">
        <f t="shared" si="16"/>
        <v>3776.83</v>
      </c>
      <c r="AQ97" s="153">
        <f>AJ97*-Valores!$C$68</f>
        <v>-5450.639962307693</v>
      </c>
      <c r="AR97" s="153">
        <f>AJ97*-Valores!$C$69</f>
        <v>0</v>
      </c>
      <c r="AS97" s="147">
        <f>AJ97*-Valores!$C$70</f>
        <v>-2229.8072573076925</v>
      </c>
      <c r="AT97" s="147">
        <v>-159.43</v>
      </c>
      <c r="AU97" s="147">
        <f t="shared" si="19"/>
        <v>-53.83</v>
      </c>
      <c r="AV97" s="151">
        <f t="shared" si="20"/>
        <v>45434.395165</v>
      </c>
      <c r="AW97" s="155"/>
      <c r="AX97" s="155">
        <v>25</v>
      </c>
      <c r="AY97" s="140" t="s">
        <v>4</v>
      </c>
    </row>
    <row r="98" spans="1:51" s="117" customFormat="1" ht="11.25" customHeight="1">
      <c r="A98" s="157">
        <v>95</v>
      </c>
      <c r="B98" s="157" t="s">
        <v>143</v>
      </c>
      <c r="C98" s="140" t="s">
        <v>310</v>
      </c>
      <c r="D98" s="140"/>
      <c r="E98" s="140">
        <f t="shared" si="13"/>
        <v>31</v>
      </c>
      <c r="F98" s="141" t="s">
        <v>311</v>
      </c>
      <c r="G98" s="142">
        <v>89</v>
      </c>
      <c r="H98" s="143">
        <f>INT((G98*Valores!$C$2*100)+0.5)/100</f>
        <v>831.23</v>
      </c>
      <c r="I98" s="144">
        <v>2481</v>
      </c>
      <c r="J98" s="145">
        <f>INT((I98*Valores!$C$2*100)+0.5)/100</f>
        <v>23171.8</v>
      </c>
      <c r="K98" s="160">
        <v>0</v>
      </c>
      <c r="L98" s="145">
        <f>INT((K98*Valores!$C$2*100)+0.5)/100</f>
        <v>0</v>
      </c>
      <c r="M98" s="158">
        <v>0</v>
      </c>
      <c r="N98" s="145">
        <f>INT((M98*Valores!$C$2*100)+0.5)/100</f>
        <v>0</v>
      </c>
      <c r="O98" s="145">
        <f t="shared" si="14"/>
        <v>4427.979</v>
      </c>
      <c r="P98" s="145">
        <f t="shared" si="15"/>
        <v>0</v>
      </c>
      <c r="Q98" s="147">
        <f>Valores!$C$15</f>
        <v>8642.51</v>
      </c>
      <c r="R98" s="147">
        <f>Valores!$D$4</f>
        <v>4774.45</v>
      </c>
      <c r="S98" s="145">
        <v>0</v>
      </c>
      <c r="T98" s="148">
        <f>IF($H$5="NO",Valores!$C$43,Valores!$C$43/2)</f>
        <v>1619.82</v>
      </c>
      <c r="U98" s="145">
        <f>Valores!$C$24</f>
        <v>3897.01</v>
      </c>
      <c r="V98" s="145">
        <f t="shared" si="12"/>
        <v>3897.01</v>
      </c>
      <c r="W98" s="145">
        <v>0</v>
      </c>
      <c r="X98" s="145">
        <v>0</v>
      </c>
      <c r="Y98" s="149">
        <v>0</v>
      </c>
      <c r="Z98" s="145">
        <f>Y98*Valores!$C$2</f>
        <v>0</v>
      </c>
      <c r="AA98" s="145">
        <v>0</v>
      </c>
      <c r="AB98" s="148">
        <f>Valores!$C$89</f>
        <v>1153.8461538461538</v>
      </c>
      <c r="AC98" s="150">
        <f>Valores!$C$30</f>
        <v>199.86</v>
      </c>
      <c r="AD98" s="145">
        <f t="shared" si="17"/>
        <v>0</v>
      </c>
      <c r="AE98" s="145">
        <f>Valores!$C$31</f>
        <v>199.86</v>
      </c>
      <c r="AF98" s="149">
        <v>0</v>
      </c>
      <c r="AG98" s="145">
        <f>INT(((AF98*Valores!$C$2)*100)+0.5)/100</f>
        <v>0</v>
      </c>
      <c r="AH98" s="145">
        <f>IF($H$5="NO",Valores!$C$59,Valores!$C$59/2)</f>
        <v>406.53</v>
      </c>
      <c r="AI98" s="145">
        <f>IF($H$5="NO",Valores!$C$61,Valores!$C$61/2)</f>
        <v>116.15</v>
      </c>
      <c r="AJ98" s="151">
        <f t="shared" si="18"/>
        <v>49441.04515384616</v>
      </c>
      <c r="AK98" s="147">
        <f>Valores!$C$36</f>
        <v>1046.83</v>
      </c>
      <c r="AL98" s="148">
        <f>Valores!$C$8</f>
        <v>0</v>
      </c>
      <c r="AM98" s="148">
        <f>Valores!$C$84</f>
        <v>2275</v>
      </c>
      <c r="AN98" s="148"/>
      <c r="AO98" s="150">
        <f>Valores!$C$52</f>
        <v>170.34</v>
      </c>
      <c r="AP98" s="152">
        <f t="shared" si="16"/>
        <v>3321.83</v>
      </c>
      <c r="AQ98" s="153">
        <f>AJ98*-Valores!$C$68</f>
        <v>-5438.514966923077</v>
      </c>
      <c r="AR98" s="153">
        <f>AJ98*-Valores!$C$69</f>
        <v>0</v>
      </c>
      <c r="AS98" s="147">
        <f>AJ98*-Valores!$C$70</f>
        <v>-2224.847031923077</v>
      </c>
      <c r="AT98" s="147">
        <v>-159.43</v>
      </c>
      <c r="AU98" s="147">
        <f t="shared" si="19"/>
        <v>-53.83</v>
      </c>
      <c r="AV98" s="151">
        <f t="shared" si="20"/>
        <v>44886.253155000006</v>
      </c>
      <c r="AW98" s="155"/>
      <c r="AX98" s="155">
        <v>25</v>
      </c>
      <c r="AY98" s="140" t="s">
        <v>8</v>
      </c>
    </row>
    <row r="99" spans="1:51" s="117" customFormat="1" ht="11.25" customHeight="1">
      <c r="A99" s="139">
        <v>96</v>
      </c>
      <c r="B99" s="139"/>
      <c r="C99" s="140" t="s">
        <v>312</v>
      </c>
      <c r="D99" s="140"/>
      <c r="E99" s="140">
        <f t="shared" si="13"/>
        <v>31</v>
      </c>
      <c r="F99" s="141" t="s">
        <v>313</v>
      </c>
      <c r="G99" s="142">
        <v>89</v>
      </c>
      <c r="H99" s="143">
        <f>INT((G99*Valores!$C$2*100)+0.5)/100</f>
        <v>831.23</v>
      </c>
      <c r="I99" s="144">
        <v>2381</v>
      </c>
      <c r="J99" s="145">
        <f>INT((I99*Valores!$C$2*100)+0.5)/100</f>
        <v>22237.83</v>
      </c>
      <c r="K99" s="160">
        <v>0</v>
      </c>
      <c r="L99" s="145">
        <f>INT((K99*Valores!$C$2*100)+0.5)/100</f>
        <v>0</v>
      </c>
      <c r="M99" s="158">
        <v>0</v>
      </c>
      <c r="N99" s="145">
        <f>INT((M99*Valores!$C$2*100)+0.5)/100</f>
        <v>0</v>
      </c>
      <c r="O99" s="145">
        <f t="shared" si="14"/>
        <v>4287.8835</v>
      </c>
      <c r="P99" s="145">
        <f t="shared" si="15"/>
        <v>0</v>
      </c>
      <c r="Q99" s="147">
        <f>Valores!$C$20</f>
        <v>8160.2</v>
      </c>
      <c r="R99" s="147">
        <f>Valores!$D$4</f>
        <v>4774.45</v>
      </c>
      <c r="S99" s="145">
        <f>Valores!$C$27</f>
        <v>4359.58</v>
      </c>
      <c r="T99" s="148">
        <f>IF($H$5="NO",Valores!$C$43,Valores!$C$43/2)</f>
        <v>1619.82</v>
      </c>
      <c r="U99" s="145">
        <f>Valores!$C$24</f>
        <v>3897.01</v>
      </c>
      <c r="V99" s="145">
        <f t="shared" si="12"/>
        <v>3897.01</v>
      </c>
      <c r="W99" s="145">
        <v>0</v>
      </c>
      <c r="X99" s="145">
        <v>0</v>
      </c>
      <c r="Y99" s="149">
        <v>0</v>
      </c>
      <c r="Z99" s="145">
        <f>Y99*Valores!$C$2</f>
        <v>0</v>
      </c>
      <c r="AA99" s="145">
        <v>0</v>
      </c>
      <c r="AB99" s="148">
        <f>Valores!$C$89</f>
        <v>1153.8461538461538</v>
      </c>
      <c r="AC99" s="150">
        <f>Valores!$C$30</f>
        <v>199.86</v>
      </c>
      <c r="AD99" s="145">
        <f t="shared" si="17"/>
        <v>0</v>
      </c>
      <c r="AE99" s="145">
        <f>Valores!$C$31</f>
        <v>199.86</v>
      </c>
      <c r="AF99" s="149">
        <v>0</v>
      </c>
      <c r="AG99" s="145">
        <f>INT(((AF99*Valores!$C$2)*100)+0.5)/100</f>
        <v>0</v>
      </c>
      <c r="AH99" s="145">
        <f>IF($H$5="NO",Valores!$C$59,Valores!$C$59/2)</f>
        <v>406.53</v>
      </c>
      <c r="AI99" s="145">
        <f>IF($H$5="NO",Valores!$C$61,Valores!$C$61/2)</f>
        <v>116.15</v>
      </c>
      <c r="AJ99" s="151">
        <f t="shared" si="18"/>
        <v>52244.24965384616</v>
      </c>
      <c r="AK99" s="147">
        <f>Valores!$C$36</f>
        <v>1046.83</v>
      </c>
      <c r="AL99" s="148">
        <f>Valores!$C$8</f>
        <v>0</v>
      </c>
      <c r="AM99" s="148">
        <f>Valores!$C$84</f>
        <v>2275</v>
      </c>
      <c r="AN99" s="148"/>
      <c r="AO99" s="150">
        <f>Valores!$C$52</f>
        <v>170.34</v>
      </c>
      <c r="AP99" s="152">
        <f t="shared" si="16"/>
        <v>3321.83</v>
      </c>
      <c r="AQ99" s="153">
        <f>AJ99*-Valores!$C$68</f>
        <v>-5746.867461923077</v>
      </c>
      <c r="AR99" s="153">
        <f>AJ99*-Valores!$C$69</f>
        <v>0</v>
      </c>
      <c r="AS99" s="147">
        <f>AJ99*-Valores!$C$70</f>
        <v>-2350.991234423077</v>
      </c>
      <c r="AT99" s="147">
        <v>-159.43</v>
      </c>
      <c r="AU99" s="147">
        <f t="shared" si="19"/>
        <v>-53.83</v>
      </c>
      <c r="AV99" s="151">
        <f t="shared" si="20"/>
        <v>47254.9609575</v>
      </c>
      <c r="AW99" s="155"/>
      <c r="AX99" s="155">
        <v>25</v>
      </c>
      <c r="AY99" s="140" t="s">
        <v>4</v>
      </c>
    </row>
    <row r="100" spans="1:51" s="117" customFormat="1" ht="11.25" customHeight="1">
      <c r="A100" s="139">
        <v>97</v>
      </c>
      <c r="B100" s="139"/>
      <c r="C100" s="140" t="s">
        <v>314</v>
      </c>
      <c r="D100" s="140"/>
      <c r="E100" s="140">
        <f t="shared" si="13"/>
        <v>31</v>
      </c>
      <c r="F100" s="141" t="s">
        <v>315</v>
      </c>
      <c r="G100" s="142">
        <v>89</v>
      </c>
      <c r="H100" s="143">
        <f>INT((G100*Valores!$C$2*100)+0.5)/100</f>
        <v>831.23</v>
      </c>
      <c r="I100" s="144">
        <v>1768</v>
      </c>
      <c r="J100" s="145">
        <f>INT((I100*Valores!$C$2*100)+0.5)/100</f>
        <v>16512.59</v>
      </c>
      <c r="K100" s="160">
        <v>0</v>
      </c>
      <c r="L100" s="145">
        <f>INT((K100*Valores!$C$2*100)+0.5)/100</f>
        <v>0</v>
      </c>
      <c r="M100" s="158">
        <v>0</v>
      </c>
      <c r="N100" s="145">
        <f>INT((M100*Valores!$C$2*100)+0.5)/100</f>
        <v>0</v>
      </c>
      <c r="O100" s="145">
        <f t="shared" si="14"/>
        <v>3429.0975000000003</v>
      </c>
      <c r="P100" s="145">
        <f t="shared" si="15"/>
        <v>0</v>
      </c>
      <c r="Q100" s="147">
        <f>Valores!$C$20</f>
        <v>8160.2</v>
      </c>
      <c r="R100" s="147">
        <f>Valores!$D$4</f>
        <v>4774.45</v>
      </c>
      <c r="S100" s="159">
        <f>Valores!$C$27</f>
        <v>4359.58</v>
      </c>
      <c r="T100" s="148">
        <f>IF($H$5="NO",Valores!$C$43,Valores!$C$43/2)</f>
        <v>1619.82</v>
      </c>
      <c r="U100" s="145">
        <f>Valores!$C$24</f>
        <v>3897.01</v>
      </c>
      <c r="V100" s="145">
        <f t="shared" si="12"/>
        <v>3897.01</v>
      </c>
      <c r="W100" s="145">
        <v>0</v>
      </c>
      <c r="X100" s="145">
        <v>0</v>
      </c>
      <c r="Y100" s="149">
        <v>0</v>
      </c>
      <c r="Z100" s="145">
        <f>Y100*Valores!$C$2</f>
        <v>0</v>
      </c>
      <c r="AA100" s="145">
        <v>0</v>
      </c>
      <c r="AB100" s="148">
        <f>Valores!$C$89</f>
        <v>1153.8461538461538</v>
      </c>
      <c r="AC100" s="150">
        <f>Valores!$C$30</f>
        <v>199.86</v>
      </c>
      <c r="AD100" s="145">
        <f t="shared" si="17"/>
        <v>0</v>
      </c>
      <c r="AE100" s="145">
        <f>Valores!$C$31</f>
        <v>199.86</v>
      </c>
      <c r="AF100" s="149">
        <v>0</v>
      </c>
      <c r="AG100" s="145">
        <f>INT(((AF100*Valores!$C$2)*100)+0.5)/100</f>
        <v>0</v>
      </c>
      <c r="AH100" s="145">
        <f>IF($H$5="NO",Valores!$C$59,Valores!$C$59/2)</f>
        <v>406.53</v>
      </c>
      <c r="AI100" s="145">
        <f>IF($H$5="NO",Valores!$C$61,Valores!$C$61/2)</f>
        <v>116.15</v>
      </c>
      <c r="AJ100" s="151">
        <f t="shared" si="18"/>
        <v>45660.22365384616</v>
      </c>
      <c r="AK100" s="147">
        <f>Valores!$C$36</f>
        <v>1046.83</v>
      </c>
      <c r="AL100" s="148">
        <f>Valores!$C$8</f>
        <v>0</v>
      </c>
      <c r="AM100" s="148">
        <f>Valores!$C$84</f>
        <v>2275</v>
      </c>
      <c r="AN100" s="148"/>
      <c r="AO100" s="150">
        <f>Valores!$C$52</f>
        <v>170.34</v>
      </c>
      <c r="AP100" s="152">
        <f t="shared" si="16"/>
        <v>3321.83</v>
      </c>
      <c r="AQ100" s="153">
        <f>AJ100*-Valores!$C$68</f>
        <v>-5022.6246019230775</v>
      </c>
      <c r="AR100" s="153">
        <f>AJ100*-Valores!$C$69</f>
        <v>0</v>
      </c>
      <c r="AS100" s="147">
        <f>AJ100*-Valores!$C$70</f>
        <v>-2054.7100644230773</v>
      </c>
      <c r="AT100" s="147">
        <v>-159.43</v>
      </c>
      <c r="AU100" s="147">
        <f t="shared" si="19"/>
        <v>-53.83</v>
      </c>
      <c r="AV100" s="151">
        <f t="shared" si="20"/>
        <v>41691.45898750001</v>
      </c>
      <c r="AW100" s="155"/>
      <c r="AX100" s="155">
        <v>25</v>
      </c>
      <c r="AY100" s="140" t="s">
        <v>4</v>
      </c>
    </row>
    <row r="101" spans="1:51" s="117" customFormat="1" ht="11.25" customHeight="1">
      <c r="A101" s="139">
        <v>98</v>
      </c>
      <c r="B101" s="139"/>
      <c r="C101" s="140" t="s">
        <v>316</v>
      </c>
      <c r="D101" s="140"/>
      <c r="E101" s="140">
        <f t="shared" si="13"/>
        <v>29</v>
      </c>
      <c r="F101" s="141" t="s">
        <v>317</v>
      </c>
      <c r="G101" s="142">
        <v>89</v>
      </c>
      <c r="H101" s="143">
        <f>INT((G101*Valores!$C$2*100)+0.5)/100</f>
        <v>831.23</v>
      </c>
      <c r="I101" s="144">
        <v>1768</v>
      </c>
      <c r="J101" s="145">
        <f>INT((I101*Valores!$C$2*100)+0.5)/100</f>
        <v>16512.59</v>
      </c>
      <c r="K101" s="160">
        <v>0</v>
      </c>
      <c r="L101" s="145">
        <f>INT((K101*Valores!$C$2*100)+0.5)/100</f>
        <v>0</v>
      </c>
      <c r="M101" s="158">
        <v>0</v>
      </c>
      <c r="N101" s="145">
        <f>INT((M101*Valores!$C$2*100)+0.5)/100</f>
        <v>0</v>
      </c>
      <c r="O101" s="145">
        <f t="shared" si="14"/>
        <v>3429.0975000000003</v>
      </c>
      <c r="P101" s="145">
        <f t="shared" si="15"/>
        <v>0</v>
      </c>
      <c r="Q101" s="147">
        <f>Valores!$C$15</f>
        <v>8642.51</v>
      </c>
      <c r="R101" s="147">
        <f>Valores!$D$4</f>
        <v>4774.45</v>
      </c>
      <c r="S101" s="159">
        <f>Valores!$C$27</f>
        <v>4359.58</v>
      </c>
      <c r="T101" s="148">
        <f>IF($H$5="NO",Valores!$C$43,Valores!$C$43/2)</f>
        <v>1619.82</v>
      </c>
      <c r="U101" s="145">
        <f>Valores!$C$24</f>
        <v>3897.01</v>
      </c>
      <c r="V101" s="145">
        <f t="shared" si="12"/>
        <v>3897.01</v>
      </c>
      <c r="W101" s="145">
        <v>0</v>
      </c>
      <c r="X101" s="145">
        <v>0</v>
      </c>
      <c r="Y101" s="149">
        <v>0</v>
      </c>
      <c r="Z101" s="145">
        <f>Y101*Valores!$C$2</f>
        <v>0</v>
      </c>
      <c r="AA101" s="145">
        <v>0</v>
      </c>
      <c r="AB101" s="148">
        <f>Valores!$C$89</f>
        <v>1153.8461538461538</v>
      </c>
      <c r="AC101" s="150">
        <f>Valores!$C$30</f>
        <v>199.86</v>
      </c>
      <c r="AD101" s="145">
        <f t="shared" si="17"/>
        <v>0</v>
      </c>
      <c r="AE101" s="145">
        <f>Valores!$C$31</f>
        <v>199.86</v>
      </c>
      <c r="AF101" s="149">
        <v>0</v>
      </c>
      <c r="AG101" s="145">
        <f>INT(((AF101*Valores!$C$2)*100)+0.5)/100</f>
        <v>0</v>
      </c>
      <c r="AH101" s="145">
        <f>IF($H$5="NO",Valores!$C$59,Valores!$C$59/2)</f>
        <v>406.53</v>
      </c>
      <c r="AI101" s="145">
        <f>IF($H$5="NO",Valores!$C$61,Valores!$C$61/2)</f>
        <v>116.15</v>
      </c>
      <c r="AJ101" s="151">
        <f t="shared" si="18"/>
        <v>46142.533653846156</v>
      </c>
      <c r="AK101" s="147">
        <f>Valores!$C$36</f>
        <v>1046.83</v>
      </c>
      <c r="AL101" s="148">
        <f>Valores!$C$8</f>
        <v>0</v>
      </c>
      <c r="AM101" s="148">
        <f>Valores!$C$84</f>
        <v>2275</v>
      </c>
      <c r="AN101" s="148"/>
      <c r="AO101" s="150">
        <f>Valores!$C$52</f>
        <v>170.34</v>
      </c>
      <c r="AP101" s="152">
        <f t="shared" si="16"/>
        <v>3321.83</v>
      </c>
      <c r="AQ101" s="153">
        <f>AJ101*-Valores!$C$68</f>
        <v>-5075.678701923077</v>
      </c>
      <c r="AR101" s="153">
        <f>AJ101*-Valores!$C$69</f>
        <v>0</v>
      </c>
      <c r="AS101" s="147">
        <f>AJ101*-Valores!$C$70</f>
        <v>-2076.414014423077</v>
      </c>
      <c r="AT101" s="147">
        <v>-159.43</v>
      </c>
      <c r="AU101" s="147">
        <f t="shared" si="19"/>
        <v>-53.83</v>
      </c>
      <c r="AV101" s="151">
        <f t="shared" si="20"/>
        <v>42099.0109375</v>
      </c>
      <c r="AW101" s="155"/>
      <c r="AX101" s="155"/>
      <c r="AY101" s="140" t="s">
        <v>4</v>
      </c>
    </row>
    <row r="102" spans="1:51" s="117" customFormat="1" ht="11.25" customHeight="1">
      <c r="A102" s="139">
        <v>99</v>
      </c>
      <c r="B102" s="139"/>
      <c r="C102" s="140" t="s">
        <v>318</v>
      </c>
      <c r="D102" s="140"/>
      <c r="E102" s="140">
        <f t="shared" si="13"/>
        <v>31</v>
      </c>
      <c r="F102" s="141" t="s">
        <v>319</v>
      </c>
      <c r="G102" s="142">
        <v>89</v>
      </c>
      <c r="H102" s="143">
        <f>INT((G102*Valores!$C$2*100)+0.5)/100</f>
        <v>831.23</v>
      </c>
      <c r="I102" s="144">
        <v>2211</v>
      </c>
      <c r="J102" s="145">
        <f>INT((I102*Valores!$C$2*100)+0.5)/100</f>
        <v>20650.08</v>
      </c>
      <c r="K102" s="160">
        <v>0</v>
      </c>
      <c r="L102" s="145">
        <f>INT((K102*Valores!$C$2*100)+0.5)/100</f>
        <v>0</v>
      </c>
      <c r="M102" s="158">
        <v>0</v>
      </c>
      <c r="N102" s="145">
        <f>INT((M102*Valores!$C$2*100)+0.5)/100</f>
        <v>0</v>
      </c>
      <c r="O102" s="145">
        <f t="shared" si="14"/>
        <v>4049.7209999999995</v>
      </c>
      <c r="P102" s="145">
        <f t="shared" si="15"/>
        <v>0</v>
      </c>
      <c r="Q102" s="147">
        <f>Valores!$C$15</f>
        <v>8642.51</v>
      </c>
      <c r="R102" s="147">
        <f>Valores!$D$4</f>
        <v>4774.45</v>
      </c>
      <c r="S102" s="159">
        <f>Valores!$C$27</f>
        <v>4359.58</v>
      </c>
      <c r="T102" s="148">
        <f>IF($H$5="NO",Valores!$C$43,Valores!$C$43/2)</f>
        <v>1619.82</v>
      </c>
      <c r="U102" s="145">
        <f>Valores!$C$24</f>
        <v>3897.01</v>
      </c>
      <c r="V102" s="145">
        <f t="shared" si="12"/>
        <v>3897.01</v>
      </c>
      <c r="W102" s="145">
        <v>0</v>
      </c>
      <c r="X102" s="145">
        <v>0</v>
      </c>
      <c r="Y102" s="149">
        <v>0</v>
      </c>
      <c r="Z102" s="145">
        <f>Y102*Valores!$C$2</f>
        <v>0</v>
      </c>
      <c r="AA102" s="145">
        <v>0</v>
      </c>
      <c r="AB102" s="148">
        <f>Valores!$C$89</f>
        <v>1153.8461538461538</v>
      </c>
      <c r="AC102" s="150">
        <f>Valores!$C$30</f>
        <v>199.86</v>
      </c>
      <c r="AD102" s="145">
        <f t="shared" si="17"/>
        <v>0</v>
      </c>
      <c r="AE102" s="145">
        <f>Valores!$C$31</f>
        <v>199.86</v>
      </c>
      <c r="AF102" s="149">
        <v>0</v>
      </c>
      <c r="AG102" s="145">
        <f>INT(((AF102*Valores!$C$2)*100)+0.5)/100</f>
        <v>0</v>
      </c>
      <c r="AH102" s="145">
        <f>IF($H$5="NO",Valores!$C$59,Valores!$C$59/2)</f>
        <v>406.53</v>
      </c>
      <c r="AI102" s="145">
        <f>IF($H$5="NO",Valores!$C$61,Valores!$C$61/2)</f>
        <v>116.15</v>
      </c>
      <c r="AJ102" s="151">
        <f t="shared" si="18"/>
        <v>50900.64715384616</v>
      </c>
      <c r="AK102" s="147">
        <f>Valores!$C$36</f>
        <v>1046.83</v>
      </c>
      <c r="AL102" s="148">
        <f>Valores!$C$8</f>
        <v>0</v>
      </c>
      <c r="AM102" s="148">
        <f>Valores!$C$84</f>
        <v>2275</v>
      </c>
      <c r="AN102" s="148"/>
      <c r="AO102" s="150">
        <f>Valores!$C$52</f>
        <v>170.34</v>
      </c>
      <c r="AP102" s="152">
        <f t="shared" si="16"/>
        <v>3321.83</v>
      </c>
      <c r="AQ102" s="153">
        <f>AJ102*-Valores!$C$68</f>
        <v>-5599.071186923078</v>
      </c>
      <c r="AR102" s="153">
        <f>AJ102*-Valores!$C$69</f>
        <v>0</v>
      </c>
      <c r="AS102" s="147">
        <f>AJ102*-Valores!$C$70</f>
        <v>-2290.529121923077</v>
      </c>
      <c r="AT102" s="147">
        <v>-159.43</v>
      </c>
      <c r="AU102" s="147">
        <f t="shared" si="19"/>
        <v>-53.83</v>
      </c>
      <c r="AV102" s="151">
        <f t="shared" si="20"/>
        <v>46119.616845000004</v>
      </c>
      <c r="AW102" s="155"/>
      <c r="AX102" s="155"/>
      <c r="AY102" s="140" t="s">
        <v>4</v>
      </c>
    </row>
    <row r="103" spans="1:51" s="117" customFormat="1" ht="11.25" customHeight="1">
      <c r="A103" s="157">
        <v>100</v>
      </c>
      <c r="B103" s="157" t="s">
        <v>143</v>
      </c>
      <c r="C103" s="140" t="s">
        <v>320</v>
      </c>
      <c r="D103" s="140"/>
      <c r="E103" s="140">
        <f t="shared" si="13"/>
        <v>31</v>
      </c>
      <c r="F103" s="141" t="s">
        <v>321</v>
      </c>
      <c r="G103" s="142">
        <v>89</v>
      </c>
      <c r="H103" s="143">
        <f>INT((G103*Valores!$C$2*100)+0.5)/100</f>
        <v>831.23</v>
      </c>
      <c r="I103" s="144">
        <v>1956</v>
      </c>
      <c r="J103" s="145">
        <f>INT((I103*Valores!$C$2*100)+0.5)/100</f>
        <v>18268.45</v>
      </c>
      <c r="K103" s="160">
        <v>0</v>
      </c>
      <c r="L103" s="145">
        <f>INT((K103*Valores!$C$2*100)+0.5)/100</f>
        <v>0</v>
      </c>
      <c r="M103" s="158">
        <v>0</v>
      </c>
      <c r="N103" s="145">
        <f>INT((M103*Valores!$C$2*100)+0.5)/100</f>
        <v>0</v>
      </c>
      <c r="O103" s="145">
        <f t="shared" si="14"/>
        <v>3692.4765</v>
      </c>
      <c r="P103" s="145">
        <f t="shared" si="15"/>
        <v>0</v>
      </c>
      <c r="Q103" s="147">
        <f>Valores!$C$20</f>
        <v>8160.2</v>
      </c>
      <c r="R103" s="147">
        <f>Valores!$D$4</f>
        <v>4774.45</v>
      </c>
      <c r="S103" s="145">
        <v>0</v>
      </c>
      <c r="T103" s="148">
        <f>IF($H$5="NO",Valores!$C$43,Valores!$C$43/2)</f>
        <v>1619.82</v>
      </c>
      <c r="U103" s="145">
        <f>Valores!$C$24</f>
        <v>3897.01</v>
      </c>
      <c r="V103" s="145">
        <f t="shared" si="12"/>
        <v>3897.01</v>
      </c>
      <c r="W103" s="145">
        <v>0</v>
      </c>
      <c r="X103" s="145">
        <v>0</v>
      </c>
      <c r="Y103" s="149">
        <v>0</v>
      </c>
      <c r="Z103" s="145">
        <f>Y103*Valores!$C$2</f>
        <v>0</v>
      </c>
      <c r="AA103" s="145">
        <v>0</v>
      </c>
      <c r="AB103" s="148">
        <f>Valores!$C$89</f>
        <v>1153.8461538461538</v>
      </c>
      <c r="AC103" s="150">
        <f>Valores!$C$30</f>
        <v>199.86</v>
      </c>
      <c r="AD103" s="145">
        <f t="shared" si="17"/>
        <v>0</v>
      </c>
      <c r="AE103" s="145">
        <f>Valores!$C$31</f>
        <v>199.86</v>
      </c>
      <c r="AF103" s="149">
        <v>0</v>
      </c>
      <c r="AG103" s="145">
        <f>INT(((AF103*Valores!$C$2)*100)+0.5)/100</f>
        <v>0</v>
      </c>
      <c r="AH103" s="145">
        <f>IF($H$5="NO",Valores!$C$59,Valores!$C$59/2)</f>
        <v>406.53</v>
      </c>
      <c r="AI103" s="145">
        <f>IF($H$5="NO",Valores!$C$61,Valores!$C$61/2)</f>
        <v>116.15</v>
      </c>
      <c r="AJ103" s="151">
        <f t="shared" si="18"/>
        <v>43319.88265384616</v>
      </c>
      <c r="AK103" s="147">
        <f>Valores!$C$36</f>
        <v>1046.83</v>
      </c>
      <c r="AL103" s="148">
        <f>Valores!$C$8</f>
        <v>0</v>
      </c>
      <c r="AM103" s="148">
        <f>Valores!$C$84</f>
        <v>2275</v>
      </c>
      <c r="AN103" s="148"/>
      <c r="AO103" s="150">
        <f>Valores!$C$52</f>
        <v>170.34</v>
      </c>
      <c r="AP103" s="152">
        <f t="shared" si="16"/>
        <v>3321.83</v>
      </c>
      <c r="AQ103" s="153">
        <f>AJ103*-Valores!$C$68</f>
        <v>-4765.187091923078</v>
      </c>
      <c r="AR103" s="153">
        <f>AJ103*-Valores!$C$69</f>
        <v>0</v>
      </c>
      <c r="AS103" s="147">
        <f>AJ103*-Valores!$C$70</f>
        <v>-1949.394719423077</v>
      </c>
      <c r="AT103" s="147">
        <v>-159.43</v>
      </c>
      <c r="AU103" s="147">
        <f t="shared" si="19"/>
        <v>-53.83</v>
      </c>
      <c r="AV103" s="151">
        <f t="shared" si="20"/>
        <v>39713.8708425</v>
      </c>
      <c r="AW103" s="155"/>
      <c r="AX103" s="155"/>
      <c r="AY103" s="140" t="s">
        <v>8</v>
      </c>
    </row>
    <row r="104" spans="1:51" s="117" customFormat="1" ht="11.25" customHeight="1">
      <c r="A104" s="139">
        <v>101</v>
      </c>
      <c r="B104" s="139"/>
      <c r="C104" s="140" t="s">
        <v>322</v>
      </c>
      <c r="D104" s="140"/>
      <c r="E104" s="140">
        <f t="shared" si="13"/>
        <v>31</v>
      </c>
      <c r="F104" s="141" t="s">
        <v>323</v>
      </c>
      <c r="G104" s="142">
        <v>89</v>
      </c>
      <c r="H104" s="143">
        <f>INT((G104*Valores!$C$2*100)+0.5)/100</f>
        <v>831.23</v>
      </c>
      <c r="I104" s="144">
        <v>1267</v>
      </c>
      <c r="J104" s="145">
        <f>INT((I104*Valores!$C$2*100)+0.5)/100</f>
        <v>11833.4</v>
      </c>
      <c r="K104" s="160">
        <v>0</v>
      </c>
      <c r="L104" s="145">
        <f>INT((K104*Valores!$C$2*100)+0.5)/100</f>
        <v>0</v>
      </c>
      <c r="M104" s="158">
        <v>0</v>
      </c>
      <c r="N104" s="145">
        <f>INT((M104*Valores!$C$2*100)+0.5)/100</f>
        <v>0</v>
      </c>
      <c r="O104" s="145">
        <f t="shared" si="14"/>
        <v>2727.2189999999996</v>
      </c>
      <c r="P104" s="145">
        <f t="shared" si="15"/>
        <v>0</v>
      </c>
      <c r="Q104" s="147">
        <f>Valores!$C$20</f>
        <v>8160.2</v>
      </c>
      <c r="R104" s="147">
        <f>Valores!$D$4</f>
        <v>4774.45</v>
      </c>
      <c r="S104" s="145">
        <v>0</v>
      </c>
      <c r="T104" s="148">
        <f>IF($H$5="NO",Valores!$C$43,Valores!$C$43/2)</f>
        <v>1619.82</v>
      </c>
      <c r="U104" s="145">
        <f>Valores!$C$24</f>
        <v>3897.01</v>
      </c>
      <c r="V104" s="145">
        <f t="shared" si="12"/>
        <v>3897.01</v>
      </c>
      <c r="W104" s="145">
        <v>0</v>
      </c>
      <c r="X104" s="145">
        <v>0</v>
      </c>
      <c r="Y104" s="149">
        <v>0</v>
      </c>
      <c r="Z104" s="145">
        <f>Y104*Valores!$C$2</f>
        <v>0</v>
      </c>
      <c r="AA104" s="145">
        <v>0</v>
      </c>
      <c r="AB104" s="148">
        <f>Valores!$C$89</f>
        <v>1153.8461538461538</v>
      </c>
      <c r="AC104" s="150">
        <f>Valores!$C$30</f>
        <v>199.86</v>
      </c>
      <c r="AD104" s="145">
        <f t="shared" si="17"/>
        <v>0</v>
      </c>
      <c r="AE104" s="145">
        <f>Valores!$C$31</f>
        <v>199.86</v>
      </c>
      <c r="AF104" s="149">
        <v>0</v>
      </c>
      <c r="AG104" s="145">
        <f>INT(((AF104*Valores!$C$2)*100)+0.5)/100</f>
        <v>0</v>
      </c>
      <c r="AH104" s="145">
        <f>IF($H$5="NO",Valores!$C$59,Valores!$C$59/2)</f>
        <v>406.53</v>
      </c>
      <c r="AI104" s="145">
        <f>IF($H$5="NO",Valores!$C$61,Valores!$C$61/2)</f>
        <v>116.15</v>
      </c>
      <c r="AJ104" s="151">
        <f t="shared" si="18"/>
        <v>35919.575153846155</v>
      </c>
      <c r="AK104" s="147">
        <f>Valores!$C$36</f>
        <v>1046.83</v>
      </c>
      <c r="AL104" s="148">
        <f>Valores!$C$8</f>
        <v>0</v>
      </c>
      <c r="AM104" s="148">
        <f>Valores!$C$84</f>
        <v>2275</v>
      </c>
      <c r="AN104" s="148"/>
      <c r="AO104" s="150">
        <f>Valores!$C$52</f>
        <v>170.34</v>
      </c>
      <c r="AP104" s="152">
        <f t="shared" si="16"/>
        <v>3321.83</v>
      </c>
      <c r="AQ104" s="153">
        <f>AJ104*-Valores!$C$68</f>
        <v>-3951.153266923077</v>
      </c>
      <c r="AR104" s="153">
        <f>AJ104*-Valores!$C$69</f>
        <v>0</v>
      </c>
      <c r="AS104" s="147">
        <f>AJ104*-Valores!$C$70</f>
        <v>-1616.380881923077</v>
      </c>
      <c r="AT104" s="147">
        <v>-159.43</v>
      </c>
      <c r="AU104" s="147">
        <f t="shared" si="19"/>
        <v>-53.83</v>
      </c>
      <c r="AV104" s="151">
        <f t="shared" si="20"/>
        <v>33460.611005</v>
      </c>
      <c r="AW104" s="155"/>
      <c r="AX104" s="155"/>
      <c r="AY104" s="140" t="s">
        <v>8</v>
      </c>
    </row>
    <row r="105" spans="1:51" s="117" customFormat="1" ht="11.25" customHeight="1">
      <c r="A105" s="139">
        <v>102</v>
      </c>
      <c r="B105" s="139"/>
      <c r="C105" s="140" t="s">
        <v>324</v>
      </c>
      <c r="D105" s="140"/>
      <c r="E105" s="140">
        <f t="shared" si="13"/>
        <v>31</v>
      </c>
      <c r="F105" s="141" t="s">
        <v>325</v>
      </c>
      <c r="G105" s="142">
        <v>67</v>
      </c>
      <c r="H105" s="143">
        <f>INT((G105*Valores!$C$2*100)+0.5)/100</f>
        <v>625.76</v>
      </c>
      <c r="I105" s="144">
        <v>2108</v>
      </c>
      <c r="J105" s="145">
        <f>INT((I105*Valores!$C$2*100)+0.5)/100</f>
        <v>19688.09</v>
      </c>
      <c r="K105" s="160">
        <v>0</v>
      </c>
      <c r="L105" s="145">
        <f>INT((K105*Valores!$C$2*100)+0.5)/100</f>
        <v>0</v>
      </c>
      <c r="M105" s="158">
        <v>0</v>
      </c>
      <c r="N105" s="145">
        <f>INT((M105*Valores!$C$2*100)+0.5)/100</f>
        <v>0</v>
      </c>
      <c r="O105" s="145">
        <f t="shared" si="14"/>
        <v>3810.2535000000003</v>
      </c>
      <c r="P105" s="145">
        <f t="shared" si="15"/>
        <v>0</v>
      </c>
      <c r="Q105" s="147">
        <f>Valores!$C$20</f>
        <v>8160.2</v>
      </c>
      <c r="R105" s="147">
        <f>Valores!$D$4</f>
        <v>4774.45</v>
      </c>
      <c r="S105" s="145">
        <v>0</v>
      </c>
      <c r="T105" s="148">
        <f>IF($H$5="NO",Valores!$C$41,Valores!$C$41/2)</f>
        <v>1237.33</v>
      </c>
      <c r="U105" s="159">
        <f>Valores!$C$25</f>
        <v>3850.51</v>
      </c>
      <c r="V105" s="145">
        <f t="shared" si="12"/>
        <v>3850.51</v>
      </c>
      <c r="W105" s="145">
        <v>0</v>
      </c>
      <c r="X105" s="145">
        <v>0</v>
      </c>
      <c r="Y105" s="149">
        <v>0</v>
      </c>
      <c r="Z105" s="145">
        <f>Y105*Valores!$C$2</f>
        <v>0</v>
      </c>
      <c r="AA105" s="145">
        <v>0</v>
      </c>
      <c r="AB105" s="148">
        <f>Valores!$C$89</f>
        <v>1153.8461538461538</v>
      </c>
      <c r="AC105" s="150">
        <f>Valores!$C$30</f>
        <v>199.86</v>
      </c>
      <c r="AD105" s="145">
        <f t="shared" si="17"/>
        <v>0</v>
      </c>
      <c r="AE105" s="145">
        <f>Valores!$C$31</f>
        <v>199.86</v>
      </c>
      <c r="AF105" s="149">
        <v>0</v>
      </c>
      <c r="AG105" s="145">
        <f>INT(((AF105*Valores!$C$2)*100)+0.5)/100</f>
        <v>0</v>
      </c>
      <c r="AH105" s="145">
        <f>IF($H$5="NO",Valores!$C$59,Valores!$C$59/2)</f>
        <v>406.53</v>
      </c>
      <c r="AI105" s="145">
        <f>IF($H$5="NO",Valores!$C$61,Valores!$C$61/2)</f>
        <v>116.15</v>
      </c>
      <c r="AJ105" s="151">
        <f t="shared" si="18"/>
        <v>44222.83965384616</v>
      </c>
      <c r="AK105" s="147">
        <f>Valores!$C$36</f>
        <v>1046.83</v>
      </c>
      <c r="AL105" s="148">
        <f>Valores!$C$6</f>
        <v>0</v>
      </c>
      <c r="AM105" s="148">
        <f>Valores!$C$84</f>
        <v>2275</v>
      </c>
      <c r="AN105" s="148"/>
      <c r="AO105" s="150">
        <f>Valores!$C$52</f>
        <v>170.34</v>
      </c>
      <c r="AP105" s="152">
        <f t="shared" si="16"/>
        <v>3321.83</v>
      </c>
      <c r="AQ105" s="153">
        <f>AJ105*-Valores!$C$68</f>
        <v>-4864.512361923078</v>
      </c>
      <c r="AR105" s="153">
        <f>AJ105*-Valores!$C$69</f>
        <v>0</v>
      </c>
      <c r="AS105" s="147">
        <f>AJ105*-Valores!$C$70</f>
        <v>-1990.027784423077</v>
      </c>
      <c r="AT105" s="147">
        <v>-159.43</v>
      </c>
      <c r="AU105" s="147">
        <f t="shared" si="19"/>
        <v>-53.83</v>
      </c>
      <c r="AV105" s="151">
        <f t="shared" si="20"/>
        <v>40476.8695075</v>
      </c>
      <c r="AW105" s="155"/>
      <c r="AX105" s="155">
        <v>30</v>
      </c>
      <c r="AY105" s="140" t="s">
        <v>4</v>
      </c>
    </row>
    <row r="106" spans="1:51" s="117" customFormat="1" ht="11.25" customHeight="1">
      <c r="A106" s="139">
        <v>103</v>
      </c>
      <c r="B106" s="139"/>
      <c r="C106" s="140" t="s">
        <v>326</v>
      </c>
      <c r="D106" s="140"/>
      <c r="E106" s="140">
        <f t="shared" si="13"/>
        <v>30</v>
      </c>
      <c r="F106" s="141" t="s">
        <v>327</v>
      </c>
      <c r="G106" s="142">
        <v>45</v>
      </c>
      <c r="H106" s="143">
        <f>INT((G106*Valores!$C$2*100)+0.5)/100</f>
        <v>420.29</v>
      </c>
      <c r="I106" s="144">
        <v>1502</v>
      </c>
      <c r="J106" s="145">
        <f>INT((I106*Valores!$C$2*100)+0.5)/100</f>
        <v>14028.23</v>
      </c>
      <c r="K106" s="160">
        <v>0</v>
      </c>
      <c r="L106" s="145">
        <f>INT((K106*Valores!$C$2*100)+0.5)/100</f>
        <v>0</v>
      </c>
      <c r="M106" s="158">
        <v>0</v>
      </c>
      <c r="N106" s="145">
        <f>INT((M106*Valores!$C$2*100)+0.5)/100</f>
        <v>0</v>
      </c>
      <c r="O106" s="145">
        <f t="shared" si="14"/>
        <v>2930.454</v>
      </c>
      <c r="P106" s="145">
        <f t="shared" si="15"/>
        <v>0</v>
      </c>
      <c r="Q106" s="147">
        <f>Valores!$C$20</f>
        <v>8160.2</v>
      </c>
      <c r="R106" s="147">
        <f>Valores!$D$4</f>
        <v>4774.45</v>
      </c>
      <c r="S106" s="145">
        <v>0</v>
      </c>
      <c r="T106" s="148">
        <f>IF($H$5="NO",Valores!$C$41,Valores!$C$41/2)</f>
        <v>1237.33</v>
      </c>
      <c r="U106" s="159">
        <f>Valores!$C$25</f>
        <v>3850.51</v>
      </c>
      <c r="V106" s="145">
        <f t="shared" si="12"/>
        <v>3850.51</v>
      </c>
      <c r="W106" s="145">
        <v>0</v>
      </c>
      <c r="X106" s="145">
        <v>0</v>
      </c>
      <c r="Y106" s="149">
        <v>0</v>
      </c>
      <c r="Z106" s="145">
        <f>Y106*Valores!$C$2</f>
        <v>0</v>
      </c>
      <c r="AA106" s="145">
        <v>0</v>
      </c>
      <c r="AB106" s="148">
        <f>Valores!$C$89</f>
        <v>1153.8461538461538</v>
      </c>
      <c r="AC106" s="150">
        <f>Valores!$C$30</f>
        <v>199.86</v>
      </c>
      <c r="AD106" s="145">
        <f t="shared" si="17"/>
        <v>0</v>
      </c>
      <c r="AE106" s="145">
        <f>Valores!$C$31</f>
        <v>199.86</v>
      </c>
      <c r="AF106" s="149">
        <v>0</v>
      </c>
      <c r="AG106" s="145">
        <f>INT(((AF106*Valores!$C$2)*100)+0.5)/100</f>
        <v>0</v>
      </c>
      <c r="AH106" s="145">
        <f>IF($H$5="NO",Valores!$C$59,Valores!$C$59/2)</f>
        <v>406.53</v>
      </c>
      <c r="AI106" s="145">
        <f>IF($H$5="NO",Valores!$C$61,Valores!$C$61/2)</f>
        <v>116.15</v>
      </c>
      <c r="AJ106" s="151">
        <f t="shared" si="18"/>
        <v>37477.710153846165</v>
      </c>
      <c r="AK106" s="147">
        <f>Valores!$C$36</f>
        <v>1046.83</v>
      </c>
      <c r="AL106" s="148">
        <f>Valores!$C$6</f>
        <v>0</v>
      </c>
      <c r="AM106" s="148">
        <f>Valores!$C$84</f>
        <v>2275</v>
      </c>
      <c r="AN106" s="148"/>
      <c r="AO106" s="150">
        <f>Valores!$C$52</f>
        <v>170.34</v>
      </c>
      <c r="AP106" s="152">
        <f t="shared" si="16"/>
        <v>3321.83</v>
      </c>
      <c r="AQ106" s="153">
        <f>AJ106*-Valores!$C$68</f>
        <v>-4122.548116923078</v>
      </c>
      <c r="AR106" s="153">
        <f>AJ106*-Valores!$C$69</f>
        <v>0</v>
      </c>
      <c r="AS106" s="147">
        <f>AJ106*-Valores!$C$70</f>
        <v>-1686.4969569230773</v>
      </c>
      <c r="AT106" s="147">
        <v>-159.43</v>
      </c>
      <c r="AU106" s="147">
        <f t="shared" si="19"/>
        <v>-53.83</v>
      </c>
      <c r="AV106" s="151">
        <f t="shared" si="20"/>
        <v>34777.23508000001</v>
      </c>
      <c r="AW106" s="155"/>
      <c r="AX106" s="155"/>
      <c r="AY106" s="140" t="s">
        <v>4</v>
      </c>
    </row>
    <row r="107" spans="1:51" s="117" customFormat="1" ht="11.25" customHeight="1">
      <c r="A107" s="139">
        <v>104</v>
      </c>
      <c r="B107" s="139"/>
      <c r="C107" s="140" t="s">
        <v>328</v>
      </c>
      <c r="D107" s="140"/>
      <c r="E107" s="140">
        <f t="shared" si="13"/>
        <v>32</v>
      </c>
      <c r="F107" s="141" t="s">
        <v>329</v>
      </c>
      <c r="G107" s="142">
        <v>61</v>
      </c>
      <c r="H107" s="143">
        <f>INT((G107*Valores!$C$2*100)+0.5)/100</f>
        <v>569.72</v>
      </c>
      <c r="I107" s="144">
        <v>2114</v>
      </c>
      <c r="J107" s="145">
        <f>INT((I107*Valores!$C$2*100)+0.5)/100</f>
        <v>19744.13</v>
      </c>
      <c r="K107" s="160">
        <v>0</v>
      </c>
      <c r="L107" s="145">
        <f>INT((K107*Valores!$C$2*100)+0.5)/100</f>
        <v>0</v>
      </c>
      <c r="M107" s="158">
        <v>0</v>
      </c>
      <c r="N107" s="145">
        <f>INT((M107*Valores!$C$2*100)+0.5)/100</f>
        <v>0</v>
      </c>
      <c r="O107" s="145">
        <f t="shared" si="14"/>
        <v>3810.2535000000003</v>
      </c>
      <c r="P107" s="145">
        <f t="shared" si="15"/>
        <v>0</v>
      </c>
      <c r="Q107" s="147">
        <f>Valores!$C$20</f>
        <v>8160.2</v>
      </c>
      <c r="R107" s="147">
        <f>Valores!$D$4</f>
        <v>4774.45</v>
      </c>
      <c r="S107" s="145">
        <v>0</v>
      </c>
      <c r="T107" s="148">
        <f>IF($H$5="NO",Valores!$C$41,Valores!$C$41/2)</f>
        <v>1237.33</v>
      </c>
      <c r="U107" s="159">
        <f>Valores!$C$25</f>
        <v>3850.51</v>
      </c>
      <c r="V107" s="145">
        <f t="shared" si="12"/>
        <v>3850.51</v>
      </c>
      <c r="W107" s="145">
        <v>0</v>
      </c>
      <c r="X107" s="145">
        <v>0</v>
      </c>
      <c r="Y107" s="149">
        <v>0</v>
      </c>
      <c r="Z107" s="145">
        <f>Y107*Valores!$C$2</f>
        <v>0</v>
      </c>
      <c r="AA107" s="145">
        <v>0</v>
      </c>
      <c r="AB107" s="148">
        <f>Valores!$C$89</f>
        <v>1153.8461538461538</v>
      </c>
      <c r="AC107" s="150">
        <f>Valores!$C$30</f>
        <v>199.86</v>
      </c>
      <c r="AD107" s="145">
        <f t="shared" si="17"/>
        <v>0</v>
      </c>
      <c r="AE107" s="145">
        <f>Valores!$C$31</f>
        <v>199.86</v>
      </c>
      <c r="AF107" s="149">
        <v>0</v>
      </c>
      <c r="AG107" s="145">
        <f>INT(((AF107*Valores!$C$2)*100)+0.5)/100</f>
        <v>0</v>
      </c>
      <c r="AH107" s="145">
        <f>IF($H$5="NO",Valores!$C$59,Valores!$C$59/2)</f>
        <v>406.53</v>
      </c>
      <c r="AI107" s="145">
        <f>IF($H$5="NO",Valores!$C$61,Valores!$C$61/2)</f>
        <v>116.15</v>
      </c>
      <c r="AJ107" s="151">
        <f t="shared" si="18"/>
        <v>44222.83965384616</v>
      </c>
      <c r="AK107" s="147">
        <f>Valores!$C$36</f>
        <v>1046.83</v>
      </c>
      <c r="AL107" s="148">
        <f>Valores!$C$6</f>
        <v>0</v>
      </c>
      <c r="AM107" s="148">
        <f>Valores!$C$84</f>
        <v>2275</v>
      </c>
      <c r="AN107" s="148"/>
      <c r="AO107" s="150">
        <f>Valores!$C$52</f>
        <v>170.34</v>
      </c>
      <c r="AP107" s="152">
        <f t="shared" si="16"/>
        <v>3321.83</v>
      </c>
      <c r="AQ107" s="153">
        <f>AJ107*-Valores!$C$68</f>
        <v>-4864.512361923078</v>
      </c>
      <c r="AR107" s="153">
        <f>AJ107*-Valores!$C$69</f>
        <v>0</v>
      </c>
      <c r="AS107" s="147">
        <f>AJ107*-Valores!$C$70</f>
        <v>-1990.027784423077</v>
      </c>
      <c r="AT107" s="147">
        <v>-159.43</v>
      </c>
      <c r="AU107" s="147">
        <f t="shared" si="19"/>
        <v>-53.83</v>
      </c>
      <c r="AV107" s="151">
        <f t="shared" si="20"/>
        <v>40476.8695075</v>
      </c>
      <c r="AW107" s="155"/>
      <c r="AX107" s="155">
        <v>30</v>
      </c>
      <c r="AY107" s="140" t="s">
        <v>4</v>
      </c>
    </row>
    <row r="108" spans="1:51" s="117" customFormat="1" ht="11.25" customHeight="1">
      <c r="A108" s="157">
        <v>105</v>
      </c>
      <c r="B108" s="157" t="s">
        <v>143</v>
      </c>
      <c r="C108" s="140" t="s">
        <v>330</v>
      </c>
      <c r="D108" s="140"/>
      <c r="E108" s="140">
        <f t="shared" si="13"/>
        <v>32</v>
      </c>
      <c r="F108" s="141" t="s">
        <v>331</v>
      </c>
      <c r="G108" s="142">
        <v>59</v>
      </c>
      <c r="H108" s="143">
        <f>INT((G108*Valores!$C$2*100)+0.5)/100</f>
        <v>551.04</v>
      </c>
      <c r="I108" s="144">
        <v>2013</v>
      </c>
      <c r="J108" s="145">
        <f>INT((I108*Valores!$C$2*100)+0.5)/100</f>
        <v>18800.82</v>
      </c>
      <c r="K108" s="160">
        <v>0</v>
      </c>
      <c r="L108" s="145">
        <f>INT((K108*Valores!$C$2*100)+0.5)/100</f>
        <v>0</v>
      </c>
      <c r="M108" s="158">
        <v>0</v>
      </c>
      <c r="N108" s="145">
        <f>INT((M108*Valores!$C$2*100)+0.5)/100</f>
        <v>0</v>
      </c>
      <c r="O108" s="145">
        <f t="shared" si="14"/>
        <v>3665.9550000000004</v>
      </c>
      <c r="P108" s="145">
        <f t="shared" si="15"/>
        <v>0</v>
      </c>
      <c r="Q108" s="147">
        <f>Valores!$C$20</f>
        <v>8160.2</v>
      </c>
      <c r="R108" s="147">
        <f>Valores!$D$4</f>
        <v>4774.45</v>
      </c>
      <c r="S108" s="145">
        <v>0</v>
      </c>
      <c r="T108" s="148">
        <f>IF($H$5="NO",Valores!$C$41,Valores!$C$41/2)</f>
        <v>1237.33</v>
      </c>
      <c r="U108" s="159">
        <f>Valores!$C$25</f>
        <v>3850.51</v>
      </c>
      <c r="V108" s="145">
        <f t="shared" si="12"/>
        <v>3850.51</v>
      </c>
      <c r="W108" s="145">
        <v>0</v>
      </c>
      <c r="X108" s="145">
        <v>0</v>
      </c>
      <c r="Y108" s="149">
        <v>0</v>
      </c>
      <c r="Z108" s="145">
        <f>Y108*Valores!$C$2</f>
        <v>0</v>
      </c>
      <c r="AA108" s="145">
        <v>0</v>
      </c>
      <c r="AB108" s="148">
        <f>Valores!$C$89</f>
        <v>1153.8461538461538</v>
      </c>
      <c r="AC108" s="150">
        <f>Valores!$C$30</f>
        <v>199.86</v>
      </c>
      <c r="AD108" s="145">
        <f t="shared" si="17"/>
        <v>0</v>
      </c>
      <c r="AE108" s="145">
        <f>Valores!$C$31</f>
        <v>199.86</v>
      </c>
      <c r="AF108" s="149">
        <v>0</v>
      </c>
      <c r="AG108" s="145">
        <f>INT(((AF108*Valores!$C$2)*100)+0.5)/100</f>
        <v>0</v>
      </c>
      <c r="AH108" s="145">
        <f>IF($H$5="NO",Valores!$C$59,Valores!$C$59/2)</f>
        <v>406.53</v>
      </c>
      <c r="AI108" s="145">
        <f>IF($H$5="NO",Valores!$C$61,Valores!$C$61/2)</f>
        <v>116.15</v>
      </c>
      <c r="AJ108" s="151">
        <f t="shared" si="18"/>
        <v>43116.551153846165</v>
      </c>
      <c r="AK108" s="147">
        <f>Valores!$C$36</f>
        <v>1046.83</v>
      </c>
      <c r="AL108" s="148">
        <f>Valores!$C$6</f>
        <v>0</v>
      </c>
      <c r="AM108" s="148">
        <f>Valores!$C$84</f>
        <v>2275</v>
      </c>
      <c r="AN108" s="148"/>
      <c r="AO108" s="150">
        <f>Valores!$C$52</f>
        <v>170.34</v>
      </c>
      <c r="AP108" s="152">
        <f t="shared" si="16"/>
        <v>3321.83</v>
      </c>
      <c r="AQ108" s="153">
        <f>AJ108*-Valores!$C$68</f>
        <v>-4742.820626923079</v>
      </c>
      <c r="AR108" s="153">
        <f>AJ108*-Valores!$C$69</f>
        <v>0</v>
      </c>
      <c r="AS108" s="147">
        <f>AJ108*-Valores!$C$70</f>
        <v>-1940.2448019230774</v>
      </c>
      <c r="AT108" s="147">
        <v>-159.43</v>
      </c>
      <c r="AU108" s="147">
        <f t="shared" si="19"/>
        <v>-53.83</v>
      </c>
      <c r="AV108" s="151">
        <f t="shared" si="20"/>
        <v>39542.055725000006</v>
      </c>
      <c r="AW108" s="155"/>
      <c r="AX108" s="155">
        <v>30</v>
      </c>
      <c r="AY108" s="140" t="s">
        <v>4</v>
      </c>
    </row>
    <row r="109" spans="1:51" s="117" customFormat="1" ht="11.25" customHeight="1">
      <c r="A109" s="139">
        <v>106</v>
      </c>
      <c r="B109" s="139"/>
      <c r="C109" s="140" t="s">
        <v>332</v>
      </c>
      <c r="D109" s="140"/>
      <c r="E109" s="140">
        <f t="shared" si="13"/>
        <v>32</v>
      </c>
      <c r="F109" s="141" t="s">
        <v>333</v>
      </c>
      <c r="G109" s="142">
        <v>56</v>
      </c>
      <c r="H109" s="143">
        <f>INT((G109*Valores!$C$2*100)+0.5)/100</f>
        <v>523.02</v>
      </c>
      <c r="I109" s="144">
        <v>1720</v>
      </c>
      <c r="J109" s="145">
        <f>INT((I109*Valores!$C$2*100)+0.5)/100</f>
        <v>16064.28</v>
      </c>
      <c r="K109" s="160">
        <v>0</v>
      </c>
      <c r="L109" s="145">
        <f>INT((K109*Valores!$C$2*100)+0.5)/100</f>
        <v>0</v>
      </c>
      <c r="M109" s="158">
        <v>0</v>
      </c>
      <c r="N109" s="145">
        <f>INT((M109*Valores!$C$2*100)+0.5)/100</f>
        <v>0</v>
      </c>
      <c r="O109" s="145">
        <f t="shared" si="14"/>
        <v>3251.2709999999997</v>
      </c>
      <c r="P109" s="145">
        <f t="shared" si="15"/>
        <v>0</v>
      </c>
      <c r="Q109" s="147">
        <f>Valores!$C$20</f>
        <v>8160.2</v>
      </c>
      <c r="R109" s="147">
        <f>Valores!$D$4</f>
        <v>4774.45</v>
      </c>
      <c r="S109" s="145">
        <v>0</v>
      </c>
      <c r="T109" s="148">
        <f>IF($H$5="NO",Valores!$C$41,Valores!$C$41/2)</f>
        <v>1237.33</v>
      </c>
      <c r="U109" s="159">
        <f>Valores!$C$25</f>
        <v>3850.51</v>
      </c>
      <c r="V109" s="145">
        <f t="shared" si="12"/>
        <v>3850.51</v>
      </c>
      <c r="W109" s="145">
        <v>0</v>
      </c>
      <c r="X109" s="145">
        <v>0</v>
      </c>
      <c r="Y109" s="149">
        <v>0</v>
      </c>
      <c r="Z109" s="145">
        <f>Y109*Valores!$C$2</f>
        <v>0</v>
      </c>
      <c r="AA109" s="145">
        <v>0</v>
      </c>
      <c r="AB109" s="148">
        <f>Valores!$C$89</f>
        <v>1153.8461538461538</v>
      </c>
      <c r="AC109" s="150">
        <f>Valores!$C$30</f>
        <v>199.86</v>
      </c>
      <c r="AD109" s="145">
        <f t="shared" si="17"/>
        <v>0</v>
      </c>
      <c r="AE109" s="145">
        <f>Valores!$C$31</f>
        <v>199.86</v>
      </c>
      <c r="AF109" s="149">
        <v>0</v>
      </c>
      <c r="AG109" s="145">
        <f>INT(((AF109*Valores!$C$2)*100)+0.5)/100</f>
        <v>0</v>
      </c>
      <c r="AH109" s="145">
        <f>IF($H$5="NO",Valores!$C$59,Valores!$C$59/2)</f>
        <v>406.53</v>
      </c>
      <c r="AI109" s="145">
        <f>IF($H$5="NO",Valores!$C$61,Valores!$C$61/2)</f>
        <v>116.15</v>
      </c>
      <c r="AJ109" s="151">
        <f t="shared" si="18"/>
        <v>39937.30715384616</v>
      </c>
      <c r="AK109" s="147">
        <f>Valores!$C$36</f>
        <v>1046.83</v>
      </c>
      <c r="AL109" s="148">
        <f>Valores!$C$6</f>
        <v>0</v>
      </c>
      <c r="AM109" s="148">
        <f>Valores!$C$84</f>
        <v>2275</v>
      </c>
      <c r="AN109" s="148"/>
      <c r="AO109" s="150">
        <f>Valores!$C$52</f>
        <v>170.34</v>
      </c>
      <c r="AP109" s="152">
        <f t="shared" si="16"/>
        <v>3321.83</v>
      </c>
      <c r="AQ109" s="153">
        <f>AJ109*-Valores!$C$68</f>
        <v>-4393.103786923078</v>
      </c>
      <c r="AR109" s="153">
        <f>AJ109*-Valores!$C$69</f>
        <v>0</v>
      </c>
      <c r="AS109" s="147">
        <f>AJ109*-Valores!$C$70</f>
        <v>-1797.178821923077</v>
      </c>
      <c r="AT109" s="147">
        <v>-159.43</v>
      </c>
      <c r="AU109" s="147">
        <f t="shared" si="19"/>
        <v>-53.83</v>
      </c>
      <c r="AV109" s="151">
        <f t="shared" si="20"/>
        <v>36855.594545</v>
      </c>
      <c r="AW109" s="155"/>
      <c r="AX109" s="155">
        <v>30</v>
      </c>
      <c r="AY109" s="140" t="s">
        <v>4</v>
      </c>
    </row>
    <row r="110" spans="1:51" s="117" customFormat="1" ht="11.25" customHeight="1">
      <c r="A110" s="139">
        <v>107</v>
      </c>
      <c r="B110" s="139"/>
      <c r="C110" s="140" t="s">
        <v>334</v>
      </c>
      <c r="D110" s="140"/>
      <c r="E110" s="140">
        <f t="shared" si="13"/>
        <v>30</v>
      </c>
      <c r="F110" s="141" t="s">
        <v>335</v>
      </c>
      <c r="G110" s="142">
        <v>45</v>
      </c>
      <c r="H110" s="143">
        <f>INT((G110*Valores!$C$2*100)+0.5)/100</f>
        <v>420.29</v>
      </c>
      <c r="I110" s="144">
        <v>1502</v>
      </c>
      <c r="J110" s="145">
        <f>INT((I110*Valores!$C$2*100)+0.5)/100</f>
        <v>14028.23</v>
      </c>
      <c r="K110" s="160">
        <v>0</v>
      </c>
      <c r="L110" s="145">
        <f>INT((K110*Valores!$C$2*100)+0.5)/100</f>
        <v>0</v>
      </c>
      <c r="M110" s="158">
        <v>0</v>
      </c>
      <c r="N110" s="145">
        <f>INT((M110*Valores!$C$2*100)+0.5)/100</f>
        <v>0</v>
      </c>
      <c r="O110" s="145">
        <f t="shared" si="14"/>
        <v>2930.454</v>
      </c>
      <c r="P110" s="145">
        <f t="shared" si="15"/>
        <v>0</v>
      </c>
      <c r="Q110" s="147">
        <f>Valores!$C$20</f>
        <v>8160.2</v>
      </c>
      <c r="R110" s="147">
        <f>Valores!$D$4</f>
        <v>4774.45</v>
      </c>
      <c r="S110" s="145">
        <v>0</v>
      </c>
      <c r="T110" s="148">
        <f>IF($H$5="NO",Valores!$C$41,Valores!$C$41/2)</f>
        <v>1237.33</v>
      </c>
      <c r="U110" s="159">
        <f>Valores!$C$25</f>
        <v>3850.51</v>
      </c>
      <c r="V110" s="145">
        <f t="shared" si="12"/>
        <v>3850.51</v>
      </c>
      <c r="W110" s="145">
        <v>0</v>
      </c>
      <c r="X110" s="145">
        <v>0</v>
      </c>
      <c r="Y110" s="149">
        <v>0</v>
      </c>
      <c r="Z110" s="145">
        <f>Y110*Valores!$C$2</f>
        <v>0</v>
      </c>
      <c r="AA110" s="145">
        <v>0</v>
      </c>
      <c r="AB110" s="148">
        <f>Valores!$C$89</f>
        <v>1153.8461538461538</v>
      </c>
      <c r="AC110" s="150">
        <f>Valores!$C$30</f>
        <v>199.86</v>
      </c>
      <c r="AD110" s="145">
        <f t="shared" si="17"/>
        <v>0</v>
      </c>
      <c r="AE110" s="145">
        <f>Valores!$C$31</f>
        <v>199.86</v>
      </c>
      <c r="AF110" s="149">
        <v>0</v>
      </c>
      <c r="AG110" s="145">
        <f>INT(((AF110*Valores!$C$2)*100)+0.5)/100</f>
        <v>0</v>
      </c>
      <c r="AH110" s="145">
        <f>IF($H$5="NO",Valores!$C$59,Valores!$C$59/2)</f>
        <v>406.53</v>
      </c>
      <c r="AI110" s="145">
        <f>IF($H$5="NO",Valores!$C$61,Valores!$C$61/2)</f>
        <v>116.15</v>
      </c>
      <c r="AJ110" s="151">
        <f t="shared" si="18"/>
        <v>37477.710153846165</v>
      </c>
      <c r="AK110" s="147">
        <f>Valores!$C$36</f>
        <v>1046.83</v>
      </c>
      <c r="AL110" s="148">
        <f>Valores!$C$6</f>
        <v>0</v>
      </c>
      <c r="AM110" s="148">
        <f>Valores!$C$84</f>
        <v>2275</v>
      </c>
      <c r="AN110" s="148"/>
      <c r="AO110" s="150">
        <f>Valores!$C$52</f>
        <v>170.34</v>
      </c>
      <c r="AP110" s="152">
        <f t="shared" si="16"/>
        <v>3321.83</v>
      </c>
      <c r="AQ110" s="153">
        <f>AJ110*-Valores!$C$68</f>
        <v>-4122.548116923078</v>
      </c>
      <c r="AR110" s="153">
        <f>AJ110*-Valores!$C$69</f>
        <v>0</v>
      </c>
      <c r="AS110" s="147">
        <f>AJ110*-Valores!$C$70</f>
        <v>-1686.4969569230773</v>
      </c>
      <c r="AT110" s="147">
        <v>-159.43</v>
      </c>
      <c r="AU110" s="147">
        <f t="shared" si="19"/>
        <v>-53.83</v>
      </c>
      <c r="AV110" s="151">
        <f t="shared" si="20"/>
        <v>34777.23508000001</v>
      </c>
      <c r="AW110" s="155"/>
      <c r="AX110" s="155">
        <v>30</v>
      </c>
      <c r="AY110" s="140" t="s">
        <v>4</v>
      </c>
    </row>
    <row r="111" spans="1:51" s="117" customFormat="1" ht="11.25" customHeight="1">
      <c r="A111" s="139">
        <v>108</v>
      </c>
      <c r="B111" s="139"/>
      <c r="C111" s="140" t="s">
        <v>336</v>
      </c>
      <c r="D111" s="140"/>
      <c r="E111" s="140">
        <f t="shared" si="13"/>
        <v>30</v>
      </c>
      <c r="F111" s="141" t="s">
        <v>337</v>
      </c>
      <c r="G111" s="142">
        <v>45</v>
      </c>
      <c r="H111" s="143">
        <f>INT((G111*Valores!$C$2*100)+0.5)/100</f>
        <v>420.29</v>
      </c>
      <c r="I111" s="144">
        <v>1139</v>
      </c>
      <c r="J111" s="145">
        <f>INT((I111*Valores!$C$2*100)+0.5)/100</f>
        <v>10637.92</v>
      </c>
      <c r="K111" s="160">
        <v>0</v>
      </c>
      <c r="L111" s="145">
        <f>INT((K111*Valores!$C$2*100)+0.5)/100</f>
        <v>0</v>
      </c>
      <c r="M111" s="158">
        <v>0</v>
      </c>
      <c r="N111" s="145">
        <f>INT((M111*Valores!$C$2*100)+0.5)/100</f>
        <v>0</v>
      </c>
      <c r="O111" s="145">
        <f t="shared" si="14"/>
        <v>2421.9075000000003</v>
      </c>
      <c r="P111" s="145">
        <f t="shared" si="15"/>
        <v>0</v>
      </c>
      <c r="Q111" s="147">
        <f>Valores!$C$20</f>
        <v>8160.2</v>
      </c>
      <c r="R111" s="147">
        <f>Valores!$D$4</f>
        <v>4774.45</v>
      </c>
      <c r="S111" s="145">
        <v>0</v>
      </c>
      <c r="T111" s="148">
        <f>IF($H$5="NO",Valores!$C$41,Valores!$C$41/2)</f>
        <v>1237.33</v>
      </c>
      <c r="U111" s="159">
        <f>Valores!$C$25</f>
        <v>3850.51</v>
      </c>
      <c r="V111" s="145">
        <f t="shared" si="12"/>
        <v>3850.51</v>
      </c>
      <c r="W111" s="145">
        <v>0</v>
      </c>
      <c r="X111" s="145">
        <v>0</v>
      </c>
      <c r="Y111" s="149">
        <v>0</v>
      </c>
      <c r="Z111" s="145">
        <f>Y111*Valores!$C$2</f>
        <v>0</v>
      </c>
      <c r="AA111" s="145">
        <v>0</v>
      </c>
      <c r="AB111" s="148">
        <f>Valores!$C$89</f>
        <v>1153.8461538461538</v>
      </c>
      <c r="AC111" s="150">
        <f>Valores!$C$30</f>
        <v>199.86</v>
      </c>
      <c r="AD111" s="145">
        <f t="shared" si="17"/>
        <v>0</v>
      </c>
      <c r="AE111" s="145">
        <f>Valores!$C$31</f>
        <v>199.86</v>
      </c>
      <c r="AF111" s="149">
        <v>0</v>
      </c>
      <c r="AG111" s="145">
        <f>INT(((AF111*Valores!$C$2)*100)+0.5)/100</f>
        <v>0</v>
      </c>
      <c r="AH111" s="145">
        <f>IF($H$5="NO",Valores!$C$59,Valores!$C$59/2)</f>
        <v>406.53</v>
      </c>
      <c r="AI111" s="145">
        <f>IF($H$5="NO",Valores!$C$61,Valores!$C$61/2)</f>
        <v>116.15</v>
      </c>
      <c r="AJ111" s="151">
        <f t="shared" si="18"/>
        <v>33578.85365384616</v>
      </c>
      <c r="AK111" s="147">
        <f>Valores!$C$36</f>
        <v>1046.83</v>
      </c>
      <c r="AL111" s="148">
        <f>Valores!$C$6</f>
        <v>0</v>
      </c>
      <c r="AM111" s="148">
        <f>Valores!$C$84</f>
        <v>2275</v>
      </c>
      <c r="AN111" s="148"/>
      <c r="AO111" s="150">
        <f>Valores!$C$52</f>
        <v>170.34</v>
      </c>
      <c r="AP111" s="152">
        <f t="shared" si="16"/>
        <v>3321.83</v>
      </c>
      <c r="AQ111" s="153">
        <f>AJ111*-Valores!$C$68</f>
        <v>-3693.673901923078</v>
      </c>
      <c r="AR111" s="153">
        <f>AJ111*-Valores!$C$69</f>
        <v>0</v>
      </c>
      <c r="AS111" s="147">
        <f>AJ111*-Valores!$C$70</f>
        <v>-1511.0484144230772</v>
      </c>
      <c r="AT111" s="147">
        <v>-159.43</v>
      </c>
      <c r="AU111" s="147">
        <f t="shared" si="19"/>
        <v>-53.83</v>
      </c>
      <c r="AV111" s="151">
        <f t="shared" si="20"/>
        <v>31482.701337500006</v>
      </c>
      <c r="AW111" s="155"/>
      <c r="AX111" s="155">
        <v>30</v>
      </c>
      <c r="AY111" s="140" t="s">
        <v>4</v>
      </c>
    </row>
    <row r="112" spans="1:51" s="117" customFormat="1" ht="11.25" customHeight="1">
      <c r="A112" s="139">
        <v>109</v>
      </c>
      <c r="B112" s="139"/>
      <c r="C112" s="140" t="s">
        <v>338</v>
      </c>
      <c r="D112" s="140"/>
      <c r="E112" s="140">
        <f t="shared" si="13"/>
        <v>30</v>
      </c>
      <c r="F112" s="141" t="s">
        <v>339</v>
      </c>
      <c r="G112" s="142">
        <v>46</v>
      </c>
      <c r="H112" s="143">
        <f>INT((G112*Valores!$C$2*100)+0.5)/100</f>
        <v>429.63</v>
      </c>
      <c r="I112" s="144">
        <v>1102</v>
      </c>
      <c r="J112" s="145">
        <f>INT((I112*Valores!$C$2*100)+0.5)/100</f>
        <v>10292.35</v>
      </c>
      <c r="K112" s="160">
        <v>0</v>
      </c>
      <c r="L112" s="145">
        <f>INT((K112*Valores!$C$2*100)+0.5)/100</f>
        <v>0</v>
      </c>
      <c r="M112" s="158">
        <v>0</v>
      </c>
      <c r="N112" s="145">
        <f>INT((M112*Valores!$C$2*100)+0.5)/100</f>
        <v>0</v>
      </c>
      <c r="O112" s="145">
        <f t="shared" si="14"/>
        <v>2371.473</v>
      </c>
      <c r="P112" s="145">
        <f t="shared" si="15"/>
        <v>0</v>
      </c>
      <c r="Q112" s="147">
        <f>Valores!$C$20</f>
        <v>8160.2</v>
      </c>
      <c r="R112" s="147">
        <f>Valores!$D$4</f>
        <v>4774.45</v>
      </c>
      <c r="S112" s="145">
        <v>0</v>
      </c>
      <c r="T112" s="148">
        <f>IF($H$5="NO",Valores!$C$41,Valores!$C$41/2)</f>
        <v>1237.33</v>
      </c>
      <c r="U112" s="159">
        <f>Valores!$C$25</f>
        <v>3850.51</v>
      </c>
      <c r="V112" s="145">
        <f aca="true" t="shared" si="21" ref="V112:V174">U112*(1+$J$2)</f>
        <v>3850.51</v>
      </c>
      <c r="W112" s="145">
        <v>0</v>
      </c>
      <c r="X112" s="145">
        <v>0</v>
      </c>
      <c r="Y112" s="149">
        <v>0</v>
      </c>
      <c r="Z112" s="145">
        <f>Y112*Valores!$C$2</f>
        <v>0</v>
      </c>
      <c r="AA112" s="145">
        <v>0</v>
      </c>
      <c r="AB112" s="148">
        <f>Valores!$C$89</f>
        <v>1153.8461538461538</v>
      </c>
      <c r="AC112" s="150">
        <f>Valores!$C$30</f>
        <v>199.86</v>
      </c>
      <c r="AD112" s="145">
        <f t="shared" si="17"/>
        <v>0</v>
      </c>
      <c r="AE112" s="145">
        <f>Valores!$C$31</f>
        <v>199.86</v>
      </c>
      <c r="AF112" s="149">
        <v>0</v>
      </c>
      <c r="AG112" s="145">
        <f>INT(((AF112*Valores!$C$2)*100)+0.5)/100</f>
        <v>0</v>
      </c>
      <c r="AH112" s="145">
        <f>IF($H$5="NO",Valores!$C$59,Valores!$C$59/2)</f>
        <v>406.53</v>
      </c>
      <c r="AI112" s="145">
        <f>IF($H$5="NO",Valores!$C$61,Valores!$C$61/2)</f>
        <v>116.15</v>
      </c>
      <c r="AJ112" s="151">
        <f t="shared" si="18"/>
        <v>33192.18915384616</v>
      </c>
      <c r="AK112" s="147">
        <f>Valores!$C$36</f>
        <v>1046.83</v>
      </c>
      <c r="AL112" s="148">
        <f>Valores!$C$6</f>
        <v>0</v>
      </c>
      <c r="AM112" s="148">
        <f>Valores!$C$84</f>
        <v>2275</v>
      </c>
      <c r="AN112" s="148"/>
      <c r="AO112" s="150">
        <f>Valores!$C$52</f>
        <v>170.34</v>
      </c>
      <c r="AP112" s="152">
        <f t="shared" si="16"/>
        <v>3321.83</v>
      </c>
      <c r="AQ112" s="153">
        <f>AJ112*-Valores!$C$68</f>
        <v>-3651.1408069230774</v>
      </c>
      <c r="AR112" s="153">
        <f>AJ112*-Valores!$C$69</f>
        <v>0</v>
      </c>
      <c r="AS112" s="147">
        <f>AJ112*-Valores!$C$70</f>
        <v>-1493.648511923077</v>
      </c>
      <c r="AT112" s="147">
        <v>-159.43</v>
      </c>
      <c r="AU112" s="147">
        <f t="shared" si="19"/>
        <v>-53.83</v>
      </c>
      <c r="AV112" s="151">
        <f t="shared" si="20"/>
        <v>31155.969835</v>
      </c>
      <c r="AW112" s="155"/>
      <c r="AX112" s="155">
        <v>30</v>
      </c>
      <c r="AY112" s="140" t="s">
        <v>4</v>
      </c>
    </row>
    <row r="113" spans="1:51" s="117" customFormat="1" ht="11.25" customHeight="1">
      <c r="A113" s="157">
        <v>110</v>
      </c>
      <c r="B113" s="157" t="s">
        <v>143</v>
      </c>
      <c r="C113" s="140" t="s">
        <v>340</v>
      </c>
      <c r="D113" s="140"/>
      <c r="E113" s="140">
        <f t="shared" si="13"/>
        <v>32</v>
      </c>
      <c r="F113" s="141" t="s">
        <v>341</v>
      </c>
      <c r="G113" s="142">
        <v>66</v>
      </c>
      <c r="H113" s="143">
        <f>INT((G113*Valores!$C$2*100)+0.5)/100</f>
        <v>616.42</v>
      </c>
      <c r="I113" s="144">
        <v>1911</v>
      </c>
      <c r="J113" s="145">
        <f>INT((I113*Valores!$C$2*100)+0.5)/100</f>
        <v>17848.17</v>
      </c>
      <c r="K113" s="160">
        <v>0</v>
      </c>
      <c r="L113" s="145">
        <f>INT((K113*Valores!$C$2*100)+0.5)/100</f>
        <v>0</v>
      </c>
      <c r="M113" s="158">
        <v>0</v>
      </c>
      <c r="N113" s="145">
        <f>INT((M113*Valores!$C$2*100)+0.5)/100</f>
        <v>0</v>
      </c>
      <c r="O113" s="145">
        <f t="shared" si="14"/>
        <v>3532.8645</v>
      </c>
      <c r="P113" s="145">
        <f t="shared" si="15"/>
        <v>0</v>
      </c>
      <c r="Q113" s="147">
        <f>Valores!$C$20</f>
        <v>8160.2</v>
      </c>
      <c r="R113" s="147">
        <f>Valores!$D$4</f>
        <v>4774.45</v>
      </c>
      <c r="S113" s="159">
        <f>Valores!$C$27</f>
        <v>4359.58</v>
      </c>
      <c r="T113" s="148">
        <f>IF($H$5="NO",Valores!$C$41,Valores!$C$41/2)</f>
        <v>1237.33</v>
      </c>
      <c r="U113" s="159">
        <f>Valores!$C$25</f>
        <v>3850.51</v>
      </c>
      <c r="V113" s="145">
        <f t="shared" si="21"/>
        <v>3850.51</v>
      </c>
      <c r="W113" s="145">
        <v>0</v>
      </c>
      <c r="X113" s="145">
        <v>0</v>
      </c>
      <c r="Y113" s="149">
        <v>0</v>
      </c>
      <c r="Z113" s="145">
        <f>Y113*Valores!$C$2</f>
        <v>0</v>
      </c>
      <c r="AA113" s="145">
        <v>0</v>
      </c>
      <c r="AB113" s="148">
        <f>Valores!$C$89</f>
        <v>1153.8461538461538</v>
      </c>
      <c r="AC113" s="150">
        <f>Valores!$C$30</f>
        <v>199.86</v>
      </c>
      <c r="AD113" s="145">
        <f t="shared" si="17"/>
        <v>0</v>
      </c>
      <c r="AE113" s="145">
        <f>Valores!$C$31</f>
        <v>199.86</v>
      </c>
      <c r="AF113" s="149">
        <v>94</v>
      </c>
      <c r="AG113" s="145">
        <f>INT(((AF113*Valores!$C$2)*100)+0.5)/100</f>
        <v>877.93</v>
      </c>
      <c r="AH113" s="145">
        <f>IF($H$5="NO",Valores!$C$59,Valores!$C$59/2)</f>
        <v>406.53</v>
      </c>
      <c r="AI113" s="145">
        <f>IF($H$5="NO",Valores!$C$61,Valores!$C$61/2)</f>
        <v>116.15</v>
      </c>
      <c r="AJ113" s="151">
        <f t="shared" si="18"/>
        <v>47333.70065384616</v>
      </c>
      <c r="AK113" s="147">
        <f>Valores!$C$36</f>
        <v>1046.83</v>
      </c>
      <c r="AL113" s="148">
        <f>Valores!$C$6</f>
        <v>0</v>
      </c>
      <c r="AM113" s="148">
        <f>Valores!$C$84</f>
        <v>2275</v>
      </c>
      <c r="AN113" s="148"/>
      <c r="AO113" s="150">
        <f>Valores!$C$52</f>
        <v>170.34</v>
      </c>
      <c r="AP113" s="152">
        <f t="shared" si="16"/>
        <v>3321.83</v>
      </c>
      <c r="AQ113" s="153">
        <f>AJ113*-Valores!$C$68</f>
        <v>-5206.707071923077</v>
      </c>
      <c r="AR113" s="153">
        <f>AJ113*-Valores!$C$69</f>
        <v>0</v>
      </c>
      <c r="AS113" s="147">
        <f>AJ113*-Valores!$C$70</f>
        <v>-2130.016529423077</v>
      </c>
      <c r="AT113" s="147">
        <v>-159.43</v>
      </c>
      <c r="AU113" s="147">
        <f t="shared" si="19"/>
        <v>-53.83</v>
      </c>
      <c r="AV113" s="151">
        <f t="shared" si="20"/>
        <v>43105.547052500006</v>
      </c>
      <c r="AW113" s="155"/>
      <c r="AX113" s="155">
        <v>25</v>
      </c>
      <c r="AY113" s="140" t="s">
        <v>4</v>
      </c>
    </row>
    <row r="114" spans="1:51" s="117" customFormat="1" ht="11.25" customHeight="1">
      <c r="A114" s="139">
        <v>111</v>
      </c>
      <c r="B114" s="139"/>
      <c r="C114" s="140" t="s">
        <v>342</v>
      </c>
      <c r="D114" s="140"/>
      <c r="E114" s="140">
        <f t="shared" si="13"/>
        <v>30</v>
      </c>
      <c r="F114" s="141" t="s">
        <v>343</v>
      </c>
      <c r="G114" s="142">
        <v>61</v>
      </c>
      <c r="H114" s="143">
        <f>INT((G114*Valores!$C$2*100)+0.5)/100</f>
        <v>569.72</v>
      </c>
      <c r="I114" s="144">
        <v>1545</v>
      </c>
      <c r="J114" s="145">
        <f>INT((I114*Valores!$C$2*100)+0.5)/100</f>
        <v>14429.84</v>
      </c>
      <c r="K114" s="160">
        <v>0</v>
      </c>
      <c r="L114" s="145">
        <f>INT((K114*Valores!$C$2*100)+0.5)/100</f>
        <v>0</v>
      </c>
      <c r="M114" s="158">
        <v>0</v>
      </c>
      <c r="N114" s="145">
        <f>INT((M114*Valores!$C$2*100)+0.5)/100</f>
        <v>0</v>
      </c>
      <c r="O114" s="145">
        <f t="shared" si="14"/>
        <v>3013.11</v>
      </c>
      <c r="P114" s="145">
        <f t="shared" si="15"/>
        <v>0</v>
      </c>
      <c r="Q114" s="147">
        <f>Valores!$C$20</f>
        <v>8160.2</v>
      </c>
      <c r="R114" s="147">
        <f>Valores!$D$4</f>
        <v>4774.45</v>
      </c>
      <c r="S114" s="145">
        <f>Valores!$C$27</f>
        <v>4359.58</v>
      </c>
      <c r="T114" s="148">
        <f>IF($H$5="NO",Valores!$C$41,Valores!$C$41/2)</f>
        <v>1237.33</v>
      </c>
      <c r="U114" s="159">
        <f>Valores!$C$25</f>
        <v>3850.51</v>
      </c>
      <c r="V114" s="145">
        <f t="shared" si="21"/>
        <v>3850.51</v>
      </c>
      <c r="W114" s="145">
        <v>0</v>
      </c>
      <c r="X114" s="145">
        <v>0</v>
      </c>
      <c r="Y114" s="149">
        <v>0</v>
      </c>
      <c r="Z114" s="145">
        <f>Y114*Valores!$C$2</f>
        <v>0</v>
      </c>
      <c r="AA114" s="145">
        <v>0</v>
      </c>
      <c r="AB114" s="148">
        <f>Valores!$C$89</f>
        <v>1153.8461538461538</v>
      </c>
      <c r="AC114" s="150">
        <f>Valores!$C$30</f>
        <v>199.86</v>
      </c>
      <c r="AD114" s="145">
        <f t="shared" si="17"/>
        <v>0</v>
      </c>
      <c r="AE114" s="145">
        <f>Valores!$C$31</f>
        <v>199.86</v>
      </c>
      <c r="AF114" s="149">
        <v>94</v>
      </c>
      <c r="AG114" s="145">
        <f>INT(((AF114*Valores!$C$2)*100)+0.5)/100</f>
        <v>877.93</v>
      </c>
      <c r="AH114" s="145">
        <f>IF($H$5="NO",Valores!$C$59,Valores!$C$59/2)</f>
        <v>406.53</v>
      </c>
      <c r="AI114" s="145">
        <f>IF($H$5="NO",Valores!$C$61,Valores!$C$61/2)</f>
        <v>116.15</v>
      </c>
      <c r="AJ114" s="151">
        <f t="shared" si="18"/>
        <v>43348.91615384616</v>
      </c>
      <c r="AK114" s="147">
        <f>Valores!$C$36</f>
        <v>1046.83</v>
      </c>
      <c r="AL114" s="148">
        <f>Valores!$C$6</f>
        <v>0</v>
      </c>
      <c r="AM114" s="148">
        <f>Valores!$C$84</f>
        <v>2275</v>
      </c>
      <c r="AN114" s="148"/>
      <c r="AO114" s="150">
        <f>Valores!$C$52</f>
        <v>170.34</v>
      </c>
      <c r="AP114" s="152">
        <f t="shared" si="16"/>
        <v>3321.83</v>
      </c>
      <c r="AQ114" s="153">
        <f>AJ114*-Valores!$C$68</f>
        <v>-4768.380776923078</v>
      </c>
      <c r="AR114" s="153">
        <f>AJ114*-Valores!$C$69</f>
        <v>0</v>
      </c>
      <c r="AS114" s="147">
        <f>AJ114*-Valores!$C$70</f>
        <v>-1950.7012269230772</v>
      </c>
      <c r="AT114" s="147">
        <v>-159.43</v>
      </c>
      <c r="AU114" s="147">
        <f t="shared" si="19"/>
        <v>-53.83</v>
      </c>
      <c r="AV114" s="151">
        <f t="shared" si="20"/>
        <v>39738.40415000001</v>
      </c>
      <c r="AW114" s="155"/>
      <c r="AX114" s="155">
        <v>25</v>
      </c>
      <c r="AY114" s="140" t="s">
        <v>8</v>
      </c>
    </row>
    <row r="115" spans="1:51" s="117" customFormat="1" ht="11.25" customHeight="1">
      <c r="A115" s="139">
        <v>112</v>
      </c>
      <c r="B115" s="139"/>
      <c r="C115" s="140" t="s">
        <v>344</v>
      </c>
      <c r="D115" s="140"/>
      <c r="E115" s="140">
        <f t="shared" si="13"/>
        <v>30</v>
      </c>
      <c r="F115" s="141" t="s">
        <v>345</v>
      </c>
      <c r="G115" s="142">
        <f>75+143</f>
        <v>218</v>
      </c>
      <c r="H115" s="143">
        <f>INT((G115*Valores!$C$2*100)+0.5)/100</f>
        <v>2036.05</v>
      </c>
      <c r="I115" s="144">
        <v>2100</v>
      </c>
      <c r="J115" s="145">
        <f>INT((I115*Valores!$C$2*100)+0.5)/100</f>
        <v>19613.37</v>
      </c>
      <c r="K115" s="160">
        <v>0</v>
      </c>
      <c r="L115" s="145">
        <f>INT((K115*Valores!$C$2*100)+0.5)/100</f>
        <v>0</v>
      </c>
      <c r="M115" s="158">
        <v>0</v>
      </c>
      <c r="N115" s="145">
        <f>INT((M115*Valores!$C$2*100)+0.5)/100</f>
        <v>0</v>
      </c>
      <c r="O115" s="145">
        <f t="shared" si="14"/>
        <v>4010.589</v>
      </c>
      <c r="P115" s="145">
        <f t="shared" si="15"/>
        <v>0</v>
      </c>
      <c r="Q115" s="147">
        <f>Valores!$C$20</f>
        <v>8160.2</v>
      </c>
      <c r="R115" s="147">
        <f>Valores!$D$4</f>
        <v>4774.45</v>
      </c>
      <c r="S115" s="159">
        <f>Valores!$C$27</f>
        <v>4359.58</v>
      </c>
      <c r="T115" s="148">
        <f>IF($H$5="NO",Valores!$C$41,Valores!$C$41/2)</f>
        <v>1237.33</v>
      </c>
      <c r="U115" s="159">
        <f>Valores!$C$25</f>
        <v>3850.51</v>
      </c>
      <c r="V115" s="145">
        <f t="shared" si="21"/>
        <v>3850.51</v>
      </c>
      <c r="W115" s="145">
        <v>0</v>
      </c>
      <c r="X115" s="145">
        <v>0</v>
      </c>
      <c r="Y115" s="149">
        <v>0</v>
      </c>
      <c r="Z115" s="145">
        <f>Y115*Valores!$C$2</f>
        <v>0</v>
      </c>
      <c r="AA115" s="145">
        <v>0</v>
      </c>
      <c r="AB115" s="148">
        <f>Valores!$C$89</f>
        <v>1153.8461538461538</v>
      </c>
      <c r="AC115" s="150">
        <f>Valores!$C$30</f>
        <v>199.86</v>
      </c>
      <c r="AD115" s="145">
        <f t="shared" si="17"/>
        <v>0</v>
      </c>
      <c r="AE115" s="145">
        <f>Valores!$C$31</f>
        <v>199.86</v>
      </c>
      <c r="AF115" s="149">
        <v>0</v>
      </c>
      <c r="AG115" s="145">
        <f>INT(((AF115*Valores!$C$2)*100)+0.5)/100</f>
        <v>0</v>
      </c>
      <c r="AH115" s="145">
        <f>IF($H$5="NO",Valores!$C$59,Valores!$C$59/2)</f>
        <v>406.53</v>
      </c>
      <c r="AI115" s="145">
        <f>IF($H$5="NO",Valores!$C$61,Valores!$C$61/2)</f>
        <v>116.15</v>
      </c>
      <c r="AJ115" s="151">
        <f t="shared" si="18"/>
        <v>50118.325153846155</v>
      </c>
      <c r="AK115" s="147">
        <f>Valores!$C$36</f>
        <v>1046.83</v>
      </c>
      <c r="AL115" s="148">
        <f>Valores!$C$6</f>
        <v>0</v>
      </c>
      <c r="AM115" s="148">
        <f>Valores!$C$84</f>
        <v>2275</v>
      </c>
      <c r="AN115" s="148"/>
      <c r="AO115" s="150">
        <f>Valores!$C$52</f>
        <v>170.34</v>
      </c>
      <c r="AP115" s="152">
        <f t="shared" si="16"/>
        <v>3321.83</v>
      </c>
      <c r="AQ115" s="153">
        <f>AJ115*-Valores!$C$68</f>
        <v>-5513.0157669230775</v>
      </c>
      <c r="AR115" s="153">
        <f>AJ115*-Valores!$C$69</f>
        <v>0</v>
      </c>
      <c r="AS115" s="147">
        <f>AJ115*-Valores!$C$70</f>
        <v>-2255.324631923077</v>
      </c>
      <c r="AT115" s="147">
        <v>-159.43</v>
      </c>
      <c r="AU115" s="147">
        <f t="shared" si="19"/>
        <v>-53.83</v>
      </c>
      <c r="AV115" s="151">
        <f t="shared" si="20"/>
        <v>45458.554755000005</v>
      </c>
      <c r="AW115" s="155"/>
      <c r="AX115" s="155">
        <v>30</v>
      </c>
      <c r="AY115" s="140" t="s">
        <v>4</v>
      </c>
    </row>
    <row r="116" spans="1:51" s="117" customFormat="1" ht="11.25" customHeight="1">
      <c r="A116" s="139">
        <v>113</v>
      </c>
      <c r="B116" s="139"/>
      <c r="C116" s="140" t="s">
        <v>346</v>
      </c>
      <c r="D116" s="140"/>
      <c r="E116" s="140">
        <f t="shared" si="13"/>
        <v>30</v>
      </c>
      <c r="F116" s="141" t="s">
        <v>347</v>
      </c>
      <c r="G116" s="142">
        <f>77+143</f>
        <v>220</v>
      </c>
      <c r="H116" s="143">
        <f>INT((G116*Valores!$C$2*100)+0.5)/100</f>
        <v>2054.73</v>
      </c>
      <c r="I116" s="144">
        <v>1995</v>
      </c>
      <c r="J116" s="145">
        <f>INT((I116*Valores!$C$2*100)+0.5)/100</f>
        <v>18632.7</v>
      </c>
      <c r="K116" s="160">
        <v>0</v>
      </c>
      <c r="L116" s="145">
        <f>INT((K116*Valores!$C$2*100)+0.5)/100</f>
        <v>0</v>
      </c>
      <c r="M116" s="158">
        <v>0</v>
      </c>
      <c r="N116" s="145">
        <f>INT((M116*Valores!$C$2*100)+0.5)/100</f>
        <v>0</v>
      </c>
      <c r="O116" s="145">
        <f t="shared" si="14"/>
        <v>3866.2905000000005</v>
      </c>
      <c r="P116" s="145">
        <f t="shared" si="15"/>
        <v>0</v>
      </c>
      <c r="Q116" s="147">
        <f>Valores!$C$20</f>
        <v>8160.2</v>
      </c>
      <c r="R116" s="147">
        <f>Valores!$D$4</f>
        <v>4774.45</v>
      </c>
      <c r="S116" s="159">
        <f>Valores!$C$27</f>
        <v>4359.58</v>
      </c>
      <c r="T116" s="148">
        <f>IF($H$5="NO",Valores!$C$41,Valores!$C$41/2)</f>
        <v>1237.33</v>
      </c>
      <c r="U116" s="159">
        <f>Valores!$C$25</f>
        <v>3850.51</v>
      </c>
      <c r="V116" s="145">
        <f t="shared" si="21"/>
        <v>3850.51</v>
      </c>
      <c r="W116" s="145">
        <v>0</v>
      </c>
      <c r="X116" s="145">
        <v>0</v>
      </c>
      <c r="Y116" s="149">
        <v>0</v>
      </c>
      <c r="Z116" s="145">
        <f>Y116*Valores!$C$2</f>
        <v>0</v>
      </c>
      <c r="AA116" s="145">
        <v>0</v>
      </c>
      <c r="AB116" s="148">
        <f>Valores!$C$89</f>
        <v>1153.8461538461538</v>
      </c>
      <c r="AC116" s="150">
        <f>Valores!$C$30</f>
        <v>199.86</v>
      </c>
      <c r="AD116" s="145">
        <f t="shared" si="17"/>
        <v>0</v>
      </c>
      <c r="AE116" s="145">
        <f>Valores!$C$31</f>
        <v>199.86</v>
      </c>
      <c r="AF116" s="149">
        <v>0</v>
      </c>
      <c r="AG116" s="145">
        <f>INT(((AF116*Valores!$C$2)*100)+0.5)/100</f>
        <v>0</v>
      </c>
      <c r="AH116" s="145">
        <f>IF($H$5="NO",Valores!$C$59,Valores!$C$59/2)</f>
        <v>406.53</v>
      </c>
      <c r="AI116" s="145">
        <f>IF($H$5="NO",Valores!$C$61,Valores!$C$61/2)</f>
        <v>116.15</v>
      </c>
      <c r="AJ116" s="151">
        <f t="shared" si="18"/>
        <v>49012.03665384616</v>
      </c>
      <c r="AK116" s="147">
        <f>Valores!$C$36</f>
        <v>1046.83</v>
      </c>
      <c r="AL116" s="148">
        <f>Valores!$C$6</f>
        <v>0</v>
      </c>
      <c r="AM116" s="148">
        <f>Valores!$C$84</f>
        <v>2275</v>
      </c>
      <c r="AN116" s="148"/>
      <c r="AO116" s="150">
        <f>Valores!$C$52</f>
        <v>170.34</v>
      </c>
      <c r="AP116" s="152">
        <f t="shared" si="16"/>
        <v>3321.83</v>
      </c>
      <c r="AQ116" s="153">
        <f>AJ116*-Valores!$C$68</f>
        <v>-5391.324031923078</v>
      </c>
      <c r="AR116" s="153">
        <f>AJ116*-Valores!$C$69</f>
        <v>0</v>
      </c>
      <c r="AS116" s="147">
        <f>AJ116*-Valores!$C$70</f>
        <v>-2205.541649423077</v>
      </c>
      <c r="AT116" s="147">
        <v>-159.43</v>
      </c>
      <c r="AU116" s="147">
        <f t="shared" si="19"/>
        <v>-53.83</v>
      </c>
      <c r="AV116" s="151">
        <f t="shared" si="20"/>
        <v>44523.74097250001</v>
      </c>
      <c r="AW116" s="155"/>
      <c r="AX116" s="155">
        <v>30</v>
      </c>
      <c r="AY116" s="140" t="s">
        <v>4</v>
      </c>
    </row>
    <row r="117" spans="1:51" s="117" customFormat="1" ht="11.25" customHeight="1">
      <c r="A117" s="139">
        <v>114</v>
      </c>
      <c r="B117" s="139"/>
      <c r="C117" s="140" t="s">
        <v>348</v>
      </c>
      <c r="D117" s="140"/>
      <c r="E117" s="140">
        <f t="shared" si="13"/>
        <v>30</v>
      </c>
      <c r="F117" s="141" t="s">
        <v>349</v>
      </c>
      <c r="G117" s="142">
        <f>72+115</f>
        <v>187</v>
      </c>
      <c r="H117" s="143">
        <f>INT((G117*Valores!$C$2*100)+0.5)/100</f>
        <v>1746.52</v>
      </c>
      <c r="I117" s="144">
        <v>1704</v>
      </c>
      <c r="J117" s="145">
        <f>INT((I117*Valores!$C$2*100)+0.5)/100</f>
        <v>15914.85</v>
      </c>
      <c r="K117" s="160">
        <v>0</v>
      </c>
      <c r="L117" s="145">
        <f>INT((K117*Valores!$C$2*100)+0.5)/100</f>
        <v>0</v>
      </c>
      <c r="M117" s="158">
        <v>0</v>
      </c>
      <c r="N117" s="145">
        <f>INT((M117*Valores!$C$2*100)+0.5)/100</f>
        <v>0</v>
      </c>
      <c r="O117" s="145">
        <f t="shared" si="14"/>
        <v>3412.3815</v>
      </c>
      <c r="P117" s="145">
        <f t="shared" si="15"/>
        <v>0</v>
      </c>
      <c r="Q117" s="147">
        <f>Valores!$C$20</f>
        <v>8160.2</v>
      </c>
      <c r="R117" s="147">
        <f>Valores!$D$4</f>
        <v>4774.45</v>
      </c>
      <c r="S117" s="159">
        <f>Valores!$C$27</f>
        <v>4359.58</v>
      </c>
      <c r="T117" s="148">
        <f>IF($H$5="NO",Valores!$C$41,Valores!$C$41/2)</f>
        <v>1237.33</v>
      </c>
      <c r="U117" s="159">
        <f>Valores!$C$25</f>
        <v>3850.51</v>
      </c>
      <c r="V117" s="145">
        <f t="shared" si="21"/>
        <v>3850.51</v>
      </c>
      <c r="W117" s="145">
        <v>0</v>
      </c>
      <c r="X117" s="145">
        <v>0</v>
      </c>
      <c r="Y117" s="149">
        <v>0</v>
      </c>
      <c r="Z117" s="145">
        <f>Y117*Valores!$C$2</f>
        <v>0</v>
      </c>
      <c r="AA117" s="145">
        <v>0</v>
      </c>
      <c r="AB117" s="148">
        <f>Valores!$C$89</f>
        <v>1153.8461538461538</v>
      </c>
      <c r="AC117" s="150">
        <f>Valores!$C$30</f>
        <v>199.86</v>
      </c>
      <c r="AD117" s="145">
        <f t="shared" si="17"/>
        <v>0</v>
      </c>
      <c r="AE117" s="145">
        <f>Valores!$C$31</f>
        <v>199.86</v>
      </c>
      <c r="AF117" s="149">
        <v>0</v>
      </c>
      <c r="AG117" s="145">
        <f>INT(((AF117*Valores!$C$2)*100)+0.5)/100</f>
        <v>0</v>
      </c>
      <c r="AH117" s="145">
        <f>IF($H$5="NO",Valores!$C$59,Valores!$C$59/2)</f>
        <v>406.53</v>
      </c>
      <c r="AI117" s="145">
        <f>IF($H$5="NO",Valores!$C$61,Valores!$C$61/2)</f>
        <v>116.15</v>
      </c>
      <c r="AJ117" s="151">
        <f t="shared" si="18"/>
        <v>45532.06765384616</v>
      </c>
      <c r="AK117" s="147">
        <f>Valores!$C$36</f>
        <v>1046.83</v>
      </c>
      <c r="AL117" s="148">
        <f>Valores!$C$6</f>
        <v>0</v>
      </c>
      <c r="AM117" s="148">
        <f>Valores!$C$84</f>
        <v>2275</v>
      </c>
      <c r="AN117" s="148"/>
      <c r="AO117" s="150">
        <f>Valores!$C$52</f>
        <v>170.34</v>
      </c>
      <c r="AP117" s="152">
        <f t="shared" si="16"/>
        <v>3321.83</v>
      </c>
      <c r="AQ117" s="153">
        <f>AJ117*-Valores!$C$68</f>
        <v>-5008.527441923078</v>
      </c>
      <c r="AR117" s="153">
        <f>AJ117*-Valores!$C$69</f>
        <v>0</v>
      </c>
      <c r="AS117" s="147">
        <f>AJ117*-Valores!$C$70</f>
        <v>-2048.9430444230775</v>
      </c>
      <c r="AT117" s="147">
        <v>-159.43</v>
      </c>
      <c r="AU117" s="147">
        <f t="shared" si="19"/>
        <v>-53.83</v>
      </c>
      <c r="AV117" s="151">
        <f t="shared" si="20"/>
        <v>41583.16716750001</v>
      </c>
      <c r="AW117" s="155"/>
      <c r="AX117" s="155">
        <v>30</v>
      </c>
      <c r="AY117" s="140" t="s">
        <v>4</v>
      </c>
    </row>
    <row r="118" spans="1:51" s="117" customFormat="1" ht="11.25" customHeight="1">
      <c r="A118" s="157">
        <v>115</v>
      </c>
      <c r="B118" s="157" t="s">
        <v>143</v>
      </c>
      <c r="C118" s="140" t="s">
        <v>350</v>
      </c>
      <c r="D118" s="140"/>
      <c r="E118" s="140">
        <f t="shared" si="13"/>
        <v>30</v>
      </c>
      <c r="F118" s="141" t="s">
        <v>351</v>
      </c>
      <c r="G118" s="142">
        <f>67+94</f>
        <v>161</v>
      </c>
      <c r="H118" s="143">
        <f>INT((G118*Valores!$C$2*100)+0.5)/100</f>
        <v>1503.69</v>
      </c>
      <c r="I118" s="144">
        <v>1480</v>
      </c>
      <c r="J118" s="145">
        <f>INT((I118*Valores!$C$2*100)+0.5)/100</f>
        <v>13822.76</v>
      </c>
      <c r="K118" s="160">
        <v>0</v>
      </c>
      <c r="L118" s="145">
        <f>INT((K118*Valores!$C$2*100)+0.5)/100</f>
        <v>0</v>
      </c>
      <c r="M118" s="158">
        <v>0</v>
      </c>
      <c r="N118" s="145">
        <f>INT((M118*Valores!$C$2*100)+0.5)/100</f>
        <v>0</v>
      </c>
      <c r="O118" s="145">
        <f t="shared" si="14"/>
        <v>3062.1435</v>
      </c>
      <c r="P118" s="145">
        <f t="shared" si="15"/>
        <v>0</v>
      </c>
      <c r="Q118" s="147">
        <f>Valores!$C$20</f>
        <v>8160.2</v>
      </c>
      <c r="R118" s="147">
        <f>Valores!$D$4</f>
        <v>4774.45</v>
      </c>
      <c r="S118" s="159">
        <f>Valores!$C$27</f>
        <v>4359.58</v>
      </c>
      <c r="T118" s="148">
        <f>IF($H$5="NO",Valores!$C$41,Valores!$C$41/2)</f>
        <v>1237.33</v>
      </c>
      <c r="U118" s="159">
        <f>Valores!$C$25</f>
        <v>3850.51</v>
      </c>
      <c r="V118" s="145">
        <f t="shared" si="21"/>
        <v>3850.51</v>
      </c>
      <c r="W118" s="145">
        <v>0</v>
      </c>
      <c r="X118" s="145">
        <v>0</v>
      </c>
      <c r="Y118" s="149">
        <v>0</v>
      </c>
      <c r="Z118" s="145">
        <f>Y118*Valores!$C$2</f>
        <v>0</v>
      </c>
      <c r="AA118" s="145">
        <v>0</v>
      </c>
      <c r="AB118" s="148">
        <f>Valores!$C$89</f>
        <v>1153.8461538461538</v>
      </c>
      <c r="AC118" s="150">
        <f>Valores!$C$30</f>
        <v>199.86</v>
      </c>
      <c r="AD118" s="145">
        <f t="shared" si="17"/>
        <v>0</v>
      </c>
      <c r="AE118" s="145">
        <f>Valores!$C$31</f>
        <v>199.86</v>
      </c>
      <c r="AF118" s="149">
        <v>0</v>
      </c>
      <c r="AG118" s="145">
        <f>INT(((AF118*Valores!$C$2)*100)+0.5)/100</f>
        <v>0</v>
      </c>
      <c r="AH118" s="145">
        <f>IF($H$5="NO",Valores!$C$59,Valores!$C$59/2)</f>
        <v>406.53</v>
      </c>
      <c r="AI118" s="145">
        <f>IF($H$5="NO",Valores!$C$61,Valores!$C$61/2)</f>
        <v>116.15</v>
      </c>
      <c r="AJ118" s="151">
        <f t="shared" si="18"/>
        <v>42846.90965384617</v>
      </c>
      <c r="AK118" s="147">
        <f>Valores!$C$36</f>
        <v>1046.83</v>
      </c>
      <c r="AL118" s="148">
        <f>Valores!$C$6</f>
        <v>0</v>
      </c>
      <c r="AM118" s="148">
        <f>Valores!$C$84</f>
        <v>2275</v>
      </c>
      <c r="AN118" s="148"/>
      <c r="AO118" s="150">
        <f>Valores!$C$52</f>
        <v>170.34</v>
      </c>
      <c r="AP118" s="152">
        <f t="shared" si="16"/>
        <v>3321.83</v>
      </c>
      <c r="AQ118" s="153">
        <f>AJ118*-Valores!$C$68</f>
        <v>-4713.1600619230785</v>
      </c>
      <c r="AR118" s="153">
        <f>AJ118*-Valores!$C$69</f>
        <v>0</v>
      </c>
      <c r="AS118" s="147">
        <f>AJ118*-Valores!$C$70</f>
        <v>-1928.1109344230774</v>
      </c>
      <c r="AT118" s="147">
        <v>-159.43</v>
      </c>
      <c r="AU118" s="147">
        <f t="shared" si="19"/>
        <v>-53.83</v>
      </c>
      <c r="AV118" s="151">
        <f t="shared" si="20"/>
        <v>39314.20865750001</v>
      </c>
      <c r="AW118" s="155"/>
      <c r="AX118" s="155">
        <v>30</v>
      </c>
      <c r="AY118" s="140" t="s">
        <v>4</v>
      </c>
    </row>
    <row r="119" spans="1:51" s="117" customFormat="1" ht="11.25" customHeight="1">
      <c r="A119" s="139">
        <v>116</v>
      </c>
      <c r="B119" s="139"/>
      <c r="C119" s="140" t="s">
        <v>352</v>
      </c>
      <c r="D119" s="140"/>
      <c r="E119" s="140">
        <f t="shared" si="13"/>
        <v>30</v>
      </c>
      <c r="F119" s="141" t="s">
        <v>353</v>
      </c>
      <c r="G119" s="142">
        <f>1184+94</f>
        <v>1278</v>
      </c>
      <c r="H119" s="143">
        <f>INT((G119*Valores!$C$2*100)+0.5)/100</f>
        <v>11936.14</v>
      </c>
      <c r="I119" s="161">
        <v>0</v>
      </c>
      <c r="J119" s="145">
        <f>INT((I119*Valores!$C$2*100)+0.5)/100</f>
        <v>0</v>
      </c>
      <c r="K119" s="160">
        <v>0</v>
      </c>
      <c r="L119" s="145">
        <f>INT((K119*Valores!$C$2*100)+0.5)/100</f>
        <v>0</v>
      </c>
      <c r="M119" s="158">
        <v>0</v>
      </c>
      <c r="N119" s="145">
        <f>INT((M119*Valores!$C$2*100)+0.5)/100</f>
        <v>0</v>
      </c>
      <c r="O119" s="145">
        <f t="shared" si="14"/>
        <v>2553.5969999999998</v>
      </c>
      <c r="P119" s="145">
        <f t="shared" si="15"/>
        <v>0</v>
      </c>
      <c r="Q119" s="147">
        <f>Valores!$C$20</f>
        <v>8160.2</v>
      </c>
      <c r="R119" s="147">
        <f>Valores!$D$4</f>
        <v>4774.45</v>
      </c>
      <c r="S119" s="145">
        <f>Valores!$C$27</f>
        <v>4359.58</v>
      </c>
      <c r="T119" s="148">
        <f>IF($H$5="NO",Valores!$C$41,Valores!$C$41/2)</f>
        <v>1237.33</v>
      </c>
      <c r="U119" s="159">
        <f>Valores!$C$25</f>
        <v>3850.51</v>
      </c>
      <c r="V119" s="145">
        <f t="shared" si="21"/>
        <v>3850.51</v>
      </c>
      <c r="W119" s="145">
        <v>0</v>
      </c>
      <c r="X119" s="145">
        <v>0</v>
      </c>
      <c r="Y119" s="149">
        <v>0</v>
      </c>
      <c r="Z119" s="145">
        <f>Y119*Valores!$C$2</f>
        <v>0</v>
      </c>
      <c r="AA119" s="145">
        <v>0</v>
      </c>
      <c r="AB119" s="148">
        <f>Valores!$C$89</f>
        <v>1153.8461538461538</v>
      </c>
      <c r="AC119" s="150">
        <f>Valores!$C$30</f>
        <v>199.86</v>
      </c>
      <c r="AD119" s="145">
        <f t="shared" si="17"/>
        <v>0</v>
      </c>
      <c r="AE119" s="145">
        <f>Valores!$C$31</f>
        <v>199.86</v>
      </c>
      <c r="AF119" s="149">
        <v>0</v>
      </c>
      <c r="AG119" s="145">
        <f>INT(((AF119*Valores!$C$2)*100)+0.5)/100</f>
        <v>0</v>
      </c>
      <c r="AH119" s="145">
        <f>IF($H$5="NO",Valores!$C$59,Valores!$C$59/2)</f>
        <v>406.53</v>
      </c>
      <c r="AI119" s="145">
        <f>IF($H$5="NO",Valores!$C$61,Valores!$C$61/2)</f>
        <v>116.15</v>
      </c>
      <c r="AJ119" s="151">
        <f t="shared" si="18"/>
        <v>38948.05315384616</v>
      </c>
      <c r="AK119" s="147">
        <f>Valores!$C$36</f>
        <v>1046.83</v>
      </c>
      <c r="AL119" s="148">
        <f>Valores!$C$6</f>
        <v>0</v>
      </c>
      <c r="AM119" s="148">
        <f>Valores!$C$84</f>
        <v>2275</v>
      </c>
      <c r="AN119" s="148"/>
      <c r="AO119" s="150">
        <f>Valores!$C$52</f>
        <v>170.34</v>
      </c>
      <c r="AP119" s="152">
        <f t="shared" si="16"/>
        <v>3321.83</v>
      </c>
      <c r="AQ119" s="153">
        <f>AJ119*-Valores!$C$68</f>
        <v>-4284.285846923078</v>
      </c>
      <c r="AR119" s="153">
        <f>AJ119*-Valores!$C$69</f>
        <v>0</v>
      </c>
      <c r="AS119" s="147">
        <f>AJ119*-Valores!$C$70</f>
        <v>-1752.6623919230772</v>
      </c>
      <c r="AT119" s="147">
        <v>-159.43</v>
      </c>
      <c r="AU119" s="147">
        <f t="shared" si="19"/>
        <v>-53.83</v>
      </c>
      <c r="AV119" s="151">
        <f t="shared" si="20"/>
        <v>36019.674915</v>
      </c>
      <c r="AW119" s="155"/>
      <c r="AX119" s="155">
        <v>30</v>
      </c>
      <c r="AY119" s="140" t="s">
        <v>4</v>
      </c>
    </row>
    <row r="120" spans="1:51" s="117" customFormat="1" ht="11.25" customHeight="1">
      <c r="A120" s="139">
        <v>117</v>
      </c>
      <c r="B120" s="139"/>
      <c r="C120" s="140" t="s">
        <v>354</v>
      </c>
      <c r="D120" s="140"/>
      <c r="E120" s="140">
        <f t="shared" si="13"/>
        <v>17</v>
      </c>
      <c r="F120" s="141" t="s">
        <v>355</v>
      </c>
      <c r="G120" s="142">
        <v>77</v>
      </c>
      <c r="H120" s="143">
        <f>INT((G120*Valores!$C$2*100)+0.5)/100</f>
        <v>719.16</v>
      </c>
      <c r="I120" s="161">
        <v>2073</v>
      </c>
      <c r="J120" s="145">
        <f>INT((I120*Valores!$C$2*100)+0.5)/100</f>
        <v>19361.2</v>
      </c>
      <c r="K120" s="160">
        <v>0</v>
      </c>
      <c r="L120" s="145">
        <f>INT((K120*Valores!$C$2*100)+0.5)/100</f>
        <v>0</v>
      </c>
      <c r="M120" s="158">
        <v>0</v>
      </c>
      <c r="N120" s="145">
        <f>INT((M120*Valores!$C$2*100)+0.5)/100</f>
        <v>0</v>
      </c>
      <c r="O120" s="145">
        <f t="shared" si="14"/>
        <v>3839.5785</v>
      </c>
      <c r="P120" s="145">
        <f t="shared" si="15"/>
        <v>0</v>
      </c>
      <c r="Q120" s="147">
        <f>Valores!$C$15</f>
        <v>8642.51</v>
      </c>
      <c r="R120" s="147">
        <f>Valores!$D$4</f>
        <v>4774.45</v>
      </c>
      <c r="S120" s="159">
        <f>Valores!$C$27</f>
        <v>4359.58</v>
      </c>
      <c r="T120" s="148">
        <f>IF($H$5="NO",Valores!$C$43,Valores!$C$43/2)</f>
        <v>1619.82</v>
      </c>
      <c r="U120" s="145">
        <f>Valores!$C$24</f>
        <v>3897.01</v>
      </c>
      <c r="V120" s="145">
        <f t="shared" si="21"/>
        <v>3897.01</v>
      </c>
      <c r="W120" s="145">
        <v>0</v>
      </c>
      <c r="X120" s="145">
        <v>0</v>
      </c>
      <c r="Y120" s="149">
        <v>0</v>
      </c>
      <c r="Z120" s="145">
        <f>Y120*Valores!$C$2</f>
        <v>0</v>
      </c>
      <c r="AA120" s="145">
        <v>0</v>
      </c>
      <c r="AB120" s="148">
        <f>Valores!$C$89</f>
        <v>1153.8461538461538</v>
      </c>
      <c r="AC120" s="150">
        <f>Valores!$C$30</f>
        <v>199.86</v>
      </c>
      <c r="AD120" s="145">
        <f t="shared" si="17"/>
        <v>0</v>
      </c>
      <c r="AE120" s="145">
        <f>Valores!$C$31</f>
        <v>199.86</v>
      </c>
      <c r="AF120" s="149">
        <v>0</v>
      </c>
      <c r="AG120" s="145">
        <f>INT(((AF120*Valores!$C$2)*100)+0.5)/100</f>
        <v>0</v>
      </c>
      <c r="AH120" s="145">
        <f>IF($H$5="NO",Valores!$C$59,Valores!$C$59/2)</f>
        <v>406.53</v>
      </c>
      <c r="AI120" s="145">
        <f>IF($H$5="NO",Valores!$C$61,Valores!$C$61/2)</f>
        <v>116.15</v>
      </c>
      <c r="AJ120" s="151">
        <f t="shared" si="18"/>
        <v>49289.55465384616</v>
      </c>
      <c r="AK120" s="147">
        <f>Valores!$C$36</f>
        <v>1046.83</v>
      </c>
      <c r="AL120" s="148">
        <f>Valores!$C$8</f>
        <v>0</v>
      </c>
      <c r="AM120" s="148">
        <f>Valores!$C$84</f>
        <v>2275</v>
      </c>
      <c r="AN120" s="148"/>
      <c r="AO120" s="150">
        <f>Valores!$C$52</f>
        <v>170.34</v>
      </c>
      <c r="AP120" s="152">
        <f t="shared" si="16"/>
        <v>3321.83</v>
      </c>
      <c r="AQ120" s="153">
        <f>AJ120*-Valores!$C$68</f>
        <v>-5421.851011923077</v>
      </c>
      <c r="AR120" s="153">
        <f>AJ120*-Valores!$C$69</f>
        <v>0</v>
      </c>
      <c r="AS120" s="147">
        <f>AJ120*-Valores!$C$70</f>
        <v>-2218.029959423077</v>
      </c>
      <c r="AT120" s="147">
        <v>-159.43</v>
      </c>
      <c r="AU120" s="147">
        <f t="shared" si="19"/>
        <v>-53.83</v>
      </c>
      <c r="AV120" s="151">
        <f t="shared" si="20"/>
        <v>44758.243682500004</v>
      </c>
      <c r="AW120" s="155"/>
      <c r="AX120" s="155">
        <v>30</v>
      </c>
      <c r="AY120" s="140" t="s">
        <v>4</v>
      </c>
    </row>
    <row r="121" spans="1:51" s="117" customFormat="1" ht="11.25" customHeight="1">
      <c r="A121" s="139">
        <v>118</v>
      </c>
      <c r="B121" s="139"/>
      <c r="C121" s="140" t="s">
        <v>356</v>
      </c>
      <c r="D121" s="140"/>
      <c r="E121" s="140">
        <f t="shared" si="13"/>
        <v>29</v>
      </c>
      <c r="F121" s="141" t="s">
        <v>357</v>
      </c>
      <c r="G121" s="142">
        <v>77</v>
      </c>
      <c r="H121" s="143">
        <f>INT((G121*Valores!$C$2*100)+0.5)/100</f>
        <v>719.16</v>
      </c>
      <c r="I121" s="161">
        <v>2043</v>
      </c>
      <c r="J121" s="145">
        <f>INT((I121*Valores!$C$2*100)+0.5)/100</f>
        <v>19081.01</v>
      </c>
      <c r="K121" s="160">
        <v>0</v>
      </c>
      <c r="L121" s="145">
        <f>INT((K121*Valores!$C$2*100)+0.5)/100</f>
        <v>0</v>
      </c>
      <c r="M121" s="158">
        <v>0</v>
      </c>
      <c r="N121" s="145">
        <f>INT((M121*Valores!$C$2*100)+0.5)/100</f>
        <v>0</v>
      </c>
      <c r="O121" s="145">
        <f t="shared" si="14"/>
        <v>3797.5499999999997</v>
      </c>
      <c r="P121" s="145">
        <f t="shared" si="15"/>
        <v>0</v>
      </c>
      <c r="Q121" s="147">
        <f>Valores!$C$16</f>
        <v>8673.47</v>
      </c>
      <c r="R121" s="147">
        <f>Valores!$D$4</f>
        <v>4774.45</v>
      </c>
      <c r="S121" s="159">
        <f>Valores!$C$27</f>
        <v>4359.58</v>
      </c>
      <c r="T121" s="148">
        <f>IF($H$5="NO",Valores!$C$43,Valores!$C$43/2)</f>
        <v>1619.82</v>
      </c>
      <c r="U121" s="145">
        <f>Valores!$C$24</f>
        <v>3897.01</v>
      </c>
      <c r="V121" s="145">
        <f t="shared" si="21"/>
        <v>3897.01</v>
      </c>
      <c r="W121" s="145">
        <v>0</v>
      </c>
      <c r="X121" s="145">
        <v>0</v>
      </c>
      <c r="Y121" s="149">
        <v>0</v>
      </c>
      <c r="Z121" s="145">
        <f>Y121*Valores!$C$2</f>
        <v>0</v>
      </c>
      <c r="AA121" s="145">
        <v>0</v>
      </c>
      <c r="AB121" s="148">
        <f>Valores!$C$89</f>
        <v>1153.8461538461538</v>
      </c>
      <c r="AC121" s="150">
        <f>Valores!$C$30</f>
        <v>199.86</v>
      </c>
      <c r="AD121" s="145">
        <f t="shared" si="17"/>
        <v>0</v>
      </c>
      <c r="AE121" s="145">
        <f>Valores!$C$31</f>
        <v>199.86</v>
      </c>
      <c r="AF121" s="149">
        <v>0</v>
      </c>
      <c r="AG121" s="145">
        <f>INT(((AF121*Valores!$C$2)*100)+0.5)/100</f>
        <v>0</v>
      </c>
      <c r="AH121" s="145">
        <f>IF($H$5="NO",Valores!$C$59,Valores!$C$59/2)</f>
        <v>406.53</v>
      </c>
      <c r="AI121" s="145">
        <f>IF($H$5="NO",Valores!$C$61,Valores!$C$61/2)</f>
        <v>116.15</v>
      </c>
      <c r="AJ121" s="151">
        <f t="shared" si="18"/>
        <v>48998.29615384615</v>
      </c>
      <c r="AK121" s="147">
        <f>Valores!$C$36</f>
        <v>1046.83</v>
      </c>
      <c r="AL121" s="148">
        <f>Valores!$C$8</f>
        <v>0</v>
      </c>
      <c r="AM121" s="148">
        <f>Valores!$C$84</f>
        <v>2275</v>
      </c>
      <c r="AN121" s="148"/>
      <c r="AO121" s="150">
        <f>Valores!$C$52</f>
        <v>170.34</v>
      </c>
      <c r="AP121" s="152">
        <f t="shared" si="16"/>
        <v>3321.83</v>
      </c>
      <c r="AQ121" s="153">
        <f>AJ121*-Valores!$C$68</f>
        <v>-5389.812576923076</v>
      </c>
      <c r="AR121" s="153">
        <f>AJ121*-Valores!$C$69</f>
        <v>0</v>
      </c>
      <c r="AS121" s="147">
        <f>AJ121*-Valores!$C$70</f>
        <v>-2204.9233269230767</v>
      </c>
      <c r="AT121" s="147">
        <v>-159.43</v>
      </c>
      <c r="AU121" s="147">
        <f t="shared" si="19"/>
        <v>-53.83</v>
      </c>
      <c r="AV121" s="151">
        <f t="shared" si="20"/>
        <v>44512.13025</v>
      </c>
      <c r="AW121" s="155"/>
      <c r="AX121" s="155">
        <v>30</v>
      </c>
      <c r="AY121" s="140" t="s">
        <v>4</v>
      </c>
    </row>
    <row r="122" spans="1:51" s="117" customFormat="1" ht="11.25" customHeight="1">
      <c r="A122" s="139">
        <v>119</v>
      </c>
      <c r="B122" s="139"/>
      <c r="C122" s="140" t="s">
        <v>358</v>
      </c>
      <c r="D122" s="140"/>
      <c r="E122" s="140">
        <f t="shared" si="13"/>
        <v>29</v>
      </c>
      <c r="F122" s="141" t="s">
        <v>359</v>
      </c>
      <c r="G122" s="142">
        <v>76</v>
      </c>
      <c r="H122" s="143">
        <f>INT((G122*Valores!$C$2*100)+0.5)/100</f>
        <v>709.82</v>
      </c>
      <c r="I122" s="161">
        <v>1954</v>
      </c>
      <c r="J122" s="145">
        <f>INT((I122*Valores!$C$2*100)+0.5)/100</f>
        <v>18249.77</v>
      </c>
      <c r="K122" s="160">
        <v>0</v>
      </c>
      <c r="L122" s="145">
        <f>INT((K122*Valores!$C$2*100)+0.5)/100</f>
        <v>0</v>
      </c>
      <c r="M122" s="158">
        <v>0</v>
      </c>
      <c r="N122" s="145">
        <f>INT((M122*Valores!$C$2*100)+0.5)/100</f>
        <v>0</v>
      </c>
      <c r="O122" s="145">
        <f t="shared" si="14"/>
        <v>3671.4629999999997</v>
      </c>
      <c r="P122" s="145">
        <f t="shared" si="15"/>
        <v>0</v>
      </c>
      <c r="Q122" s="147">
        <f>Valores!$C$16</f>
        <v>8673.47</v>
      </c>
      <c r="R122" s="147">
        <f>Valores!$D$4</f>
        <v>4774.45</v>
      </c>
      <c r="S122" s="159">
        <f>Valores!$C$27</f>
        <v>4359.58</v>
      </c>
      <c r="T122" s="148">
        <f>IF($H$5="NO",Valores!$C$43,Valores!$C$43/2)</f>
        <v>1619.82</v>
      </c>
      <c r="U122" s="145">
        <f>Valores!$C$24</f>
        <v>3897.01</v>
      </c>
      <c r="V122" s="145">
        <f t="shared" si="21"/>
        <v>3897.01</v>
      </c>
      <c r="W122" s="145">
        <v>0</v>
      </c>
      <c r="X122" s="145">
        <v>0</v>
      </c>
      <c r="Y122" s="149">
        <v>0</v>
      </c>
      <c r="Z122" s="145">
        <f>Y122*Valores!$C$2</f>
        <v>0</v>
      </c>
      <c r="AA122" s="145">
        <v>0</v>
      </c>
      <c r="AB122" s="148">
        <f>Valores!$C$89</f>
        <v>1153.8461538461538</v>
      </c>
      <c r="AC122" s="150">
        <f>Valores!$C$30</f>
        <v>199.86</v>
      </c>
      <c r="AD122" s="145">
        <f t="shared" si="17"/>
        <v>0</v>
      </c>
      <c r="AE122" s="145">
        <f>Valores!$C$31</f>
        <v>199.86</v>
      </c>
      <c r="AF122" s="149">
        <v>0</v>
      </c>
      <c r="AG122" s="145">
        <f>INT(((AF122*Valores!$C$2)*100)+0.5)/100</f>
        <v>0</v>
      </c>
      <c r="AH122" s="145">
        <f>IF($H$5="NO",Valores!$C$59,Valores!$C$59/2)</f>
        <v>406.53</v>
      </c>
      <c r="AI122" s="145">
        <f>IF($H$5="NO",Valores!$C$61,Valores!$C$61/2)</f>
        <v>116.15</v>
      </c>
      <c r="AJ122" s="151">
        <f t="shared" si="18"/>
        <v>48031.62915384616</v>
      </c>
      <c r="AK122" s="147">
        <f>Valores!$C$36</f>
        <v>1046.83</v>
      </c>
      <c r="AL122" s="148">
        <f>Valores!$C$8</f>
        <v>0</v>
      </c>
      <c r="AM122" s="148">
        <f>Valores!$C$84</f>
        <v>2275</v>
      </c>
      <c r="AN122" s="148"/>
      <c r="AO122" s="150">
        <f>Valores!$C$52</f>
        <v>170.34</v>
      </c>
      <c r="AP122" s="152">
        <f t="shared" si="16"/>
        <v>3321.83</v>
      </c>
      <c r="AQ122" s="153">
        <f>AJ122*-Valores!$C$68</f>
        <v>-5283.479206923078</v>
      </c>
      <c r="AR122" s="153">
        <f>AJ122*-Valores!$C$69</f>
        <v>0</v>
      </c>
      <c r="AS122" s="147">
        <f>AJ122*-Valores!$C$70</f>
        <v>-2161.423311923077</v>
      </c>
      <c r="AT122" s="147">
        <v>-159.43</v>
      </c>
      <c r="AU122" s="147">
        <f t="shared" si="19"/>
        <v>-53.83</v>
      </c>
      <c r="AV122" s="151">
        <f t="shared" si="20"/>
        <v>43695.296635000006</v>
      </c>
      <c r="AW122" s="155"/>
      <c r="AX122" s="155">
        <v>30</v>
      </c>
      <c r="AY122" s="140" t="s">
        <v>4</v>
      </c>
    </row>
    <row r="123" spans="1:51" s="117" customFormat="1" ht="11.25" customHeight="1">
      <c r="A123" s="157">
        <v>120</v>
      </c>
      <c r="B123" s="157" t="s">
        <v>143</v>
      </c>
      <c r="C123" s="140" t="s">
        <v>360</v>
      </c>
      <c r="D123" s="140"/>
      <c r="E123" s="140">
        <f t="shared" si="13"/>
        <v>29</v>
      </c>
      <c r="F123" s="141" t="s">
        <v>361</v>
      </c>
      <c r="G123" s="142">
        <v>274</v>
      </c>
      <c r="H123" s="143">
        <f>INT((G123*Valores!$C$2*100)+0.5)/100</f>
        <v>2559.08</v>
      </c>
      <c r="I123" s="161">
        <v>1163</v>
      </c>
      <c r="J123" s="145">
        <f>INT((I123*Valores!$C$2*100)+0.5)/100</f>
        <v>10862.07</v>
      </c>
      <c r="K123" s="160">
        <v>0</v>
      </c>
      <c r="L123" s="145">
        <f>INT((K123*Valores!$C$2*100)+0.5)/100</f>
        <v>0</v>
      </c>
      <c r="M123" s="158">
        <v>0</v>
      </c>
      <c r="N123" s="145">
        <f>INT((M123*Valores!$C$2*100)+0.5)/100</f>
        <v>0</v>
      </c>
      <c r="O123" s="145">
        <f t="shared" si="14"/>
        <v>2840.6969999999997</v>
      </c>
      <c r="P123" s="145">
        <f t="shared" si="15"/>
        <v>0</v>
      </c>
      <c r="Q123" s="147">
        <f>Valores!$C$16</f>
        <v>8673.47</v>
      </c>
      <c r="R123" s="147">
        <f>Valores!$D$4</f>
        <v>4774.45</v>
      </c>
      <c r="S123" s="159">
        <f>Valores!$C$27</f>
        <v>4359.58</v>
      </c>
      <c r="T123" s="148">
        <f>IF($H$5="NO",Valores!$C$43,Valores!$C$43/2)</f>
        <v>1619.82</v>
      </c>
      <c r="U123" s="145">
        <f>Valores!$C$24</f>
        <v>3897.01</v>
      </c>
      <c r="V123" s="145">
        <f t="shared" si="21"/>
        <v>3897.01</v>
      </c>
      <c r="W123" s="145">
        <v>0</v>
      </c>
      <c r="X123" s="145">
        <v>0</v>
      </c>
      <c r="Y123" s="149">
        <v>0</v>
      </c>
      <c r="Z123" s="145">
        <f>Y123*Valores!$C$2</f>
        <v>0</v>
      </c>
      <c r="AA123" s="145">
        <v>0</v>
      </c>
      <c r="AB123" s="148">
        <f>Valores!$C$89</f>
        <v>1153.8461538461538</v>
      </c>
      <c r="AC123" s="150">
        <f>Valores!$C$30</f>
        <v>199.86</v>
      </c>
      <c r="AD123" s="145">
        <f t="shared" si="17"/>
        <v>0</v>
      </c>
      <c r="AE123" s="145">
        <f>Valores!$C$31</f>
        <v>199.86</v>
      </c>
      <c r="AF123" s="149">
        <v>0</v>
      </c>
      <c r="AG123" s="145">
        <f>INT(((AF123*Valores!$C$2)*100)+0.5)/100</f>
        <v>0</v>
      </c>
      <c r="AH123" s="145">
        <f>IF($H$5="NO",Valores!$C$59,Valores!$C$59/2)</f>
        <v>406.53</v>
      </c>
      <c r="AI123" s="145">
        <f>IF($H$5="NO",Valores!$C$61,Valores!$C$61/2)</f>
        <v>116.15</v>
      </c>
      <c r="AJ123" s="151">
        <f t="shared" si="18"/>
        <v>41662.42315384616</v>
      </c>
      <c r="AK123" s="147">
        <f>Valores!$C$36</f>
        <v>1046.83</v>
      </c>
      <c r="AL123" s="148">
        <f>Valores!$C$8</f>
        <v>0</v>
      </c>
      <c r="AM123" s="148">
        <f>Valores!$C$84</f>
        <v>2275</v>
      </c>
      <c r="AN123" s="148"/>
      <c r="AO123" s="150">
        <f>Valores!$C$52</f>
        <v>170.34</v>
      </c>
      <c r="AP123" s="152">
        <f t="shared" si="16"/>
        <v>3321.83</v>
      </c>
      <c r="AQ123" s="153">
        <f>AJ123*-Valores!$C$68</f>
        <v>-4582.866546923077</v>
      </c>
      <c r="AR123" s="153">
        <f>AJ123*-Valores!$C$69</f>
        <v>0</v>
      </c>
      <c r="AS123" s="147">
        <f>AJ123*-Valores!$C$70</f>
        <v>-1874.809041923077</v>
      </c>
      <c r="AT123" s="147">
        <v>-159.43</v>
      </c>
      <c r="AU123" s="147">
        <f t="shared" si="19"/>
        <v>-53.83</v>
      </c>
      <c r="AV123" s="151">
        <f t="shared" si="20"/>
        <v>38313.317565000005</v>
      </c>
      <c r="AW123" s="155"/>
      <c r="AX123" s="155">
        <v>30</v>
      </c>
      <c r="AY123" s="140" t="s">
        <v>4</v>
      </c>
    </row>
    <row r="124" spans="1:51" s="117" customFormat="1" ht="11.25" customHeight="1">
      <c r="A124" s="139">
        <v>121</v>
      </c>
      <c r="B124" s="139"/>
      <c r="C124" s="140" t="s">
        <v>362</v>
      </c>
      <c r="D124" s="140"/>
      <c r="E124" s="140">
        <f t="shared" si="13"/>
        <v>27</v>
      </c>
      <c r="F124" s="141" t="s">
        <v>363</v>
      </c>
      <c r="G124" s="142">
        <v>2800</v>
      </c>
      <c r="H124" s="143">
        <f>INT((G124*Valores!$C$2*100)+0.5)/100</f>
        <v>26151.16</v>
      </c>
      <c r="I124" s="161">
        <v>0</v>
      </c>
      <c r="J124" s="145">
        <f>INT((I124*Valores!$C$2*100)+0.5)/100</f>
        <v>0</v>
      </c>
      <c r="K124" s="160">
        <v>0</v>
      </c>
      <c r="L124" s="145">
        <f>INT((K124*Valores!$C$2*100)+0.5)/100</f>
        <v>0</v>
      </c>
      <c r="M124" s="158">
        <v>0</v>
      </c>
      <c r="N124" s="145">
        <f>INT((M124*Valores!$C$2*100)+0.5)/100</f>
        <v>0</v>
      </c>
      <c r="O124" s="145">
        <f t="shared" si="14"/>
        <v>4857.954</v>
      </c>
      <c r="P124" s="145">
        <f t="shared" si="15"/>
        <v>0</v>
      </c>
      <c r="Q124" s="147">
        <f>Valores!$C$20</f>
        <v>8160.2</v>
      </c>
      <c r="R124" s="147">
        <f>Valores!$D$4</f>
        <v>4774.45</v>
      </c>
      <c r="S124" s="145">
        <f>Valores!$C$27</f>
        <v>4359.58</v>
      </c>
      <c r="T124" s="148">
        <f>IF($H$5="NO",Valores!$C$44,Valores!$C$44/2)</f>
        <v>2384.69</v>
      </c>
      <c r="U124" s="159">
        <f>Valores!$C$25</f>
        <v>3850.51</v>
      </c>
      <c r="V124" s="145">
        <f t="shared" si="21"/>
        <v>3850.51</v>
      </c>
      <c r="W124" s="145">
        <v>0</v>
      </c>
      <c r="X124" s="145">
        <v>0</v>
      </c>
      <c r="Y124" s="149">
        <v>0</v>
      </c>
      <c r="Z124" s="145">
        <f>Y124*Valores!$C$2</f>
        <v>0</v>
      </c>
      <c r="AA124" s="145">
        <v>0</v>
      </c>
      <c r="AB124" s="148">
        <f>Valores!$C$89</f>
        <v>1153.8461538461538</v>
      </c>
      <c r="AC124" s="150">
        <f>Valores!$C$30</f>
        <v>199.86</v>
      </c>
      <c r="AD124" s="145">
        <f t="shared" si="17"/>
        <v>0</v>
      </c>
      <c r="AE124" s="145">
        <f>Valores!$C$31</f>
        <v>199.86</v>
      </c>
      <c r="AF124" s="149">
        <v>0</v>
      </c>
      <c r="AG124" s="145">
        <f>INT(((AF124*Valores!$C$2)*100)+0.5)/100</f>
        <v>0</v>
      </c>
      <c r="AH124" s="145">
        <f>IF($H$5="NO",Valores!$C$59,Valores!$C$59/2)</f>
        <v>406.53</v>
      </c>
      <c r="AI124" s="145">
        <f>IF($H$5="NO",Valores!$C$61,Valores!$C$61/2)</f>
        <v>116.15</v>
      </c>
      <c r="AJ124" s="151">
        <f t="shared" si="18"/>
        <v>56614.79015384616</v>
      </c>
      <c r="AK124" s="147">
        <f>Valores!$C$36</f>
        <v>1046.83</v>
      </c>
      <c r="AL124" s="148">
        <f>Valores!$C$9</f>
        <v>0</v>
      </c>
      <c r="AM124" s="148">
        <f>Valores!$C$84</f>
        <v>2275</v>
      </c>
      <c r="AN124" s="148"/>
      <c r="AO124" s="150">
        <f>Valores!$C$51</f>
        <v>327.6</v>
      </c>
      <c r="AP124" s="152">
        <f t="shared" si="16"/>
        <v>3321.83</v>
      </c>
      <c r="AQ124" s="153">
        <f>AJ124*-Valores!$C$68</f>
        <v>-6227.626916923077</v>
      </c>
      <c r="AR124" s="153">
        <f>AJ124*-Valores!$C$69</f>
        <v>0</v>
      </c>
      <c r="AS124" s="147">
        <f>AJ124*-Valores!$C$70</f>
        <v>-2547.665556923077</v>
      </c>
      <c r="AT124" s="147">
        <v>-159.43</v>
      </c>
      <c r="AU124" s="147">
        <f t="shared" si="19"/>
        <v>-53.83</v>
      </c>
      <c r="AV124" s="151">
        <f t="shared" si="20"/>
        <v>50948.06768</v>
      </c>
      <c r="AW124" s="155"/>
      <c r="AX124" s="155"/>
      <c r="AY124" s="140" t="s">
        <v>4</v>
      </c>
    </row>
    <row r="125" spans="1:51" s="117" customFormat="1" ht="11.25" customHeight="1">
      <c r="A125" s="139">
        <v>122</v>
      </c>
      <c r="B125" s="139"/>
      <c r="C125" s="140" t="s">
        <v>364</v>
      </c>
      <c r="D125" s="140"/>
      <c r="E125" s="140">
        <f t="shared" si="13"/>
        <v>27</v>
      </c>
      <c r="F125" s="141" t="s">
        <v>365</v>
      </c>
      <c r="G125" s="142">
        <v>2850</v>
      </c>
      <c r="H125" s="143">
        <f>INT((G125*Valores!$C$2*100)+0.5)/100</f>
        <v>26618.15</v>
      </c>
      <c r="I125" s="161">
        <v>0</v>
      </c>
      <c r="J125" s="145">
        <f>INT((I125*Valores!$C$2*100)+0.5)/100</f>
        <v>0</v>
      </c>
      <c r="K125" s="160">
        <v>0</v>
      </c>
      <c r="L125" s="145">
        <f>INT((K125*Valores!$C$2*100)+0.5)/100</f>
        <v>0</v>
      </c>
      <c r="M125" s="158">
        <v>0</v>
      </c>
      <c r="N125" s="145">
        <f>INT((M125*Valores!$C$2*100)+0.5)/100</f>
        <v>0</v>
      </c>
      <c r="O125" s="145">
        <f t="shared" si="14"/>
        <v>4928.0025000000005</v>
      </c>
      <c r="P125" s="145">
        <f t="shared" si="15"/>
        <v>0</v>
      </c>
      <c r="Q125" s="147">
        <f>Valores!$C$16</f>
        <v>8673.47</v>
      </c>
      <c r="R125" s="147">
        <f>Valores!$D$4</f>
        <v>4774.45</v>
      </c>
      <c r="S125" s="159">
        <f>Valores!$C$27</f>
        <v>4359.58</v>
      </c>
      <c r="T125" s="148">
        <f>IF($H$5="NO",Valores!$C$44,Valores!$C$44/2)</f>
        <v>2384.69</v>
      </c>
      <c r="U125" s="159">
        <f>Valores!$C$25</f>
        <v>3850.51</v>
      </c>
      <c r="V125" s="145">
        <f t="shared" si="21"/>
        <v>3850.51</v>
      </c>
      <c r="W125" s="145">
        <v>0</v>
      </c>
      <c r="X125" s="145">
        <v>0</v>
      </c>
      <c r="Y125" s="149">
        <v>0</v>
      </c>
      <c r="Z125" s="145">
        <f>Y125*Valores!$C$2</f>
        <v>0</v>
      </c>
      <c r="AA125" s="145">
        <v>0</v>
      </c>
      <c r="AB125" s="148">
        <f>Valores!$C$91</f>
        <v>2307.6923076923076</v>
      </c>
      <c r="AC125" s="150">
        <f>Valores!$C$30</f>
        <v>199.86</v>
      </c>
      <c r="AD125" s="145">
        <f t="shared" si="17"/>
        <v>0</v>
      </c>
      <c r="AE125" s="145">
        <f>Valores!$C$31</f>
        <v>199.86</v>
      </c>
      <c r="AF125" s="149">
        <v>0</v>
      </c>
      <c r="AG125" s="145">
        <f>INT(((AF125*Valores!$C$2)*100)+0.5)/100</f>
        <v>0</v>
      </c>
      <c r="AH125" s="145">
        <f>IF($H$5="NO",Valores!$C$59,Valores!$C$59/2)</f>
        <v>406.53</v>
      </c>
      <c r="AI125" s="145">
        <f>IF($H$5="NO",Valores!$C$61,Valores!$C$61/2)</f>
        <v>116.15</v>
      </c>
      <c r="AJ125" s="151">
        <f t="shared" si="18"/>
        <v>58818.944807692314</v>
      </c>
      <c r="AK125" s="147">
        <f>Valores!$C$36</f>
        <v>1046.83</v>
      </c>
      <c r="AL125" s="148">
        <f>Valores!$C$9</f>
        <v>0</v>
      </c>
      <c r="AM125" s="148">
        <f>Valores!$C$86</f>
        <v>4550</v>
      </c>
      <c r="AN125" s="148"/>
      <c r="AO125" s="150">
        <f>Valores!$C$51</f>
        <v>327.6</v>
      </c>
      <c r="AP125" s="152">
        <f t="shared" si="16"/>
        <v>5596.83</v>
      </c>
      <c r="AQ125" s="153">
        <f>AJ125*-Valores!$C$68</f>
        <v>-6470.083928846155</v>
      </c>
      <c r="AR125" s="153">
        <f>AJ125*-Valores!$C$69</f>
        <v>0</v>
      </c>
      <c r="AS125" s="147">
        <f>AJ125*-Valores!$C$70</f>
        <v>-2646.852516346154</v>
      </c>
      <c r="AT125" s="147">
        <v>-159.43</v>
      </c>
      <c r="AU125" s="147">
        <f t="shared" si="19"/>
        <v>-53.83</v>
      </c>
      <c r="AV125" s="151">
        <f t="shared" si="20"/>
        <v>55085.578362500004</v>
      </c>
      <c r="AW125" s="155"/>
      <c r="AX125" s="155"/>
      <c r="AY125" s="140" t="s">
        <v>4</v>
      </c>
    </row>
    <row r="126" spans="1:51" s="117" customFormat="1" ht="11.25" customHeight="1">
      <c r="A126" s="139">
        <v>123</v>
      </c>
      <c r="B126" s="139"/>
      <c r="C126" s="140" t="s">
        <v>366</v>
      </c>
      <c r="D126" s="140"/>
      <c r="E126" s="140">
        <f t="shared" si="13"/>
        <v>21</v>
      </c>
      <c r="F126" s="141" t="s">
        <v>367</v>
      </c>
      <c r="G126" s="142">
        <v>1735</v>
      </c>
      <c r="H126" s="143">
        <f>INT((G126*Valores!$C$2*100)+0.5)/100</f>
        <v>16204.38</v>
      </c>
      <c r="I126" s="161">
        <v>0</v>
      </c>
      <c r="J126" s="145">
        <f>INT((I126*Valores!$C$2*100)+0.5)/100</f>
        <v>0</v>
      </c>
      <c r="K126" s="160">
        <v>0</v>
      </c>
      <c r="L126" s="145">
        <f>INT((K126*Valores!$C$2*100)+0.5)/100</f>
        <v>0</v>
      </c>
      <c r="M126" s="158">
        <v>0</v>
      </c>
      <c r="N126" s="145">
        <f>INT((M126*Valores!$C$2*100)+0.5)/100</f>
        <v>0</v>
      </c>
      <c r="O126" s="145">
        <f t="shared" si="14"/>
        <v>3222.5175</v>
      </c>
      <c r="P126" s="145">
        <f t="shared" si="15"/>
        <v>0</v>
      </c>
      <c r="Q126" s="147">
        <f>Valores!$C$20</f>
        <v>8160.2</v>
      </c>
      <c r="R126" s="147">
        <f>Valores!$D$4</f>
        <v>4774.45</v>
      </c>
      <c r="S126" s="145">
        <v>0</v>
      </c>
      <c r="T126" s="148">
        <f>IF($H$5="NO",Valores!$C$42,Valores!$C$42/2)</f>
        <v>1428.56</v>
      </c>
      <c r="U126" s="159">
        <f>Valores!$C$25</f>
        <v>3850.51</v>
      </c>
      <c r="V126" s="145">
        <f t="shared" si="21"/>
        <v>3850.51</v>
      </c>
      <c r="W126" s="145">
        <v>0</v>
      </c>
      <c r="X126" s="145">
        <v>0</v>
      </c>
      <c r="Y126" s="149">
        <v>0</v>
      </c>
      <c r="Z126" s="145">
        <f>Y126*Valores!$C$2</f>
        <v>0</v>
      </c>
      <c r="AA126" s="145">
        <v>0</v>
      </c>
      <c r="AB126" s="148">
        <f>Valores!$C$89</f>
        <v>1153.8461538461538</v>
      </c>
      <c r="AC126" s="150">
        <f>Valores!$C$30</f>
        <v>199.86</v>
      </c>
      <c r="AD126" s="145">
        <f t="shared" si="17"/>
        <v>0</v>
      </c>
      <c r="AE126" s="145">
        <f>Valores!$C$31</f>
        <v>199.86</v>
      </c>
      <c r="AF126" s="149">
        <v>0</v>
      </c>
      <c r="AG126" s="145">
        <f>INT(((AF126*Valores!$C$2)*100)+0.5)/100</f>
        <v>0</v>
      </c>
      <c r="AH126" s="145">
        <f>IF($H$5="NO",Valores!$C$59,Valores!$C$59/2)</f>
        <v>406.53</v>
      </c>
      <c r="AI126" s="145">
        <f>IF($H$5="NO",Valores!$C$61,Valores!$C$61/2)</f>
        <v>116.15</v>
      </c>
      <c r="AJ126" s="151">
        <f t="shared" si="18"/>
        <v>39716.86365384616</v>
      </c>
      <c r="AK126" s="147">
        <f>Valores!$C$36</f>
        <v>1046.83</v>
      </c>
      <c r="AL126" s="148">
        <f>Valores!$C$7</f>
        <v>0</v>
      </c>
      <c r="AM126" s="148">
        <f>Valores!$C$84</f>
        <v>2275</v>
      </c>
      <c r="AN126" s="148"/>
      <c r="AO126" s="150">
        <f>Valores!$C$52</f>
        <v>170.34</v>
      </c>
      <c r="AP126" s="152">
        <f t="shared" si="16"/>
        <v>3321.83</v>
      </c>
      <c r="AQ126" s="153">
        <f>AJ126*-Valores!$C$68</f>
        <v>-4368.855001923077</v>
      </c>
      <c r="AR126" s="153">
        <f>AJ126*-Valores!$C$69</f>
        <v>0</v>
      </c>
      <c r="AS126" s="147">
        <f>AJ126*-Valores!$C$70</f>
        <v>-1787.258864423077</v>
      </c>
      <c r="AT126" s="147">
        <v>-159.43</v>
      </c>
      <c r="AU126" s="147">
        <f t="shared" si="19"/>
        <v>-53.83</v>
      </c>
      <c r="AV126" s="151">
        <f t="shared" si="20"/>
        <v>36669.319787500004</v>
      </c>
      <c r="AW126" s="155"/>
      <c r="AX126" s="155"/>
      <c r="AY126" s="140" t="s">
        <v>4</v>
      </c>
    </row>
    <row r="127" spans="1:51" s="117" customFormat="1" ht="11.25" customHeight="1">
      <c r="A127" s="139">
        <v>124</v>
      </c>
      <c r="B127" s="139"/>
      <c r="C127" s="140" t="s">
        <v>368</v>
      </c>
      <c r="D127" s="140"/>
      <c r="E127" s="140">
        <f t="shared" si="13"/>
        <v>35</v>
      </c>
      <c r="F127" s="141" t="s">
        <v>369</v>
      </c>
      <c r="G127" s="142">
        <v>72</v>
      </c>
      <c r="H127" s="143">
        <f>INT((G127*Valores!$C$2*100)+0.5)/100</f>
        <v>672.46</v>
      </c>
      <c r="I127" s="161">
        <v>1590</v>
      </c>
      <c r="J127" s="145">
        <f>INT((I127*Valores!$C$2*100)+0.5)/100</f>
        <v>14850.12</v>
      </c>
      <c r="K127" s="160">
        <v>0</v>
      </c>
      <c r="L127" s="145">
        <f>INT((K127*Valores!$C$2*100)+0.5)/100</f>
        <v>0</v>
      </c>
      <c r="M127" s="158">
        <v>0</v>
      </c>
      <c r="N127" s="145">
        <f>INT((M127*Valores!$C$2*100)+0.5)/100</f>
        <v>0</v>
      </c>
      <c r="O127" s="145">
        <f t="shared" si="14"/>
        <v>3120.247500000001</v>
      </c>
      <c r="P127" s="145">
        <f t="shared" si="15"/>
        <v>0</v>
      </c>
      <c r="Q127" s="147">
        <f>Valores!$C$20</f>
        <v>8160.2</v>
      </c>
      <c r="R127" s="147">
        <f>Valores!$D$4</f>
        <v>4774.45</v>
      </c>
      <c r="S127" s="148">
        <f>Valores!$C$27</f>
        <v>4359.58</v>
      </c>
      <c r="T127" s="148">
        <f>IF($H$5="NO",Valores!$C$42,Valores!$C$42/2)</f>
        <v>1428.56</v>
      </c>
      <c r="U127" s="159">
        <f>Valores!$C$25</f>
        <v>3850.51</v>
      </c>
      <c r="V127" s="145">
        <f t="shared" si="21"/>
        <v>3850.51</v>
      </c>
      <c r="W127" s="145">
        <v>0</v>
      </c>
      <c r="X127" s="145">
        <v>0</v>
      </c>
      <c r="Y127" s="149">
        <v>0</v>
      </c>
      <c r="Z127" s="145">
        <f>Y127*Valores!$C$2</f>
        <v>0</v>
      </c>
      <c r="AA127" s="145">
        <v>0</v>
      </c>
      <c r="AB127" s="148">
        <f>Valores!$C$89</f>
        <v>1153.8461538461538</v>
      </c>
      <c r="AC127" s="150">
        <f>Valores!$C$30</f>
        <v>199.86</v>
      </c>
      <c r="AD127" s="145">
        <f t="shared" si="17"/>
        <v>0</v>
      </c>
      <c r="AE127" s="145">
        <f>Valores!$C$31</f>
        <v>199.86</v>
      </c>
      <c r="AF127" s="149">
        <v>0</v>
      </c>
      <c r="AG127" s="145">
        <f>INT(((AF127*Valores!$C$2)*100)+0.5)/100</f>
        <v>0</v>
      </c>
      <c r="AH127" s="145">
        <f>IF($H$5="NO",Valores!$C$59,Valores!$C$59/2)</f>
        <v>406.53</v>
      </c>
      <c r="AI127" s="145">
        <f>IF($H$5="NO",Valores!$C$61,Valores!$C$61/2)</f>
        <v>116.15</v>
      </c>
      <c r="AJ127" s="151">
        <f t="shared" si="18"/>
        <v>43292.37365384616</v>
      </c>
      <c r="AK127" s="147">
        <f>Valores!$C$36</f>
        <v>1046.83</v>
      </c>
      <c r="AL127" s="148">
        <f>Valores!$C$7</f>
        <v>0</v>
      </c>
      <c r="AM127" s="148">
        <f>Valores!$C$84</f>
        <v>2275</v>
      </c>
      <c r="AN127" s="148"/>
      <c r="AO127" s="150">
        <f>Valores!$C$52</f>
        <v>170.34</v>
      </c>
      <c r="AP127" s="152">
        <f t="shared" si="16"/>
        <v>3321.83</v>
      </c>
      <c r="AQ127" s="153">
        <f>AJ127*-Valores!$C$68</f>
        <v>-4762.161101923078</v>
      </c>
      <c r="AR127" s="153">
        <f>AJ127*-Valores!$C$69</f>
        <v>0</v>
      </c>
      <c r="AS127" s="147">
        <f>AJ127*-Valores!$C$70</f>
        <v>-1948.156814423077</v>
      </c>
      <c r="AT127" s="147">
        <v>-159.43</v>
      </c>
      <c r="AU127" s="147">
        <f t="shared" si="19"/>
        <v>-53.83</v>
      </c>
      <c r="AV127" s="151">
        <f t="shared" si="20"/>
        <v>39690.625737500006</v>
      </c>
      <c r="AW127" s="155"/>
      <c r="AX127" s="155">
        <v>25</v>
      </c>
      <c r="AY127" s="140" t="s">
        <v>4</v>
      </c>
    </row>
    <row r="128" spans="1:51" s="117" customFormat="1" ht="11.25" customHeight="1">
      <c r="A128" s="157">
        <v>125</v>
      </c>
      <c r="B128" s="157" t="s">
        <v>143</v>
      </c>
      <c r="C128" s="140" t="s">
        <v>370</v>
      </c>
      <c r="D128" s="140"/>
      <c r="E128" s="140">
        <f t="shared" si="13"/>
        <v>32</v>
      </c>
      <c r="F128" s="141" t="s">
        <v>371</v>
      </c>
      <c r="G128" s="142">
        <v>72</v>
      </c>
      <c r="H128" s="143">
        <f>INT((G128*Valores!$C$2*100)+0.5)/100</f>
        <v>672.46</v>
      </c>
      <c r="I128" s="161">
        <v>1590</v>
      </c>
      <c r="J128" s="145">
        <f>INT((I128*Valores!$C$2*100)+0.5)/100</f>
        <v>14850.12</v>
      </c>
      <c r="K128" s="160">
        <v>0</v>
      </c>
      <c r="L128" s="145">
        <f>INT((K128*Valores!$C$2*100)+0.5)/100</f>
        <v>0</v>
      </c>
      <c r="M128" s="158">
        <v>0</v>
      </c>
      <c r="N128" s="145">
        <f>INT((M128*Valores!$C$2*100)+0.5)/100</f>
        <v>0</v>
      </c>
      <c r="O128" s="145">
        <f t="shared" si="14"/>
        <v>3120.247500000001</v>
      </c>
      <c r="P128" s="145">
        <f t="shared" si="15"/>
        <v>0</v>
      </c>
      <c r="Q128" s="147">
        <f>Valores!$C$20</f>
        <v>8160.2</v>
      </c>
      <c r="R128" s="147">
        <f>Valores!$D$4</f>
        <v>4774.45</v>
      </c>
      <c r="S128" s="162">
        <f>Valores!$C$27</f>
        <v>4359.58</v>
      </c>
      <c r="T128" s="148">
        <f>IF($H$5="NO",Valores!$C$42,Valores!$C$42/2)</f>
        <v>1428.56</v>
      </c>
      <c r="U128" s="159">
        <f>Valores!$C$25</f>
        <v>3850.51</v>
      </c>
      <c r="V128" s="145">
        <f t="shared" si="21"/>
        <v>3850.51</v>
      </c>
      <c r="W128" s="145">
        <v>0</v>
      </c>
      <c r="X128" s="145">
        <v>0</v>
      </c>
      <c r="Y128" s="149">
        <v>0</v>
      </c>
      <c r="Z128" s="145">
        <f>Y128*Valores!$C$2</f>
        <v>0</v>
      </c>
      <c r="AA128" s="145">
        <v>0</v>
      </c>
      <c r="AB128" s="148">
        <f>Valores!$C$89</f>
        <v>1153.8461538461538</v>
      </c>
      <c r="AC128" s="150">
        <f>Valores!$C$30</f>
        <v>199.86</v>
      </c>
      <c r="AD128" s="145">
        <f t="shared" si="17"/>
        <v>0</v>
      </c>
      <c r="AE128" s="145">
        <f>Valores!$C$31</f>
        <v>199.86</v>
      </c>
      <c r="AF128" s="149">
        <v>94</v>
      </c>
      <c r="AG128" s="145">
        <f>INT(((AF128*Valores!$C$2)*100)+0.5)/100</f>
        <v>877.93</v>
      </c>
      <c r="AH128" s="145">
        <f>IF($H$5="NO",Valores!$C$59,Valores!$C$59/2)</f>
        <v>406.53</v>
      </c>
      <c r="AI128" s="145">
        <f>IF($H$5="NO",Valores!$C$61,Valores!$C$61/2)</f>
        <v>116.15</v>
      </c>
      <c r="AJ128" s="151">
        <f t="shared" si="18"/>
        <v>44170.30365384616</v>
      </c>
      <c r="AK128" s="147">
        <f>Valores!$C$36</f>
        <v>1046.83</v>
      </c>
      <c r="AL128" s="148">
        <f>Valores!$C$7</f>
        <v>0</v>
      </c>
      <c r="AM128" s="148">
        <f>Valores!$C$84</f>
        <v>2275</v>
      </c>
      <c r="AN128" s="148"/>
      <c r="AO128" s="150">
        <f>Valores!$C$52</f>
        <v>170.34</v>
      </c>
      <c r="AP128" s="152">
        <f t="shared" si="16"/>
        <v>3321.83</v>
      </c>
      <c r="AQ128" s="153">
        <f>AJ128*-Valores!$C$68</f>
        <v>-4858.7334019230775</v>
      </c>
      <c r="AR128" s="153">
        <f>AJ128*-Valores!$C$69</f>
        <v>0</v>
      </c>
      <c r="AS128" s="147">
        <f>AJ128*-Valores!$C$70</f>
        <v>-1987.663664423077</v>
      </c>
      <c r="AT128" s="147">
        <v>-159.43</v>
      </c>
      <c r="AU128" s="147">
        <f t="shared" si="19"/>
        <v>-53.83</v>
      </c>
      <c r="AV128" s="151">
        <f t="shared" si="20"/>
        <v>40432.47658750001</v>
      </c>
      <c r="AW128" s="155"/>
      <c r="AX128" s="155">
        <v>20</v>
      </c>
      <c r="AY128" s="140" t="s">
        <v>4</v>
      </c>
    </row>
    <row r="129" spans="1:51" s="117" customFormat="1" ht="11.25" customHeight="1">
      <c r="A129" s="139">
        <v>126</v>
      </c>
      <c r="B129" s="139"/>
      <c r="C129" s="140" t="s">
        <v>372</v>
      </c>
      <c r="D129" s="140"/>
      <c r="E129" s="140">
        <f t="shared" si="13"/>
        <v>36</v>
      </c>
      <c r="F129" s="141" t="s">
        <v>373</v>
      </c>
      <c r="G129" s="142">
        <v>77</v>
      </c>
      <c r="H129" s="143">
        <f>INT((G129*Valores!$C$2*100)+0.5)/100</f>
        <v>719.16</v>
      </c>
      <c r="I129" s="161">
        <v>2043</v>
      </c>
      <c r="J129" s="145">
        <f>INT((I129*Valores!$C$2*100)+0.5)/100</f>
        <v>19081.01</v>
      </c>
      <c r="K129" s="160">
        <v>0</v>
      </c>
      <c r="L129" s="145">
        <f>INT((K129*Valores!$C$2*100)+0.5)/100</f>
        <v>0</v>
      </c>
      <c r="M129" s="158">
        <v>0</v>
      </c>
      <c r="N129" s="145">
        <f>INT((M129*Valores!$C$2*100)+0.5)/100</f>
        <v>0</v>
      </c>
      <c r="O129" s="145">
        <f t="shared" si="14"/>
        <v>3797.5499999999997</v>
      </c>
      <c r="P129" s="145">
        <f t="shared" si="15"/>
        <v>0</v>
      </c>
      <c r="Q129" s="163">
        <f>Valores!$C$16</f>
        <v>8673.47</v>
      </c>
      <c r="R129" s="147">
        <f>Valores!$D$4</f>
        <v>4774.45</v>
      </c>
      <c r="S129" s="148">
        <f>Valores!$C$27</f>
        <v>4359.58</v>
      </c>
      <c r="T129" s="148">
        <f>IF($H$5="NO",Valores!$C$43,Valores!$C$43/2)</f>
        <v>1619.82</v>
      </c>
      <c r="U129" s="145">
        <f>Valores!$C$24</f>
        <v>3897.01</v>
      </c>
      <c r="V129" s="145">
        <f t="shared" si="21"/>
        <v>3897.01</v>
      </c>
      <c r="W129" s="145">
        <v>0</v>
      </c>
      <c r="X129" s="145">
        <v>0</v>
      </c>
      <c r="Y129" s="149">
        <v>0</v>
      </c>
      <c r="Z129" s="145">
        <f>Y129*Valores!$C$2</f>
        <v>0</v>
      </c>
      <c r="AA129" s="145">
        <v>0</v>
      </c>
      <c r="AB129" s="148">
        <f>Valores!$C$89</f>
        <v>1153.8461538461538</v>
      </c>
      <c r="AC129" s="150">
        <f>Valores!$C$30</f>
        <v>199.86</v>
      </c>
      <c r="AD129" s="145">
        <f t="shared" si="17"/>
        <v>0</v>
      </c>
      <c r="AE129" s="145">
        <f>Valores!$C$31</f>
        <v>199.86</v>
      </c>
      <c r="AF129" s="149">
        <v>0</v>
      </c>
      <c r="AG129" s="145">
        <f>INT(((AF129*Valores!$C$2)*100)+0.5)/100</f>
        <v>0</v>
      </c>
      <c r="AH129" s="145">
        <f>IF($H$5="NO",Valores!$C$59,Valores!$C$59/2)</f>
        <v>406.53</v>
      </c>
      <c r="AI129" s="145">
        <f>IF($H$5="NO",Valores!$C$61,Valores!$C$61/2)</f>
        <v>116.15</v>
      </c>
      <c r="AJ129" s="151">
        <f t="shared" si="18"/>
        <v>48998.29615384615</v>
      </c>
      <c r="AK129" s="147">
        <f>Valores!$C$36</f>
        <v>1046.83</v>
      </c>
      <c r="AL129" s="148">
        <f>Valores!$C$8</f>
        <v>0</v>
      </c>
      <c r="AM129" s="148">
        <f>Valores!$C$84</f>
        <v>2275</v>
      </c>
      <c r="AN129" s="148"/>
      <c r="AO129" s="150">
        <f>Valores!$C$52</f>
        <v>170.34</v>
      </c>
      <c r="AP129" s="152">
        <f t="shared" si="16"/>
        <v>3321.83</v>
      </c>
      <c r="AQ129" s="153">
        <f>AJ129*-Valores!$C$68</f>
        <v>-5389.812576923076</v>
      </c>
      <c r="AR129" s="153">
        <f>AJ129*-Valores!$C$69</f>
        <v>0</v>
      </c>
      <c r="AS129" s="147">
        <f>AJ129*-Valores!$C$70</f>
        <v>-2204.9233269230767</v>
      </c>
      <c r="AT129" s="147">
        <v>-159.43</v>
      </c>
      <c r="AU129" s="147">
        <f t="shared" si="19"/>
        <v>-53.83</v>
      </c>
      <c r="AV129" s="151">
        <f t="shared" si="20"/>
        <v>44512.13025</v>
      </c>
      <c r="AW129" s="155"/>
      <c r="AX129" s="155"/>
      <c r="AY129" s="140" t="s">
        <v>4</v>
      </c>
    </row>
    <row r="130" spans="1:51" s="117" customFormat="1" ht="11.25" customHeight="1">
      <c r="A130" s="139">
        <v>127</v>
      </c>
      <c r="B130" s="139"/>
      <c r="C130" s="140" t="s">
        <v>374</v>
      </c>
      <c r="D130" s="140"/>
      <c r="E130" s="140">
        <f t="shared" si="13"/>
        <v>35</v>
      </c>
      <c r="F130" s="141" t="s">
        <v>375</v>
      </c>
      <c r="G130" s="142">
        <v>61</v>
      </c>
      <c r="H130" s="143">
        <f>INT((G130*Valores!$C$2*100)+0.5)/100</f>
        <v>569.72</v>
      </c>
      <c r="I130" s="161">
        <v>1217</v>
      </c>
      <c r="J130" s="145">
        <f>INT((I130*Valores!$C$2*100)+0.5)/100</f>
        <v>11366.41</v>
      </c>
      <c r="K130" s="160">
        <v>0</v>
      </c>
      <c r="L130" s="145">
        <f>INT((K130*Valores!$C$2*100)+0.5)/100</f>
        <v>0</v>
      </c>
      <c r="M130" s="158">
        <v>0</v>
      </c>
      <c r="N130" s="145">
        <f>INT((M130*Valores!$C$2*100)+0.5)/100</f>
        <v>0</v>
      </c>
      <c r="O130" s="145">
        <f t="shared" si="14"/>
        <v>2589.255</v>
      </c>
      <c r="P130" s="145">
        <f t="shared" si="15"/>
        <v>0</v>
      </c>
      <c r="Q130" s="147">
        <f>Valores!$C$20</f>
        <v>8160.2</v>
      </c>
      <c r="R130" s="147">
        <f>Valores!$D$4</f>
        <v>4774.45</v>
      </c>
      <c r="S130" s="148">
        <f>Valores!$C$27</f>
        <v>4359.58</v>
      </c>
      <c r="T130" s="148">
        <f>IF($H$5="NO",Valores!$C$42,Valores!$C$42/2)</f>
        <v>1428.56</v>
      </c>
      <c r="U130" s="159">
        <f>Valores!$C$24</f>
        <v>3897.01</v>
      </c>
      <c r="V130" s="145">
        <f t="shared" si="21"/>
        <v>3897.01</v>
      </c>
      <c r="W130" s="145">
        <v>0</v>
      </c>
      <c r="X130" s="145">
        <v>0</v>
      </c>
      <c r="Y130" s="149">
        <v>0</v>
      </c>
      <c r="Z130" s="145">
        <f>Y130*Valores!$C$2</f>
        <v>0</v>
      </c>
      <c r="AA130" s="145">
        <v>0</v>
      </c>
      <c r="AB130" s="148">
        <f>Valores!$C$89</f>
        <v>1153.8461538461538</v>
      </c>
      <c r="AC130" s="150">
        <f>Valores!$C$30</f>
        <v>199.86</v>
      </c>
      <c r="AD130" s="145">
        <f t="shared" si="17"/>
        <v>0</v>
      </c>
      <c r="AE130" s="145">
        <f>Valores!$C$31</f>
        <v>199.86</v>
      </c>
      <c r="AF130" s="149">
        <v>0</v>
      </c>
      <c r="AG130" s="145">
        <f>INT(((AF130*Valores!$C$2)*100)+0.5)/100</f>
        <v>0</v>
      </c>
      <c r="AH130" s="145">
        <f>IF($H$5="NO",Valores!$C$59,Valores!$C$59/2)</f>
        <v>406.53</v>
      </c>
      <c r="AI130" s="145">
        <f>IF($H$5="NO",Valores!$C$61,Valores!$C$61/2)</f>
        <v>116.15</v>
      </c>
      <c r="AJ130" s="151">
        <f t="shared" si="18"/>
        <v>39221.431153846155</v>
      </c>
      <c r="AK130" s="147">
        <f>Valores!$C$36</f>
        <v>1046.83</v>
      </c>
      <c r="AL130" s="148">
        <f>Valores!$C$7</f>
        <v>0</v>
      </c>
      <c r="AM130" s="148">
        <f>Valores!$C$84</f>
        <v>2275</v>
      </c>
      <c r="AN130" s="148"/>
      <c r="AO130" s="150">
        <f>Valores!$C$52</f>
        <v>170.34</v>
      </c>
      <c r="AP130" s="152">
        <f t="shared" si="16"/>
        <v>3321.83</v>
      </c>
      <c r="AQ130" s="153">
        <f>AJ130*-Valores!$C$68</f>
        <v>-4314.357426923077</v>
      </c>
      <c r="AR130" s="153">
        <f>AJ130*-Valores!$C$69</f>
        <v>0</v>
      </c>
      <c r="AS130" s="147">
        <f>AJ130*-Valores!$C$70</f>
        <v>-1764.9644019230768</v>
      </c>
      <c r="AT130" s="147">
        <v>-159.43</v>
      </c>
      <c r="AU130" s="147">
        <f t="shared" si="19"/>
        <v>-53.83</v>
      </c>
      <c r="AV130" s="151">
        <f t="shared" si="20"/>
        <v>36250.679325000005</v>
      </c>
      <c r="AW130" s="155"/>
      <c r="AX130" s="155">
        <v>25</v>
      </c>
      <c r="AY130" s="140" t="s">
        <v>4</v>
      </c>
    </row>
    <row r="131" spans="1:51" s="117" customFormat="1" ht="11.25" customHeight="1">
      <c r="A131" s="139">
        <v>128</v>
      </c>
      <c r="B131" s="139"/>
      <c r="C131" s="140" t="s">
        <v>376</v>
      </c>
      <c r="D131" s="140"/>
      <c r="E131" s="140">
        <f t="shared" si="13"/>
        <v>32</v>
      </c>
      <c r="F131" s="141" t="s">
        <v>377</v>
      </c>
      <c r="G131" s="142">
        <v>72</v>
      </c>
      <c r="H131" s="143">
        <f>INT((G131*Valores!$C$2*100)+0.5)/100</f>
        <v>672.46</v>
      </c>
      <c r="I131" s="161">
        <v>1206</v>
      </c>
      <c r="J131" s="145">
        <f>INT((I131*Valores!$C$2*100)+0.5)/100</f>
        <v>11263.68</v>
      </c>
      <c r="K131" s="160">
        <v>0</v>
      </c>
      <c r="L131" s="145">
        <f>INT((K131*Valores!$C$2*100)+0.5)/100</f>
        <v>0</v>
      </c>
      <c r="M131" s="158">
        <v>0</v>
      </c>
      <c r="N131" s="145">
        <f>INT((M131*Valores!$C$2*100)+0.5)/100</f>
        <v>0</v>
      </c>
      <c r="O131" s="145">
        <f t="shared" si="14"/>
        <v>2589.2565</v>
      </c>
      <c r="P131" s="145">
        <f t="shared" si="15"/>
        <v>0</v>
      </c>
      <c r="Q131" s="147">
        <f>Valores!$C$20</f>
        <v>8160.2</v>
      </c>
      <c r="R131" s="147">
        <f>Valores!$D$4</f>
        <v>4774.45</v>
      </c>
      <c r="S131" s="162">
        <f>Valores!$C$27</f>
        <v>4359.58</v>
      </c>
      <c r="T131" s="148">
        <f>IF($H$5="NO",Valores!$C$42,Valores!$C$42/2)</f>
        <v>1428.56</v>
      </c>
      <c r="U131" s="145">
        <f>Valores!$C$24</f>
        <v>3897.01</v>
      </c>
      <c r="V131" s="145">
        <f t="shared" si="21"/>
        <v>3897.01</v>
      </c>
      <c r="W131" s="145">
        <v>0</v>
      </c>
      <c r="X131" s="145">
        <v>0</v>
      </c>
      <c r="Y131" s="149">
        <v>0</v>
      </c>
      <c r="Z131" s="145">
        <f>Y131*Valores!$C$2</f>
        <v>0</v>
      </c>
      <c r="AA131" s="145">
        <v>0</v>
      </c>
      <c r="AB131" s="148">
        <f>Valores!$C$89</f>
        <v>1153.8461538461538</v>
      </c>
      <c r="AC131" s="150">
        <f>Valores!$C$30</f>
        <v>199.86</v>
      </c>
      <c r="AD131" s="145">
        <f t="shared" si="17"/>
        <v>0</v>
      </c>
      <c r="AE131" s="145">
        <f>Valores!$C$31</f>
        <v>199.86</v>
      </c>
      <c r="AF131" s="149">
        <v>94</v>
      </c>
      <c r="AG131" s="145">
        <f>INT(((AF131*Valores!$C$2)*100)+0.5)/100</f>
        <v>877.93</v>
      </c>
      <c r="AH131" s="145">
        <f>IF($H$5="NO",Valores!$C$59,Valores!$C$59/2)</f>
        <v>406.53</v>
      </c>
      <c r="AI131" s="145">
        <f>IF($H$5="NO",Valores!$C$61,Valores!$C$61/2)</f>
        <v>116.15</v>
      </c>
      <c r="AJ131" s="151">
        <f t="shared" si="18"/>
        <v>40099.372653846156</v>
      </c>
      <c r="AK131" s="147">
        <f>Valores!$C$36</f>
        <v>1046.83</v>
      </c>
      <c r="AL131" s="148">
        <f>Valores!$C$7</f>
        <v>0</v>
      </c>
      <c r="AM131" s="148">
        <f>Valores!$C$84</f>
        <v>2275</v>
      </c>
      <c r="AN131" s="148"/>
      <c r="AO131" s="150">
        <f>Valores!$C$52</f>
        <v>170.34</v>
      </c>
      <c r="AP131" s="152">
        <f t="shared" si="16"/>
        <v>3321.83</v>
      </c>
      <c r="AQ131" s="153">
        <f>AJ131*-Valores!$C$68</f>
        <v>-4410.930991923077</v>
      </c>
      <c r="AR131" s="153">
        <f>AJ131*-Valores!$C$69</f>
        <v>0</v>
      </c>
      <c r="AS131" s="147">
        <f>AJ131*-Valores!$C$70</f>
        <v>-1804.471769423077</v>
      </c>
      <c r="AT131" s="147">
        <v>-159.43</v>
      </c>
      <c r="AU131" s="147">
        <f t="shared" si="19"/>
        <v>-53.83</v>
      </c>
      <c r="AV131" s="151">
        <f t="shared" si="20"/>
        <v>36992.5398925</v>
      </c>
      <c r="AW131" s="155"/>
      <c r="AX131" s="155">
        <v>20</v>
      </c>
      <c r="AY131" s="140" t="s">
        <v>4</v>
      </c>
    </row>
    <row r="132" spans="1:51" s="117" customFormat="1" ht="11.25" customHeight="1">
      <c r="A132" s="139">
        <v>129</v>
      </c>
      <c r="B132" s="139"/>
      <c r="C132" s="140" t="s">
        <v>378</v>
      </c>
      <c r="D132" s="140"/>
      <c r="E132" s="140">
        <f t="shared" si="13"/>
        <v>33</v>
      </c>
      <c r="F132" s="141" t="s">
        <v>379</v>
      </c>
      <c r="G132" s="142">
        <v>61</v>
      </c>
      <c r="H132" s="143">
        <f>INT((G132*Valores!$C$2*100)+0.5)/100</f>
        <v>569.72</v>
      </c>
      <c r="I132" s="161">
        <v>1217</v>
      </c>
      <c r="J132" s="145">
        <f>INT((I132*Valores!$C$2*100)+0.5)/100</f>
        <v>11366.41</v>
      </c>
      <c r="K132" s="160">
        <v>0</v>
      </c>
      <c r="L132" s="145">
        <f>INT((K132*Valores!$C$2*100)+0.5)/100</f>
        <v>0</v>
      </c>
      <c r="M132" s="158">
        <v>0</v>
      </c>
      <c r="N132" s="145">
        <f>INT((M132*Valores!$C$2*100)+0.5)/100</f>
        <v>0</v>
      </c>
      <c r="O132" s="145">
        <f t="shared" si="14"/>
        <v>2582.28</v>
      </c>
      <c r="P132" s="145">
        <f t="shared" si="15"/>
        <v>0</v>
      </c>
      <c r="Q132" s="147">
        <f>Valores!$C$20</f>
        <v>8160.2</v>
      </c>
      <c r="R132" s="147">
        <f>Valores!$D$4</f>
        <v>4774.45</v>
      </c>
      <c r="S132" s="145">
        <v>0</v>
      </c>
      <c r="T132" s="148">
        <f>IF($H$5="NO",Valores!$C$42,Valores!$C$42/2)</f>
        <v>1428.56</v>
      </c>
      <c r="U132" s="159">
        <f>Valores!$C$25</f>
        <v>3850.51</v>
      </c>
      <c r="V132" s="145">
        <f t="shared" si="21"/>
        <v>3850.51</v>
      </c>
      <c r="W132" s="145">
        <v>0</v>
      </c>
      <c r="X132" s="145">
        <v>0</v>
      </c>
      <c r="Y132" s="149">
        <v>0</v>
      </c>
      <c r="Z132" s="145">
        <f>Y132*Valores!$C$2</f>
        <v>0</v>
      </c>
      <c r="AA132" s="145">
        <v>0</v>
      </c>
      <c r="AB132" s="148">
        <f>Valores!$C$89</f>
        <v>1153.8461538461538</v>
      </c>
      <c r="AC132" s="150">
        <f>Valores!$C$30</f>
        <v>199.86</v>
      </c>
      <c r="AD132" s="145">
        <f t="shared" si="17"/>
        <v>0</v>
      </c>
      <c r="AE132" s="145">
        <f>Valores!$C$31</f>
        <v>199.86</v>
      </c>
      <c r="AF132" s="149">
        <v>0</v>
      </c>
      <c r="AG132" s="145">
        <f>INT(((AF132*Valores!$C$2)*100)+0.5)/100</f>
        <v>0</v>
      </c>
      <c r="AH132" s="145">
        <f>IF($H$5="NO",Valores!$C$59,Valores!$C$59/2)</f>
        <v>406.53</v>
      </c>
      <c r="AI132" s="145">
        <f>IF($H$5="NO",Valores!$C$61,Valores!$C$61/2)</f>
        <v>116.15</v>
      </c>
      <c r="AJ132" s="151">
        <f t="shared" si="18"/>
        <v>34808.376153846155</v>
      </c>
      <c r="AK132" s="147">
        <f>Valores!$C$36</f>
        <v>1046.83</v>
      </c>
      <c r="AL132" s="148">
        <f>Valores!$C$7</f>
        <v>0</v>
      </c>
      <c r="AM132" s="148">
        <f>Valores!$C$84</f>
        <v>2275</v>
      </c>
      <c r="AN132" s="148"/>
      <c r="AO132" s="150">
        <f>Valores!$C$52</f>
        <v>170.34</v>
      </c>
      <c r="AP132" s="152">
        <f t="shared" si="16"/>
        <v>3321.83</v>
      </c>
      <c r="AQ132" s="153">
        <f>AJ132*-Valores!$C$68</f>
        <v>-3828.921376923077</v>
      </c>
      <c r="AR132" s="153">
        <f>AJ132*-Valores!$C$69</f>
        <v>0</v>
      </c>
      <c r="AS132" s="147">
        <f>AJ132*-Valores!$C$70</f>
        <v>-1566.376926923077</v>
      </c>
      <c r="AT132" s="147">
        <v>-159.43</v>
      </c>
      <c r="AU132" s="147">
        <f t="shared" si="19"/>
        <v>-53.83</v>
      </c>
      <c r="AV132" s="151">
        <f t="shared" si="20"/>
        <v>32521.64785</v>
      </c>
      <c r="AW132" s="155"/>
      <c r="AX132" s="155"/>
      <c r="AY132" s="140" t="s">
        <v>8</v>
      </c>
    </row>
    <row r="133" spans="1:51" s="117" customFormat="1" ht="11.25" customHeight="1">
      <c r="A133" s="157">
        <v>130</v>
      </c>
      <c r="B133" s="157" t="s">
        <v>143</v>
      </c>
      <c r="C133" s="140" t="s">
        <v>380</v>
      </c>
      <c r="D133" s="140"/>
      <c r="E133" s="140">
        <f t="shared" si="13"/>
        <v>24</v>
      </c>
      <c r="F133" s="141" t="s">
        <v>381</v>
      </c>
      <c r="G133" s="142">
        <v>1278</v>
      </c>
      <c r="H133" s="143">
        <f>INT((G133*Valores!$C$2*100)+0.5)/100</f>
        <v>11936.14</v>
      </c>
      <c r="I133" s="161">
        <v>0</v>
      </c>
      <c r="J133" s="145">
        <f>INT((I133*Valores!$C$2*100)+0.5)/100</f>
        <v>0</v>
      </c>
      <c r="K133" s="160">
        <v>0</v>
      </c>
      <c r="L133" s="145">
        <f>INT((K133*Valores!$C$2*100)+0.5)/100</f>
        <v>0</v>
      </c>
      <c r="M133" s="158">
        <v>0</v>
      </c>
      <c r="N133" s="145">
        <f>INT((M133*Valores!$C$2*100)+0.5)/100</f>
        <v>0</v>
      </c>
      <c r="O133" s="145">
        <f t="shared" si="14"/>
        <v>2610.9705</v>
      </c>
      <c r="P133" s="145">
        <f t="shared" si="15"/>
        <v>0</v>
      </c>
      <c r="Q133" s="147">
        <f>Valores!$C$20</f>
        <v>8160.2</v>
      </c>
      <c r="R133" s="147">
        <f>Valores!$D$4</f>
        <v>4774.45</v>
      </c>
      <c r="S133" s="159">
        <f>Valores!$C$27</f>
        <v>4359.58</v>
      </c>
      <c r="T133" s="148">
        <f>IF($H$5="NO",Valores!$C$43,Valores!$C$43/2)</f>
        <v>1619.82</v>
      </c>
      <c r="U133" s="159">
        <f>Valores!$C$25</f>
        <v>3850.51</v>
      </c>
      <c r="V133" s="145">
        <f t="shared" si="21"/>
        <v>3850.51</v>
      </c>
      <c r="W133" s="145">
        <v>0</v>
      </c>
      <c r="X133" s="145">
        <v>0</v>
      </c>
      <c r="Y133" s="149">
        <v>0</v>
      </c>
      <c r="Z133" s="145">
        <f>Y133*Valores!$C$2</f>
        <v>0</v>
      </c>
      <c r="AA133" s="145">
        <v>0</v>
      </c>
      <c r="AB133" s="148">
        <f>Valores!$C$89</f>
        <v>1153.8461538461538</v>
      </c>
      <c r="AC133" s="150">
        <f>Valores!$C$30</f>
        <v>199.86</v>
      </c>
      <c r="AD133" s="145">
        <f t="shared" si="17"/>
        <v>0</v>
      </c>
      <c r="AE133" s="145">
        <f>Valores!$C$31</f>
        <v>199.86</v>
      </c>
      <c r="AF133" s="149">
        <v>0</v>
      </c>
      <c r="AG133" s="145">
        <f>INT(((AF133*Valores!$C$2)*100)+0.5)/100</f>
        <v>0</v>
      </c>
      <c r="AH133" s="145">
        <f>IF($H$5="NO",Valores!$C$59,Valores!$C$59/2)</f>
        <v>406.53</v>
      </c>
      <c r="AI133" s="145">
        <f>IF($H$5="NO",Valores!$C$61,Valores!$C$61/2)</f>
        <v>116.15</v>
      </c>
      <c r="AJ133" s="151">
        <f t="shared" si="18"/>
        <v>39387.91665384616</v>
      </c>
      <c r="AK133" s="147">
        <f>Valores!$C$36</f>
        <v>1046.83</v>
      </c>
      <c r="AL133" s="148">
        <f>Valores!$C$8</f>
        <v>0</v>
      </c>
      <c r="AM133" s="148">
        <f>Valores!$C$84</f>
        <v>2275</v>
      </c>
      <c r="AN133" s="148"/>
      <c r="AO133" s="150">
        <f>Valores!$C$52</f>
        <v>170.34</v>
      </c>
      <c r="AP133" s="152">
        <f t="shared" si="16"/>
        <v>3321.83</v>
      </c>
      <c r="AQ133" s="153">
        <f>AJ133*-Valores!$C$68</f>
        <v>-4332.6708319230775</v>
      </c>
      <c r="AR133" s="153">
        <f>AJ133*-Valores!$C$69</f>
        <v>0</v>
      </c>
      <c r="AS133" s="147">
        <f>AJ133*-Valores!$C$70</f>
        <v>-1772.456249423077</v>
      </c>
      <c r="AT133" s="147">
        <v>-159.43</v>
      </c>
      <c r="AU133" s="147">
        <f t="shared" si="19"/>
        <v>-53.83</v>
      </c>
      <c r="AV133" s="151">
        <f t="shared" si="20"/>
        <v>36391.359572500005</v>
      </c>
      <c r="AW133" s="155"/>
      <c r="AX133" s="155">
        <v>22</v>
      </c>
      <c r="AY133" s="140" t="s">
        <v>4</v>
      </c>
    </row>
    <row r="134" spans="1:51" s="117" customFormat="1" ht="11.25" customHeight="1">
      <c r="A134" s="139">
        <v>131</v>
      </c>
      <c r="B134" s="139"/>
      <c r="C134" s="140" t="s">
        <v>382</v>
      </c>
      <c r="D134" s="140"/>
      <c r="E134" s="140">
        <f t="shared" si="13"/>
        <v>30</v>
      </c>
      <c r="F134" s="141" t="s">
        <v>383</v>
      </c>
      <c r="G134" s="142">
        <v>1278</v>
      </c>
      <c r="H134" s="143">
        <f>INT((G134*Valores!$C$2*100)+0.5)/100</f>
        <v>11936.14</v>
      </c>
      <c r="I134" s="161">
        <v>0</v>
      </c>
      <c r="J134" s="145">
        <f>INT((I134*Valores!$C$2*100)+0.5)/100</f>
        <v>0</v>
      </c>
      <c r="K134" s="160">
        <v>0</v>
      </c>
      <c r="L134" s="145">
        <f>INT((K134*Valores!$C$2*100)+0.5)/100</f>
        <v>0</v>
      </c>
      <c r="M134" s="158">
        <v>0</v>
      </c>
      <c r="N134" s="145">
        <f>INT((M134*Valores!$C$2*100)+0.5)/100</f>
        <v>0</v>
      </c>
      <c r="O134" s="145">
        <f t="shared" si="14"/>
        <v>2617.9455000000003</v>
      </c>
      <c r="P134" s="145">
        <f t="shared" si="15"/>
        <v>0</v>
      </c>
      <c r="Q134" s="147">
        <f>Valores!$C$20</f>
        <v>8160.2</v>
      </c>
      <c r="R134" s="147">
        <f>Valores!$D$4</f>
        <v>4774.45</v>
      </c>
      <c r="S134" s="145">
        <f>Valores!$C$27</f>
        <v>4359.58</v>
      </c>
      <c r="T134" s="148">
        <f>IF($H$5="NO",Valores!$C$43,Valores!$C$43/2)</f>
        <v>1619.82</v>
      </c>
      <c r="U134" s="145">
        <f>Valores!$C$24</f>
        <v>3897.01</v>
      </c>
      <c r="V134" s="145">
        <f t="shared" si="21"/>
        <v>3897.01</v>
      </c>
      <c r="W134" s="145">
        <v>0</v>
      </c>
      <c r="X134" s="145">
        <v>0</v>
      </c>
      <c r="Y134" s="149">
        <v>0</v>
      </c>
      <c r="Z134" s="145">
        <f>Y134*Valores!$C$2</f>
        <v>0</v>
      </c>
      <c r="AA134" s="145">
        <v>0</v>
      </c>
      <c r="AB134" s="148">
        <f>Valores!$C$89</f>
        <v>1153.8461538461538</v>
      </c>
      <c r="AC134" s="150">
        <f>Valores!$C$30</f>
        <v>199.86</v>
      </c>
      <c r="AD134" s="145">
        <f t="shared" si="17"/>
        <v>0</v>
      </c>
      <c r="AE134" s="145">
        <f>Valores!$C$31</f>
        <v>199.86</v>
      </c>
      <c r="AF134" s="149">
        <v>94</v>
      </c>
      <c r="AG134" s="145">
        <f>INT(((AF134*Valores!$C$2)*100)+0.5)/100</f>
        <v>877.93</v>
      </c>
      <c r="AH134" s="145">
        <f>IF($H$5="NO",Valores!$C$59,Valores!$C$59/2)</f>
        <v>406.53</v>
      </c>
      <c r="AI134" s="145">
        <f>IF($H$5="NO",Valores!$C$61,Valores!$C$61/2)</f>
        <v>116.15</v>
      </c>
      <c r="AJ134" s="151">
        <f t="shared" si="18"/>
        <v>40319.32165384616</v>
      </c>
      <c r="AK134" s="147">
        <f>Valores!$C$36</f>
        <v>1046.83</v>
      </c>
      <c r="AL134" s="148">
        <f>Valores!$C$8</f>
        <v>0</v>
      </c>
      <c r="AM134" s="148">
        <f>Valores!$C$84</f>
        <v>2275</v>
      </c>
      <c r="AN134" s="148"/>
      <c r="AO134" s="150">
        <f>Valores!$C$52</f>
        <v>170.34</v>
      </c>
      <c r="AP134" s="152">
        <f t="shared" si="16"/>
        <v>3321.83</v>
      </c>
      <c r="AQ134" s="153">
        <f>AJ134*-Valores!$C$68</f>
        <v>-4435.125381923077</v>
      </c>
      <c r="AR134" s="153">
        <f>AJ134*-Valores!$C$69</f>
        <v>0</v>
      </c>
      <c r="AS134" s="147">
        <f>AJ134*-Valores!$C$70</f>
        <v>-1814.369474423077</v>
      </c>
      <c r="AT134" s="147">
        <v>-159.43</v>
      </c>
      <c r="AU134" s="147">
        <f t="shared" si="19"/>
        <v>-53.83</v>
      </c>
      <c r="AV134" s="151">
        <f t="shared" si="20"/>
        <v>37178.396797500005</v>
      </c>
      <c r="AW134" s="155"/>
      <c r="AX134" s="155">
        <v>20</v>
      </c>
      <c r="AY134" s="140" t="s">
        <v>4</v>
      </c>
    </row>
    <row r="135" spans="1:51" s="117" customFormat="1" ht="11.25" customHeight="1">
      <c r="A135" s="139">
        <v>132</v>
      </c>
      <c r="B135" s="139"/>
      <c r="C135" s="140" t="s">
        <v>384</v>
      </c>
      <c r="D135" s="140"/>
      <c r="E135" s="140">
        <f t="shared" si="13"/>
        <v>19</v>
      </c>
      <c r="F135" s="141" t="s">
        <v>385</v>
      </c>
      <c r="G135" s="142">
        <v>936</v>
      </c>
      <c r="H135" s="143">
        <f>INT((G135*Valores!$C$2*100)+0.5)/100</f>
        <v>8741.96</v>
      </c>
      <c r="I135" s="161">
        <v>0</v>
      </c>
      <c r="J135" s="145">
        <f>INT((I135*Valores!$C$2*100)+0.5)/100</f>
        <v>0</v>
      </c>
      <c r="K135" s="160">
        <v>0</v>
      </c>
      <c r="L135" s="145">
        <f>INT((K135*Valores!$C$2*100)+0.5)/100</f>
        <v>0</v>
      </c>
      <c r="M135" s="158">
        <v>0</v>
      </c>
      <c r="N135" s="145">
        <f>INT((M135*Valores!$C$2*100)+0.5)/100</f>
        <v>0</v>
      </c>
      <c r="O135" s="145">
        <f t="shared" si="14"/>
        <v>2103.1544999999996</v>
      </c>
      <c r="P135" s="145">
        <f t="shared" si="15"/>
        <v>0</v>
      </c>
      <c r="Q135" s="159">
        <f>Valores!$C$20</f>
        <v>8160.2</v>
      </c>
      <c r="R135" s="159">
        <f>Valores!$D$4</f>
        <v>4774.45</v>
      </c>
      <c r="S135" s="159">
        <f>Valores!$C$28</f>
        <v>4057.61</v>
      </c>
      <c r="T135" s="148">
        <f>IF($H$5="NO",Valores!$C$42,Valores!$C$42/2)</f>
        <v>1428.56</v>
      </c>
      <c r="U135" s="159">
        <f>Valores!$C$25</f>
        <v>3850.51</v>
      </c>
      <c r="V135" s="145">
        <f t="shared" si="21"/>
        <v>3850.51</v>
      </c>
      <c r="W135" s="145">
        <v>0</v>
      </c>
      <c r="X135" s="145">
        <v>0</v>
      </c>
      <c r="Y135" s="149">
        <v>0</v>
      </c>
      <c r="Z135" s="145">
        <f>Y135*Valores!$C$2</f>
        <v>0</v>
      </c>
      <c r="AA135" s="145">
        <v>0</v>
      </c>
      <c r="AB135" s="148">
        <f>Valores!$C$89</f>
        <v>1153.8461538461538</v>
      </c>
      <c r="AC135" s="150">
        <f>Valores!$C$30</f>
        <v>199.86</v>
      </c>
      <c r="AD135" s="145">
        <f t="shared" si="17"/>
        <v>0</v>
      </c>
      <c r="AE135" s="145">
        <f>Valores!$C$31</f>
        <v>199.86</v>
      </c>
      <c r="AF135" s="164">
        <v>94</v>
      </c>
      <c r="AG135" s="148">
        <f>INT(((AF135*Valores!$C$2)*100)+0.5)/100</f>
        <v>877.93</v>
      </c>
      <c r="AH135" s="145">
        <f>IF($H$5="NO",Valores!$C$59,Valores!$C$59/2)</f>
        <v>406.53</v>
      </c>
      <c r="AI135" s="145">
        <f>IF($H$5="NO",Valores!$C$61,Valores!$C$61/2)</f>
        <v>116.15</v>
      </c>
      <c r="AJ135" s="151">
        <f t="shared" si="18"/>
        <v>36070.620653846156</v>
      </c>
      <c r="AK135" s="159">
        <f>Valores!$C$36</f>
        <v>1046.83</v>
      </c>
      <c r="AL135" s="148">
        <f>Valores!$C$7</f>
        <v>0</v>
      </c>
      <c r="AM135" s="148">
        <f>Valores!$C$84</f>
        <v>2275</v>
      </c>
      <c r="AN135" s="148"/>
      <c r="AO135" s="150">
        <f>Valores!$C$52</f>
        <v>170.34</v>
      </c>
      <c r="AP135" s="152">
        <f t="shared" si="16"/>
        <v>3321.83</v>
      </c>
      <c r="AQ135" s="154">
        <f>AJ135*-Valores!$C$68</f>
        <v>-3967.768271923077</v>
      </c>
      <c r="AR135" s="154">
        <f>AJ135*-Valores!$C$69</f>
        <v>0</v>
      </c>
      <c r="AS135" s="147">
        <f>AJ135*-Valores!$C$70</f>
        <v>-1623.1779294230769</v>
      </c>
      <c r="AT135" s="147">
        <v>-159.43</v>
      </c>
      <c r="AU135" s="147">
        <f t="shared" si="19"/>
        <v>-53.83</v>
      </c>
      <c r="AV135" s="151">
        <f t="shared" si="20"/>
        <v>33588.244452499996</v>
      </c>
      <c r="AW135" s="155">
        <v>8</v>
      </c>
      <c r="AX135" s="155"/>
      <c r="AY135" s="140" t="s">
        <v>4</v>
      </c>
    </row>
    <row r="136" spans="1:51" s="117" customFormat="1" ht="11.25" customHeight="1">
      <c r="A136" s="139">
        <v>133</v>
      </c>
      <c r="B136" s="139"/>
      <c r="C136" s="140" t="s">
        <v>386</v>
      </c>
      <c r="D136" s="140"/>
      <c r="E136" s="140">
        <f t="shared" si="13"/>
        <v>19</v>
      </c>
      <c r="F136" s="141" t="s">
        <v>387</v>
      </c>
      <c r="G136" s="142">
        <v>1278</v>
      </c>
      <c r="H136" s="143">
        <f>INT((G136*Valores!$C$2*100)+0.5)/100</f>
        <v>11936.14</v>
      </c>
      <c r="I136" s="161">
        <v>0</v>
      </c>
      <c r="J136" s="145">
        <f>INT((I136*Valores!$C$2*100)+0.5)/100</f>
        <v>0</v>
      </c>
      <c r="K136" s="160">
        <v>0</v>
      </c>
      <c r="L136" s="145">
        <f>INT((K136*Valores!$C$2*100)+0.5)/100</f>
        <v>0</v>
      </c>
      <c r="M136" s="158">
        <v>0</v>
      </c>
      <c r="N136" s="145">
        <f>INT((M136*Valores!$C$2*100)+0.5)/100</f>
        <v>0</v>
      </c>
      <c r="O136" s="145">
        <f t="shared" si="14"/>
        <v>2582.2814999999996</v>
      </c>
      <c r="P136" s="145">
        <f t="shared" si="15"/>
        <v>0</v>
      </c>
      <c r="Q136" s="159">
        <f>Valores!$C$15</f>
        <v>8642.51</v>
      </c>
      <c r="R136" s="159">
        <f>Valores!$D$4</f>
        <v>4774.45</v>
      </c>
      <c r="S136" s="148">
        <v>0</v>
      </c>
      <c r="T136" s="148">
        <f>IF($H$5="NO",Valores!$C$42,Valores!$C$42/2)</f>
        <v>1428.56</v>
      </c>
      <c r="U136" s="159">
        <f>Valores!$C$25</f>
        <v>3850.51</v>
      </c>
      <c r="V136" s="145">
        <f t="shared" si="21"/>
        <v>3850.51</v>
      </c>
      <c r="W136" s="145">
        <v>0</v>
      </c>
      <c r="X136" s="145">
        <v>0</v>
      </c>
      <c r="Y136" s="149">
        <v>0</v>
      </c>
      <c r="Z136" s="145">
        <f>Y136*Valores!$C$2</f>
        <v>0</v>
      </c>
      <c r="AA136" s="145">
        <v>0</v>
      </c>
      <c r="AB136" s="148">
        <f>Valores!$C$89</f>
        <v>1153.8461538461538</v>
      </c>
      <c r="AC136" s="150">
        <f>Valores!$C$30</f>
        <v>199.86</v>
      </c>
      <c r="AD136" s="145">
        <f t="shared" si="17"/>
        <v>0</v>
      </c>
      <c r="AE136" s="145">
        <f>Valores!$C$31</f>
        <v>199.86</v>
      </c>
      <c r="AF136" s="164">
        <v>94</v>
      </c>
      <c r="AG136" s="148">
        <f>INT(((AF136*Valores!$C$2)*100)+0.5)/100</f>
        <v>877.93</v>
      </c>
      <c r="AH136" s="145">
        <f>IF($H$5="NO",Valores!$C$59,Valores!$C$59/2)</f>
        <v>406.53</v>
      </c>
      <c r="AI136" s="145">
        <f>IF($H$5="NO",Valores!$C$61,Valores!$C$61/2)</f>
        <v>116.15</v>
      </c>
      <c r="AJ136" s="151">
        <f t="shared" si="18"/>
        <v>36168.62765384615</v>
      </c>
      <c r="AK136" s="159">
        <f>Valores!$C$36</f>
        <v>1046.83</v>
      </c>
      <c r="AL136" s="148">
        <f>Valores!$C$7</f>
        <v>0</v>
      </c>
      <c r="AM136" s="148">
        <f>Valores!$C$84</f>
        <v>2275</v>
      </c>
      <c r="AN136" s="148"/>
      <c r="AO136" s="150">
        <f>Valores!$C$52</f>
        <v>170.34</v>
      </c>
      <c r="AP136" s="152">
        <f t="shared" si="16"/>
        <v>3321.83</v>
      </c>
      <c r="AQ136" s="154">
        <f>AJ136*-Valores!$C$68</f>
        <v>-3978.549041923077</v>
      </c>
      <c r="AR136" s="154">
        <f>AJ136*-Valores!$C$69</f>
        <v>0</v>
      </c>
      <c r="AS136" s="147">
        <f>AJ136*-Valores!$C$70</f>
        <v>-1627.5882444230767</v>
      </c>
      <c r="AT136" s="147">
        <v>-159.43</v>
      </c>
      <c r="AU136" s="147">
        <f t="shared" si="19"/>
        <v>-53.83</v>
      </c>
      <c r="AV136" s="151">
        <f t="shared" si="20"/>
        <v>33671.0603675</v>
      </c>
      <c r="AW136" s="155"/>
      <c r="AX136" s="155">
        <v>22</v>
      </c>
      <c r="AY136" s="140" t="s">
        <v>4</v>
      </c>
    </row>
    <row r="137" spans="1:51" s="117" customFormat="1" ht="11.25" customHeight="1">
      <c r="A137" s="139">
        <v>134</v>
      </c>
      <c r="B137" s="139"/>
      <c r="C137" s="140" t="s">
        <v>388</v>
      </c>
      <c r="D137" s="140"/>
      <c r="E137" s="140">
        <f aca="true" t="shared" si="22" ref="E137:E199">LEN(F137)</f>
        <v>26</v>
      </c>
      <c r="F137" s="141" t="s">
        <v>389</v>
      </c>
      <c r="G137" s="142">
        <v>1278</v>
      </c>
      <c r="H137" s="143">
        <f>INT((G137*Valores!$C$2*100)+0.5)/100</f>
        <v>11936.14</v>
      </c>
      <c r="I137" s="161">
        <v>0</v>
      </c>
      <c r="J137" s="145">
        <f>INT((I137*Valores!$C$2*100)+0.5)/100</f>
        <v>0</v>
      </c>
      <c r="K137" s="160">
        <v>0</v>
      </c>
      <c r="L137" s="145">
        <f>INT((K137*Valores!$C$2*100)+0.5)/100</f>
        <v>0</v>
      </c>
      <c r="M137" s="158">
        <v>0</v>
      </c>
      <c r="N137" s="145">
        <f>INT((M137*Valores!$C$2*100)+0.5)/100</f>
        <v>0</v>
      </c>
      <c r="O137" s="145">
        <f aca="true" t="shared" si="23" ref="O137:O199">IF($J$2=0,IF(C137&lt;&gt;"13-930",(SUM(H137,J137,L137,N137,Z137,U137,T137)*$O$2),0),0)</f>
        <v>2617.9455000000003</v>
      </c>
      <c r="P137" s="145">
        <f aca="true" t="shared" si="24" ref="P137:P199">SUM(H137,J137,L137,N137,Z137,T137)*$J$2</f>
        <v>0</v>
      </c>
      <c r="Q137" s="159">
        <f>Valores!$C$15</f>
        <v>8642.51</v>
      </c>
      <c r="R137" s="159">
        <f>Valores!$D$4</f>
        <v>4774.45</v>
      </c>
      <c r="S137" s="159">
        <f>Valores!$C$27</f>
        <v>4359.58</v>
      </c>
      <c r="T137" s="148">
        <f>IF($H$5="NO",Valores!$C$43,Valores!$C$43/2)</f>
        <v>1619.82</v>
      </c>
      <c r="U137" s="145">
        <f>Valores!$C$24</f>
        <v>3897.01</v>
      </c>
      <c r="V137" s="145">
        <f t="shared" si="21"/>
        <v>3897.01</v>
      </c>
      <c r="W137" s="145">
        <v>0</v>
      </c>
      <c r="X137" s="145">
        <v>0</v>
      </c>
      <c r="Y137" s="149">
        <v>0</v>
      </c>
      <c r="Z137" s="145">
        <f>Y137*Valores!$C$2</f>
        <v>0</v>
      </c>
      <c r="AA137" s="145">
        <v>0</v>
      </c>
      <c r="AB137" s="148">
        <f>Valores!$C$89</f>
        <v>1153.8461538461538</v>
      </c>
      <c r="AC137" s="150">
        <f>Valores!$C$30</f>
        <v>199.86</v>
      </c>
      <c r="AD137" s="145">
        <f t="shared" si="17"/>
        <v>0</v>
      </c>
      <c r="AE137" s="145">
        <f>Valores!$C$31</f>
        <v>199.86</v>
      </c>
      <c r="AF137" s="149">
        <v>0</v>
      </c>
      <c r="AG137" s="145">
        <f>INT(((AF137*Valores!$C$2)*100)+0.5)/100</f>
        <v>0</v>
      </c>
      <c r="AH137" s="145">
        <f>IF($H$5="NO",Valores!$C$59,Valores!$C$59/2)</f>
        <v>406.53</v>
      </c>
      <c r="AI137" s="145">
        <f>IF($H$5="NO",Valores!$C$61,Valores!$C$61/2)</f>
        <v>116.15</v>
      </c>
      <c r="AJ137" s="151">
        <f t="shared" si="18"/>
        <v>39923.70165384616</v>
      </c>
      <c r="AK137" s="159">
        <f>Valores!$C$36</f>
        <v>1046.83</v>
      </c>
      <c r="AL137" s="148">
        <f>Valores!$C$8</f>
        <v>0</v>
      </c>
      <c r="AM137" s="148">
        <f>Valores!$C$84</f>
        <v>2275</v>
      </c>
      <c r="AN137" s="148"/>
      <c r="AO137" s="150">
        <f>Valores!$C$52</f>
        <v>170.34</v>
      </c>
      <c r="AP137" s="152">
        <f aca="true" t="shared" si="25" ref="AP137:AP199">IF($H$4="SI",SUM(AK137:AO137),SUM(AK137:AM137))</f>
        <v>3321.83</v>
      </c>
      <c r="AQ137" s="154">
        <f>AJ137*-Valores!$C$68</f>
        <v>-4391.607181923077</v>
      </c>
      <c r="AR137" s="154">
        <f>AJ137*-Valores!$C$69</f>
        <v>0</v>
      </c>
      <c r="AS137" s="147">
        <f>AJ137*-Valores!$C$70</f>
        <v>-1796.566574423077</v>
      </c>
      <c r="AT137" s="147">
        <v>-159.43</v>
      </c>
      <c r="AU137" s="147">
        <f t="shared" si="19"/>
        <v>-53.83</v>
      </c>
      <c r="AV137" s="151">
        <f t="shared" si="20"/>
        <v>36844.0978975</v>
      </c>
      <c r="AW137" s="155"/>
      <c r="AX137" s="155"/>
      <c r="AY137" s="140" t="s">
        <v>4</v>
      </c>
    </row>
    <row r="138" spans="1:51" s="117" customFormat="1" ht="11.25" customHeight="1">
      <c r="A138" s="157">
        <v>135</v>
      </c>
      <c r="B138" s="157" t="s">
        <v>143</v>
      </c>
      <c r="C138" s="140" t="s">
        <v>390</v>
      </c>
      <c r="D138" s="140"/>
      <c r="E138" s="140">
        <f t="shared" si="22"/>
        <v>19</v>
      </c>
      <c r="F138" s="141" t="s">
        <v>391</v>
      </c>
      <c r="G138" s="142">
        <v>1278</v>
      </c>
      <c r="H138" s="143">
        <f>INT((G138*Valores!$C$2*100)+0.5)/100</f>
        <v>11936.14</v>
      </c>
      <c r="I138" s="161">
        <v>0</v>
      </c>
      <c r="J138" s="145">
        <f>INT((I138*Valores!$C$2*100)+0.5)/100</f>
        <v>0</v>
      </c>
      <c r="K138" s="160">
        <v>0</v>
      </c>
      <c r="L138" s="145">
        <f>INT((K138*Valores!$C$2*100)+0.5)/100</f>
        <v>0</v>
      </c>
      <c r="M138" s="158">
        <v>0</v>
      </c>
      <c r="N138" s="145">
        <f>INT((M138*Valores!$C$2*100)+0.5)/100</f>
        <v>0</v>
      </c>
      <c r="O138" s="145">
        <f t="shared" si="23"/>
        <v>2617.9455000000003</v>
      </c>
      <c r="P138" s="145">
        <f t="shared" si="24"/>
        <v>0</v>
      </c>
      <c r="Q138" s="159">
        <f>Valores!$C$15</f>
        <v>8642.51</v>
      </c>
      <c r="R138" s="159">
        <f>Valores!$D$4</f>
        <v>4774.45</v>
      </c>
      <c r="S138" s="159">
        <f>Valores!$C$27</f>
        <v>4359.58</v>
      </c>
      <c r="T138" s="148">
        <f>IF($H$5="NO",Valores!$C$43,Valores!$C$43/2)</f>
        <v>1619.82</v>
      </c>
      <c r="U138" s="145">
        <f>Valores!$C$24</f>
        <v>3897.01</v>
      </c>
      <c r="V138" s="145">
        <f t="shared" si="21"/>
        <v>3897.01</v>
      </c>
      <c r="W138" s="145">
        <v>0</v>
      </c>
      <c r="X138" s="145">
        <v>0</v>
      </c>
      <c r="Y138" s="149">
        <v>0</v>
      </c>
      <c r="Z138" s="145">
        <f>Y138*Valores!$C$2</f>
        <v>0</v>
      </c>
      <c r="AA138" s="145">
        <v>0</v>
      </c>
      <c r="AB138" s="148">
        <f>Valores!$C$89</f>
        <v>1153.8461538461538</v>
      </c>
      <c r="AC138" s="150">
        <f>Valores!$C$30</f>
        <v>199.86</v>
      </c>
      <c r="AD138" s="145">
        <f aca="true" t="shared" si="26" ref="AD138:AD200">SUM(H138,J138,L138,Z138,T138)*$H$3/100</f>
        <v>0</v>
      </c>
      <c r="AE138" s="145">
        <f>Valores!$C$31</f>
        <v>199.86</v>
      </c>
      <c r="AF138" s="149">
        <v>0</v>
      </c>
      <c r="AG138" s="145">
        <f>INT(((AF138*Valores!$C$2)*100)+0.5)/100</f>
        <v>0</v>
      </c>
      <c r="AH138" s="145">
        <f>IF($H$5="NO",Valores!$C$59,Valores!$C$59/2)</f>
        <v>406.53</v>
      </c>
      <c r="AI138" s="145">
        <f>IF($H$5="NO",Valores!$C$61,Valores!$C$61/2)</f>
        <v>116.15</v>
      </c>
      <c r="AJ138" s="151">
        <f aca="true" t="shared" si="27" ref="AJ138:AJ200">SUM(H138,J138,L138,N138,O138,P138,Q138,R138,S138,V138,W138,X138,Z138,AA138,AC138,AD138,AE138,AG138,T138,AH138,AI138,AB138)</f>
        <v>39923.70165384616</v>
      </c>
      <c r="AK138" s="159">
        <f>Valores!$C$36</f>
        <v>1046.83</v>
      </c>
      <c r="AL138" s="148">
        <f>Valores!$C$8</f>
        <v>0</v>
      </c>
      <c r="AM138" s="148">
        <f>Valores!$C$84</f>
        <v>2275</v>
      </c>
      <c r="AN138" s="148"/>
      <c r="AO138" s="150">
        <f>Valores!$C$52</f>
        <v>170.34</v>
      </c>
      <c r="AP138" s="152">
        <f t="shared" si="25"/>
        <v>3321.83</v>
      </c>
      <c r="AQ138" s="154">
        <f>AJ138*-Valores!$C$68</f>
        <v>-4391.607181923077</v>
      </c>
      <c r="AR138" s="154">
        <f>AJ138*-Valores!$C$69</f>
        <v>0</v>
      </c>
      <c r="AS138" s="147">
        <f>AJ138*-Valores!$C$70</f>
        <v>-1796.566574423077</v>
      </c>
      <c r="AT138" s="147">
        <v>-159.43</v>
      </c>
      <c r="AU138" s="147">
        <f aca="true" t="shared" si="28" ref="AU138:AU200">IF($H$6=0,-53.83,(-53.83+$H$6*(-53.83)))</f>
        <v>-53.83</v>
      </c>
      <c r="AV138" s="151">
        <f aca="true" t="shared" si="29" ref="AV138:AV200">AJ138+AP138+AR138+AS138+AQ138+AT138+AU138</f>
        <v>36844.0978975</v>
      </c>
      <c r="AW138" s="155"/>
      <c r="AX138" s="155"/>
      <c r="AY138" s="140" t="s">
        <v>4</v>
      </c>
    </row>
    <row r="139" spans="1:51" s="117" customFormat="1" ht="11.25" customHeight="1">
      <c r="A139" s="139">
        <v>136</v>
      </c>
      <c r="B139" s="139"/>
      <c r="C139" s="140" t="s">
        <v>392</v>
      </c>
      <c r="D139" s="140"/>
      <c r="E139" s="140">
        <f t="shared" si="22"/>
        <v>29</v>
      </c>
      <c r="F139" s="141" t="s">
        <v>393</v>
      </c>
      <c r="G139" s="142">
        <v>1278</v>
      </c>
      <c r="H139" s="143">
        <f>INT((G139*Valores!$C$2*100)+0.5)/100</f>
        <v>11936.14</v>
      </c>
      <c r="I139" s="161">
        <v>0</v>
      </c>
      <c r="J139" s="145">
        <f>INT((I139*Valores!$C$2*100)+0.5)/100</f>
        <v>0</v>
      </c>
      <c r="K139" s="160">
        <v>0</v>
      </c>
      <c r="L139" s="145">
        <f>INT((K139*Valores!$C$2*100)+0.5)/100</f>
        <v>0</v>
      </c>
      <c r="M139" s="158">
        <v>0</v>
      </c>
      <c r="N139" s="145">
        <f>INT((M139*Valores!$C$2*100)+0.5)/100</f>
        <v>0</v>
      </c>
      <c r="O139" s="145">
        <f t="shared" si="23"/>
        <v>2617.9455000000003</v>
      </c>
      <c r="P139" s="145">
        <f t="shared" si="24"/>
        <v>0</v>
      </c>
      <c r="Q139" s="159">
        <f>Valores!$C$20</f>
        <v>8160.2</v>
      </c>
      <c r="R139" s="159">
        <f>Valores!$D$4</f>
        <v>4774.45</v>
      </c>
      <c r="S139" s="145">
        <v>0</v>
      </c>
      <c r="T139" s="148">
        <f>IF($H$5="NO",Valores!$C$43,Valores!$C$43/2)</f>
        <v>1619.82</v>
      </c>
      <c r="U139" s="145">
        <f>Valores!$C$24</f>
        <v>3897.01</v>
      </c>
      <c r="V139" s="145">
        <f t="shared" si="21"/>
        <v>3897.01</v>
      </c>
      <c r="W139" s="145">
        <v>0</v>
      </c>
      <c r="X139" s="145">
        <v>0</v>
      </c>
      <c r="Y139" s="149">
        <v>0</v>
      </c>
      <c r="Z139" s="145">
        <f>Y139*Valores!$C$2</f>
        <v>0</v>
      </c>
      <c r="AA139" s="145">
        <v>0</v>
      </c>
      <c r="AB139" s="148">
        <f>Valores!$C$89</f>
        <v>1153.8461538461538</v>
      </c>
      <c r="AC139" s="150">
        <f>Valores!$C$30</f>
        <v>199.86</v>
      </c>
      <c r="AD139" s="145">
        <f t="shared" si="26"/>
        <v>0</v>
      </c>
      <c r="AE139" s="145">
        <f>Valores!$C$31</f>
        <v>199.86</v>
      </c>
      <c r="AF139" s="149">
        <v>0</v>
      </c>
      <c r="AG139" s="145">
        <f>INT(((AF139*Valores!$C$2)*100)+0.5)/100</f>
        <v>0</v>
      </c>
      <c r="AH139" s="145">
        <f>IF($H$5="NO",Valores!$C$59,Valores!$C$59/2)</f>
        <v>406.53</v>
      </c>
      <c r="AI139" s="145">
        <f>IF($H$5="NO",Valores!$C$61,Valores!$C$61/2)</f>
        <v>116.15</v>
      </c>
      <c r="AJ139" s="151">
        <f t="shared" si="27"/>
        <v>35081.811653846155</v>
      </c>
      <c r="AK139" s="159">
        <f>Valores!$C$36</f>
        <v>1046.83</v>
      </c>
      <c r="AL139" s="148">
        <f>Valores!$C$8</f>
        <v>0</v>
      </c>
      <c r="AM139" s="148">
        <f>Valores!$C$84</f>
        <v>2275</v>
      </c>
      <c r="AN139" s="148"/>
      <c r="AO139" s="150">
        <f>Valores!$C$52</f>
        <v>170.34</v>
      </c>
      <c r="AP139" s="152">
        <f t="shared" si="25"/>
        <v>3321.83</v>
      </c>
      <c r="AQ139" s="154">
        <f>AJ139*-Valores!$C$68</f>
        <v>-3858.999281923077</v>
      </c>
      <c r="AR139" s="154">
        <f>AJ139*-Valores!$C$69</f>
        <v>0</v>
      </c>
      <c r="AS139" s="147">
        <f>AJ139*-Valores!$C$70</f>
        <v>-1578.681524423077</v>
      </c>
      <c r="AT139" s="147">
        <v>-159.43</v>
      </c>
      <c r="AU139" s="147">
        <f t="shared" si="28"/>
        <v>-53.83</v>
      </c>
      <c r="AV139" s="151">
        <f t="shared" si="29"/>
        <v>32752.700847500004</v>
      </c>
      <c r="AW139" s="155">
        <v>12</v>
      </c>
      <c r="AX139" s="155">
        <v>15</v>
      </c>
      <c r="AY139" s="140" t="s">
        <v>8</v>
      </c>
    </row>
    <row r="140" spans="1:51" s="117" customFormat="1" ht="11.25" customHeight="1">
      <c r="A140" s="139">
        <v>137</v>
      </c>
      <c r="B140" s="139"/>
      <c r="C140" s="140" t="s">
        <v>394</v>
      </c>
      <c r="D140" s="140"/>
      <c r="E140" s="140">
        <f t="shared" si="22"/>
        <v>26</v>
      </c>
      <c r="F140" s="141" t="s">
        <v>395</v>
      </c>
      <c r="G140" s="142">
        <v>616</v>
      </c>
      <c r="H140" s="143">
        <f>INT((G140*Valores!$C$2*100)+0.5)/100</f>
        <v>5753.26</v>
      </c>
      <c r="I140" s="161">
        <v>0</v>
      </c>
      <c r="J140" s="145">
        <f>INT((I140*Valores!$C$2*100)+0.5)/100</f>
        <v>0</v>
      </c>
      <c r="K140" s="160">
        <v>0</v>
      </c>
      <c r="L140" s="145">
        <f>INT((K140*Valores!$C$2*100)+0.5)/100</f>
        <v>0</v>
      </c>
      <c r="M140" s="158">
        <v>0</v>
      </c>
      <c r="N140" s="145">
        <f>INT((M140*Valores!$C$2*100)+0.5)/100</f>
        <v>0</v>
      </c>
      <c r="O140" s="145">
        <f t="shared" si="23"/>
        <v>1690.5135</v>
      </c>
      <c r="P140" s="145">
        <f t="shared" si="24"/>
        <v>0</v>
      </c>
      <c r="Q140" s="159">
        <f>Valores!$C$15</f>
        <v>8642.51</v>
      </c>
      <c r="R140" s="159">
        <f>Valores!$D$4</f>
        <v>4774.45</v>
      </c>
      <c r="S140" s="159">
        <f>Valores!$C$27</f>
        <v>4359.58</v>
      </c>
      <c r="T140" s="148">
        <f>IF($H$5="NO",Valores!$C$43,Valores!$C$43/2)</f>
        <v>1619.82</v>
      </c>
      <c r="U140" s="145">
        <f>Valores!$C$24</f>
        <v>3897.01</v>
      </c>
      <c r="V140" s="145">
        <f t="shared" si="21"/>
        <v>3897.01</v>
      </c>
      <c r="W140" s="145">
        <v>0</v>
      </c>
      <c r="X140" s="145">
        <v>0</v>
      </c>
      <c r="Y140" s="149">
        <v>0</v>
      </c>
      <c r="Z140" s="145">
        <f>Y140*Valores!$C$2</f>
        <v>0</v>
      </c>
      <c r="AA140" s="145">
        <v>0</v>
      </c>
      <c r="AB140" s="148">
        <f>Valores!$C$89</f>
        <v>1153.8461538461538</v>
      </c>
      <c r="AC140" s="150">
        <f>Valores!$C$30</f>
        <v>199.86</v>
      </c>
      <c r="AD140" s="145">
        <f t="shared" si="26"/>
        <v>0</v>
      </c>
      <c r="AE140" s="145">
        <f>Valores!$C$31</f>
        <v>199.86</v>
      </c>
      <c r="AF140" s="149">
        <v>0</v>
      </c>
      <c r="AG140" s="145">
        <f>INT(((AF140*Valores!$C$2)*100)+0.5)/100</f>
        <v>0</v>
      </c>
      <c r="AH140" s="145">
        <f>IF($H$5="NO",Valores!$C$59,Valores!$C$59/2)</f>
        <v>406.53</v>
      </c>
      <c r="AI140" s="145">
        <f>IF($H$5="NO",Valores!$C$61,Valores!$C$61/2)</f>
        <v>116.15</v>
      </c>
      <c r="AJ140" s="151">
        <f t="shared" si="27"/>
        <v>32813.38965384616</v>
      </c>
      <c r="AK140" s="159">
        <f>Valores!$C$36</f>
        <v>1046.83</v>
      </c>
      <c r="AL140" s="148">
        <f>Valores!$C$8</f>
        <v>0</v>
      </c>
      <c r="AM140" s="148">
        <f>Valores!$C$84</f>
        <v>2275</v>
      </c>
      <c r="AN140" s="148"/>
      <c r="AO140" s="150">
        <f>Valores!$C$52</f>
        <v>170.34</v>
      </c>
      <c r="AP140" s="152">
        <f t="shared" si="25"/>
        <v>3321.83</v>
      </c>
      <c r="AQ140" s="154">
        <f>AJ140*-Valores!$C$68</f>
        <v>-3609.4728619230777</v>
      </c>
      <c r="AR140" s="154">
        <f>AJ140*-Valores!$C$69</f>
        <v>0</v>
      </c>
      <c r="AS140" s="147">
        <f>AJ140*-Valores!$C$70</f>
        <v>-1476.6025344230773</v>
      </c>
      <c r="AT140" s="147">
        <v>-159.43</v>
      </c>
      <c r="AU140" s="147">
        <f t="shared" si="28"/>
        <v>-53.83</v>
      </c>
      <c r="AV140" s="151">
        <f t="shared" si="29"/>
        <v>30835.884257500005</v>
      </c>
      <c r="AW140" s="155">
        <v>6</v>
      </c>
      <c r="AX140" s="155"/>
      <c r="AY140" s="140" t="s">
        <v>4</v>
      </c>
    </row>
    <row r="141" spans="1:51" s="117" customFormat="1" ht="11.25" customHeight="1">
      <c r="A141" s="139">
        <v>138</v>
      </c>
      <c r="B141" s="139"/>
      <c r="C141" s="140" t="s">
        <v>396</v>
      </c>
      <c r="D141" s="140"/>
      <c r="E141" s="140">
        <f t="shared" si="22"/>
        <v>31</v>
      </c>
      <c r="F141" s="141" t="s">
        <v>397</v>
      </c>
      <c r="G141" s="142">
        <v>1278</v>
      </c>
      <c r="H141" s="143">
        <f>INT((G141*Valores!$C$2*100)+0.5)/100</f>
        <v>11936.14</v>
      </c>
      <c r="I141" s="161">
        <v>0</v>
      </c>
      <c r="J141" s="145">
        <f>INT((I141*Valores!$C$2*100)+0.5)/100</f>
        <v>0</v>
      </c>
      <c r="K141" s="160">
        <v>0</v>
      </c>
      <c r="L141" s="145">
        <f>INT((K141*Valores!$C$2*100)+0.5)/100</f>
        <v>0</v>
      </c>
      <c r="M141" s="158">
        <v>0</v>
      </c>
      <c r="N141" s="145">
        <f>INT((M141*Valores!$C$2*100)+0.5)/100</f>
        <v>0</v>
      </c>
      <c r="O141" s="145">
        <f t="shared" si="23"/>
        <v>2610.9705</v>
      </c>
      <c r="P141" s="145">
        <f t="shared" si="24"/>
        <v>0</v>
      </c>
      <c r="Q141" s="159">
        <f>Valores!$C$20</f>
        <v>8160.2</v>
      </c>
      <c r="R141" s="159">
        <f>Valores!$D$4</f>
        <v>4774.45</v>
      </c>
      <c r="S141" s="145">
        <v>0</v>
      </c>
      <c r="T141" s="148">
        <f>IF($H$5="NO",Valores!$C$43,Valores!$C$43/2)</f>
        <v>1619.82</v>
      </c>
      <c r="U141" s="159">
        <f>Valores!$C$25</f>
        <v>3850.51</v>
      </c>
      <c r="V141" s="145">
        <f t="shared" si="21"/>
        <v>3850.51</v>
      </c>
      <c r="W141" s="145">
        <v>0</v>
      </c>
      <c r="X141" s="145">
        <v>0</v>
      </c>
      <c r="Y141" s="149">
        <v>0</v>
      </c>
      <c r="Z141" s="145">
        <f>Y141*Valores!$C$2</f>
        <v>0</v>
      </c>
      <c r="AA141" s="145">
        <v>0</v>
      </c>
      <c r="AB141" s="148">
        <f>Valores!$C$89</f>
        <v>1153.8461538461538</v>
      </c>
      <c r="AC141" s="150">
        <f>Valores!$C$30</f>
        <v>199.86</v>
      </c>
      <c r="AD141" s="145">
        <f t="shared" si="26"/>
        <v>0</v>
      </c>
      <c r="AE141" s="145">
        <f>Valores!$C$31</f>
        <v>199.86</v>
      </c>
      <c r="AF141" s="149">
        <v>0</v>
      </c>
      <c r="AG141" s="145">
        <f>INT(((AF141*Valores!$C$2)*100)+0.5)/100</f>
        <v>0</v>
      </c>
      <c r="AH141" s="145">
        <f>IF($H$5="NO",Valores!$C$59,Valores!$C$59/2)</f>
        <v>406.53</v>
      </c>
      <c r="AI141" s="145">
        <f>IF($H$5="NO",Valores!$C$61,Valores!$C$61/2)</f>
        <v>116.15</v>
      </c>
      <c r="AJ141" s="151">
        <f t="shared" si="27"/>
        <v>35028.336653846156</v>
      </c>
      <c r="AK141" s="159">
        <f>Valores!$C$36</f>
        <v>1046.83</v>
      </c>
      <c r="AL141" s="148">
        <f>Valores!$C$8</f>
        <v>0</v>
      </c>
      <c r="AM141" s="148">
        <f>Valores!$C$84</f>
        <v>2275</v>
      </c>
      <c r="AN141" s="148"/>
      <c r="AO141" s="150">
        <f>Valores!$C$54</f>
        <v>155.54</v>
      </c>
      <c r="AP141" s="152">
        <f t="shared" si="25"/>
        <v>3321.83</v>
      </c>
      <c r="AQ141" s="154">
        <f>AJ141*-Valores!$C$68</f>
        <v>-3853.1170319230773</v>
      </c>
      <c r="AR141" s="154">
        <f>AJ141*-Valores!$C$69</f>
        <v>0</v>
      </c>
      <c r="AS141" s="147">
        <f>AJ141*-Valores!$C$70</f>
        <v>-1576.275149423077</v>
      </c>
      <c r="AT141" s="147">
        <v>-159.43</v>
      </c>
      <c r="AU141" s="147">
        <f t="shared" si="28"/>
        <v>-53.83</v>
      </c>
      <c r="AV141" s="151">
        <f t="shared" si="29"/>
        <v>32707.5144725</v>
      </c>
      <c r="AW141" s="155">
        <v>12</v>
      </c>
      <c r="AX141" s="155">
        <v>15</v>
      </c>
      <c r="AY141" s="140" t="s">
        <v>4</v>
      </c>
    </row>
    <row r="142" spans="1:51" s="117" customFormat="1" ht="11.25" customHeight="1">
      <c r="A142" s="139">
        <v>139</v>
      </c>
      <c r="B142" s="139"/>
      <c r="C142" s="140" t="s">
        <v>398</v>
      </c>
      <c r="D142" s="140"/>
      <c r="E142" s="140">
        <f t="shared" si="22"/>
        <v>33</v>
      </c>
      <c r="F142" s="141" t="s">
        <v>399</v>
      </c>
      <c r="G142" s="142">
        <v>1983</v>
      </c>
      <c r="H142" s="143">
        <f>INT((G142*Valores!$C$2*100)+0.5)/100</f>
        <v>18520.63</v>
      </c>
      <c r="I142" s="161">
        <v>0</v>
      </c>
      <c r="J142" s="145">
        <f>INT((I142*Valores!$C$2*100)+0.5)/100</f>
        <v>0</v>
      </c>
      <c r="K142" s="160">
        <v>0</v>
      </c>
      <c r="L142" s="145">
        <f>INT((K142*Valores!$C$2*100)+0.5)/100</f>
        <v>0</v>
      </c>
      <c r="M142" s="158">
        <v>0</v>
      </c>
      <c r="N142" s="145">
        <f>INT((M142*Valores!$C$2*100)+0.5)/100</f>
        <v>0</v>
      </c>
      <c r="O142" s="145">
        <f t="shared" si="23"/>
        <v>3605.6189999999997</v>
      </c>
      <c r="P142" s="145">
        <f t="shared" si="24"/>
        <v>0</v>
      </c>
      <c r="Q142" s="159">
        <f>Valores!$C$15</f>
        <v>8642.51</v>
      </c>
      <c r="R142" s="159">
        <f>Valores!$D$4</f>
        <v>4774.45</v>
      </c>
      <c r="S142" s="159">
        <f>Valores!$C$27</f>
        <v>4359.58</v>
      </c>
      <c r="T142" s="148">
        <f>IF($H$5="NO",Valores!$C$43,Valores!$C$43/2)</f>
        <v>1619.82</v>
      </c>
      <c r="U142" s="145">
        <f>Valores!$C$24</f>
        <v>3897.01</v>
      </c>
      <c r="V142" s="145">
        <f t="shared" si="21"/>
        <v>3897.01</v>
      </c>
      <c r="W142" s="145">
        <v>0</v>
      </c>
      <c r="X142" s="145">
        <v>0</v>
      </c>
      <c r="Y142" s="149">
        <v>0</v>
      </c>
      <c r="Z142" s="145">
        <f>Y142*Valores!$C$2</f>
        <v>0</v>
      </c>
      <c r="AA142" s="145">
        <v>0</v>
      </c>
      <c r="AB142" s="148">
        <f>Valores!$C$89</f>
        <v>1153.8461538461538</v>
      </c>
      <c r="AC142" s="150">
        <f>Valores!$C$30</f>
        <v>199.86</v>
      </c>
      <c r="AD142" s="145">
        <f t="shared" si="26"/>
        <v>0</v>
      </c>
      <c r="AE142" s="145">
        <f>Valores!$C$31</f>
        <v>199.86</v>
      </c>
      <c r="AF142" s="149">
        <v>94</v>
      </c>
      <c r="AG142" s="145">
        <f>INT(((AF142*Valores!$C$2)*100)+0.5)/100</f>
        <v>877.93</v>
      </c>
      <c r="AH142" s="145">
        <f>IF($H$5="NO",Valores!$C$59,Valores!$C$59/2)</f>
        <v>406.53</v>
      </c>
      <c r="AI142" s="145">
        <f>IF($H$5="NO",Valores!$C$61,Valores!$C$61/2)</f>
        <v>116.15</v>
      </c>
      <c r="AJ142" s="151">
        <f t="shared" si="27"/>
        <v>48373.79515384616</v>
      </c>
      <c r="AK142" s="159">
        <f>Valores!$C$36</f>
        <v>1046.83</v>
      </c>
      <c r="AL142" s="148">
        <f>Valores!$C$8</f>
        <v>0</v>
      </c>
      <c r="AM142" s="148">
        <f>Valores!$C$84</f>
        <v>2275</v>
      </c>
      <c r="AN142" s="148"/>
      <c r="AO142" s="150">
        <f>Valores!$C$52</f>
        <v>170.34</v>
      </c>
      <c r="AP142" s="152">
        <f t="shared" si="25"/>
        <v>3321.83</v>
      </c>
      <c r="AQ142" s="154">
        <f>AJ142*-Valores!$C$68</f>
        <v>-5321.117466923078</v>
      </c>
      <c r="AR142" s="154">
        <f>AJ142*-Valores!$C$69</f>
        <v>0</v>
      </c>
      <c r="AS142" s="147">
        <f>AJ142*-Valores!$C$70</f>
        <v>-2176.820781923077</v>
      </c>
      <c r="AT142" s="147">
        <v>-159.43</v>
      </c>
      <c r="AU142" s="147">
        <f t="shared" si="28"/>
        <v>-53.83</v>
      </c>
      <c r="AV142" s="151">
        <f t="shared" si="29"/>
        <v>43984.42690500001</v>
      </c>
      <c r="AW142" s="155"/>
      <c r="AX142" s="155"/>
      <c r="AY142" s="140" t="s">
        <v>8</v>
      </c>
    </row>
    <row r="143" spans="1:51" s="117" customFormat="1" ht="11.25" customHeight="1">
      <c r="A143" s="157">
        <v>140</v>
      </c>
      <c r="B143" s="157" t="s">
        <v>143</v>
      </c>
      <c r="C143" s="140" t="s">
        <v>400</v>
      </c>
      <c r="D143" s="140"/>
      <c r="E143" s="140">
        <f t="shared" si="22"/>
        <v>29</v>
      </c>
      <c r="F143" s="141" t="s">
        <v>401</v>
      </c>
      <c r="G143" s="142">
        <v>1378</v>
      </c>
      <c r="H143" s="143">
        <f>INT((G143*Valores!$C$2*100)+0.5)/100</f>
        <v>12870.11</v>
      </c>
      <c r="I143" s="161">
        <v>0</v>
      </c>
      <c r="J143" s="145">
        <f>INT((I143*Valores!$C$2*100)+0.5)/100</f>
        <v>0</v>
      </c>
      <c r="K143" s="160">
        <v>0</v>
      </c>
      <c r="L143" s="145">
        <f>INT((K143*Valores!$C$2*100)+0.5)/100</f>
        <v>0</v>
      </c>
      <c r="M143" s="158">
        <v>0</v>
      </c>
      <c r="N143" s="145">
        <f>INT((M143*Valores!$C$2*100)+0.5)/100</f>
        <v>0</v>
      </c>
      <c r="O143" s="145">
        <f t="shared" si="23"/>
        <v>2751.0660000000003</v>
      </c>
      <c r="P143" s="145">
        <f t="shared" si="24"/>
        <v>0</v>
      </c>
      <c r="Q143" s="159">
        <f>Valores!$C$20</f>
        <v>8160.2</v>
      </c>
      <c r="R143" s="159">
        <f>Valores!$D$4</f>
        <v>4774.45</v>
      </c>
      <c r="S143" s="159">
        <f>Valores!$C$27</f>
        <v>4359.58</v>
      </c>
      <c r="T143" s="148">
        <f>IF($H$5="NO",Valores!$C$43,Valores!$C$43/2)</f>
        <v>1619.82</v>
      </c>
      <c r="U143" s="159">
        <f>Valores!$C$25</f>
        <v>3850.51</v>
      </c>
      <c r="V143" s="145">
        <f t="shared" si="21"/>
        <v>3850.51</v>
      </c>
      <c r="W143" s="145">
        <v>0</v>
      </c>
      <c r="X143" s="145">
        <v>0</v>
      </c>
      <c r="Y143" s="149">
        <v>0</v>
      </c>
      <c r="Z143" s="145">
        <f>Y143*Valores!$C$2</f>
        <v>0</v>
      </c>
      <c r="AA143" s="145">
        <v>0</v>
      </c>
      <c r="AB143" s="148">
        <f>Valores!$C$89</f>
        <v>1153.8461538461538</v>
      </c>
      <c r="AC143" s="150">
        <f>Valores!$C$30</f>
        <v>199.86</v>
      </c>
      <c r="AD143" s="145">
        <f t="shared" si="26"/>
        <v>0</v>
      </c>
      <c r="AE143" s="145">
        <f>Valores!$C$31</f>
        <v>199.86</v>
      </c>
      <c r="AF143" s="149">
        <v>0</v>
      </c>
      <c r="AG143" s="145">
        <f>INT(((AF143*Valores!$C$2)*100)+0.5)/100</f>
        <v>0</v>
      </c>
      <c r="AH143" s="145">
        <f>IF($H$5="NO",Valores!$C$59,Valores!$C$59/2)</f>
        <v>406.53</v>
      </c>
      <c r="AI143" s="145">
        <f>IF($H$5="NO",Valores!$C$61,Valores!$C$61/2)</f>
        <v>116.15</v>
      </c>
      <c r="AJ143" s="151">
        <f t="shared" si="27"/>
        <v>40461.98215384616</v>
      </c>
      <c r="AK143" s="159">
        <f>Valores!$C$36</f>
        <v>1046.83</v>
      </c>
      <c r="AL143" s="148">
        <f>Valores!$C$8</f>
        <v>0</v>
      </c>
      <c r="AM143" s="148">
        <f>Valores!$C$84</f>
        <v>2275</v>
      </c>
      <c r="AN143" s="148"/>
      <c r="AO143" s="150">
        <f>Valores!$C$52</f>
        <v>170.34</v>
      </c>
      <c r="AP143" s="152">
        <f t="shared" si="25"/>
        <v>3321.83</v>
      </c>
      <c r="AQ143" s="154">
        <f>AJ143*-Valores!$C$68</f>
        <v>-4450.818036923078</v>
      </c>
      <c r="AR143" s="154">
        <f>AJ143*-Valores!$C$69</f>
        <v>0</v>
      </c>
      <c r="AS143" s="147">
        <f>AJ143*-Valores!$C$70</f>
        <v>-1820.7891969230773</v>
      </c>
      <c r="AT143" s="147">
        <v>-159.43</v>
      </c>
      <c r="AU143" s="147">
        <f t="shared" si="28"/>
        <v>-53.83</v>
      </c>
      <c r="AV143" s="151">
        <f t="shared" si="29"/>
        <v>37298.94492000001</v>
      </c>
      <c r="AW143" s="155"/>
      <c r="AX143" s="155">
        <v>22</v>
      </c>
      <c r="AY143" s="140" t="s">
        <v>4</v>
      </c>
    </row>
    <row r="144" spans="1:51" s="117" customFormat="1" ht="11.25" customHeight="1">
      <c r="A144" s="139">
        <v>141</v>
      </c>
      <c r="B144" s="139"/>
      <c r="C144" s="140" t="s">
        <v>402</v>
      </c>
      <c r="D144" s="140"/>
      <c r="E144" s="140">
        <f t="shared" si="22"/>
        <v>30</v>
      </c>
      <c r="F144" s="141" t="s">
        <v>403</v>
      </c>
      <c r="G144" s="142">
        <v>1278</v>
      </c>
      <c r="H144" s="143">
        <f>INT((G144*Valores!$C$2*100)+0.5)/100</f>
        <v>11936.14</v>
      </c>
      <c r="I144" s="161">
        <v>0</v>
      </c>
      <c r="J144" s="145">
        <f>INT((I144*Valores!$C$2*100)+0.5)/100</f>
        <v>0</v>
      </c>
      <c r="K144" s="160">
        <v>0</v>
      </c>
      <c r="L144" s="145">
        <f>INT((K144*Valores!$C$2*100)+0.5)/100</f>
        <v>0</v>
      </c>
      <c r="M144" s="158">
        <v>0</v>
      </c>
      <c r="N144" s="145">
        <f>INT((M144*Valores!$C$2*100)+0.5)/100</f>
        <v>0</v>
      </c>
      <c r="O144" s="145">
        <f t="shared" si="23"/>
        <v>2617.9455000000003</v>
      </c>
      <c r="P144" s="145">
        <f t="shared" si="24"/>
        <v>0</v>
      </c>
      <c r="Q144" s="159">
        <f>Valores!$C$20</f>
        <v>8160.2</v>
      </c>
      <c r="R144" s="159">
        <f>Valores!$D$4</f>
        <v>4774.45</v>
      </c>
      <c r="S144" s="145">
        <f>Valores!$C$27</f>
        <v>4359.58</v>
      </c>
      <c r="T144" s="148">
        <f>IF($H$5="NO",Valores!$C$43,Valores!$C$43/2)</f>
        <v>1619.82</v>
      </c>
      <c r="U144" s="145">
        <f>Valores!$C$24</f>
        <v>3897.01</v>
      </c>
      <c r="V144" s="145">
        <f t="shared" si="21"/>
        <v>3897.01</v>
      </c>
      <c r="W144" s="145">
        <v>0</v>
      </c>
      <c r="X144" s="145">
        <v>0</v>
      </c>
      <c r="Y144" s="149">
        <v>0</v>
      </c>
      <c r="Z144" s="145">
        <f>Y144*Valores!$C$2</f>
        <v>0</v>
      </c>
      <c r="AA144" s="145">
        <v>0</v>
      </c>
      <c r="AB144" s="148">
        <f>Valores!$C$89</f>
        <v>1153.8461538461538</v>
      </c>
      <c r="AC144" s="150">
        <f>Valores!$C$30</f>
        <v>199.86</v>
      </c>
      <c r="AD144" s="145">
        <f t="shared" si="26"/>
        <v>0</v>
      </c>
      <c r="AE144" s="145">
        <f>Valores!$C$31</f>
        <v>199.86</v>
      </c>
      <c r="AF144" s="149">
        <v>0</v>
      </c>
      <c r="AG144" s="145">
        <f>INT(((AF144*Valores!$C$2)*100)+0.5)/100</f>
        <v>0</v>
      </c>
      <c r="AH144" s="145">
        <f>IF($H$5="NO",Valores!$C$59,Valores!$C$59/2)</f>
        <v>406.53</v>
      </c>
      <c r="AI144" s="145">
        <f>IF($H$5="NO",Valores!$C$61,Valores!$C$61/2)</f>
        <v>116.15</v>
      </c>
      <c r="AJ144" s="151">
        <f t="shared" si="27"/>
        <v>39441.391653846156</v>
      </c>
      <c r="AK144" s="159">
        <f>Valores!$C$36</f>
        <v>1046.83</v>
      </c>
      <c r="AL144" s="148">
        <f>Valores!$C$8</f>
        <v>0</v>
      </c>
      <c r="AM144" s="148">
        <f>Valores!$C$84</f>
        <v>2275</v>
      </c>
      <c r="AN144" s="148"/>
      <c r="AO144" s="150">
        <f>Valores!$C$52</f>
        <v>170.34</v>
      </c>
      <c r="AP144" s="152">
        <f t="shared" si="25"/>
        <v>3321.83</v>
      </c>
      <c r="AQ144" s="154">
        <f>AJ144*-Valores!$C$68</f>
        <v>-4338.553081923077</v>
      </c>
      <c r="AR144" s="154">
        <f>AJ144*-Valores!$C$69</f>
        <v>0</v>
      </c>
      <c r="AS144" s="147">
        <f>AJ144*-Valores!$C$70</f>
        <v>-1774.862624423077</v>
      </c>
      <c r="AT144" s="147">
        <v>-159.43</v>
      </c>
      <c r="AU144" s="147">
        <f t="shared" si="28"/>
        <v>-53.83</v>
      </c>
      <c r="AV144" s="151">
        <f t="shared" si="29"/>
        <v>36436.5459475</v>
      </c>
      <c r="AW144" s="155"/>
      <c r="AX144" s="155">
        <v>22</v>
      </c>
      <c r="AY144" s="140" t="s">
        <v>4</v>
      </c>
    </row>
    <row r="145" spans="1:51" s="117" customFormat="1" ht="11.25" customHeight="1">
      <c r="A145" s="139">
        <v>142</v>
      </c>
      <c r="B145" s="139"/>
      <c r="C145" s="140" t="s">
        <v>404</v>
      </c>
      <c r="D145" s="140"/>
      <c r="E145" s="140">
        <f t="shared" si="22"/>
        <v>31</v>
      </c>
      <c r="F145" s="141" t="s">
        <v>405</v>
      </c>
      <c r="G145" s="142">
        <v>1278</v>
      </c>
      <c r="H145" s="143">
        <f>INT((G145*Valores!$C$2*100)+0.5)/100</f>
        <v>11936.14</v>
      </c>
      <c r="I145" s="161">
        <v>0</v>
      </c>
      <c r="J145" s="145">
        <f>INT((I145*Valores!$C$2*100)+0.5)/100</f>
        <v>0</v>
      </c>
      <c r="K145" s="160">
        <v>0</v>
      </c>
      <c r="L145" s="145">
        <f>INT((K145*Valores!$C$2*100)+0.5)/100</f>
        <v>0</v>
      </c>
      <c r="M145" s="158">
        <v>0</v>
      </c>
      <c r="N145" s="145">
        <f>INT((M145*Valores!$C$2*100)+0.5)/100</f>
        <v>0</v>
      </c>
      <c r="O145" s="145">
        <f t="shared" si="23"/>
        <v>2489.484</v>
      </c>
      <c r="P145" s="145">
        <f t="shared" si="24"/>
        <v>0</v>
      </c>
      <c r="Q145" s="159">
        <f>Valores!$C$20</f>
        <v>8160.2</v>
      </c>
      <c r="R145" s="159">
        <f>Valores!$D$4</f>
        <v>4774.45</v>
      </c>
      <c r="S145" s="159">
        <f>Valores!$C$27</f>
        <v>4359.58</v>
      </c>
      <c r="T145" s="148">
        <f>Valores!$C$43/2</f>
        <v>809.91</v>
      </c>
      <c r="U145" s="159">
        <f>Valores!$C$25</f>
        <v>3850.51</v>
      </c>
      <c r="V145" s="145">
        <f t="shared" si="21"/>
        <v>3850.51</v>
      </c>
      <c r="W145" s="145">
        <v>0</v>
      </c>
      <c r="X145" s="145">
        <v>0</v>
      </c>
      <c r="Y145" s="149">
        <v>0</v>
      </c>
      <c r="Z145" s="145">
        <f>Y145*Valores!$C$2</f>
        <v>0</v>
      </c>
      <c r="AA145" s="145">
        <v>0</v>
      </c>
      <c r="AB145" s="148">
        <f>Valores!$C$89</f>
        <v>1153.8461538461538</v>
      </c>
      <c r="AC145" s="150">
        <f>Valores!$C$30</f>
        <v>199.86</v>
      </c>
      <c r="AD145" s="145">
        <f t="shared" si="26"/>
        <v>0</v>
      </c>
      <c r="AE145" s="145">
        <f>Valores!$C$31</f>
        <v>199.86</v>
      </c>
      <c r="AF145" s="149">
        <v>0</v>
      </c>
      <c r="AG145" s="145">
        <f>INT(((AF145*Valores!$C$2)*100)+0.5)/100</f>
        <v>0</v>
      </c>
      <c r="AH145" s="145">
        <f>Valores!$C$59/2</f>
        <v>203.265</v>
      </c>
      <c r="AI145" s="145">
        <f>Valores!$C$61/2</f>
        <v>58.075</v>
      </c>
      <c r="AJ145" s="151">
        <f t="shared" si="27"/>
        <v>38195.18015384616</v>
      </c>
      <c r="AK145" s="159">
        <f>Valores!$C$36</f>
        <v>1046.83</v>
      </c>
      <c r="AL145" s="148">
        <f>Valores!$C$8/2</f>
        <v>0</v>
      </c>
      <c r="AM145" s="148">
        <f>Valores!$C$84</f>
        <v>2275</v>
      </c>
      <c r="AN145" s="148"/>
      <c r="AO145" s="150">
        <f>Valores!$C$52</f>
        <v>170.34</v>
      </c>
      <c r="AP145" s="152">
        <f t="shared" si="25"/>
        <v>3321.83</v>
      </c>
      <c r="AQ145" s="154">
        <f>AJ145*-Valores!$C$68</f>
        <v>-4201.469816923078</v>
      </c>
      <c r="AR145" s="154">
        <f>AJ145*-Valores!$C$69</f>
        <v>0</v>
      </c>
      <c r="AS145" s="147">
        <f>AJ145*-Valores!$C$70</f>
        <v>-1718.7831069230772</v>
      </c>
      <c r="AT145" s="147">
        <v>-159.43</v>
      </c>
      <c r="AU145" s="147">
        <f t="shared" si="28"/>
        <v>-53.83</v>
      </c>
      <c r="AV145" s="151">
        <f t="shared" si="29"/>
        <v>35383.49723000001</v>
      </c>
      <c r="AW145" s="155"/>
      <c r="AX145" s="155"/>
      <c r="AY145" s="140" t="s">
        <v>8</v>
      </c>
    </row>
    <row r="146" spans="1:51" s="117" customFormat="1" ht="11.25" customHeight="1">
      <c r="A146" s="139">
        <v>143</v>
      </c>
      <c r="B146" s="139"/>
      <c r="C146" s="140" t="s">
        <v>406</v>
      </c>
      <c r="D146" s="140"/>
      <c r="E146" s="140">
        <f t="shared" si="22"/>
        <v>19</v>
      </c>
      <c r="F146" s="141" t="s">
        <v>407</v>
      </c>
      <c r="G146" s="142">
        <v>1278</v>
      </c>
      <c r="H146" s="143">
        <f>INT((G146*Valores!$C$2*100)+0.5)/100</f>
        <v>11936.14</v>
      </c>
      <c r="I146" s="161">
        <v>0</v>
      </c>
      <c r="J146" s="145">
        <f>INT((I146*Valores!$C$2*100)+0.5)/100</f>
        <v>0</v>
      </c>
      <c r="K146" s="160">
        <v>0</v>
      </c>
      <c r="L146" s="145">
        <f>INT((K146*Valores!$C$2*100)+0.5)/100</f>
        <v>0</v>
      </c>
      <c r="M146" s="158">
        <v>0</v>
      </c>
      <c r="N146" s="145">
        <f>INT((M146*Valores!$C$2*100)+0.5)/100</f>
        <v>0</v>
      </c>
      <c r="O146" s="145">
        <f t="shared" si="23"/>
        <v>2617.9455000000003</v>
      </c>
      <c r="P146" s="145">
        <f t="shared" si="24"/>
        <v>0</v>
      </c>
      <c r="Q146" s="159">
        <f>Valores!$C$20</f>
        <v>8160.2</v>
      </c>
      <c r="R146" s="159">
        <f>Valores!$D$4</f>
        <v>4774.45</v>
      </c>
      <c r="S146" s="159">
        <f>Valores!$C$27</f>
        <v>4359.58</v>
      </c>
      <c r="T146" s="148">
        <f>IF($H$5="NO",Valores!$C$43,Valores!$C$43/2)</f>
        <v>1619.82</v>
      </c>
      <c r="U146" s="145">
        <f>Valores!$C$24</f>
        <v>3897.01</v>
      </c>
      <c r="V146" s="145">
        <f t="shared" si="21"/>
        <v>3897.01</v>
      </c>
      <c r="W146" s="145">
        <v>0</v>
      </c>
      <c r="X146" s="145">
        <v>0</v>
      </c>
      <c r="Y146" s="149">
        <v>0</v>
      </c>
      <c r="Z146" s="145">
        <f>Y146*Valores!$C$2</f>
        <v>0</v>
      </c>
      <c r="AA146" s="145">
        <v>0</v>
      </c>
      <c r="AB146" s="148">
        <f>Valores!$C$89</f>
        <v>1153.8461538461538</v>
      </c>
      <c r="AC146" s="150">
        <f>Valores!$C$30</f>
        <v>199.86</v>
      </c>
      <c r="AD146" s="145">
        <f t="shared" si="26"/>
        <v>0</v>
      </c>
      <c r="AE146" s="145">
        <f>Valores!$C$31</f>
        <v>199.86</v>
      </c>
      <c r="AF146" s="149">
        <v>0</v>
      </c>
      <c r="AG146" s="145">
        <f>INT(((AF146*Valores!$C$2)*100)+0.5)/100</f>
        <v>0</v>
      </c>
      <c r="AH146" s="145">
        <f>IF($H$5="NO",Valores!$C$59,Valores!$C$59/2)</f>
        <v>406.53</v>
      </c>
      <c r="AI146" s="145">
        <f>IF($H$5="NO",Valores!$C$61,Valores!$C$61/2)</f>
        <v>116.15</v>
      </c>
      <c r="AJ146" s="151">
        <f t="shared" si="27"/>
        <v>39441.391653846156</v>
      </c>
      <c r="AK146" s="159">
        <f>Valores!$C$36</f>
        <v>1046.83</v>
      </c>
      <c r="AL146" s="148">
        <f>Valores!$C$8</f>
        <v>0</v>
      </c>
      <c r="AM146" s="148">
        <f>Valores!$C$84</f>
        <v>2275</v>
      </c>
      <c r="AN146" s="148"/>
      <c r="AO146" s="150">
        <f>Valores!$C$52</f>
        <v>170.34</v>
      </c>
      <c r="AP146" s="152">
        <f t="shared" si="25"/>
        <v>3321.83</v>
      </c>
      <c r="AQ146" s="154">
        <f>AJ146*-Valores!$C$68</f>
        <v>-4338.553081923077</v>
      </c>
      <c r="AR146" s="154">
        <f>AJ146*-Valores!$C$69</f>
        <v>0</v>
      </c>
      <c r="AS146" s="147">
        <f>AJ146*-Valores!$C$70</f>
        <v>-1774.862624423077</v>
      </c>
      <c r="AT146" s="147">
        <v>-159.43</v>
      </c>
      <c r="AU146" s="147">
        <f t="shared" si="28"/>
        <v>-53.83</v>
      </c>
      <c r="AV146" s="151">
        <f t="shared" si="29"/>
        <v>36436.5459475</v>
      </c>
      <c r="AW146" s="155"/>
      <c r="AX146" s="155"/>
      <c r="AY146" s="140" t="s">
        <v>4</v>
      </c>
    </row>
    <row r="147" spans="1:51" s="117" customFormat="1" ht="11.25" customHeight="1">
      <c r="A147" s="139">
        <v>144</v>
      </c>
      <c r="B147" s="139"/>
      <c r="C147" s="140" t="s">
        <v>408</v>
      </c>
      <c r="D147" s="140"/>
      <c r="E147" s="140">
        <f t="shared" si="22"/>
        <v>29</v>
      </c>
      <c r="F147" s="141" t="s">
        <v>409</v>
      </c>
      <c r="G147" s="142">
        <v>1278</v>
      </c>
      <c r="H147" s="143">
        <f>INT((G147*Valores!$C$2*100)+0.5)/100</f>
        <v>11936.14</v>
      </c>
      <c r="I147" s="161">
        <v>0</v>
      </c>
      <c r="J147" s="145">
        <f>INT((I147*Valores!$C$2*100)+0.5)/100</f>
        <v>0</v>
      </c>
      <c r="K147" s="160">
        <v>0</v>
      </c>
      <c r="L147" s="145">
        <f>INT((K147*Valores!$C$2*100)+0.5)/100</f>
        <v>0</v>
      </c>
      <c r="M147" s="158">
        <v>0</v>
      </c>
      <c r="N147" s="145">
        <f>INT((M147*Valores!$C$2*100)+0.5)/100</f>
        <v>0</v>
      </c>
      <c r="O147" s="145">
        <f t="shared" si="23"/>
        <v>2617.9455000000003</v>
      </c>
      <c r="P147" s="145">
        <f t="shared" si="24"/>
        <v>0</v>
      </c>
      <c r="Q147" s="159">
        <f>Valores!$C$20</f>
        <v>8160.2</v>
      </c>
      <c r="R147" s="159">
        <f>Valores!$D$4</f>
        <v>4774.45</v>
      </c>
      <c r="S147" s="159">
        <f>Valores!$C$27</f>
        <v>4359.58</v>
      </c>
      <c r="T147" s="148">
        <f>IF($H$5="NO",Valores!$C$43,Valores!$C$43/2)</f>
        <v>1619.82</v>
      </c>
      <c r="U147" s="145">
        <f>Valores!$C$24</f>
        <v>3897.01</v>
      </c>
      <c r="V147" s="145">
        <f t="shared" si="21"/>
        <v>3897.01</v>
      </c>
      <c r="W147" s="145">
        <v>0</v>
      </c>
      <c r="X147" s="145">
        <v>0</v>
      </c>
      <c r="Y147" s="149">
        <v>0</v>
      </c>
      <c r="Z147" s="145">
        <f>Y147*Valores!$C$2</f>
        <v>0</v>
      </c>
      <c r="AA147" s="145">
        <v>0</v>
      </c>
      <c r="AB147" s="148">
        <f>Valores!$C$89</f>
        <v>1153.8461538461538</v>
      </c>
      <c r="AC147" s="150">
        <f>Valores!$C$30</f>
        <v>199.86</v>
      </c>
      <c r="AD147" s="145">
        <f t="shared" si="26"/>
        <v>0</v>
      </c>
      <c r="AE147" s="145">
        <f>Valores!$C$31</f>
        <v>199.86</v>
      </c>
      <c r="AF147" s="149">
        <v>0</v>
      </c>
      <c r="AG147" s="145">
        <f>INT(((AF147*Valores!$C$2)*100)+0.5)/100</f>
        <v>0</v>
      </c>
      <c r="AH147" s="145">
        <f>IF($H$5="NO",Valores!$C$59,Valores!$C$59/2)</f>
        <v>406.53</v>
      </c>
      <c r="AI147" s="145">
        <f>IF($H$5="NO",Valores!$C$61,Valores!$C$61/2)</f>
        <v>116.15</v>
      </c>
      <c r="AJ147" s="151">
        <f t="shared" si="27"/>
        <v>39441.391653846156</v>
      </c>
      <c r="AK147" s="159">
        <f>Valores!$C$36</f>
        <v>1046.83</v>
      </c>
      <c r="AL147" s="148">
        <f>Valores!$C$8</f>
        <v>0</v>
      </c>
      <c r="AM147" s="148">
        <f>Valores!$C$84</f>
        <v>2275</v>
      </c>
      <c r="AN147" s="148"/>
      <c r="AO147" s="150">
        <f>Valores!$C$52</f>
        <v>170.34</v>
      </c>
      <c r="AP147" s="152">
        <f t="shared" si="25"/>
        <v>3321.83</v>
      </c>
      <c r="AQ147" s="154">
        <f>AJ147*-Valores!$C$68</f>
        <v>-4338.553081923077</v>
      </c>
      <c r="AR147" s="154">
        <f>AJ147*-Valores!$C$69</f>
        <v>0</v>
      </c>
      <c r="AS147" s="147">
        <f>AJ147*-Valores!$C$70</f>
        <v>-1774.862624423077</v>
      </c>
      <c r="AT147" s="147">
        <v>-159.43</v>
      </c>
      <c r="AU147" s="147">
        <f t="shared" si="28"/>
        <v>-53.83</v>
      </c>
      <c r="AV147" s="151">
        <f t="shared" si="29"/>
        <v>36436.5459475</v>
      </c>
      <c r="AW147" s="155"/>
      <c r="AX147" s="155">
        <v>20</v>
      </c>
      <c r="AY147" s="140" t="s">
        <v>4</v>
      </c>
    </row>
    <row r="148" spans="1:51" s="117" customFormat="1" ht="11.25" customHeight="1">
      <c r="A148" s="157">
        <v>145</v>
      </c>
      <c r="B148" s="157" t="s">
        <v>143</v>
      </c>
      <c r="C148" s="140" t="s">
        <v>410</v>
      </c>
      <c r="D148" s="140"/>
      <c r="E148" s="140">
        <f t="shared" si="22"/>
        <v>31</v>
      </c>
      <c r="F148" s="141" t="s">
        <v>411</v>
      </c>
      <c r="G148" s="142">
        <v>1278</v>
      </c>
      <c r="H148" s="143">
        <f>INT((G148*Valores!$C$2*100)+0.5)/100</f>
        <v>11936.14</v>
      </c>
      <c r="I148" s="161">
        <v>0</v>
      </c>
      <c r="J148" s="145">
        <f>INT((I148*Valores!$C$2*100)+0.5)/100</f>
        <v>0</v>
      </c>
      <c r="K148" s="160">
        <v>0</v>
      </c>
      <c r="L148" s="145">
        <f>INT((K148*Valores!$C$2*100)+0.5)/100</f>
        <v>0</v>
      </c>
      <c r="M148" s="158">
        <v>0</v>
      </c>
      <c r="N148" s="145">
        <f>INT((M148*Valores!$C$2*100)+0.5)/100</f>
        <v>0</v>
      </c>
      <c r="O148" s="145">
        <f t="shared" si="23"/>
        <v>2617.9455000000003</v>
      </c>
      <c r="P148" s="145">
        <f t="shared" si="24"/>
        <v>0</v>
      </c>
      <c r="Q148" s="159">
        <f>Valores!$C$20</f>
        <v>8160.2</v>
      </c>
      <c r="R148" s="159">
        <f>Valores!$D$4</f>
        <v>4774.45</v>
      </c>
      <c r="S148" s="159">
        <f>Valores!$C$27</f>
        <v>4359.58</v>
      </c>
      <c r="T148" s="148">
        <f>IF($H$5="NO",Valores!$C$43,Valores!$C$43/2)</f>
        <v>1619.82</v>
      </c>
      <c r="U148" s="145">
        <f>Valores!$C$24</f>
        <v>3897.01</v>
      </c>
      <c r="V148" s="145">
        <f t="shared" si="21"/>
        <v>3897.01</v>
      </c>
      <c r="W148" s="145">
        <v>0</v>
      </c>
      <c r="X148" s="145">
        <v>0</v>
      </c>
      <c r="Y148" s="149">
        <v>0</v>
      </c>
      <c r="Z148" s="145">
        <f>Y148*Valores!$C$2</f>
        <v>0</v>
      </c>
      <c r="AA148" s="145">
        <v>0</v>
      </c>
      <c r="AB148" s="148">
        <f>Valores!$C$89</f>
        <v>1153.8461538461538</v>
      </c>
      <c r="AC148" s="150">
        <f>Valores!$C$30</f>
        <v>199.86</v>
      </c>
      <c r="AD148" s="145">
        <f t="shared" si="26"/>
        <v>0</v>
      </c>
      <c r="AE148" s="145">
        <f>Valores!$C$31</f>
        <v>199.86</v>
      </c>
      <c r="AF148" s="149">
        <v>94</v>
      </c>
      <c r="AG148" s="145">
        <f>INT(((AF148*Valores!$C$2)*100)+0.5)/100</f>
        <v>877.93</v>
      </c>
      <c r="AH148" s="145">
        <f>IF($H$5="NO",Valores!$C$59,Valores!$C$59/2)</f>
        <v>406.53</v>
      </c>
      <c r="AI148" s="145">
        <f>IF($H$5="NO",Valores!$C$61,Valores!$C$61/2)</f>
        <v>116.15</v>
      </c>
      <c r="AJ148" s="151">
        <f t="shared" si="27"/>
        <v>40319.32165384616</v>
      </c>
      <c r="AK148" s="159">
        <f>Valores!$C$36</f>
        <v>1046.83</v>
      </c>
      <c r="AL148" s="148">
        <f>Valores!$C$8</f>
        <v>0</v>
      </c>
      <c r="AM148" s="148">
        <f>Valores!$C$84</f>
        <v>2275</v>
      </c>
      <c r="AN148" s="148"/>
      <c r="AO148" s="150">
        <f>Valores!$C$52</f>
        <v>170.34</v>
      </c>
      <c r="AP148" s="152">
        <f t="shared" si="25"/>
        <v>3321.83</v>
      </c>
      <c r="AQ148" s="154">
        <f>AJ148*-Valores!$C$68</f>
        <v>-4435.125381923077</v>
      </c>
      <c r="AR148" s="154">
        <f>AJ148*-Valores!$C$69</f>
        <v>0</v>
      </c>
      <c r="AS148" s="147">
        <f>AJ148*-Valores!$C$70</f>
        <v>-1814.369474423077</v>
      </c>
      <c r="AT148" s="147">
        <v>-159.43</v>
      </c>
      <c r="AU148" s="147">
        <f t="shared" si="28"/>
        <v>-53.83</v>
      </c>
      <c r="AV148" s="151">
        <f t="shared" si="29"/>
        <v>37178.396797500005</v>
      </c>
      <c r="AW148" s="155"/>
      <c r="AX148" s="155">
        <v>20</v>
      </c>
      <c r="AY148" s="140" t="s">
        <v>4</v>
      </c>
    </row>
    <row r="149" spans="1:51" s="117" customFormat="1" ht="11.25" customHeight="1">
      <c r="A149" s="139">
        <v>146</v>
      </c>
      <c r="B149" s="139"/>
      <c r="C149" s="140" t="s">
        <v>412</v>
      </c>
      <c r="D149" s="140"/>
      <c r="E149" s="140">
        <f t="shared" si="22"/>
        <v>26</v>
      </c>
      <c r="F149" s="141" t="s">
        <v>413</v>
      </c>
      <c r="G149" s="142">
        <v>1278</v>
      </c>
      <c r="H149" s="143">
        <f>INT((G149*Valores!$C$2*100)+0.5)/100</f>
        <v>11936.14</v>
      </c>
      <c r="I149" s="161">
        <v>0</v>
      </c>
      <c r="J149" s="145">
        <f>INT((I149*Valores!$C$2*100)+0.5)/100</f>
        <v>0</v>
      </c>
      <c r="K149" s="160">
        <v>0</v>
      </c>
      <c r="L149" s="145">
        <f>INT((K149*Valores!$C$2*100)+0.5)/100</f>
        <v>0</v>
      </c>
      <c r="M149" s="158">
        <v>0</v>
      </c>
      <c r="N149" s="145">
        <f>INT((M149*Valores!$C$2*100)+0.5)/100</f>
        <v>0</v>
      </c>
      <c r="O149" s="145">
        <f t="shared" si="23"/>
        <v>2617.9455000000003</v>
      </c>
      <c r="P149" s="145">
        <f t="shared" si="24"/>
        <v>0</v>
      </c>
      <c r="Q149" s="159">
        <f>Valores!$C$20</f>
        <v>8160.2</v>
      </c>
      <c r="R149" s="159">
        <f>Valores!$D$4</f>
        <v>4774.45</v>
      </c>
      <c r="S149" s="148">
        <f>Valores!$C$27</f>
        <v>4359.58</v>
      </c>
      <c r="T149" s="148">
        <f>IF($H$5="NO",Valores!$C$43,Valores!$C$43/2)</f>
        <v>1619.82</v>
      </c>
      <c r="U149" s="159">
        <f>Valores!$C$24</f>
        <v>3897.01</v>
      </c>
      <c r="V149" s="145">
        <f t="shared" si="21"/>
        <v>3897.01</v>
      </c>
      <c r="W149" s="145">
        <v>0</v>
      </c>
      <c r="X149" s="145">
        <v>0</v>
      </c>
      <c r="Y149" s="149">
        <v>0</v>
      </c>
      <c r="Z149" s="145">
        <f>Y149*Valores!$C$2</f>
        <v>0</v>
      </c>
      <c r="AA149" s="145">
        <v>0</v>
      </c>
      <c r="AB149" s="148">
        <f>Valores!$C$89</f>
        <v>1153.8461538461538</v>
      </c>
      <c r="AC149" s="150">
        <f>Valores!$C$30</f>
        <v>199.86</v>
      </c>
      <c r="AD149" s="145">
        <f t="shared" si="26"/>
        <v>0</v>
      </c>
      <c r="AE149" s="145">
        <f>Valores!$C$31</f>
        <v>199.86</v>
      </c>
      <c r="AF149" s="149">
        <v>0</v>
      </c>
      <c r="AG149" s="145">
        <f>INT(((AF149*Valores!$C$2)*100)+0.5)/100</f>
        <v>0</v>
      </c>
      <c r="AH149" s="145">
        <f>IF($H$5="NO",Valores!$C$59,Valores!$C$59/2)</f>
        <v>406.53</v>
      </c>
      <c r="AI149" s="145">
        <f>IF($H$5="NO",Valores!$C$61,Valores!$C$61/2)</f>
        <v>116.15</v>
      </c>
      <c r="AJ149" s="151">
        <f t="shared" si="27"/>
        <v>39441.391653846156</v>
      </c>
      <c r="AK149" s="159">
        <f>Valores!$C$36</f>
        <v>1046.83</v>
      </c>
      <c r="AL149" s="148">
        <f>Valores!$C$8</f>
        <v>0</v>
      </c>
      <c r="AM149" s="148">
        <f>Valores!$C$84</f>
        <v>2275</v>
      </c>
      <c r="AN149" s="148"/>
      <c r="AO149" s="150">
        <f>Valores!$C$52</f>
        <v>170.34</v>
      </c>
      <c r="AP149" s="152">
        <f t="shared" si="25"/>
        <v>3321.83</v>
      </c>
      <c r="AQ149" s="154">
        <f>AJ149*-Valores!$C$68</f>
        <v>-4338.553081923077</v>
      </c>
      <c r="AR149" s="154">
        <f>AJ149*-Valores!$C$69</f>
        <v>0</v>
      </c>
      <c r="AS149" s="147">
        <f>AJ149*-Valores!$C$70</f>
        <v>-1774.862624423077</v>
      </c>
      <c r="AT149" s="147">
        <v>-159.43</v>
      </c>
      <c r="AU149" s="147">
        <f t="shared" si="28"/>
        <v>-53.83</v>
      </c>
      <c r="AV149" s="151">
        <f t="shared" si="29"/>
        <v>36436.5459475</v>
      </c>
      <c r="AW149" s="155"/>
      <c r="AX149" s="155">
        <v>22</v>
      </c>
      <c r="AY149" s="140" t="s">
        <v>4</v>
      </c>
    </row>
    <row r="150" spans="1:51" s="117" customFormat="1" ht="11.25" customHeight="1">
      <c r="A150" s="139">
        <v>147</v>
      </c>
      <c r="B150" s="139"/>
      <c r="C150" s="140" t="s">
        <v>414</v>
      </c>
      <c r="D150" s="140"/>
      <c r="E150" s="140">
        <f t="shared" si="22"/>
        <v>26</v>
      </c>
      <c r="F150" s="141" t="s">
        <v>415</v>
      </c>
      <c r="G150" s="142">
        <v>1278</v>
      </c>
      <c r="H150" s="143">
        <f>INT((G150*Valores!$C$2*100)+0.5)/100</f>
        <v>11936.14</v>
      </c>
      <c r="I150" s="161">
        <v>0</v>
      </c>
      <c r="J150" s="145">
        <f>INT((I150*Valores!$C$2*100)+0.5)/100</f>
        <v>0</v>
      </c>
      <c r="K150" s="160">
        <v>0</v>
      </c>
      <c r="L150" s="145">
        <f>INT((K150*Valores!$C$2*100)+0.5)/100</f>
        <v>0</v>
      </c>
      <c r="M150" s="158">
        <v>0</v>
      </c>
      <c r="N150" s="145">
        <f>INT((M150*Valores!$C$2*100)+0.5)/100</f>
        <v>0</v>
      </c>
      <c r="O150" s="145">
        <f t="shared" si="23"/>
        <v>2610.9705</v>
      </c>
      <c r="P150" s="145">
        <f t="shared" si="24"/>
        <v>0</v>
      </c>
      <c r="Q150" s="159">
        <f>Valores!$C$20</f>
        <v>8160.2</v>
      </c>
      <c r="R150" s="159">
        <f>Valores!$D$4</f>
        <v>4774.45</v>
      </c>
      <c r="S150" s="148">
        <v>0</v>
      </c>
      <c r="T150" s="148">
        <f>IF($H$5="NO",Valores!$C$43,Valores!$C$43/2)</f>
        <v>1619.82</v>
      </c>
      <c r="U150" s="159">
        <f>Valores!$C$25</f>
        <v>3850.51</v>
      </c>
      <c r="V150" s="145">
        <f t="shared" si="21"/>
        <v>3850.51</v>
      </c>
      <c r="W150" s="145">
        <v>0</v>
      </c>
      <c r="X150" s="145">
        <v>0</v>
      </c>
      <c r="Y150" s="149">
        <v>0</v>
      </c>
      <c r="Z150" s="145">
        <f>Y150*Valores!$C$2</f>
        <v>0</v>
      </c>
      <c r="AA150" s="145">
        <v>0</v>
      </c>
      <c r="AB150" s="148">
        <f>Valores!$C$89</f>
        <v>1153.8461538461538</v>
      </c>
      <c r="AC150" s="150">
        <f>Valores!$C$30</f>
        <v>199.86</v>
      </c>
      <c r="AD150" s="145">
        <f t="shared" si="26"/>
        <v>0</v>
      </c>
      <c r="AE150" s="145">
        <f>Valores!$C$31</f>
        <v>199.86</v>
      </c>
      <c r="AF150" s="149">
        <v>0</v>
      </c>
      <c r="AG150" s="145">
        <f>INT(((AF150*Valores!$C$2)*100)+0.5)/100</f>
        <v>0</v>
      </c>
      <c r="AH150" s="145">
        <f>IF($H$5="NO",Valores!$C$59,Valores!$C$59/2)</f>
        <v>406.53</v>
      </c>
      <c r="AI150" s="145">
        <f>IF($H$5="NO",Valores!$C$61,Valores!$C$61/2)</f>
        <v>116.15</v>
      </c>
      <c r="AJ150" s="151">
        <f t="shared" si="27"/>
        <v>35028.336653846156</v>
      </c>
      <c r="AK150" s="159">
        <f>Valores!$C$36</f>
        <v>1046.83</v>
      </c>
      <c r="AL150" s="148">
        <f>Valores!$C$8</f>
        <v>0</v>
      </c>
      <c r="AM150" s="148">
        <f>Valores!$C$84</f>
        <v>2275</v>
      </c>
      <c r="AN150" s="148"/>
      <c r="AO150" s="150">
        <f>Valores!$C$52</f>
        <v>170.34</v>
      </c>
      <c r="AP150" s="152">
        <f t="shared" si="25"/>
        <v>3321.83</v>
      </c>
      <c r="AQ150" s="154">
        <f>AJ150*-Valores!$C$68</f>
        <v>-3853.1170319230773</v>
      </c>
      <c r="AR150" s="154">
        <f>AJ150*-Valores!$C$69</f>
        <v>0</v>
      </c>
      <c r="AS150" s="147">
        <f>AJ150*-Valores!$C$70</f>
        <v>-1576.275149423077</v>
      </c>
      <c r="AT150" s="147">
        <v>-159.43</v>
      </c>
      <c r="AU150" s="147">
        <f t="shared" si="28"/>
        <v>-53.83</v>
      </c>
      <c r="AV150" s="151">
        <f t="shared" si="29"/>
        <v>32707.5144725</v>
      </c>
      <c r="AW150" s="155"/>
      <c r="AX150" s="155"/>
      <c r="AY150" s="140" t="s">
        <v>8</v>
      </c>
    </row>
    <row r="151" spans="1:51" s="117" customFormat="1" ht="11.25" customHeight="1">
      <c r="A151" s="139">
        <v>148</v>
      </c>
      <c r="B151" s="139"/>
      <c r="C151" s="140" t="s">
        <v>416</v>
      </c>
      <c r="D151" s="140"/>
      <c r="E151" s="140">
        <f t="shared" si="22"/>
        <v>37</v>
      </c>
      <c r="F151" s="141" t="s">
        <v>417</v>
      </c>
      <c r="G151" s="142">
        <v>1278</v>
      </c>
      <c r="H151" s="143">
        <f>INT((G151*Valores!$C$2*100)+0.5)/100</f>
        <v>11936.14</v>
      </c>
      <c r="I151" s="161">
        <v>0</v>
      </c>
      <c r="J151" s="145">
        <f>INT((I151*Valores!$C$2*100)+0.5)/100</f>
        <v>0</v>
      </c>
      <c r="K151" s="160">
        <v>0</v>
      </c>
      <c r="L151" s="145">
        <f>INT((K151*Valores!$C$2*100)+0.5)/100</f>
        <v>0</v>
      </c>
      <c r="M151" s="158">
        <v>0</v>
      </c>
      <c r="N151" s="145">
        <f>INT((M151*Valores!$C$2*100)+0.5)/100</f>
        <v>0</v>
      </c>
      <c r="O151" s="145">
        <f t="shared" si="23"/>
        <v>2610.9705</v>
      </c>
      <c r="P151" s="145">
        <f t="shared" si="24"/>
        <v>0</v>
      </c>
      <c r="Q151" s="159">
        <f>Valores!$C$20</f>
        <v>8160.2</v>
      </c>
      <c r="R151" s="159">
        <f>Valores!$D$4</f>
        <v>4774.45</v>
      </c>
      <c r="S151" s="148">
        <v>0</v>
      </c>
      <c r="T151" s="148">
        <f>IF($H$5="NO",Valores!$C$43,Valores!$C$43/2)</f>
        <v>1619.82</v>
      </c>
      <c r="U151" s="159">
        <f>Valores!$C$25</f>
        <v>3850.51</v>
      </c>
      <c r="V151" s="145">
        <f t="shared" si="21"/>
        <v>3850.51</v>
      </c>
      <c r="W151" s="145">
        <v>0</v>
      </c>
      <c r="X151" s="145">
        <v>0</v>
      </c>
      <c r="Y151" s="149">
        <v>0</v>
      </c>
      <c r="Z151" s="145">
        <f>Y151*Valores!$C$2</f>
        <v>0</v>
      </c>
      <c r="AA151" s="145">
        <v>0</v>
      </c>
      <c r="AB151" s="148">
        <f>Valores!$C$89</f>
        <v>1153.8461538461538</v>
      </c>
      <c r="AC151" s="150">
        <f>Valores!$C$30</f>
        <v>199.86</v>
      </c>
      <c r="AD151" s="145">
        <f t="shared" si="26"/>
        <v>0</v>
      </c>
      <c r="AE151" s="145">
        <f>Valores!$C$31</f>
        <v>199.86</v>
      </c>
      <c r="AF151" s="149">
        <v>0</v>
      </c>
      <c r="AG151" s="145">
        <f>INT(((AF151*Valores!$C$2)*100)+0.5)/100</f>
        <v>0</v>
      </c>
      <c r="AH151" s="145">
        <f>IF($H$5="NO",Valores!$C$59,Valores!$C$59/2)</f>
        <v>406.53</v>
      </c>
      <c r="AI151" s="145">
        <f>IF($H$5="NO",Valores!$C$61,Valores!$C$61/2)</f>
        <v>116.15</v>
      </c>
      <c r="AJ151" s="151">
        <f t="shared" si="27"/>
        <v>35028.336653846156</v>
      </c>
      <c r="AK151" s="159">
        <f>Valores!$C$36</f>
        <v>1046.83</v>
      </c>
      <c r="AL151" s="148">
        <f>Valores!$C$8</f>
        <v>0</v>
      </c>
      <c r="AM151" s="148">
        <f>Valores!$C$84</f>
        <v>2275</v>
      </c>
      <c r="AN151" s="148"/>
      <c r="AO151" s="150">
        <f>Valores!$C$52</f>
        <v>170.34</v>
      </c>
      <c r="AP151" s="152">
        <f t="shared" si="25"/>
        <v>3321.83</v>
      </c>
      <c r="AQ151" s="154">
        <f>AJ151*-Valores!$C$68</f>
        <v>-3853.1170319230773</v>
      </c>
      <c r="AR151" s="154">
        <f>AJ151*-Valores!$C$69</f>
        <v>0</v>
      </c>
      <c r="AS151" s="147">
        <f>AJ151*-Valores!$C$70</f>
        <v>-1576.275149423077</v>
      </c>
      <c r="AT151" s="147">
        <v>-159.43</v>
      </c>
      <c r="AU151" s="147">
        <f t="shared" si="28"/>
        <v>-53.83</v>
      </c>
      <c r="AV151" s="151">
        <f t="shared" si="29"/>
        <v>32707.5144725</v>
      </c>
      <c r="AW151" s="155"/>
      <c r="AX151" s="155"/>
      <c r="AY151" s="140" t="s">
        <v>8</v>
      </c>
    </row>
    <row r="152" spans="1:51" s="117" customFormat="1" ht="11.25" customHeight="1">
      <c r="A152" s="139">
        <v>149</v>
      </c>
      <c r="B152" s="139"/>
      <c r="C152" s="140" t="s">
        <v>418</v>
      </c>
      <c r="D152" s="140"/>
      <c r="E152" s="140">
        <f t="shared" si="22"/>
        <v>27</v>
      </c>
      <c r="F152" s="141" t="s">
        <v>419</v>
      </c>
      <c r="G152" s="142">
        <v>1060</v>
      </c>
      <c r="H152" s="143">
        <f>INT((G152*Valores!$C$2*100)+0.5)/100</f>
        <v>9900.08</v>
      </c>
      <c r="I152" s="161">
        <v>0</v>
      </c>
      <c r="J152" s="145">
        <f>INT((I152*Valores!$C$2*100)+0.5)/100</f>
        <v>0</v>
      </c>
      <c r="K152" s="160">
        <v>0</v>
      </c>
      <c r="L152" s="145">
        <f>INT((K152*Valores!$C$2*100)+0.5)/100</f>
        <v>0</v>
      </c>
      <c r="M152" s="158">
        <v>0</v>
      </c>
      <c r="N152" s="145">
        <f>INT((M152*Valores!$C$2*100)+0.5)/100</f>
        <v>0</v>
      </c>
      <c r="O152" s="145">
        <f t="shared" si="23"/>
        <v>2312.5364999999997</v>
      </c>
      <c r="P152" s="145">
        <f t="shared" si="24"/>
        <v>0</v>
      </c>
      <c r="Q152" s="159">
        <f>Valores!$C$20</f>
        <v>8160.2</v>
      </c>
      <c r="R152" s="159">
        <f>Valores!$D$4</f>
        <v>4774.45</v>
      </c>
      <c r="S152" s="162">
        <f>Valores!$C$27</f>
        <v>4359.58</v>
      </c>
      <c r="T152" s="148">
        <f>IF($H$5="NO",Valores!$C$43,Valores!$C$43/2)</f>
        <v>1619.82</v>
      </c>
      <c r="U152" s="145">
        <f>Valores!$C$24</f>
        <v>3897.01</v>
      </c>
      <c r="V152" s="145">
        <f t="shared" si="21"/>
        <v>3897.01</v>
      </c>
      <c r="W152" s="145">
        <v>0</v>
      </c>
      <c r="X152" s="145">
        <v>0</v>
      </c>
      <c r="Y152" s="149">
        <v>0</v>
      </c>
      <c r="Z152" s="145">
        <f>Y152*Valores!$C$2</f>
        <v>0</v>
      </c>
      <c r="AA152" s="145">
        <v>0</v>
      </c>
      <c r="AB152" s="148">
        <f>Valores!$C$89</f>
        <v>1153.8461538461538</v>
      </c>
      <c r="AC152" s="150">
        <f>Valores!$C$30</f>
        <v>199.86</v>
      </c>
      <c r="AD152" s="145">
        <f t="shared" si="26"/>
        <v>0</v>
      </c>
      <c r="AE152" s="145">
        <f>Valores!$C$31</f>
        <v>199.86</v>
      </c>
      <c r="AF152" s="149">
        <v>0</v>
      </c>
      <c r="AG152" s="145">
        <f>INT(((AF152*Valores!$C$2)*100)+0.5)/100</f>
        <v>0</v>
      </c>
      <c r="AH152" s="145">
        <f>IF($H$5="NO",Valores!$C$59,Valores!$C$59/2)</f>
        <v>406.53</v>
      </c>
      <c r="AI152" s="145">
        <f>IF($H$5="NO",Valores!$C$61,Valores!$C$61/2)</f>
        <v>116.15</v>
      </c>
      <c r="AJ152" s="151">
        <f t="shared" si="27"/>
        <v>37099.92265384616</v>
      </c>
      <c r="AK152" s="159">
        <f>Valores!$C$36</f>
        <v>1046.83</v>
      </c>
      <c r="AL152" s="148">
        <f>Valores!$C$8</f>
        <v>0</v>
      </c>
      <c r="AM152" s="148">
        <f>Valores!$C$84</f>
        <v>2275</v>
      </c>
      <c r="AN152" s="148"/>
      <c r="AO152" s="150">
        <f>Valores!$C$52</f>
        <v>170.34</v>
      </c>
      <c r="AP152" s="152">
        <f t="shared" si="25"/>
        <v>3321.83</v>
      </c>
      <c r="AQ152" s="154">
        <f>AJ152*-Valores!$C$68</f>
        <v>-4080.9914919230773</v>
      </c>
      <c r="AR152" s="154">
        <f>AJ152*-Valores!$C$69</f>
        <v>0</v>
      </c>
      <c r="AS152" s="147">
        <f>AJ152*-Valores!$C$70</f>
        <v>-1669.4965194230772</v>
      </c>
      <c r="AT152" s="147">
        <v>-159.43</v>
      </c>
      <c r="AU152" s="147">
        <f t="shared" si="28"/>
        <v>-53.83</v>
      </c>
      <c r="AV152" s="151">
        <f t="shared" si="29"/>
        <v>34458.004642500004</v>
      </c>
      <c r="AW152" s="155"/>
      <c r="AX152" s="155"/>
      <c r="AY152" s="140" t="s">
        <v>4</v>
      </c>
    </row>
    <row r="153" spans="1:51" s="117" customFormat="1" ht="11.25" customHeight="1">
      <c r="A153" s="157">
        <v>150</v>
      </c>
      <c r="B153" s="157" t="s">
        <v>143</v>
      </c>
      <c r="C153" s="140" t="s">
        <v>420</v>
      </c>
      <c r="D153" s="140"/>
      <c r="E153" s="140">
        <f t="shared" si="22"/>
        <v>23</v>
      </c>
      <c r="F153" s="141" t="s">
        <v>421</v>
      </c>
      <c r="G153" s="142">
        <v>1278</v>
      </c>
      <c r="H153" s="143">
        <f>INT((G153*Valores!$C$2*100)+0.5)/100</f>
        <v>11936.14</v>
      </c>
      <c r="I153" s="161">
        <v>0</v>
      </c>
      <c r="J153" s="145">
        <f>INT((I153*Valores!$C$2*100)+0.5)/100</f>
        <v>0</v>
      </c>
      <c r="K153" s="160">
        <v>0</v>
      </c>
      <c r="L153" s="145">
        <f>INT((K153*Valores!$C$2*100)+0.5)/100</f>
        <v>0</v>
      </c>
      <c r="M153" s="158">
        <v>0</v>
      </c>
      <c r="N153" s="145">
        <f>INT((M153*Valores!$C$2*100)+0.5)/100</f>
        <v>0</v>
      </c>
      <c r="O153" s="145">
        <f t="shared" si="23"/>
        <v>2610.9705</v>
      </c>
      <c r="P153" s="145">
        <f t="shared" si="24"/>
        <v>0</v>
      </c>
      <c r="Q153" s="159">
        <f>Valores!$C$20</f>
        <v>8160.2</v>
      </c>
      <c r="R153" s="159">
        <f>Valores!$D$4</f>
        <v>4774.45</v>
      </c>
      <c r="S153" s="162">
        <f>Valores!$C$27</f>
        <v>4359.58</v>
      </c>
      <c r="T153" s="148">
        <f>IF($H$5="NO",Valores!$C$43,Valores!$C$43/2)</f>
        <v>1619.82</v>
      </c>
      <c r="U153" s="159">
        <f>Valores!$C$25</f>
        <v>3850.51</v>
      </c>
      <c r="V153" s="145">
        <f t="shared" si="21"/>
        <v>3850.51</v>
      </c>
      <c r="W153" s="145">
        <v>0</v>
      </c>
      <c r="X153" s="145">
        <v>0</v>
      </c>
      <c r="Y153" s="149">
        <v>0</v>
      </c>
      <c r="Z153" s="145">
        <f>Y153*Valores!$C$2</f>
        <v>0</v>
      </c>
      <c r="AA153" s="145">
        <v>0</v>
      </c>
      <c r="AB153" s="148">
        <f>Valores!$C$89</f>
        <v>1153.8461538461538</v>
      </c>
      <c r="AC153" s="150">
        <f>Valores!$C$30</f>
        <v>199.86</v>
      </c>
      <c r="AD153" s="145">
        <f t="shared" si="26"/>
        <v>0</v>
      </c>
      <c r="AE153" s="145">
        <f>Valores!$C$31</f>
        <v>199.86</v>
      </c>
      <c r="AF153" s="149">
        <v>0</v>
      </c>
      <c r="AG153" s="145">
        <f>INT(((AF153*Valores!$C$2)*100)+0.5)/100</f>
        <v>0</v>
      </c>
      <c r="AH153" s="145">
        <f>IF($H$5="NO",Valores!$C$59,Valores!$C$59/2)</f>
        <v>406.53</v>
      </c>
      <c r="AI153" s="145">
        <f>IF($H$5="NO",Valores!$C$61,Valores!$C$61/2)</f>
        <v>116.15</v>
      </c>
      <c r="AJ153" s="151">
        <f t="shared" si="27"/>
        <v>39387.91665384616</v>
      </c>
      <c r="AK153" s="159">
        <f>Valores!$C$36</f>
        <v>1046.83</v>
      </c>
      <c r="AL153" s="148">
        <f>Valores!$C$8</f>
        <v>0</v>
      </c>
      <c r="AM153" s="148">
        <f>Valores!$C$84</f>
        <v>2275</v>
      </c>
      <c r="AN153" s="148"/>
      <c r="AO153" s="150">
        <f>Valores!$C$52</f>
        <v>170.34</v>
      </c>
      <c r="AP153" s="152">
        <f t="shared" si="25"/>
        <v>3321.83</v>
      </c>
      <c r="AQ153" s="154">
        <f>AJ153*-Valores!$C$68</f>
        <v>-4332.6708319230775</v>
      </c>
      <c r="AR153" s="154">
        <f>AJ153*-Valores!$C$69</f>
        <v>0</v>
      </c>
      <c r="AS153" s="147">
        <f>AJ153*-Valores!$C$70</f>
        <v>-1772.456249423077</v>
      </c>
      <c r="AT153" s="147">
        <v>-159.43</v>
      </c>
      <c r="AU153" s="147">
        <f t="shared" si="28"/>
        <v>-53.83</v>
      </c>
      <c r="AV153" s="151">
        <f t="shared" si="29"/>
        <v>36391.359572500005</v>
      </c>
      <c r="AW153" s="155"/>
      <c r="AX153" s="155">
        <v>22</v>
      </c>
      <c r="AY153" s="140" t="s">
        <v>4</v>
      </c>
    </row>
    <row r="154" spans="1:51" s="117" customFormat="1" ht="11.25" customHeight="1">
      <c r="A154" s="139">
        <v>151</v>
      </c>
      <c r="B154" s="139"/>
      <c r="C154" s="140" t="s">
        <v>422</v>
      </c>
      <c r="D154" s="140"/>
      <c r="E154" s="140">
        <f t="shared" si="22"/>
        <v>18</v>
      </c>
      <c r="F154" s="141" t="s">
        <v>423</v>
      </c>
      <c r="G154" s="142">
        <v>1278</v>
      </c>
      <c r="H154" s="143">
        <f>INT((G154*Valores!$C$2*100)+0.5)/100</f>
        <v>11936.14</v>
      </c>
      <c r="I154" s="161">
        <v>0</v>
      </c>
      <c r="J154" s="145">
        <f>INT((I154*Valores!$C$2*100)+0.5)/100</f>
        <v>0</v>
      </c>
      <c r="K154" s="160">
        <v>0</v>
      </c>
      <c r="L154" s="145">
        <f>INT((K154*Valores!$C$2*100)+0.5)/100</f>
        <v>0</v>
      </c>
      <c r="M154" s="158">
        <v>0</v>
      </c>
      <c r="N154" s="145">
        <f>INT((M154*Valores!$C$2*100)+0.5)/100</f>
        <v>0</v>
      </c>
      <c r="O154" s="145">
        <f t="shared" si="23"/>
        <v>2617.9455000000003</v>
      </c>
      <c r="P154" s="145">
        <f t="shared" si="24"/>
        <v>0</v>
      </c>
      <c r="Q154" s="159">
        <f>Valores!$C$20</f>
        <v>8160.2</v>
      </c>
      <c r="R154" s="159">
        <f>Valores!$D$4</f>
        <v>4774.45</v>
      </c>
      <c r="S154" s="148">
        <f>Valores!$C$27</f>
        <v>4359.58</v>
      </c>
      <c r="T154" s="148">
        <f>IF($H$5="NO",Valores!$C$43,Valores!$C$43/2)</f>
        <v>1619.82</v>
      </c>
      <c r="U154" s="145">
        <f>Valores!$C$24</f>
        <v>3897.01</v>
      </c>
      <c r="V154" s="145">
        <f t="shared" si="21"/>
        <v>3897.01</v>
      </c>
      <c r="W154" s="145">
        <v>0</v>
      </c>
      <c r="X154" s="145">
        <v>0</v>
      </c>
      <c r="Y154" s="149">
        <v>0</v>
      </c>
      <c r="Z154" s="145">
        <f>Y154*Valores!$C$2</f>
        <v>0</v>
      </c>
      <c r="AA154" s="145">
        <v>0</v>
      </c>
      <c r="AB154" s="148">
        <f>Valores!$C$89</f>
        <v>1153.8461538461538</v>
      </c>
      <c r="AC154" s="150">
        <f>Valores!$C$30</f>
        <v>199.86</v>
      </c>
      <c r="AD154" s="145">
        <f t="shared" si="26"/>
        <v>0</v>
      </c>
      <c r="AE154" s="145">
        <f>Valores!$C$31</f>
        <v>199.86</v>
      </c>
      <c r="AF154" s="149">
        <v>0</v>
      </c>
      <c r="AG154" s="145">
        <f>INT(((AF154*Valores!$C$2)*100)+0.5)/100</f>
        <v>0</v>
      </c>
      <c r="AH154" s="145">
        <f>IF($H$5="NO",Valores!$C$59,Valores!$C$59/2)</f>
        <v>406.53</v>
      </c>
      <c r="AI154" s="145">
        <f>IF($H$5="NO",Valores!$C$61,Valores!$C$61/2)</f>
        <v>116.15</v>
      </c>
      <c r="AJ154" s="151">
        <f t="shared" si="27"/>
        <v>39441.391653846156</v>
      </c>
      <c r="AK154" s="159">
        <f>Valores!$C$36</f>
        <v>1046.83</v>
      </c>
      <c r="AL154" s="148">
        <f>Valores!$C$8</f>
        <v>0</v>
      </c>
      <c r="AM154" s="148">
        <f>Valores!$C$84</f>
        <v>2275</v>
      </c>
      <c r="AN154" s="148"/>
      <c r="AO154" s="150">
        <f>Valores!$C$52</f>
        <v>170.34</v>
      </c>
      <c r="AP154" s="152">
        <f t="shared" si="25"/>
        <v>3321.83</v>
      </c>
      <c r="AQ154" s="154">
        <f>AJ154*-Valores!$C$68</f>
        <v>-4338.553081923077</v>
      </c>
      <c r="AR154" s="154">
        <f>AJ154*-Valores!$C$69</f>
        <v>0</v>
      </c>
      <c r="AS154" s="147">
        <f>AJ154*-Valores!$C$70</f>
        <v>-1774.862624423077</v>
      </c>
      <c r="AT154" s="147">
        <v>-159.43</v>
      </c>
      <c r="AU154" s="147">
        <f t="shared" si="28"/>
        <v>-53.83</v>
      </c>
      <c r="AV154" s="151">
        <f t="shared" si="29"/>
        <v>36436.5459475</v>
      </c>
      <c r="AW154" s="155"/>
      <c r="AX154" s="155">
        <v>25</v>
      </c>
      <c r="AY154" s="140" t="s">
        <v>4</v>
      </c>
    </row>
    <row r="155" spans="1:51" s="117" customFormat="1" ht="11.25" customHeight="1">
      <c r="A155" s="139">
        <v>152</v>
      </c>
      <c r="B155" s="139"/>
      <c r="C155" s="140" t="s">
        <v>424</v>
      </c>
      <c r="D155" s="140"/>
      <c r="E155" s="140">
        <f t="shared" si="22"/>
        <v>13</v>
      </c>
      <c r="F155" s="141" t="s">
        <v>425</v>
      </c>
      <c r="G155" s="142">
        <v>1065</v>
      </c>
      <c r="H155" s="143">
        <f>INT((G155*Valores!$C$2*100)+0.5)/100</f>
        <v>9946.78</v>
      </c>
      <c r="I155" s="161">
        <v>0</v>
      </c>
      <c r="J155" s="145">
        <f>INT((I155*Valores!$C$2*100)+0.5)/100</f>
        <v>0</v>
      </c>
      <c r="K155" s="160">
        <v>0</v>
      </c>
      <c r="L155" s="145">
        <f>INT((K155*Valores!$C$2*100)+0.5)/100</f>
        <v>0</v>
      </c>
      <c r="M155" s="158">
        <v>0</v>
      </c>
      <c r="N155" s="145">
        <f>INT((M155*Valores!$C$2*100)+0.5)/100</f>
        <v>0</v>
      </c>
      <c r="O155" s="145">
        <f t="shared" si="23"/>
        <v>2290.8525</v>
      </c>
      <c r="P155" s="145">
        <f t="shared" si="24"/>
        <v>0</v>
      </c>
      <c r="Q155" s="159">
        <f>Valores!$C$20</f>
        <v>8160.2</v>
      </c>
      <c r="R155" s="159">
        <f>Valores!$D$4</f>
        <v>4774.45</v>
      </c>
      <c r="S155" s="148">
        <f>Valores!$C$28</f>
        <v>4057.61</v>
      </c>
      <c r="T155" s="148">
        <f>IF($H$5="NO",Valores!$C$42,Valores!$C$42/2)</f>
        <v>1428.56</v>
      </c>
      <c r="U155" s="159">
        <f>Valores!$C$24</f>
        <v>3897.01</v>
      </c>
      <c r="V155" s="145">
        <f t="shared" si="21"/>
        <v>3897.01</v>
      </c>
      <c r="W155" s="145">
        <v>0</v>
      </c>
      <c r="X155" s="145">
        <v>0</v>
      </c>
      <c r="Y155" s="149">
        <v>0</v>
      </c>
      <c r="Z155" s="145">
        <f>Y155*Valores!$C$2</f>
        <v>0</v>
      </c>
      <c r="AA155" s="145">
        <v>0</v>
      </c>
      <c r="AB155" s="148">
        <f>Valores!$C$89</f>
        <v>1153.8461538461538</v>
      </c>
      <c r="AC155" s="150">
        <f>Valores!$C$30</f>
        <v>199.86</v>
      </c>
      <c r="AD155" s="145">
        <f t="shared" si="26"/>
        <v>0</v>
      </c>
      <c r="AE155" s="145">
        <f>Valores!$C$31</f>
        <v>199.86</v>
      </c>
      <c r="AF155" s="149">
        <v>0</v>
      </c>
      <c r="AG155" s="145">
        <f>INT(((AF155*Valores!$C$2)*100)+0.5)/100</f>
        <v>0</v>
      </c>
      <c r="AH155" s="145">
        <f>IF($H$5="NO",Valores!$C$59,Valores!$C$59/2)</f>
        <v>406.53</v>
      </c>
      <c r="AI155" s="145">
        <f>IF($H$5="NO",Valores!$C$61,Valores!$C$61/2)</f>
        <v>116.15</v>
      </c>
      <c r="AJ155" s="151">
        <f t="shared" si="27"/>
        <v>36631.70865384616</v>
      </c>
      <c r="AK155" s="159">
        <f>Valores!$C$36</f>
        <v>1046.83</v>
      </c>
      <c r="AL155" s="148">
        <f>Valores!$C$7</f>
        <v>0</v>
      </c>
      <c r="AM155" s="148">
        <f>Valores!$C$84</f>
        <v>2275</v>
      </c>
      <c r="AN155" s="148"/>
      <c r="AO155" s="150">
        <f>Valores!$C$52</f>
        <v>170.34</v>
      </c>
      <c r="AP155" s="152">
        <f t="shared" si="25"/>
        <v>3321.83</v>
      </c>
      <c r="AQ155" s="154">
        <f>AJ155*-Valores!$C$68</f>
        <v>-4029.4879519230776</v>
      </c>
      <c r="AR155" s="154">
        <f>AJ155*-Valores!$C$69</f>
        <v>0</v>
      </c>
      <c r="AS155" s="147">
        <f>AJ155*-Valores!$C$70</f>
        <v>-1648.426889423077</v>
      </c>
      <c r="AT155" s="147">
        <v>-159.43</v>
      </c>
      <c r="AU155" s="147">
        <f t="shared" si="28"/>
        <v>-53.83</v>
      </c>
      <c r="AV155" s="151">
        <f t="shared" si="29"/>
        <v>34062.36381250001</v>
      </c>
      <c r="AW155" s="155"/>
      <c r="AX155" s="155">
        <v>25</v>
      </c>
      <c r="AY155" s="140" t="s">
        <v>4</v>
      </c>
    </row>
    <row r="156" spans="1:51" s="117" customFormat="1" ht="11.25" customHeight="1">
      <c r="A156" s="139">
        <v>153</v>
      </c>
      <c r="B156" s="139"/>
      <c r="C156" s="140" t="s">
        <v>426</v>
      </c>
      <c r="D156" s="140"/>
      <c r="E156" s="140">
        <f t="shared" si="22"/>
        <v>16</v>
      </c>
      <c r="F156" s="141" t="s">
        <v>427</v>
      </c>
      <c r="G156" s="142">
        <v>947</v>
      </c>
      <c r="H156" s="143">
        <f>INT((G156*Valores!$C$2*100)+0.5)/100</f>
        <v>8844.7</v>
      </c>
      <c r="I156" s="161">
        <v>0</v>
      </c>
      <c r="J156" s="145">
        <f>INT((I156*Valores!$C$2*100)+0.5)/100</f>
        <v>0</v>
      </c>
      <c r="K156" s="160">
        <v>0</v>
      </c>
      <c r="L156" s="145">
        <f>INT((K156*Valores!$C$2*100)+0.5)/100</f>
        <v>0</v>
      </c>
      <c r="M156" s="158">
        <v>0</v>
      </c>
      <c r="N156" s="145">
        <f>INT((M156*Valores!$C$2*100)+0.5)/100</f>
        <v>0</v>
      </c>
      <c r="O156" s="145">
        <f t="shared" si="23"/>
        <v>2125.5405</v>
      </c>
      <c r="P156" s="145">
        <f t="shared" si="24"/>
        <v>0</v>
      </c>
      <c r="Q156" s="159">
        <f>Valores!$C$20</f>
        <v>8160.2</v>
      </c>
      <c r="R156" s="159">
        <f>Valores!$D$4</f>
        <v>4774.45</v>
      </c>
      <c r="S156" s="148">
        <f>Valores!$C$28</f>
        <v>4057.61</v>
      </c>
      <c r="T156" s="148">
        <f>IF($H$5="NO",Valores!$C$42,Valores!$C$42/2)</f>
        <v>1428.56</v>
      </c>
      <c r="U156" s="159">
        <f>Valores!$C$24</f>
        <v>3897.01</v>
      </c>
      <c r="V156" s="145">
        <f t="shared" si="21"/>
        <v>3897.01</v>
      </c>
      <c r="W156" s="145">
        <v>0</v>
      </c>
      <c r="X156" s="145">
        <v>0</v>
      </c>
      <c r="Y156" s="149">
        <v>0</v>
      </c>
      <c r="Z156" s="145">
        <f>Y156*Valores!$C$2</f>
        <v>0</v>
      </c>
      <c r="AA156" s="145">
        <v>0</v>
      </c>
      <c r="AB156" s="148">
        <f>Valores!$C$89</f>
        <v>1153.8461538461538</v>
      </c>
      <c r="AC156" s="150">
        <f>Valores!$C$30</f>
        <v>199.86</v>
      </c>
      <c r="AD156" s="145">
        <f t="shared" si="26"/>
        <v>0</v>
      </c>
      <c r="AE156" s="145">
        <f>Valores!$C$31</f>
        <v>199.86</v>
      </c>
      <c r="AF156" s="149">
        <v>0</v>
      </c>
      <c r="AG156" s="145">
        <f>INT(((AF156*Valores!$C$2)*100)+0.5)/100</f>
        <v>0</v>
      </c>
      <c r="AH156" s="145">
        <f>IF($H$5="NO",Valores!$C$59,Valores!$C$59/2)</f>
        <v>406.53</v>
      </c>
      <c r="AI156" s="145">
        <f>IF($H$5="NO",Valores!$C$61,Valores!$C$61/2)</f>
        <v>116.15</v>
      </c>
      <c r="AJ156" s="151">
        <f t="shared" si="27"/>
        <v>35364.31665384616</v>
      </c>
      <c r="AK156" s="159">
        <f>Valores!$C$36</f>
        <v>1046.83</v>
      </c>
      <c r="AL156" s="148">
        <f>Valores!$C$7</f>
        <v>0</v>
      </c>
      <c r="AM156" s="148">
        <f>Valores!$C$84</f>
        <v>2275</v>
      </c>
      <c r="AN156" s="148"/>
      <c r="AO156" s="150">
        <f>Valores!$C$52</f>
        <v>170.34</v>
      </c>
      <c r="AP156" s="152">
        <f t="shared" si="25"/>
        <v>3321.83</v>
      </c>
      <c r="AQ156" s="154">
        <f>AJ156*-Valores!$C$68</f>
        <v>-3890.0748319230775</v>
      </c>
      <c r="AR156" s="154">
        <f>AJ156*-Valores!$C$69</f>
        <v>0</v>
      </c>
      <c r="AS156" s="147">
        <f>AJ156*-Valores!$C$70</f>
        <v>-1591.394249423077</v>
      </c>
      <c r="AT156" s="147">
        <v>-159.43</v>
      </c>
      <c r="AU156" s="147">
        <f t="shared" si="28"/>
        <v>-53.83</v>
      </c>
      <c r="AV156" s="151">
        <f t="shared" si="29"/>
        <v>32991.4175725</v>
      </c>
      <c r="AW156" s="155"/>
      <c r="AX156" s="155">
        <v>22</v>
      </c>
      <c r="AY156" s="140" t="s">
        <v>4</v>
      </c>
    </row>
    <row r="157" spans="1:51" s="117" customFormat="1" ht="11.25" customHeight="1">
      <c r="A157" s="139">
        <v>154</v>
      </c>
      <c r="B157" s="139"/>
      <c r="C157" s="140" t="s">
        <v>428</v>
      </c>
      <c r="D157" s="140"/>
      <c r="E157" s="140">
        <f t="shared" si="22"/>
        <v>31</v>
      </c>
      <c r="F157" s="141" t="s">
        <v>429</v>
      </c>
      <c r="G157" s="142">
        <v>1800</v>
      </c>
      <c r="H157" s="143">
        <f>INT((G157*Valores!$C$2*100)+0.5)/100</f>
        <v>16811.46</v>
      </c>
      <c r="I157" s="161">
        <v>0</v>
      </c>
      <c r="J157" s="145">
        <f>INT((I157*Valores!$C$2*100)+0.5)/100</f>
        <v>0</v>
      </c>
      <c r="K157" s="160">
        <v>0</v>
      </c>
      <c r="L157" s="145">
        <f>INT((K157*Valores!$C$2*100)+0.5)/100</f>
        <v>0</v>
      </c>
      <c r="M157" s="158">
        <v>0</v>
      </c>
      <c r="N157" s="145">
        <f>INT((M157*Valores!$C$2*100)+0.5)/100</f>
        <v>0</v>
      </c>
      <c r="O157" s="145">
        <f t="shared" si="23"/>
        <v>3463.9739999999997</v>
      </c>
      <c r="P157" s="145">
        <f t="shared" si="24"/>
        <v>0</v>
      </c>
      <c r="Q157" s="159">
        <f>Valores!$C$15</f>
        <v>8642.51</v>
      </c>
      <c r="R157" s="159">
        <f>Valores!$D$4</f>
        <v>4774.45</v>
      </c>
      <c r="S157" s="159">
        <f>Valores!$C$27</f>
        <v>4359.58</v>
      </c>
      <c r="T157" s="148">
        <f>IF($H$5="NO",Valores!$C$44,Valores!$C$44/2)</f>
        <v>2384.69</v>
      </c>
      <c r="U157" s="145">
        <f>Valores!$C$24</f>
        <v>3897.01</v>
      </c>
      <c r="V157" s="145">
        <f t="shared" si="21"/>
        <v>3897.01</v>
      </c>
      <c r="W157" s="145">
        <v>0</v>
      </c>
      <c r="X157" s="145">
        <v>0</v>
      </c>
      <c r="Y157" s="149">
        <v>0</v>
      </c>
      <c r="Z157" s="145">
        <f>Y157*Valores!$C$2</f>
        <v>0</v>
      </c>
      <c r="AA157" s="145">
        <v>0</v>
      </c>
      <c r="AB157" s="148">
        <f>Valores!$C$89</f>
        <v>1153.8461538461538</v>
      </c>
      <c r="AC157" s="150">
        <f>Valores!$C$30</f>
        <v>199.86</v>
      </c>
      <c r="AD157" s="145">
        <f t="shared" si="26"/>
        <v>0</v>
      </c>
      <c r="AE157" s="145">
        <f>Valores!$C$31</f>
        <v>199.86</v>
      </c>
      <c r="AF157" s="149">
        <v>0</v>
      </c>
      <c r="AG157" s="145">
        <f>INT(((AF157*Valores!$C$2)*100)+0.5)/100</f>
        <v>0</v>
      </c>
      <c r="AH157" s="145">
        <f>IF($H$5="NO",Valores!$C$59,Valores!$C$59/2)</f>
        <v>406.53</v>
      </c>
      <c r="AI157" s="145">
        <f>IF($H$5="NO",Valores!$C$61,Valores!$C$61/2)</f>
        <v>116.15</v>
      </c>
      <c r="AJ157" s="151">
        <f t="shared" si="27"/>
        <v>46409.92015384616</v>
      </c>
      <c r="AK157" s="159">
        <f>Valores!$C$36</f>
        <v>1046.83</v>
      </c>
      <c r="AL157" s="148">
        <f>Valores!$C$9</f>
        <v>0</v>
      </c>
      <c r="AM157" s="148">
        <f>Valores!$C$84</f>
        <v>2275</v>
      </c>
      <c r="AN157" s="148"/>
      <c r="AO157" s="150">
        <f>Valores!$C$52</f>
        <v>170.34</v>
      </c>
      <c r="AP157" s="152">
        <f t="shared" si="25"/>
        <v>3321.83</v>
      </c>
      <c r="AQ157" s="154">
        <f>AJ157*-Valores!$C$68</f>
        <v>-5105.091216923077</v>
      </c>
      <c r="AR157" s="154">
        <f>AJ157*-Valores!$C$69</f>
        <v>0</v>
      </c>
      <c r="AS157" s="147">
        <f>AJ157*-Valores!$C$70</f>
        <v>-2088.446406923077</v>
      </c>
      <c r="AT157" s="147">
        <v>-159.43</v>
      </c>
      <c r="AU157" s="147">
        <f t="shared" si="28"/>
        <v>-53.83</v>
      </c>
      <c r="AV157" s="151">
        <f t="shared" si="29"/>
        <v>42324.95253</v>
      </c>
      <c r="AW157" s="155"/>
      <c r="AX157" s="155"/>
      <c r="AY157" s="140" t="s">
        <v>4</v>
      </c>
    </row>
    <row r="158" spans="1:51" s="117" customFormat="1" ht="11.25" customHeight="1">
      <c r="A158" s="157">
        <v>155</v>
      </c>
      <c r="B158" s="157" t="s">
        <v>143</v>
      </c>
      <c r="C158" s="140" t="s">
        <v>430</v>
      </c>
      <c r="D158" s="140"/>
      <c r="E158" s="140">
        <f t="shared" si="22"/>
        <v>19</v>
      </c>
      <c r="F158" s="141" t="s">
        <v>431</v>
      </c>
      <c r="G158" s="142">
        <v>1278</v>
      </c>
      <c r="H158" s="143">
        <f>INT((G158*Valores!$C$2*100)+0.5)/100</f>
        <v>11936.14</v>
      </c>
      <c r="I158" s="161">
        <v>0</v>
      </c>
      <c r="J158" s="145">
        <f>INT((I158*Valores!$C$2*100)+0.5)/100</f>
        <v>0</v>
      </c>
      <c r="K158" s="160">
        <v>0</v>
      </c>
      <c r="L158" s="145">
        <f>INT((K158*Valores!$C$2*100)+0.5)/100</f>
        <v>0</v>
      </c>
      <c r="M158" s="158">
        <v>0</v>
      </c>
      <c r="N158" s="145">
        <f>INT((M158*Valores!$C$2*100)+0.5)/100</f>
        <v>0</v>
      </c>
      <c r="O158" s="145">
        <f t="shared" si="23"/>
        <v>2617.9455000000003</v>
      </c>
      <c r="P158" s="145">
        <f t="shared" si="24"/>
        <v>0</v>
      </c>
      <c r="Q158" s="159">
        <f>Valores!$C$15</f>
        <v>8642.51</v>
      </c>
      <c r="R158" s="159">
        <f>Valores!$D$4</f>
        <v>4774.45</v>
      </c>
      <c r="S158" s="159">
        <f>Valores!$C$27</f>
        <v>4359.58</v>
      </c>
      <c r="T158" s="148">
        <f>IF($H$5="NO",Valores!$C$43,Valores!$C$43/2)</f>
        <v>1619.82</v>
      </c>
      <c r="U158" s="145">
        <f>Valores!$C$24</f>
        <v>3897.01</v>
      </c>
      <c r="V158" s="145">
        <f t="shared" si="21"/>
        <v>3897.01</v>
      </c>
      <c r="W158" s="145">
        <v>0</v>
      </c>
      <c r="X158" s="145">
        <v>0</v>
      </c>
      <c r="Y158" s="149">
        <v>0</v>
      </c>
      <c r="Z158" s="145">
        <f>Y158*Valores!$C$2</f>
        <v>0</v>
      </c>
      <c r="AA158" s="145">
        <v>0</v>
      </c>
      <c r="AB158" s="148">
        <f>Valores!$C$89</f>
        <v>1153.8461538461538</v>
      </c>
      <c r="AC158" s="150">
        <f>Valores!$C$30</f>
        <v>199.86</v>
      </c>
      <c r="AD158" s="145">
        <f t="shared" si="26"/>
        <v>0</v>
      </c>
      <c r="AE158" s="145">
        <f>Valores!$C$31</f>
        <v>199.86</v>
      </c>
      <c r="AF158" s="149">
        <v>0</v>
      </c>
      <c r="AG158" s="145">
        <f>INT(((AF158*Valores!$C$2)*100)+0.5)/100</f>
        <v>0</v>
      </c>
      <c r="AH158" s="145">
        <f>IF($H$5="NO",Valores!$C$59,Valores!$C$59/2)</f>
        <v>406.53</v>
      </c>
      <c r="AI158" s="145">
        <f>IF($H$5="NO",Valores!$C$61,Valores!$C$61/2)</f>
        <v>116.15</v>
      </c>
      <c r="AJ158" s="151">
        <f t="shared" si="27"/>
        <v>39923.70165384616</v>
      </c>
      <c r="AK158" s="159">
        <f>Valores!$C$36</f>
        <v>1046.83</v>
      </c>
      <c r="AL158" s="148">
        <f>Valores!$C$8</f>
        <v>0</v>
      </c>
      <c r="AM158" s="148">
        <f>Valores!$C$84</f>
        <v>2275</v>
      </c>
      <c r="AN158" s="148"/>
      <c r="AO158" s="150">
        <f>Valores!$C$52</f>
        <v>170.34</v>
      </c>
      <c r="AP158" s="152">
        <f t="shared" si="25"/>
        <v>3321.83</v>
      </c>
      <c r="AQ158" s="154">
        <f>AJ158*-Valores!$C$68</f>
        <v>-4391.607181923077</v>
      </c>
      <c r="AR158" s="154">
        <f>AJ158*-Valores!$C$69</f>
        <v>0</v>
      </c>
      <c r="AS158" s="147">
        <f>AJ158*-Valores!$C$70</f>
        <v>-1796.566574423077</v>
      </c>
      <c r="AT158" s="147">
        <v>-159.43</v>
      </c>
      <c r="AU158" s="147">
        <f t="shared" si="28"/>
        <v>-53.83</v>
      </c>
      <c r="AV158" s="151">
        <f t="shared" si="29"/>
        <v>36844.0978975</v>
      </c>
      <c r="AW158" s="155"/>
      <c r="AX158" s="155">
        <v>27</v>
      </c>
      <c r="AY158" s="140" t="s">
        <v>4</v>
      </c>
    </row>
    <row r="159" spans="1:51" s="117" customFormat="1" ht="11.25" customHeight="1">
      <c r="A159" s="139">
        <v>156</v>
      </c>
      <c r="B159" s="139"/>
      <c r="C159" s="140" t="s">
        <v>432</v>
      </c>
      <c r="D159" s="140"/>
      <c r="E159" s="140">
        <f t="shared" si="22"/>
        <v>28</v>
      </c>
      <c r="F159" s="141" t="s">
        <v>433</v>
      </c>
      <c r="G159" s="142">
        <v>1214</v>
      </c>
      <c r="H159" s="143">
        <f>INT((G159*Valores!$C$2*100)+0.5)/100</f>
        <v>11338.4</v>
      </c>
      <c r="I159" s="161">
        <v>0</v>
      </c>
      <c r="J159" s="145">
        <f>INT((I159*Valores!$C$2*100)+0.5)/100</f>
        <v>0</v>
      </c>
      <c r="K159" s="160">
        <v>0</v>
      </c>
      <c r="L159" s="145">
        <f>INT((K159*Valores!$C$2*100)+0.5)/100</f>
        <v>0</v>
      </c>
      <c r="M159" s="158">
        <v>0</v>
      </c>
      <c r="N159" s="145">
        <f>INT((M159*Valores!$C$2*100)+0.5)/100</f>
        <v>0</v>
      </c>
      <c r="O159" s="145">
        <f t="shared" si="23"/>
        <v>2528.2844999999998</v>
      </c>
      <c r="P159" s="145">
        <f t="shared" si="24"/>
        <v>0</v>
      </c>
      <c r="Q159" s="159">
        <f>Valores!$C$20</f>
        <v>8160.2</v>
      </c>
      <c r="R159" s="159">
        <f>Valores!$D$4</f>
        <v>4774.45</v>
      </c>
      <c r="S159" s="145">
        <f>Valores!$C$27</f>
        <v>4359.58</v>
      </c>
      <c r="T159" s="148">
        <f>IF($H$5="NO",Valores!$C$43,Valores!$C$43/2)</f>
        <v>1619.82</v>
      </c>
      <c r="U159" s="145">
        <f>Valores!$C$24</f>
        <v>3897.01</v>
      </c>
      <c r="V159" s="145">
        <f t="shared" si="21"/>
        <v>3897.01</v>
      </c>
      <c r="W159" s="145">
        <v>0</v>
      </c>
      <c r="X159" s="145">
        <v>0</v>
      </c>
      <c r="Y159" s="149">
        <v>0</v>
      </c>
      <c r="Z159" s="145">
        <f>Y159*Valores!$C$2</f>
        <v>0</v>
      </c>
      <c r="AA159" s="145">
        <v>0</v>
      </c>
      <c r="AB159" s="148">
        <f>Valores!$C$89</f>
        <v>1153.8461538461538</v>
      </c>
      <c r="AC159" s="150">
        <f>Valores!$C$30</f>
        <v>199.86</v>
      </c>
      <c r="AD159" s="145">
        <f t="shared" si="26"/>
        <v>0</v>
      </c>
      <c r="AE159" s="145">
        <f>Valores!$C$31</f>
        <v>199.86</v>
      </c>
      <c r="AF159" s="149">
        <v>0</v>
      </c>
      <c r="AG159" s="145">
        <f>INT(((AF159*Valores!$C$2)*100)+0.5)/100</f>
        <v>0</v>
      </c>
      <c r="AH159" s="145">
        <f>IF($H$5="NO",Valores!$C$59,Valores!$C$59/2)</f>
        <v>406.53</v>
      </c>
      <c r="AI159" s="145">
        <f>IF($H$5="NO",Valores!$C$61,Valores!$C$61/2)</f>
        <v>116.15</v>
      </c>
      <c r="AJ159" s="151">
        <f t="shared" si="27"/>
        <v>38753.99065384616</v>
      </c>
      <c r="AK159" s="159">
        <f>Valores!$C$36</f>
        <v>1046.83</v>
      </c>
      <c r="AL159" s="148">
        <f>Valores!$C$8</f>
        <v>0</v>
      </c>
      <c r="AM159" s="148">
        <f>Valores!$C$84</f>
        <v>2275</v>
      </c>
      <c r="AN159" s="148"/>
      <c r="AO159" s="150">
        <f>Valores!$C$52</f>
        <v>170.34</v>
      </c>
      <c r="AP159" s="152">
        <f t="shared" si="25"/>
        <v>3321.83</v>
      </c>
      <c r="AQ159" s="154">
        <f>AJ159*-Valores!$C$68</f>
        <v>-4262.938971923078</v>
      </c>
      <c r="AR159" s="154">
        <f>AJ159*-Valores!$C$69</f>
        <v>0</v>
      </c>
      <c r="AS159" s="147">
        <f>AJ159*-Valores!$C$70</f>
        <v>-1743.929579423077</v>
      </c>
      <c r="AT159" s="147">
        <v>-159.43</v>
      </c>
      <c r="AU159" s="147">
        <f t="shared" si="28"/>
        <v>-53.83</v>
      </c>
      <c r="AV159" s="151">
        <f t="shared" si="29"/>
        <v>35855.692102500005</v>
      </c>
      <c r="AW159" s="155"/>
      <c r="AX159" s="155"/>
      <c r="AY159" s="140" t="s">
        <v>4</v>
      </c>
    </row>
    <row r="160" spans="1:51" s="117" customFormat="1" ht="11.25" customHeight="1">
      <c r="A160" s="139">
        <v>157</v>
      </c>
      <c r="B160" s="139"/>
      <c r="C160" s="140" t="s">
        <v>434</v>
      </c>
      <c r="D160" s="140"/>
      <c r="E160" s="140">
        <f t="shared" si="22"/>
        <v>25</v>
      </c>
      <c r="F160" s="141" t="s">
        <v>435</v>
      </c>
      <c r="G160" s="142">
        <f>1106+78</f>
        <v>1184</v>
      </c>
      <c r="H160" s="143">
        <f>INT((G160*Valores!$C$2*100)+0.5)/100</f>
        <v>11058.2</v>
      </c>
      <c r="I160" s="161">
        <v>0</v>
      </c>
      <c r="J160" s="145">
        <f>INT((I160*Valores!$C$2*100)+0.5)/100</f>
        <v>0</v>
      </c>
      <c r="K160" s="160">
        <v>0</v>
      </c>
      <c r="L160" s="145">
        <f>INT((K160*Valores!$C$2*100)+0.5)/100</f>
        <v>0</v>
      </c>
      <c r="M160" s="158">
        <v>0</v>
      </c>
      <c r="N160" s="145">
        <f>INT((M160*Valores!$C$2*100)+0.5)/100</f>
        <v>0</v>
      </c>
      <c r="O160" s="145">
        <f t="shared" si="23"/>
        <v>2479.2795</v>
      </c>
      <c r="P160" s="145">
        <f t="shared" si="24"/>
        <v>0</v>
      </c>
      <c r="Q160" s="159">
        <f>Valores!$C$20</f>
        <v>8160.2</v>
      </c>
      <c r="R160" s="159">
        <f>Valores!$D$4</f>
        <v>4774.45</v>
      </c>
      <c r="S160" s="145">
        <v>0</v>
      </c>
      <c r="T160" s="148">
        <f>IF($H$5="NO",Valores!$C$43,Valores!$C$43/2)</f>
        <v>1619.82</v>
      </c>
      <c r="U160" s="159">
        <f>Valores!$C$25</f>
        <v>3850.51</v>
      </c>
      <c r="V160" s="145">
        <f t="shared" si="21"/>
        <v>3850.51</v>
      </c>
      <c r="W160" s="145">
        <v>0</v>
      </c>
      <c r="X160" s="145">
        <v>0</v>
      </c>
      <c r="Y160" s="149">
        <v>0</v>
      </c>
      <c r="Z160" s="145">
        <f>Y160*Valores!$C$2</f>
        <v>0</v>
      </c>
      <c r="AA160" s="145">
        <v>0</v>
      </c>
      <c r="AB160" s="148">
        <f>Valores!$C$89</f>
        <v>1153.8461538461538</v>
      </c>
      <c r="AC160" s="150">
        <f>Valores!$C$30</f>
        <v>199.86</v>
      </c>
      <c r="AD160" s="145">
        <f t="shared" si="26"/>
        <v>0</v>
      </c>
      <c r="AE160" s="145">
        <f>Valores!$C$31</f>
        <v>199.86</v>
      </c>
      <c r="AF160" s="149">
        <v>0</v>
      </c>
      <c r="AG160" s="145">
        <f>INT(((AF160*Valores!$C$2)*100)+0.5)/100</f>
        <v>0</v>
      </c>
      <c r="AH160" s="145">
        <f>IF($H$5="NO",Valores!$C$59,Valores!$C$59/2)</f>
        <v>406.53</v>
      </c>
      <c r="AI160" s="145">
        <f>IF($H$5="NO",Valores!$C$61,Valores!$C$61/2)</f>
        <v>116.15</v>
      </c>
      <c r="AJ160" s="151">
        <f t="shared" si="27"/>
        <v>34018.70565384616</v>
      </c>
      <c r="AK160" s="159">
        <f>Valores!$C$36</f>
        <v>1046.83</v>
      </c>
      <c r="AL160" s="148">
        <f>Valores!$C$8</f>
        <v>0</v>
      </c>
      <c r="AM160" s="148">
        <f>Valores!$C$84</f>
        <v>2275</v>
      </c>
      <c r="AN160" s="148"/>
      <c r="AO160" s="150">
        <f>Valores!$C$52</f>
        <v>170.34</v>
      </c>
      <c r="AP160" s="152">
        <f t="shared" si="25"/>
        <v>3321.83</v>
      </c>
      <c r="AQ160" s="154">
        <f>AJ160*-Valores!$C$68</f>
        <v>-3742.057621923078</v>
      </c>
      <c r="AR160" s="154">
        <f>AJ160*-Valores!$C$69</f>
        <v>0</v>
      </c>
      <c r="AS160" s="147">
        <f>AJ160*-Valores!$C$70</f>
        <v>-1530.8417544230772</v>
      </c>
      <c r="AT160" s="147">
        <v>-159.43</v>
      </c>
      <c r="AU160" s="147">
        <f t="shared" si="28"/>
        <v>-53.83</v>
      </c>
      <c r="AV160" s="151">
        <f t="shared" si="29"/>
        <v>31854.376277500007</v>
      </c>
      <c r="AW160" s="155"/>
      <c r="AX160" s="155"/>
      <c r="AY160" s="140" t="s">
        <v>8</v>
      </c>
    </row>
    <row r="161" spans="1:51" s="117" customFormat="1" ht="11.25" customHeight="1">
      <c r="A161" s="139">
        <v>158</v>
      </c>
      <c r="B161" s="139"/>
      <c r="C161" s="140" t="s">
        <v>436</v>
      </c>
      <c r="D161" s="140"/>
      <c r="E161" s="140">
        <f t="shared" si="22"/>
        <v>24</v>
      </c>
      <c r="F161" s="141" t="s">
        <v>437</v>
      </c>
      <c r="G161" s="142">
        <v>971</v>
      </c>
      <c r="H161" s="143">
        <f>INT((G161*Valores!$C$2*100)+0.5)/100</f>
        <v>9068.85</v>
      </c>
      <c r="I161" s="161">
        <v>0</v>
      </c>
      <c r="J161" s="145">
        <f>INT((I161*Valores!$C$2*100)+0.5)/100</f>
        <v>0</v>
      </c>
      <c r="K161" s="160">
        <v>0</v>
      </c>
      <c r="L161" s="145">
        <f>INT((K161*Valores!$C$2*100)+0.5)/100</f>
        <v>0</v>
      </c>
      <c r="M161" s="158">
        <v>0</v>
      </c>
      <c r="N161" s="145">
        <f>INT((M161*Valores!$C$2*100)+0.5)/100</f>
        <v>0</v>
      </c>
      <c r="O161" s="145">
        <f t="shared" si="23"/>
        <v>2159.163</v>
      </c>
      <c r="P161" s="145">
        <f t="shared" si="24"/>
        <v>0</v>
      </c>
      <c r="Q161" s="159">
        <f>Valores!$C$20</f>
        <v>8160.2</v>
      </c>
      <c r="R161" s="159">
        <f>Valores!$D$4</f>
        <v>4774.45</v>
      </c>
      <c r="S161" s="159">
        <f>Valores!$C$28</f>
        <v>4057.61</v>
      </c>
      <c r="T161" s="148">
        <f>IF($H$5="NO",Valores!$C$42,Valores!$C$42/2)</f>
        <v>1428.56</v>
      </c>
      <c r="U161" s="145">
        <f>Valores!$C$24</f>
        <v>3897.01</v>
      </c>
      <c r="V161" s="145">
        <f t="shared" si="21"/>
        <v>3897.01</v>
      </c>
      <c r="W161" s="145">
        <v>0</v>
      </c>
      <c r="X161" s="145">
        <v>0</v>
      </c>
      <c r="Y161" s="149">
        <v>0</v>
      </c>
      <c r="Z161" s="145">
        <f>Y161*Valores!$C$2</f>
        <v>0</v>
      </c>
      <c r="AA161" s="145">
        <v>0</v>
      </c>
      <c r="AB161" s="148">
        <f>Valores!$C$89</f>
        <v>1153.8461538461538</v>
      </c>
      <c r="AC161" s="150">
        <f>Valores!$C$30</f>
        <v>199.86</v>
      </c>
      <c r="AD161" s="145">
        <f t="shared" si="26"/>
        <v>0</v>
      </c>
      <c r="AE161" s="145">
        <f>Valores!$C$30</f>
        <v>199.86</v>
      </c>
      <c r="AF161" s="149">
        <v>0</v>
      </c>
      <c r="AG161" s="145">
        <f>INT(((AF161*Valores!$C$2)*100)+0.5)/100</f>
        <v>0</v>
      </c>
      <c r="AH161" s="145">
        <f>IF($H$5="NO",Valores!$C$59,Valores!$C$59/2)</f>
        <v>406.53</v>
      </c>
      <c r="AI161" s="145">
        <f>IF($H$5="NO",Valores!$C$61,Valores!$C$61/2)</f>
        <v>116.15</v>
      </c>
      <c r="AJ161" s="151">
        <f t="shared" si="27"/>
        <v>35622.08915384616</v>
      </c>
      <c r="AK161" s="159">
        <f>Valores!$C$36</f>
        <v>1046.83</v>
      </c>
      <c r="AL161" s="148">
        <f>Valores!$C$7</f>
        <v>0</v>
      </c>
      <c r="AM161" s="148">
        <f>Valores!$C$84</f>
        <v>2275</v>
      </c>
      <c r="AN161" s="148"/>
      <c r="AO161" s="150">
        <f>Valores!$C$54</f>
        <v>155.54</v>
      </c>
      <c r="AP161" s="152">
        <f t="shared" si="25"/>
        <v>3321.83</v>
      </c>
      <c r="AQ161" s="154">
        <f>AJ161*-Valores!$C$68</f>
        <v>-3918.4298069230776</v>
      </c>
      <c r="AR161" s="154">
        <f>AJ161*-Valores!$C$69</f>
        <v>0</v>
      </c>
      <c r="AS161" s="147">
        <f>AJ161*-Valores!$C$70</f>
        <v>-1602.994011923077</v>
      </c>
      <c r="AT161" s="147">
        <v>-159.43</v>
      </c>
      <c r="AU161" s="147">
        <f t="shared" si="28"/>
        <v>-53.83</v>
      </c>
      <c r="AV161" s="151">
        <f t="shared" si="29"/>
        <v>33209.235335000005</v>
      </c>
      <c r="AW161" s="155">
        <v>12</v>
      </c>
      <c r="AX161" s="155">
        <v>12</v>
      </c>
      <c r="AY161" s="140" t="s">
        <v>4</v>
      </c>
    </row>
    <row r="162" spans="1:51" s="117" customFormat="1" ht="11.25" customHeight="1">
      <c r="A162" s="139">
        <v>159</v>
      </c>
      <c r="B162" s="139"/>
      <c r="C162" s="140" t="s">
        <v>436</v>
      </c>
      <c r="D162" s="140"/>
      <c r="E162" s="140">
        <f t="shared" si="22"/>
        <v>35</v>
      </c>
      <c r="F162" s="141" t="s">
        <v>438</v>
      </c>
      <c r="G162" s="142">
        <v>971</v>
      </c>
      <c r="H162" s="143">
        <f>INT((G162*Valores!$C$2*100)+0.5)/100</f>
        <v>9068.85</v>
      </c>
      <c r="I162" s="161">
        <v>0</v>
      </c>
      <c r="J162" s="145">
        <f>INT((I162*Valores!$C$2*100)+0.5)/100</f>
        <v>0</v>
      </c>
      <c r="K162" s="160">
        <v>0</v>
      </c>
      <c r="L162" s="145">
        <f>INT((K162*Valores!$C$2*100)+0.5)/100</f>
        <v>0</v>
      </c>
      <c r="M162" s="158">
        <v>0</v>
      </c>
      <c r="N162" s="145">
        <f>INT((M162*Valores!$C$2*100)+0.5)/100</f>
        <v>0</v>
      </c>
      <c r="O162" s="145">
        <f t="shared" si="23"/>
        <v>2862.9644999999996</v>
      </c>
      <c r="P162" s="145">
        <f t="shared" si="24"/>
        <v>0</v>
      </c>
      <c r="Q162" s="159">
        <f>Valores!$C$20</f>
        <v>8160.2</v>
      </c>
      <c r="R162" s="159">
        <f>Valores!$D$4</f>
        <v>4774.45</v>
      </c>
      <c r="S162" s="159">
        <f>Valores!$C$28</f>
        <v>4057.61</v>
      </c>
      <c r="T162" s="148">
        <f>IF($H$5="NO",Valores!$C$44,Valores!$C$44/2)</f>
        <v>2384.69</v>
      </c>
      <c r="U162" s="145">
        <f>Valores!$C$24</f>
        <v>3897.01</v>
      </c>
      <c r="V162" s="145">
        <f t="shared" si="21"/>
        <v>3897.01</v>
      </c>
      <c r="W162" s="145">
        <v>0</v>
      </c>
      <c r="X162" s="145">
        <v>0</v>
      </c>
      <c r="Y162" s="144">
        <v>400</v>
      </c>
      <c r="Z162" s="145">
        <f>Y162*Valores!$C$2</f>
        <v>3735.88</v>
      </c>
      <c r="AA162" s="159">
        <f>SUM(L162,J162,H162,T162)*Valores!$C$3</f>
        <v>1718.0310000000002</v>
      </c>
      <c r="AB162" s="148">
        <f>Valores!$C$89</f>
        <v>1153.8461538461538</v>
      </c>
      <c r="AC162" s="150">
        <f>Valores!$C$30</f>
        <v>199.86</v>
      </c>
      <c r="AD162" s="145">
        <f t="shared" si="26"/>
        <v>0</v>
      </c>
      <c r="AE162" s="145">
        <f>Valores!$C$30</f>
        <v>199.86</v>
      </c>
      <c r="AF162" s="149">
        <v>94</v>
      </c>
      <c r="AG162" s="145">
        <f>INT(((AF162*Valores!$C$2)*100)+0.5)/100</f>
        <v>877.93</v>
      </c>
      <c r="AH162" s="145">
        <f>IF($H$5="NO",Valores!$C$59,Valores!$C$59/2)</f>
        <v>406.53</v>
      </c>
      <c r="AI162" s="145">
        <f>IF($H$5="NO",Valores!$C$61,Valores!$C$61/2)</f>
        <v>116.15</v>
      </c>
      <c r="AJ162" s="151">
        <f t="shared" si="27"/>
        <v>43613.861653846165</v>
      </c>
      <c r="AK162" s="159">
        <f>Valores!$C$36</f>
        <v>1046.83</v>
      </c>
      <c r="AL162" s="148">
        <f>Valores!$C$9</f>
        <v>0</v>
      </c>
      <c r="AM162" s="148">
        <f>Valores!$C$84</f>
        <v>2275</v>
      </c>
      <c r="AN162" s="148"/>
      <c r="AO162" s="150">
        <f>Valores!$C$54</f>
        <v>155.54</v>
      </c>
      <c r="AP162" s="152">
        <f t="shared" si="25"/>
        <v>3321.83</v>
      </c>
      <c r="AQ162" s="154">
        <f>AJ162*-Valores!$C$68</f>
        <v>-4797.524781923078</v>
      </c>
      <c r="AR162" s="154">
        <f>AJ162*-Valores!$C$69</f>
        <v>0</v>
      </c>
      <c r="AS162" s="147">
        <f>AJ162*-Valores!$C$70</f>
        <v>-1962.6237744230773</v>
      </c>
      <c r="AT162" s="147">
        <v>-159.43</v>
      </c>
      <c r="AU162" s="147">
        <f>IF($H$6=0,-53.83,(-53.83+$H$6*(-53.83)))</f>
        <v>-53.83</v>
      </c>
      <c r="AV162" s="151">
        <f t="shared" si="29"/>
        <v>39962.28309750001</v>
      </c>
      <c r="AW162" s="155">
        <v>12</v>
      </c>
      <c r="AX162" s="155">
        <v>18</v>
      </c>
      <c r="AY162" s="140" t="s">
        <v>4</v>
      </c>
    </row>
    <row r="163" spans="1:51" s="117" customFormat="1" ht="11.25" customHeight="1">
      <c r="A163" s="139">
        <v>161</v>
      </c>
      <c r="B163" s="139"/>
      <c r="C163" s="140" t="s">
        <v>439</v>
      </c>
      <c r="D163" s="140"/>
      <c r="E163" s="140">
        <f t="shared" si="22"/>
        <v>21</v>
      </c>
      <c r="F163" s="141" t="s">
        <v>440</v>
      </c>
      <c r="G163" s="142">
        <v>810</v>
      </c>
      <c r="H163" s="143">
        <f>INT((G163*Valores!$C$2*100)+0.5)/100</f>
        <v>7565.16</v>
      </c>
      <c r="I163" s="161">
        <v>0</v>
      </c>
      <c r="J163" s="145">
        <f>INT((I163*Valores!$C$2*100)+0.5)/100</f>
        <v>0</v>
      </c>
      <c r="K163" s="160">
        <v>0</v>
      </c>
      <c r="L163" s="145">
        <f>INT((K163*Valores!$C$2*100)+0.5)/100</f>
        <v>0</v>
      </c>
      <c r="M163" s="158">
        <v>0</v>
      </c>
      <c r="N163" s="145">
        <f>INT((M163*Valores!$C$2*100)+0.5)/100</f>
        <v>0</v>
      </c>
      <c r="O163" s="145">
        <f t="shared" si="23"/>
        <v>1926.6345</v>
      </c>
      <c r="P163" s="145">
        <f t="shared" si="24"/>
        <v>0</v>
      </c>
      <c r="Q163" s="159">
        <f>Valores!$C$20</f>
        <v>8160.2</v>
      </c>
      <c r="R163" s="159">
        <f>Valores!$D$4</f>
        <v>4774.45</v>
      </c>
      <c r="S163" s="159">
        <f>Valores!$C$28</f>
        <v>4057.61</v>
      </c>
      <c r="T163" s="148">
        <f>IF($H$5="NO",Valores!$C$42,Valores!$C$42/2)</f>
        <v>1428.56</v>
      </c>
      <c r="U163" s="159">
        <f>Valores!$C$25</f>
        <v>3850.51</v>
      </c>
      <c r="V163" s="145">
        <f t="shared" si="21"/>
        <v>3850.51</v>
      </c>
      <c r="W163" s="145">
        <v>0</v>
      </c>
      <c r="X163" s="145">
        <v>0</v>
      </c>
      <c r="Y163" s="149">
        <v>0</v>
      </c>
      <c r="Z163" s="145">
        <f>Y163*Valores!$C$2</f>
        <v>0</v>
      </c>
      <c r="AA163" s="145">
        <v>0</v>
      </c>
      <c r="AB163" s="148">
        <f>Valores!$C$89</f>
        <v>1153.8461538461538</v>
      </c>
      <c r="AC163" s="150">
        <f>Valores!$C$30</f>
        <v>199.86</v>
      </c>
      <c r="AD163" s="145">
        <f t="shared" si="26"/>
        <v>0</v>
      </c>
      <c r="AE163" s="145">
        <f>Valores!$C$31</f>
        <v>199.86</v>
      </c>
      <c r="AF163" s="149">
        <v>0</v>
      </c>
      <c r="AG163" s="145">
        <f>INT(((AF163*Valores!$C$2)*100)+0.5)/100</f>
        <v>0</v>
      </c>
      <c r="AH163" s="145">
        <f>IF($H$5="NO",Valores!$C$59,Valores!$C$59/2)</f>
        <v>406.53</v>
      </c>
      <c r="AI163" s="145">
        <f>IF($H$5="NO",Valores!$C$61,Valores!$C$61/2)</f>
        <v>116.15</v>
      </c>
      <c r="AJ163" s="151">
        <f t="shared" si="27"/>
        <v>33839.370653846156</v>
      </c>
      <c r="AK163" s="159">
        <f>Valores!$C$36</f>
        <v>1046.83</v>
      </c>
      <c r="AL163" s="148">
        <f>Valores!$C$7</f>
        <v>0</v>
      </c>
      <c r="AM163" s="148">
        <f>Valores!$C$84</f>
        <v>2275</v>
      </c>
      <c r="AN163" s="148"/>
      <c r="AO163" s="150">
        <f>Valores!$C$52</f>
        <v>170.34</v>
      </c>
      <c r="AP163" s="152">
        <f t="shared" si="25"/>
        <v>3321.83</v>
      </c>
      <c r="AQ163" s="154">
        <f>AJ163*-Valores!$C$68</f>
        <v>-3722.330771923077</v>
      </c>
      <c r="AR163" s="154">
        <f>AJ163*-Valores!$C$69</f>
        <v>0</v>
      </c>
      <c r="AS163" s="147">
        <f>AJ163*-Valores!$C$70</f>
        <v>-1522.7716794230769</v>
      </c>
      <c r="AT163" s="147">
        <v>-159.43</v>
      </c>
      <c r="AU163" s="147">
        <f t="shared" si="28"/>
        <v>-53.83</v>
      </c>
      <c r="AV163" s="151">
        <f t="shared" si="29"/>
        <v>31702.8382025</v>
      </c>
      <c r="AW163" s="155"/>
      <c r="AX163" s="155"/>
      <c r="AY163" s="140" t="s">
        <v>4</v>
      </c>
    </row>
    <row r="164" spans="1:51" s="117" customFormat="1" ht="11.25" customHeight="1">
      <c r="A164" s="139">
        <v>162</v>
      </c>
      <c r="B164" s="139"/>
      <c r="C164" s="140" t="s">
        <v>441</v>
      </c>
      <c r="D164" s="140"/>
      <c r="E164" s="140">
        <f t="shared" si="22"/>
        <v>9</v>
      </c>
      <c r="F164" s="141" t="s">
        <v>442</v>
      </c>
      <c r="G164" s="142">
        <v>1065</v>
      </c>
      <c r="H164" s="143">
        <f>INT((G164*Valores!$C$2*100)+0.5)/100</f>
        <v>9946.78</v>
      </c>
      <c r="I164" s="161">
        <v>0</v>
      </c>
      <c r="J164" s="145">
        <f>INT((I164*Valores!$C$2*100)+0.5)/100</f>
        <v>0</v>
      </c>
      <c r="K164" s="160">
        <v>0</v>
      </c>
      <c r="L164" s="145">
        <f>INT((K164*Valores!$C$2*100)+0.5)/100</f>
        <v>0</v>
      </c>
      <c r="M164" s="158">
        <v>0</v>
      </c>
      <c r="N164" s="145">
        <f>INT((M164*Valores!$C$2*100)+0.5)/100</f>
        <v>0</v>
      </c>
      <c r="O164" s="145">
        <f t="shared" si="23"/>
        <v>2290.8525</v>
      </c>
      <c r="P164" s="145">
        <f t="shared" si="24"/>
        <v>0</v>
      </c>
      <c r="Q164" s="159">
        <f>Valores!$C$20</f>
        <v>8160.2</v>
      </c>
      <c r="R164" s="159">
        <f>Valores!$D$4</f>
        <v>4774.45</v>
      </c>
      <c r="S164" s="148">
        <f>Valores!$C$28</f>
        <v>4057.61</v>
      </c>
      <c r="T164" s="148">
        <f>IF($H$5="NO",Valores!$C$42,Valores!$C$42/2)</f>
        <v>1428.56</v>
      </c>
      <c r="U164" s="159">
        <f>Valores!$C$24</f>
        <v>3897.01</v>
      </c>
      <c r="V164" s="145">
        <f t="shared" si="21"/>
        <v>3897.01</v>
      </c>
      <c r="W164" s="145">
        <v>0</v>
      </c>
      <c r="X164" s="145">
        <v>0</v>
      </c>
      <c r="Y164" s="149">
        <v>0</v>
      </c>
      <c r="Z164" s="145">
        <f>Y164*Valores!$C$2</f>
        <v>0</v>
      </c>
      <c r="AA164" s="145">
        <v>0</v>
      </c>
      <c r="AB164" s="148">
        <f>Valores!$C$89</f>
        <v>1153.8461538461538</v>
      </c>
      <c r="AC164" s="150">
        <f>Valores!$C$30</f>
        <v>199.86</v>
      </c>
      <c r="AD164" s="145">
        <f t="shared" si="26"/>
        <v>0</v>
      </c>
      <c r="AE164" s="145">
        <f>Valores!$C$31</f>
        <v>199.86</v>
      </c>
      <c r="AF164" s="149">
        <v>0</v>
      </c>
      <c r="AG164" s="145">
        <f>INT(((AF164*Valores!$C$2)*100)+0.5)/100</f>
        <v>0</v>
      </c>
      <c r="AH164" s="145">
        <f>IF($H$5="NO",Valores!$C$59,Valores!$C$59/2)</f>
        <v>406.53</v>
      </c>
      <c r="AI164" s="145">
        <f>IF($H$5="NO",Valores!$C$61,Valores!$C$61/2)</f>
        <v>116.15</v>
      </c>
      <c r="AJ164" s="151">
        <f t="shared" si="27"/>
        <v>36631.70865384616</v>
      </c>
      <c r="AK164" s="159">
        <f>Valores!$C$36</f>
        <v>1046.83</v>
      </c>
      <c r="AL164" s="148">
        <f>Valores!$C$7</f>
        <v>0</v>
      </c>
      <c r="AM164" s="148">
        <f>Valores!$C$84</f>
        <v>2275</v>
      </c>
      <c r="AN164" s="148"/>
      <c r="AO164" s="150">
        <f>Valores!$C$52</f>
        <v>170.34</v>
      </c>
      <c r="AP164" s="152">
        <f t="shared" si="25"/>
        <v>3321.83</v>
      </c>
      <c r="AQ164" s="154">
        <f>AJ164*-Valores!$C$68</f>
        <v>-4029.4879519230776</v>
      </c>
      <c r="AR164" s="154">
        <f>AJ164*-Valores!$C$69</f>
        <v>0</v>
      </c>
      <c r="AS164" s="147">
        <f>AJ164*-Valores!$C$70</f>
        <v>-1648.426889423077</v>
      </c>
      <c r="AT164" s="147">
        <v>-159.43</v>
      </c>
      <c r="AU164" s="147">
        <f t="shared" si="28"/>
        <v>-53.83</v>
      </c>
      <c r="AV164" s="151">
        <f t="shared" si="29"/>
        <v>34062.36381250001</v>
      </c>
      <c r="AW164" s="155"/>
      <c r="AX164" s="155">
        <v>27</v>
      </c>
      <c r="AY164" s="140" t="s">
        <v>4</v>
      </c>
    </row>
    <row r="165" spans="1:51" s="117" customFormat="1" ht="11.25" customHeight="1">
      <c r="A165" s="139">
        <v>163</v>
      </c>
      <c r="B165" s="139"/>
      <c r="C165" s="140" t="s">
        <v>441</v>
      </c>
      <c r="D165" s="140"/>
      <c r="E165" s="140">
        <f t="shared" si="22"/>
        <v>33</v>
      </c>
      <c r="F165" s="141" t="s">
        <v>443</v>
      </c>
      <c r="G165" s="142">
        <v>1065</v>
      </c>
      <c r="H165" s="143">
        <f>INT((G165*Valores!$C$2*100)+0.5)/100</f>
        <v>9946.78</v>
      </c>
      <c r="I165" s="161">
        <v>0</v>
      </c>
      <c r="J165" s="145">
        <f>INT((I165*Valores!$C$2*100)+0.5)/100</f>
        <v>0</v>
      </c>
      <c r="K165" s="160">
        <v>0</v>
      </c>
      <c r="L165" s="145">
        <f>INT((K165*Valores!$C$2*100)+0.5)/100</f>
        <v>0</v>
      </c>
      <c r="M165" s="158">
        <v>0</v>
      </c>
      <c r="N165" s="145">
        <f>INT((M165*Valores!$C$2*100)+0.5)/100</f>
        <v>0</v>
      </c>
      <c r="O165" s="145">
        <f t="shared" si="23"/>
        <v>2290.8525</v>
      </c>
      <c r="P165" s="145">
        <f t="shared" si="24"/>
        <v>0</v>
      </c>
      <c r="Q165" s="159">
        <f>Valores!$C$20</f>
        <v>8160.2</v>
      </c>
      <c r="R165" s="159">
        <f>Valores!$D$4</f>
        <v>4774.45</v>
      </c>
      <c r="S165" s="148">
        <f>Valores!$C$28</f>
        <v>4057.61</v>
      </c>
      <c r="T165" s="148">
        <f>IF($H$5="NO",Valores!$C$42,Valores!$C$42/2)</f>
        <v>1428.56</v>
      </c>
      <c r="U165" s="145">
        <f>Valores!$C$24</f>
        <v>3897.01</v>
      </c>
      <c r="V165" s="145">
        <f t="shared" si="21"/>
        <v>3897.01</v>
      </c>
      <c r="W165" s="145">
        <v>0</v>
      </c>
      <c r="X165" s="145">
        <v>0</v>
      </c>
      <c r="Y165" s="149">
        <v>0</v>
      </c>
      <c r="Z165" s="145">
        <f>Y165*Valores!$C$2</f>
        <v>0</v>
      </c>
      <c r="AA165" s="145">
        <v>0</v>
      </c>
      <c r="AB165" s="148">
        <f>Valores!$C$89</f>
        <v>1153.8461538461538</v>
      </c>
      <c r="AC165" s="150">
        <f>Valores!$C$30</f>
        <v>199.86</v>
      </c>
      <c r="AD165" s="145">
        <f t="shared" si="26"/>
        <v>0</v>
      </c>
      <c r="AE165" s="145">
        <f>Valores!$C$31</f>
        <v>199.86</v>
      </c>
      <c r="AF165" s="149">
        <v>94</v>
      </c>
      <c r="AG165" s="145">
        <f>INT(((AF165*Valores!$C$2)*100)+0.5)/100</f>
        <v>877.93</v>
      </c>
      <c r="AH165" s="145">
        <f>IF($H$5="NO",Valores!$C$59,Valores!$C$59/2)</f>
        <v>406.53</v>
      </c>
      <c r="AI165" s="145">
        <f>IF($H$5="NO",Valores!$C$61,Valores!$C$61/2)</f>
        <v>116.15</v>
      </c>
      <c r="AJ165" s="151">
        <f t="shared" si="27"/>
        <v>37509.63865384616</v>
      </c>
      <c r="AK165" s="159">
        <f>Valores!$C$36</f>
        <v>1046.83</v>
      </c>
      <c r="AL165" s="148">
        <f>Valores!$C$7</f>
        <v>0</v>
      </c>
      <c r="AM165" s="148">
        <f>Valores!$C$84</f>
        <v>2275</v>
      </c>
      <c r="AN165" s="148"/>
      <c r="AO165" s="150">
        <f>Valores!$C$52</f>
        <v>170.34</v>
      </c>
      <c r="AP165" s="152">
        <f t="shared" si="25"/>
        <v>3321.83</v>
      </c>
      <c r="AQ165" s="154">
        <f>AJ165*-Valores!$C$68</f>
        <v>-4126.060251923078</v>
      </c>
      <c r="AR165" s="154">
        <f>AJ165*-Valores!$C$69</f>
        <v>0</v>
      </c>
      <c r="AS165" s="147">
        <f>AJ165*-Valores!$C$70</f>
        <v>-1687.9337394230772</v>
      </c>
      <c r="AT165" s="147">
        <v>-159.43</v>
      </c>
      <c r="AU165" s="147">
        <f t="shared" si="28"/>
        <v>-53.83</v>
      </c>
      <c r="AV165" s="151">
        <f t="shared" si="29"/>
        <v>34804.21466250001</v>
      </c>
      <c r="AW165" s="155"/>
      <c r="AX165" s="155">
        <v>27</v>
      </c>
      <c r="AY165" s="140" t="s">
        <v>4</v>
      </c>
    </row>
    <row r="166" spans="1:51" s="117" customFormat="1" ht="11.25" customHeight="1">
      <c r="A166" s="139">
        <v>164</v>
      </c>
      <c r="B166" s="139"/>
      <c r="C166" s="140" t="s">
        <v>444</v>
      </c>
      <c r="D166" s="140"/>
      <c r="E166" s="140">
        <f t="shared" si="22"/>
        <v>30</v>
      </c>
      <c r="F166" s="141" t="s">
        <v>445</v>
      </c>
      <c r="G166" s="142">
        <v>98</v>
      </c>
      <c r="H166" s="143">
        <f>INT((G166*Valores!$C$2*100)+0.5)/100</f>
        <v>915.29</v>
      </c>
      <c r="I166" s="161">
        <v>2686</v>
      </c>
      <c r="J166" s="145">
        <f>INT((I166*Valores!$C$2*100)+0.5)/100</f>
        <v>25086.43</v>
      </c>
      <c r="K166" s="160">
        <v>0</v>
      </c>
      <c r="L166" s="145">
        <f>INT((K166*Valores!$C$2*100)+0.5)/100</f>
        <v>0</v>
      </c>
      <c r="M166" s="158">
        <v>0</v>
      </c>
      <c r="N166" s="145">
        <f>INT((M166*Valores!$C$2*100)+0.5)/100</f>
        <v>0</v>
      </c>
      <c r="O166" s="145">
        <f t="shared" si="23"/>
        <v>5823.181500000001</v>
      </c>
      <c r="P166" s="145">
        <f t="shared" si="24"/>
        <v>0</v>
      </c>
      <c r="Q166" s="162">
        <f>Valores!$C$15</f>
        <v>8642.51</v>
      </c>
      <c r="R166" s="159">
        <f>Valores!$D$4</f>
        <v>4774.45</v>
      </c>
      <c r="S166" s="159">
        <f>Valores!$C$27</f>
        <v>4359.58</v>
      </c>
      <c r="T166" s="148">
        <f>IF($H$5="NO",Valores!$C$44,Valores!$C$44/2)</f>
        <v>2384.69</v>
      </c>
      <c r="U166" s="145">
        <f>Valores!$C$24</f>
        <v>3897.01</v>
      </c>
      <c r="V166" s="145">
        <f t="shared" si="21"/>
        <v>3897.01</v>
      </c>
      <c r="W166" s="145">
        <v>0</v>
      </c>
      <c r="X166" s="145">
        <v>0</v>
      </c>
      <c r="Y166" s="144">
        <v>700</v>
      </c>
      <c r="Z166" s="145">
        <f>Y166*Valores!$C$2</f>
        <v>6537.79</v>
      </c>
      <c r="AA166" s="159">
        <f>SUM(L166,J166,H166,T166)*Valores!$C$3</f>
        <v>4257.961499999999</v>
      </c>
      <c r="AB166" s="148">
        <f>Valores!$C$91</f>
        <v>2307.6923076923076</v>
      </c>
      <c r="AC166" s="150">
        <f>Valores!$C$30</f>
        <v>199.86</v>
      </c>
      <c r="AD166" s="145">
        <f t="shared" si="26"/>
        <v>0</v>
      </c>
      <c r="AE166" s="145">
        <f>Valores!$C$31</f>
        <v>199.86</v>
      </c>
      <c r="AF166" s="149">
        <v>94</v>
      </c>
      <c r="AG166" s="145">
        <f>INT(((AF166*Valores!$C$2)*100)+0.5)/100</f>
        <v>877.93</v>
      </c>
      <c r="AH166" s="145">
        <f>IF($H$5="NO",Valores!$C$59,Valores!$C$59/2)</f>
        <v>406.53</v>
      </c>
      <c r="AI166" s="145">
        <f>IF($H$5="NO",Valores!$C$61,Valores!$C$61/2)</f>
        <v>116.15</v>
      </c>
      <c r="AJ166" s="151">
        <f t="shared" si="27"/>
        <v>70786.91530769231</v>
      </c>
      <c r="AK166" s="159">
        <f>Valores!$C$36</f>
        <v>1046.83</v>
      </c>
      <c r="AL166" s="148">
        <f>Valores!$C$9</f>
        <v>0</v>
      </c>
      <c r="AM166" s="148">
        <f>Valores!$C$86</f>
        <v>4550</v>
      </c>
      <c r="AN166" s="148"/>
      <c r="AO166" s="150">
        <v>224.5</v>
      </c>
      <c r="AP166" s="152">
        <f t="shared" si="25"/>
        <v>5596.83</v>
      </c>
      <c r="AQ166" s="154">
        <f>AJ166*-Valores!$C$68</f>
        <v>-7786.5606838461545</v>
      </c>
      <c r="AR166" s="154">
        <f>AJ166*-Valores!$C$69</f>
        <v>0</v>
      </c>
      <c r="AS166" s="147">
        <f>AJ166*-Valores!$C$70</f>
        <v>-3185.411188846154</v>
      </c>
      <c r="AT166" s="147">
        <v>-159.43</v>
      </c>
      <c r="AU166" s="147">
        <f t="shared" si="28"/>
        <v>-53.83</v>
      </c>
      <c r="AV166" s="151">
        <f t="shared" si="29"/>
        <v>65198.51343500001</v>
      </c>
      <c r="AW166" s="155"/>
      <c r="AX166" s="155">
        <v>45</v>
      </c>
      <c r="AY166" s="140" t="s">
        <v>4</v>
      </c>
    </row>
    <row r="167" spans="1:51" s="117" customFormat="1" ht="11.25" customHeight="1">
      <c r="A167" s="157">
        <v>165</v>
      </c>
      <c r="B167" s="157" t="s">
        <v>143</v>
      </c>
      <c r="C167" s="140" t="s">
        <v>446</v>
      </c>
      <c r="D167" s="140"/>
      <c r="E167" s="140">
        <f t="shared" si="22"/>
        <v>30</v>
      </c>
      <c r="F167" s="141" t="s">
        <v>447</v>
      </c>
      <c r="G167" s="142">
        <v>93</v>
      </c>
      <c r="H167" s="143">
        <f>INT((G167*Valores!$C$2*100)+0.5)/100</f>
        <v>868.59</v>
      </c>
      <c r="I167" s="144">
        <v>2547</v>
      </c>
      <c r="J167" s="145">
        <f>INT((I167*Valores!$C$2*100)+0.5)/100</f>
        <v>23788.22</v>
      </c>
      <c r="K167" s="160">
        <v>0</v>
      </c>
      <c r="L167" s="145">
        <f>INT((K167*Valores!$C$2*100)+0.5)/100</f>
        <v>0</v>
      </c>
      <c r="M167" s="158">
        <v>0</v>
      </c>
      <c r="N167" s="145">
        <f>INT((M167*Valores!$C$2*100)+0.5)/100</f>
        <v>0</v>
      </c>
      <c r="O167" s="145">
        <f t="shared" si="23"/>
        <v>5621.445000000001</v>
      </c>
      <c r="P167" s="145">
        <f t="shared" si="24"/>
        <v>0</v>
      </c>
      <c r="Q167" s="162">
        <f>Valores!$C$20</f>
        <v>8160.2</v>
      </c>
      <c r="R167" s="159">
        <f>Valores!$D$4</f>
        <v>4774.45</v>
      </c>
      <c r="S167" s="159">
        <f>Valores!$C$27</f>
        <v>4359.58</v>
      </c>
      <c r="T167" s="148">
        <f>IF($H$5="NO",Valores!$C$44,Valores!$C$44/2)</f>
        <v>2384.69</v>
      </c>
      <c r="U167" s="145">
        <f>Valores!$C$24</f>
        <v>3897.01</v>
      </c>
      <c r="V167" s="145">
        <f t="shared" si="21"/>
        <v>3897.01</v>
      </c>
      <c r="W167" s="145">
        <v>0</v>
      </c>
      <c r="X167" s="145">
        <v>0</v>
      </c>
      <c r="Y167" s="144">
        <v>700</v>
      </c>
      <c r="Z167" s="145">
        <f>Y167*Valores!$C$2</f>
        <v>6537.79</v>
      </c>
      <c r="AA167" s="159">
        <f>SUM(L167,J167,H167,T167)*Valores!$C$3</f>
        <v>4056.225</v>
      </c>
      <c r="AB167" s="148">
        <f>Valores!$C$91</f>
        <v>2307.6923076923076</v>
      </c>
      <c r="AC167" s="150">
        <f>Valores!$C$30</f>
        <v>199.86</v>
      </c>
      <c r="AD167" s="145">
        <f t="shared" si="26"/>
        <v>0</v>
      </c>
      <c r="AE167" s="145">
        <f>Valores!$C$31</f>
        <v>199.86</v>
      </c>
      <c r="AF167" s="149">
        <v>94</v>
      </c>
      <c r="AG167" s="145">
        <f>INT(((AF167*Valores!$C$2)*100)+0.5)/100</f>
        <v>877.93</v>
      </c>
      <c r="AH167" s="145">
        <f>IF($H$5="NO",Valores!$C$59,Valores!$C$59/2)</f>
        <v>406.53</v>
      </c>
      <c r="AI167" s="145">
        <f>IF($H$5="NO",Valores!$C$61,Valores!$C$61/2)</f>
        <v>116.15</v>
      </c>
      <c r="AJ167" s="151">
        <f t="shared" si="27"/>
        <v>68556.22230769231</v>
      </c>
      <c r="AK167" s="159">
        <f>Valores!$C$36</f>
        <v>1046.83</v>
      </c>
      <c r="AL167" s="148">
        <f>Valores!$C$9</f>
        <v>0</v>
      </c>
      <c r="AM167" s="148">
        <f>Valores!$C$86</f>
        <v>4550</v>
      </c>
      <c r="AN167" s="148"/>
      <c r="AO167" s="150">
        <v>224.5</v>
      </c>
      <c r="AP167" s="152">
        <f t="shared" si="25"/>
        <v>5596.83</v>
      </c>
      <c r="AQ167" s="154">
        <f>AJ167*-Valores!$C$68</f>
        <v>-7541.184453846155</v>
      </c>
      <c r="AR167" s="154">
        <f>AJ167*-Valores!$C$69</f>
        <v>0</v>
      </c>
      <c r="AS167" s="147">
        <f>AJ167*-Valores!$C$70</f>
        <v>-3085.0300038461537</v>
      </c>
      <c r="AT167" s="147">
        <v>-159.43</v>
      </c>
      <c r="AU167" s="147">
        <f t="shared" si="28"/>
        <v>-53.83</v>
      </c>
      <c r="AV167" s="151">
        <f t="shared" si="29"/>
        <v>63313.57785</v>
      </c>
      <c r="AW167" s="155"/>
      <c r="AX167" s="155">
        <v>45</v>
      </c>
      <c r="AY167" s="140" t="s">
        <v>4</v>
      </c>
    </row>
    <row r="168" spans="1:51" s="117" customFormat="1" ht="11.25" customHeight="1">
      <c r="A168" s="139">
        <v>166</v>
      </c>
      <c r="B168" s="139"/>
      <c r="C168" s="140" t="s">
        <v>448</v>
      </c>
      <c r="D168" s="140"/>
      <c r="E168" s="140">
        <f t="shared" si="22"/>
        <v>30</v>
      </c>
      <c r="F168" s="141" t="s">
        <v>449</v>
      </c>
      <c r="G168" s="142">
        <v>89</v>
      </c>
      <c r="H168" s="143">
        <f>INT((G168*Valores!$C$2*100)+0.5)/100</f>
        <v>831.23</v>
      </c>
      <c r="I168" s="161">
        <v>2251</v>
      </c>
      <c r="J168" s="145">
        <f>INT((I168*Valores!$C$2*100)+0.5)/100</f>
        <v>21023.66</v>
      </c>
      <c r="K168" s="160">
        <v>0</v>
      </c>
      <c r="L168" s="145">
        <f>INT((K168*Valores!$C$2*100)+0.5)/100</f>
        <v>0</v>
      </c>
      <c r="M168" s="158">
        <v>0</v>
      </c>
      <c r="N168" s="145">
        <f>INT((M168*Valores!$C$2*100)+0.5)/100</f>
        <v>0</v>
      </c>
      <c r="O168" s="145">
        <f t="shared" si="23"/>
        <v>5201.157</v>
      </c>
      <c r="P168" s="145">
        <f t="shared" si="24"/>
        <v>0</v>
      </c>
      <c r="Q168" s="162">
        <f>Valores!$C$20</f>
        <v>8160.2</v>
      </c>
      <c r="R168" s="159">
        <f>Valores!$D$4</f>
        <v>4774.45</v>
      </c>
      <c r="S168" s="159">
        <f>Valores!$C$27</f>
        <v>4359.58</v>
      </c>
      <c r="T168" s="148">
        <f>IF($H$5="NO",Valores!$C$44,Valores!$C$44/2)</f>
        <v>2384.69</v>
      </c>
      <c r="U168" s="145">
        <f>Valores!$C$24</f>
        <v>3897.01</v>
      </c>
      <c r="V168" s="145">
        <f t="shared" si="21"/>
        <v>3897.01</v>
      </c>
      <c r="W168" s="145">
        <v>0</v>
      </c>
      <c r="X168" s="145">
        <v>0</v>
      </c>
      <c r="Y168" s="144">
        <v>700</v>
      </c>
      <c r="Z168" s="145">
        <f>Y168*Valores!$C$2</f>
        <v>6537.79</v>
      </c>
      <c r="AA168" s="159">
        <f>SUM(L168,J168,H168,T168)*Valores!$C$3</f>
        <v>3635.9369999999994</v>
      </c>
      <c r="AB168" s="148">
        <f>Valores!$C$91</f>
        <v>2307.6923076923076</v>
      </c>
      <c r="AC168" s="150">
        <f>Valores!$C$30</f>
        <v>199.86</v>
      </c>
      <c r="AD168" s="145">
        <f t="shared" si="26"/>
        <v>0</v>
      </c>
      <c r="AE168" s="145">
        <f>Valores!$C$31</f>
        <v>199.86</v>
      </c>
      <c r="AF168" s="149">
        <v>94</v>
      </c>
      <c r="AG168" s="145">
        <f>INT(((AF168*Valores!$C$2)*100)+0.5)/100</f>
        <v>877.93</v>
      </c>
      <c r="AH168" s="145">
        <f>IF($H$5="NO",Valores!$C$59,Valores!$C$59/2)</f>
        <v>406.53</v>
      </c>
      <c r="AI168" s="145">
        <f>IF($H$5="NO",Valores!$C$61,Valores!$C$61/2)</f>
        <v>116.15</v>
      </c>
      <c r="AJ168" s="151">
        <f t="shared" si="27"/>
        <v>64913.726307692305</v>
      </c>
      <c r="AK168" s="159">
        <f>Valores!$C$36</f>
        <v>1046.83</v>
      </c>
      <c r="AL168" s="148">
        <f>Valores!$C$9</f>
        <v>0</v>
      </c>
      <c r="AM168" s="148">
        <f>Valores!$C$86</f>
        <v>4550</v>
      </c>
      <c r="AN168" s="148"/>
      <c r="AO168" s="150">
        <v>224.5</v>
      </c>
      <c r="AP168" s="152">
        <f t="shared" si="25"/>
        <v>5596.83</v>
      </c>
      <c r="AQ168" s="154">
        <f>AJ168*-Valores!$C$68</f>
        <v>-7140.509893846153</v>
      </c>
      <c r="AR168" s="154">
        <f>AJ168*-Valores!$C$69</f>
        <v>0</v>
      </c>
      <c r="AS168" s="147">
        <f>AJ168*-Valores!$C$70</f>
        <v>-2921.117683846154</v>
      </c>
      <c r="AT168" s="147">
        <v>-159.43</v>
      </c>
      <c r="AU168" s="147">
        <f t="shared" si="28"/>
        <v>-53.83</v>
      </c>
      <c r="AV168" s="151">
        <f t="shared" si="29"/>
        <v>60235.66872999999</v>
      </c>
      <c r="AW168" s="155"/>
      <c r="AX168" s="155">
        <v>45</v>
      </c>
      <c r="AY168" s="140" t="s">
        <v>4</v>
      </c>
    </row>
    <row r="169" spans="1:51" s="117" customFormat="1" ht="11.25" customHeight="1">
      <c r="A169" s="139">
        <v>167</v>
      </c>
      <c r="B169" s="139"/>
      <c r="C169" s="140" t="s">
        <v>450</v>
      </c>
      <c r="D169" s="140"/>
      <c r="E169" s="140">
        <f t="shared" si="22"/>
        <v>31</v>
      </c>
      <c r="F169" s="141" t="s">
        <v>451</v>
      </c>
      <c r="G169" s="142">
        <v>83</v>
      </c>
      <c r="H169" s="143">
        <f>INT((G169*Valores!$C$2*100)+0.5)/100</f>
        <v>775.2</v>
      </c>
      <c r="I169" s="161">
        <v>2352</v>
      </c>
      <c r="J169" s="145">
        <f>INT((I169*Valores!$C$2*100)+0.5)/100</f>
        <v>21966.97</v>
      </c>
      <c r="K169" s="160">
        <v>0</v>
      </c>
      <c r="L169" s="145">
        <f>INT((K169*Valores!$C$2*100)+0.5)/100</f>
        <v>0</v>
      </c>
      <c r="M169" s="158">
        <v>0</v>
      </c>
      <c r="N169" s="145">
        <f>INT((M169*Valores!$C$2*100)+0.5)/100</f>
        <v>0</v>
      </c>
      <c r="O169" s="145">
        <f t="shared" si="23"/>
        <v>5334.249000000001</v>
      </c>
      <c r="P169" s="145">
        <f t="shared" si="24"/>
        <v>0</v>
      </c>
      <c r="Q169" s="159">
        <f>Valores!$C$20</f>
        <v>8160.2</v>
      </c>
      <c r="R169" s="159">
        <f>Valores!$D$4</f>
        <v>4774.45</v>
      </c>
      <c r="S169" s="145">
        <v>0</v>
      </c>
      <c r="T169" s="148">
        <f>IF($H$5="NO",Valores!$C$44,Valores!$C$44/2)</f>
        <v>2384.69</v>
      </c>
      <c r="U169" s="145">
        <f>Valores!$C$24</f>
        <v>3897.01</v>
      </c>
      <c r="V169" s="145">
        <f t="shared" si="21"/>
        <v>3897.01</v>
      </c>
      <c r="W169" s="145">
        <v>0</v>
      </c>
      <c r="X169" s="145">
        <v>0</v>
      </c>
      <c r="Y169" s="144">
        <v>700</v>
      </c>
      <c r="Z169" s="145">
        <f>Y169*Valores!$C$2</f>
        <v>6537.79</v>
      </c>
      <c r="AA169" s="159">
        <f>SUM(L169,J169,H169,T169)*Valores!$C$3</f>
        <v>3769.029</v>
      </c>
      <c r="AB169" s="148">
        <f>Valores!$C$91</f>
        <v>2307.6923076923076</v>
      </c>
      <c r="AC169" s="150">
        <f>Valores!$C$30</f>
        <v>199.86</v>
      </c>
      <c r="AD169" s="145">
        <f t="shared" si="26"/>
        <v>0</v>
      </c>
      <c r="AE169" s="145">
        <f>Valores!$C$31</f>
        <v>199.86</v>
      </c>
      <c r="AF169" s="149">
        <v>94</v>
      </c>
      <c r="AG169" s="145">
        <f>INT(((AF169*Valores!$C$2)*100)+0.5)/100</f>
        <v>877.93</v>
      </c>
      <c r="AH169" s="145">
        <f>IF($H$5="NO",Valores!$C$59,Valores!$C$59/2)</f>
        <v>406.53</v>
      </c>
      <c r="AI169" s="145">
        <f>IF($H$5="NO",Valores!$C$61,Valores!$C$61/2)</f>
        <v>116.15</v>
      </c>
      <c r="AJ169" s="151">
        <f t="shared" si="27"/>
        <v>61707.61030769231</v>
      </c>
      <c r="AK169" s="159">
        <f>Valores!$C$36</f>
        <v>1046.83</v>
      </c>
      <c r="AL169" s="148">
        <f>Valores!$C$9</f>
        <v>0</v>
      </c>
      <c r="AM169" s="148">
        <f>Valores!$C$86</f>
        <v>4550</v>
      </c>
      <c r="AN169" s="148"/>
      <c r="AO169" s="150">
        <v>0</v>
      </c>
      <c r="AP169" s="152">
        <f t="shared" si="25"/>
        <v>5596.83</v>
      </c>
      <c r="AQ169" s="154">
        <f>AJ169*-Valores!$C$68</f>
        <v>-6787.837133846154</v>
      </c>
      <c r="AR169" s="154">
        <f>AJ169*-Valores!$C$69</f>
        <v>0</v>
      </c>
      <c r="AS169" s="147">
        <f>AJ169*-Valores!$C$70</f>
        <v>-2776.842463846154</v>
      </c>
      <c r="AT169" s="147">
        <v>-159.43</v>
      </c>
      <c r="AU169" s="147">
        <f t="shared" si="28"/>
        <v>-53.83</v>
      </c>
      <c r="AV169" s="151">
        <f t="shared" si="29"/>
        <v>57526.50071</v>
      </c>
      <c r="AW169" s="155"/>
      <c r="AX169" s="155">
        <v>45</v>
      </c>
      <c r="AY169" s="140" t="s">
        <v>8</v>
      </c>
    </row>
    <row r="170" spans="1:51" s="117" customFormat="1" ht="11.25" customHeight="1">
      <c r="A170" s="139">
        <v>168</v>
      </c>
      <c r="B170" s="139"/>
      <c r="C170" s="140" t="s">
        <v>452</v>
      </c>
      <c r="D170" s="140"/>
      <c r="E170" s="140">
        <f t="shared" si="22"/>
        <v>31</v>
      </c>
      <c r="F170" s="141" t="s">
        <v>453</v>
      </c>
      <c r="G170" s="142">
        <v>83</v>
      </c>
      <c r="H170" s="143">
        <f>INT((G170*Valores!$C$2*100)+0.5)/100</f>
        <v>775.2</v>
      </c>
      <c r="I170" s="161">
        <v>2092</v>
      </c>
      <c r="J170" s="145">
        <f>INT((I170*Valores!$C$2*100)+0.5)/100</f>
        <v>19538.65</v>
      </c>
      <c r="K170" s="160">
        <v>0</v>
      </c>
      <c r="L170" s="145">
        <f>INT((K170*Valores!$C$2*100)+0.5)/100</f>
        <v>0</v>
      </c>
      <c r="M170" s="158">
        <v>0</v>
      </c>
      <c r="N170" s="145">
        <f>INT((M170*Valores!$C$2*100)+0.5)/100</f>
        <v>0</v>
      </c>
      <c r="O170" s="145">
        <f t="shared" si="23"/>
        <v>4970.001</v>
      </c>
      <c r="P170" s="145">
        <f t="shared" si="24"/>
        <v>0</v>
      </c>
      <c r="Q170" s="159">
        <f>Valores!$C$20</f>
        <v>8160.2</v>
      </c>
      <c r="R170" s="159">
        <f>Valores!$D$4</f>
        <v>4774.45</v>
      </c>
      <c r="S170" s="145">
        <v>0</v>
      </c>
      <c r="T170" s="148">
        <f>IF($H$5="NO",Valores!$C$44,Valores!$C$44/2)</f>
        <v>2384.69</v>
      </c>
      <c r="U170" s="145">
        <f>Valores!$C$24</f>
        <v>3897.01</v>
      </c>
      <c r="V170" s="145">
        <f t="shared" si="21"/>
        <v>3897.01</v>
      </c>
      <c r="W170" s="145">
        <v>0</v>
      </c>
      <c r="X170" s="145">
        <v>0</v>
      </c>
      <c r="Y170" s="144">
        <v>700</v>
      </c>
      <c r="Z170" s="145">
        <f>Y170*Valores!$C$2</f>
        <v>6537.79</v>
      </c>
      <c r="AA170" s="159">
        <f>SUM(L170,J170,H170,T170)*Valores!$C$3</f>
        <v>3404.781</v>
      </c>
      <c r="AB170" s="148">
        <f>Valores!$C$91</f>
        <v>2307.6923076923076</v>
      </c>
      <c r="AC170" s="150">
        <f>Valores!$C$30</f>
        <v>199.86</v>
      </c>
      <c r="AD170" s="145">
        <f t="shared" si="26"/>
        <v>0</v>
      </c>
      <c r="AE170" s="145">
        <f>Valores!$C$31</f>
        <v>199.86</v>
      </c>
      <c r="AF170" s="149">
        <v>94</v>
      </c>
      <c r="AG170" s="145">
        <f>INT(((AF170*Valores!$C$2)*100)+0.5)/100</f>
        <v>877.93</v>
      </c>
      <c r="AH170" s="145">
        <f>IF($H$5="NO",Valores!$C$59,Valores!$C$59/2)</f>
        <v>406.53</v>
      </c>
      <c r="AI170" s="145">
        <f>IF($H$5="NO",Valores!$C$61,Valores!$C$61/2)</f>
        <v>116.15</v>
      </c>
      <c r="AJ170" s="151">
        <f t="shared" si="27"/>
        <v>58550.79430769231</v>
      </c>
      <c r="AK170" s="159">
        <f>Valores!$C$36</f>
        <v>1046.83</v>
      </c>
      <c r="AL170" s="148">
        <f>Valores!$C$9</f>
        <v>0</v>
      </c>
      <c r="AM170" s="148">
        <f>Valores!$C$86</f>
        <v>4550</v>
      </c>
      <c r="AN170" s="148"/>
      <c r="AO170" s="150">
        <v>0</v>
      </c>
      <c r="AP170" s="152">
        <f t="shared" si="25"/>
        <v>5596.83</v>
      </c>
      <c r="AQ170" s="154">
        <f>AJ170*-Valores!$C$68</f>
        <v>-6440.587373846154</v>
      </c>
      <c r="AR170" s="154">
        <f>AJ170*-Valores!$C$69</f>
        <v>0</v>
      </c>
      <c r="AS170" s="147">
        <f>AJ170*-Valores!$C$70</f>
        <v>-2634.7857438461538</v>
      </c>
      <c r="AT170" s="147">
        <v>-159.43</v>
      </c>
      <c r="AU170" s="147">
        <f t="shared" si="28"/>
        <v>-53.83</v>
      </c>
      <c r="AV170" s="151">
        <f t="shared" si="29"/>
        <v>54858.99119000001</v>
      </c>
      <c r="AW170" s="155"/>
      <c r="AX170" s="155">
        <v>45</v>
      </c>
      <c r="AY170" s="140" t="s">
        <v>8</v>
      </c>
    </row>
    <row r="171" spans="1:51" s="117" customFormat="1" ht="11.25" customHeight="1">
      <c r="A171" s="139">
        <v>169</v>
      </c>
      <c r="B171" s="139"/>
      <c r="C171" s="140" t="s">
        <v>454</v>
      </c>
      <c r="D171" s="140"/>
      <c r="E171" s="140">
        <f t="shared" si="22"/>
        <v>31</v>
      </c>
      <c r="F171" s="141" t="s">
        <v>455</v>
      </c>
      <c r="G171" s="142">
        <v>82</v>
      </c>
      <c r="H171" s="143">
        <f>INT((G171*Valores!$C$2*100)+0.5)/100</f>
        <v>765.86</v>
      </c>
      <c r="I171" s="161">
        <v>1941</v>
      </c>
      <c r="J171" s="145">
        <f>INT((I171*Valores!$C$2*100)+0.5)/100</f>
        <v>18128.36</v>
      </c>
      <c r="K171" s="160">
        <v>0</v>
      </c>
      <c r="L171" s="145">
        <f>INT((K171*Valores!$C$2*100)+0.5)/100</f>
        <v>0</v>
      </c>
      <c r="M171" s="158">
        <v>0</v>
      </c>
      <c r="N171" s="145">
        <f>INT((M171*Valores!$C$2*100)+0.5)/100</f>
        <v>0</v>
      </c>
      <c r="O171" s="145">
        <f t="shared" si="23"/>
        <v>4757.056500000001</v>
      </c>
      <c r="P171" s="145">
        <f t="shared" si="24"/>
        <v>0</v>
      </c>
      <c r="Q171" s="159">
        <f>Valores!$C$20</f>
        <v>8160.2</v>
      </c>
      <c r="R171" s="159">
        <f>Valores!$D$4</f>
        <v>4774.45</v>
      </c>
      <c r="S171" s="145">
        <v>0</v>
      </c>
      <c r="T171" s="148">
        <f>IF($H$5="NO",Valores!$C$44,Valores!$C$44/2)</f>
        <v>2384.69</v>
      </c>
      <c r="U171" s="145">
        <f>Valores!$C$24</f>
        <v>3897.01</v>
      </c>
      <c r="V171" s="145">
        <f t="shared" si="21"/>
        <v>3897.01</v>
      </c>
      <c r="W171" s="145">
        <v>0</v>
      </c>
      <c r="X171" s="145">
        <v>0</v>
      </c>
      <c r="Y171" s="144">
        <v>700</v>
      </c>
      <c r="Z171" s="145">
        <f>Y171*Valores!$C$2</f>
        <v>6537.79</v>
      </c>
      <c r="AA171" s="159">
        <f>SUM(L171,J171,H171,T171)*Valores!$C$3</f>
        <v>3191.8365</v>
      </c>
      <c r="AB171" s="148">
        <f>Valores!$C$91</f>
        <v>2307.6923076923076</v>
      </c>
      <c r="AC171" s="150">
        <f>Valores!$C$30</f>
        <v>199.86</v>
      </c>
      <c r="AD171" s="145">
        <f t="shared" si="26"/>
        <v>0</v>
      </c>
      <c r="AE171" s="145">
        <f>Valores!$C$31</f>
        <v>199.86</v>
      </c>
      <c r="AF171" s="149">
        <v>94</v>
      </c>
      <c r="AG171" s="145">
        <f>INT(((AF171*Valores!$C$2)*100)+0.5)/100</f>
        <v>877.93</v>
      </c>
      <c r="AH171" s="145">
        <f>IF($H$5="NO",Valores!$C$59,Valores!$C$59/2)</f>
        <v>406.53</v>
      </c>
      <c r="AI171" s="145">
        <f>IF($H$5="NO",Valores!$C$61,Valores!$C$61/2)</f>
        <v>116.15</v>
      </c>
      <c r="AJ171" s="151">
        <f t="shared" si="27"/>
        <v>56705.27530769231</v>
      </c>
      <c r="AK171" s="159">
        <f>Valores!$C$36</f>
        <v>1046.83</v>
      </c>
      <c r="AL171" s="148">
        <f>Valores!$C$9</f>
        <v>0</v>
      </c>
      <c r="AM171" s="148">
        <f>Valores!$C$86</f>
        <v>4550</v>
      </c>
      <c r="AN171" s="148"/>
      <c r="AO171" s="150">
        <v>0</v>
      </c>
      <c r="AP171" s="152">
        <f t="shared" si="25"/>
        <v>5596.83</v>
      </c>
      <c r="AQ171" s="154">
        <f>AJ171*-Valores!$C$68</f>
        <v>-6237.580283846154</v>
      </c>
      <c r="AR171" s="154">
        <f>AJ171*-Valores!$C$69</f>
        <v>0</v>
      </c>
      <c r="AS171" s="147">
        <f>AJ171*-Valores!$C$70</f>
        <v>-2551.737388846154</v>
      </c>
      <c r="AT171" s="147">
        <v>-159.43</v>
      </c>
      <c r="AU171" s="147">
        <f t="shared" si="28"/>
        <v>-53.83</v>
      </c>
      <c r="AV171" s="151">
        <f t="shared" si="29"/>
        <v>53299.527635000006</v>
      </c>
      <c r="AW171" s="155"/>
      <c r="AX171" s="155">
        <v>45</v>
      </c>
      <c r="AY171" s="140" t="s">
        <v>8</v>
      </c>
    </row>
    <row r="172" spans="1:51" s="117" customFormat="1" ht="11.25" customHeight="1">
      <c r="A172" s="157">
        <v>170</v>
      </c>
      <c r="B172" s="157" t="s">
        <v>143</v>
      </c>
      <c r="C172" s="140" t="s">
        <v>456</v>
      </c>
      <c r="D172" s="140"/>
      <c r="E172" s="140">
        <f t="shared" si="22"/>
        <v>30</v>
      </c>
      <c r="F172" s="141" t="s">
        <v>457</v>
      </c>
      <c r="G172" s="142">
        <v>79</v>
      </c>
      <c r="H172" s="143">
        <f>INT((G172*Valores!$C$2*100)+0.5)/100</f>
        <v>737.84</v>
      </c>
      <c r="I172" s="161">
        <v>2161</v>
      </c>
      <c r="J172" s="145">
        <f>INT((I172*Valores!$C$2*100)+0.5)/100</f>
        <v>20183.09</v>
      </c>
      <c r="K172" s="160">
        <v>0</v>
      </c>
      <c r="L172" s="145">
        <f>INT((K172*Valores!$C$2*100)+0.5)/100</f>
        <v>0</v>
      </c>
      <c r="M172" s="158">
        <v>0</v>
      </c>
      <c r="N172" s="145">
        <f>INT((M172*Valores!$C$2*100)+0.5)/100</f>
        <v>0</v>
      </c>
      <c r="O172" s="145">
        <f t="shared" si="23"/>
        <v>5061.063000000001</v>
      </c>
      <c r="P172" s="145">
        <f t="shared" si="24"/>
        <v>0</v>
      </c>
      <c r="Q172" s="159">
        <f>Valores!$C$20</f>
        <v>8160.2</v>
      </c>
      <c r="R172" s="159">
        <f>Valores!$D$4</f>
        <v>4774.45</v>
      </c>
      <c r="S172" s="145">
        <v>0</v>
      </c>
      <c r="T172" s="148">
        <f>IF($H$5="NO",Valores!$C$44,Valores!$C$44/2)</f>
        <v>2384.69</v>
      </c>
      <c r="U172" s="145">
        <f>Valores!$C$24</f>
        <v>3897.01</v>
      </c>
      <c r="V172" s="145">
        <f t="shared" si="21"/>
        <v>3897.01</v>
      </c>
      <c r="W172" s="145">
        <v>0</v>
      </c>
      <c r="X172" s="145">
        <v>0</v>
      </c>
      <c r="Y172" s="144">
        <v>700</v>
      </c>
      <c r="Z172" s="145">
        <f>Y172*Valores!$C$2</f>
        <v>6537.79</v>
      </c>
      <c r="AA172" s="159">
        <f>SUM(L172,J172,H172,T172)*Valores!$C$3</f>
        <v>3495.843</v>
      </c>
      <c r="AB172" s="148">
        <f>Valores!$C$91</f>
        <v>2307.6923076923076</v>
      </c>
      <c r="AC172" s="150">
        <f>Valores!$C$30</f>
        <v>199.86</v>
      </c>
      <c r="AD172" s="145">
        <f t="shared" si="26"/>
        <v>0</v>
      </c>
      <c r="AE172" s="145">
        <f>Valores!$C$31</f>
        <v>199.86</v>
      </c>
      <c r="AF172" s="149">
        <v>94</v>
      </c>
      <c r="AG172" s="145">
        <f>INT(((AF172*Valores!$C$2)*100)+0.5)/100</f>
        <v>877.93</v>
      </c>
      <c r="AH172" s="145">
        <f>IF($H$5="NO",Valores!$C$59,Valores!$C$59/2)</f>
        <v>406.53</v>
      </c>
      <c r="AI172" s="145">
        <f>IF($H$5="NO",Valores!$C$61,Valores!$C$61/2)</f>
        <v>116.15</v>
      </c>
      <c r="AJ172" s="151">
        <f t="shared" si="27"/>
        <v>59339.99830769231</v>
      </c>
      <c r="AK172" s="159">
        <f>Valores!$C$36</f>
        <v>1046.83</v>
      </c>
      <c r="AL172" s="148">
        <f>Valores!$C$9</f>
        <v>0</v>
      </c>
      <c r="AM172" s="148">
        <f>Valores!$C$86</f>
        <v>4550</v>
      </c>
      <c r="AN172" s="148"/>
      <c r="AO172" s="150">
        <v>0</v>
      </c>
      <c r="AP172" s="152">
        <f t="shared" si="25"/>
        <v>5596.83</v>
      </c>
      <c r="AQ172" s="154">
        <f>AJ172*-Valores!$C$68</f>
        <v>-6527.399813846154</v>
      </c>
      <c r="AR172" s="154">
        <f>AJ172*-Valores!$C$69</f>
        <v>0</v>
      </c>
      <c r="AS172" s="147">
        <f>AJ172*-Valores!$C$70</f>
        <v>-2670.299923846154</v>
      </c>
      <c r="AT172" s="147">
        <v>-159.43</v>
      </c>
      <c r="AU172" s="147">
        <f t="shared" si="28"/>
        <v>-53.83</v>
      </c>
      <c r="AV172" s="151">
        <f t="shared" si="29"/>
        <v>55525.86857</v>
      </c>
      <c r="AW172" s="155"/>
      <c r="AX172" s="155">
        <v>45</v>
      </c>
      <c r="AY172" s="140" t="s">
        <v>8</v>
      </c>
    </row>
    <row r="173" spans="1:51" s="117" customFormat="1" ht="11.25" customHeight="1">
      <c r="A173" s="139">
        <v>171</v>
      </c>
      <c r="B173" s="139"/>
      <c r="C173" s="140" t="s">
        <v>458</v>
      </c>
      <c r="D173" s="140"/>
      <c r="E173" s="140">
        <f t="shared" si="22"/>
        <v>28</v>
      </c>
      <c r="F173" s="141" t="s">
        <v>459</v>
      </c>
      <c r="G173" s="142">
        <v>98</v>
      </c>
      <c r="H173" s="143">
        <f>INT((G173*Valores!$C$2*100)+0.5)/100</f>
        <v>915.29</v>
      </c>
      <c r="I173" s="161">
        <v>2686</v>
      </c>
      <c r="J173" s="145">
        <f>INT((I173*Valores!$C$2*100)+0.5)/100</f>
        <v>25086.43</v>
      </c>
      <c r="K173" s="160">
        <v>0</v>
      </c>
      <c r="L173" s="145">
        <f>INT((K173*Valores!$C$2*100)+0.5)/100</f>
        <v>0</v>
      </c>
      <c r="M173" s="158">
        <v>0</v>
      </c>
      <c r="N173" s="145">
        <f>INT((M173*Valores!$C$2*100)+0.5)/100</f>
        <v>0</v>
      </c>
      <c r="O173" s="145">
        <f t="shared" si="23"/>
        <v>5823.181500000001</v>
      </c>
      <c r="P173" s="145">
        <f t="shared" si="24"/>
        <v>0</v>
      </c>
      <c r="Q173" s="145">
        <f>Valores!$C$20</f>
        <v>8160.2</v>
      </c>
      <c r="R173" s="159">
        <f>Valores!$D$4</f>
        <v>4774.45</v>
      </c>
      <c r="S173" s="145">
        <v>0</v>
      </c>
      <c r="T173" s="148">
        <f>IF($H$5="NO",Valores!$C$44,Valores!$C$44/2)</f>
        <v>2384.69</v>
      </c>
      <c r="U173" s="145">
        <f>Valores!$C$24</f>
        <v>3897.01</v>
      </c>
      <c r="V173" s="145">
        <f t="shared" si="21"/>
        <v>3897.01</v>
      </c>
      <c r="W173" s="145">
        <v>0</v>
      </c>
      <c r="X173" s="145">
        <v>0</v>
      </c>
      <c r="Y173" s="144">
        <v>700</v>
      </c>
      <c r="Z173" s="145">
        <f>Y173*Valores!$C$2</f>
        <v>6537.79</v>
      </c>
      <c r="AA173" s="159">
        <f>SUM(L173,J173,H173,T173)*Valores!$C$3</f>
        <v>4257.961499999999</v>
      </c>
      <c r="AB173" s="148">
        <f>Valores!$C$91</f>
        <v>2307.6923076923076</v>
      </c>
      <c r="AC173" s="150">
        <f>Valores!$C$30</f>
        <v>199.86</v>
      </c>
      <c r="AD173" s="145">
        <f t="shared" si="26"/>
        <v>0</v>
      </c>
      <c r="AE173" s="145">
        <f>Valores!$C$31</f>
        <v>199.86</v>
      </c>
      <c r="AF173" s="149">
        <v>0</v>
      </c>
      <c r="AG173" s="145">
        <f>INT(((AF173*Valores!$C$2)*100)+0.5)/100</f>
        <v>0</v>
      </c>
      <c r="AH173" s="145">
        <f>IF($H$5="NO",Valores!$C$59,Valores!$C$59/2)</f>
        <v>406.53</v>
      </c>
      <c r="AI173" s="145">
        <f>IF($H$5="NO",Valores!$C$61,Valores!$C$61/2)</f>
        <v>116.15</v>
      </c>
      <c r="AJ173" s="151">
        <f t="shared" si="27"/>
        <v>65067.0953076923</v>
      </c>
      <c r="AK173" s="159">
        <f>Valores!$C$36</f>
        <v>1046.83</v>
      </c>
      <c r="AL173" s="148">
        <f>Valores!$C$9</f>
        <v>0</v>
      </c>
      <c r="AM173" s="148">
        <f>Valores!$C$86</f>
        <v>4550</v>
      </c>
      <c r="AN173" s="148"/>
      <c r="AO173" s="150">
        <v>0</v>
      </c>
      <c r="AP173" s="152">
        <f t="shared" si="25"/>
        <v>5596.83</v>
      </c>
      <c r="AQ173" s="154">
        <f>AJ173*-Valores!$C$68</f>
        <v>-7157.380483846154</v>
      </c>
      <c r="AR173" s="154">
        <f>AJ173*-Valores!$C$69</f>
        <v>0</v>
      </c>
      <c r="AS173" s="147">
        <f>AJ173*-Valores!$C$70</f>
        <v>-2928.0192888461534</v>
      </c>
      <c r="AT173" s="147">
        <v>-159.43</v>
      </c>
      <c r="AU173" s="147">
        <f t="shared" si="28"/>
        <v>-53.83</v>
      </c>
      <c r="AV173" s="151">
        <f t="shared" si="29"/>
        <v>60365.26553499999</v>
      </c>
      <c r="AW173" s="155"/>
      <c r="AX173" s="155"/>
      <c r="AY173" s="140" t="s">
        <v>8</v>
      </c>
    </row>
    <row r="174" spans="1:51" s="117" customFormat="1" ht="11.25" customHeight="1">
      <c r="A174" s="139">
        <v>172</v>
      </c>
      <c r="B174" s="139"/>
      <c r="C174" s="140" t="s">
        <v>460</v>
      </c>
      <c r="D174" s="140"/>
      <c r="E174" s="140">
        <f t="shared" si="22"/>
        <v>28</v>
      </c>
      <c r="F174" s="141" t="s">
        <v>461</v>
      </c>
      <c r="G174" s="142">
        <v>93</v>
      </c>
      <c r="H174" s="143">
        <f>INT((G174*Valores!$C$2*100)+0.5)/100</f>
        <v>868.59</v>
      </c>
      <c r="I174" s="161">
        <v>2547</v>
      </c>
      <c r="J174" s="145">
        <f>INT((I174*Valores!$C$2*100)+0.5)/100</f>
        <v>23788.22</v>
      </c>
      <c r="K174" s="160">
        <v>0</v>
      </c>
      <c r="L174" s="145">
        <f>INT((K174*Valores!$C$2*100)+0.5)/100</f>
        <v>0</v>
      </c>
      <c r="M174" s="158">
        <v>0</v>
      </c>
      <c r="N174" s="145">
        <f>INT((M174*Valores!$C$2*100)+0.5)/100</f>
        <v>0</v>
      </c>
      <c r="O174" s="145">
        <f t="shared" si="23"/>
        <v>5621.445000000001</v>
      </c>
      <c r="P174" s="145">
        <f t="shared" si="24"/>
        <v>0</v>
      </c>
      <c r="Q174" s="162">
        <f>Valores!$C$20</f>
        <v>8160.2</v>
      </c>
      <c r="R174" s="159">
        <f>Valores!$D$4</f>
        <v>4774.45</v>
      </c>
      <c r="S174" s="145">
        <v>0</v>
      </c>
      <c r="T174" s="148">
        <f>IF($H$5="NO",Valores!$C$44,Valores!$C$44/2)</f>
        <v>2384.69</v>
      </c>
      <c r="U174" s="145">
        <f>Valores!$C$24</f>
        <v>3897.01</v>
      </c>
      <c r="V174" s="145">
        <f t="shared" si="21"/>
        <v>3897.01</v>
      </c>
      <c r="W174" s="145">
        <v>0</v>
      </c>
      <c r="X174" s="145">
        <v>0</v>
      </c>
      <c r="Y174" s="144">
        <v>700</v>
      </c>
      <c r="Z174" s="145">
        <f>Y174*Valores!$C$2</f>
        <v>6537.79</v>
      </c>
      <c r="AA174" s="159">
        <f>SUM(L174,J174,H174,T174)*Valores!$C$3</f>
        <v>4056.225</v>
      </c>
      <c r="AB174" s="148">
        <f>Valores!$C$91</f>
        <v>2307.6923076923076</v>
      </c>
      <c r="AC174" s="150">
        <f>Valores!$C$30</f>
        <v>199.86</v>
      </c>
      <c r="AD174" s="145">
        <f t="shared" si="26"/>
        <v>0</v>
      </c>
      <c r="AE174" s="145">
        <f>Valores!$C$31</f>
        <v>199.86</v>
      </c>
      <c r="AF174" s="149">
        <v>0</v>
      </c>
      <c r="AG174" s="145">
        <f>INT(((AF174*Valores!$C$2)*100)+0.5)/100</f>
        <v>0</v>
      </c>
      <c r="AH174" s="145">
        <f>IF($H$5="NO",Valores!$C$59,Valores!$C$59/2)</f>
        <v>406.53</v>
      </c>
      <c r="AI174" s="145">
        <f>IF($H$5="NO",Valores!$C$61,Valores!$C$61/2)</f>
        <v>116.15</v>
      </c>
      <c r="AJ174" s="151">
        <f t="shared" si="27"/>
        <v>63318.71230769231</v>
      </c>
      <c r="AK174" s="159">
        <f>Valores!$C$36</f>
        <v>1046.83</v>
      </c>
      <c r="AL174" s="148">
        <f>Valores!$C$9</f>
        <v>0</v>
      </c>
      <c r="AM174" s="148">
        <f>Valores!$C$86</f>
        <v>4550</v>
      </c>
      <c r="AN174" s="148"/>
      <c r="AO174" s="150">
        <v>0</v>
      </c>
      <c r="AP174" s="152">
        <f t="shared" si="25"/>
        <v>5596.83</v>
      </c>
      <c r="AQ174" s="154">
        <f>AJ174*-Valores!$C$68</f>
        <v>-6965.058353846154</v>
      </c>
      <c r="AR174" s="154">
        <f>AJ174*-Valores!$C$69</f>
        <v>0</v>
      </c>
      <c r="AS174" s="147">
        <f>AJ174*-Valores!$C$70</f>
        <v>-2849.3420538461537</v>
      </c>
      <c r="AT174" s="147">
        <v>-159.43</v>
      </c>
      <c r="AU174" s="147">
        <f t="shared" si="28"/>
        <v>-53.83</v>
      </c>
      <c r="AV174" s="151">
        <f t="shared" si="29"/>
        <v>58887.8819</v>
      </c>
      <c r="AW174" s="155"/>
      <c r="AX174" s="155"/>
      <c r="AY174" s="140" t="s">
        <v>4</v>
      </c>
    </row>
    <row r="175" spans="1:51" s="117" customFormat="1" ht="11.25" customHeight="1">
      <c r="A175" s="139">
        <v>173</v>
      </c>
      <c r="B175" s="139"/>
      <c r="C175" s="140" t="s">
        <v>462</v>
      </c>
      <c r="D175" s="140"/>
      <c r="E175" s="140">
        <f t="shared" si="22"/>
        <v>27</v>
      </c>
      <c r="F175" s="141" t="s">
        <v>463</v>
      </c>
      <c r="G175" s="142">
        <v>1278</v>
      </c>
      <c r="H175" s="143">
        <f>INT((G175*Valores!$C$2*100)+0.5)/100</f>
        <v>11936.14</v>
      </c>
      <c r="I175" s="161">
        <v>0</v>
      </c>
      <c r="J175" s="145">
        <f>INT((I175*Valores!$C$2*100)+0.5)/100</f>
        <v>0</v>
      </c>
      <c r="K175" s="160">
        <v>0</v>
      </c>
      <c r="L175" s="145">
        <f>INT((K175*Valores!$C$2*100)+0.5)/100</f>
        <v>0</v>
      </c>
      <c r="M175" s="158">
        <v>0</v>
      </c>
      <c r="N175" s="145">
        <f>INT((M175*Valores!$C$2*100)+0.5)/100</f>
        <v>0</v>
      </c>
      <c r="O175" s="145">
        <f t="shared" si="23"/>
        <v>3993.5355000000004</v>
      </c>
      <c r="P175" s="145">
        <f t="shared" si="24"/>
        <v>0</v>
      </c>
      <c r="Q175" s="159">
        <f>Valores!$C$20</f>
        <v>8160.2</v>
      </c>
      <c r="R175" s="159">
        <f>Valores!$D$4</f>
        <v>4774.45</v>
      </c>
      <c r="S175" s="145">
        <v>0</v>
      </c>
      <c r="T175" s="148">
        <f>IF($H$5="NO",Valores!$C$44,Valores!$C$44/2)</f>
        <v>2384.69</v>
      </c>
      <c r="U175" s="145">
        <f>Valores!$C$24</f>
        <v>3897.01</v>
      </c>
      <c r="V175" s="145">
        <f aca="true" t="shared" si="30" ref="V175:V238">U175*(1+$J$2)</f>
        <v>3897.01</v>
      </c>
      <c r="W175" s="145">
        <v>0</v>
      </c>
      <c r="X175" s="145">
        <v>0</v>
      </c>
      <c r="Y175" s="144">
        <v>900</v>
      </c>
      <c r="Z175" s="145">
        <f>Y175*Valores!$C$2</f>
        <v>8405.730000000001</v>
      </c>
      <c r="AA175" s="159">
        <f>SUM(L175,J175,H175,T175)*Valores!$C$3</f>
        <v>2148.1245</v>
      </c>
      <c r="AB175" s="148">
        <f>Valores!$C$91</f>
        <v>2307.6923076923076</v>
      </c>
      <c r="AC175" s="150">
        <f>Valores!$C$30</f>
        <v>199.86</v>
      </c>
      <c r="AD175" s="145">
        <f t="shared" si="26"/>
        <v>0</v>
      </c>
      <c r="AE175" s="145">
        <f>Valores!$C$31</f>
        <v>199.86</v>
      </c>
      <c r="AF175" s="149">
        <v>94</v>
      </c>
      <c r="AG175" s="145">
        <f>INT(((AF175*Valores!$C$2)*100)+0.5)/100</f>
        <v>877.93</v>
      </c>
      <c r="AH175" s="145">
        <f>IF($H$5="NO",Valores!$C$59,Valores!$C$59/2)</f>
        <v>406.53</v>
      </c>
      <c r="AI175" s="145">
        <f>IF($H$5="NO",Valores!$C$61,Valores!$C$61/2)</f>
        <v>116.15</v>
      </c>
      <c r="AJ175" s="151">
        <f t="shared" si="27"/>
        <v>49807.90230769231</v>
      </c>
      <c r="AK175" s="159">
        <f>Valores!$C$36</f>
        <v>1046.83</v>
      </c>
      <c r="AL175" s="148">
        <f>Valores!$C$9</f>
        <v>0</v>
      </c>
      <c r="AM175" s="148">
        <f>Valores!$C$86</f>
        <v>4550</v>
      </c>
      <c r="AN175" s="148"/>
      <c r="AO175" s="150">
        <f>Valores!$C$51</f>
        <v>327.6</v>
      </c>
      <c r="AP175" s="152">
        <f t="shared" si="25"/>
        <v>5596.83</v>
      </c>
      <c r="AQ175" s="154">
        <f>AJ175*-Valores!$C$68</f>
        <v>-5478.869253846155</v>
      </c>
      <c r="AR175" s="154">
        <f>AJ175*-Valores!$C$69</f>
        <v>0</v>
      </c>
      <c r="AS175" s="147">
        <f>AJ175*-Valores!$C$70</f>
        <v>-2241.355603846154</v>
      </c>
      <c r="AT175" s="147">
        <v>-159.43</v>
      </c>
      <c r="AU175" s="147">
        <f t="shared" si="28"/>
        <v>-53.83</v>
      </c>
      <c r="AV175" s="151">
        <f t="shared" si="29"/>
        <v>47471.24745</v>
      </c>
      <c r="AW175" s="155"/>
      <c r="AX175" s="155">
        <v>36</v>
      </c>
      <c r="AY175" s="140" t="s">
        <v>4</v>
      </c>
    </row>
    <row r="176" spans="1:51" s="117" customFormat="1" ht="11.25" customHeight="1">
      <c r="A176" s="139">
        <v>174</v>
      </c>
      <c r="B176" s="139"/>
      <c r="C176" s="140" t="s">
        <v>464</v>
      </c>
      <c r="D176" s="140"/>
      <c r="E176" s="140">
        <f t="shared" si="22"/>
        <v>27</v>
      </c>
      <c r="F176" s="141" t="s">
        <v>465</v>
      </c>
      <c r="G176" s="142">
        <v>217</v>
      </c>
      <c r="H176" s="143">
        <f>INT((G176*Valores!$C$2*100)+0.5)/100</f>
        <v>2026.71</v>
      </c>
      <c r="I176" s="161">
        <f>2245</f>
        <v>2245</v>
      </c>
      <c r="J176" s="145">
        <f>INT((I176*Valores!$C$2*100)+0.5)/100</f>
        <v>20967.63</v>
      </c>
      <c r="K176" s="160">
        <v>0</v>
      </c>
      <c r="L176" s="145">
        <f>INT((K176*Valores!$C$2*100)+0.5)/100</f>
        <v>0</v>
      </c>
      <c r="M176" s="158">
        <v>1300</v>
      </c>
      <c r="N176" s="145">
        <f>INT((M176*Valores!$C$2*100)+0.5)/100</f>
        <v>12141.61</v>
      </c>
      <c r="O176" s="145">
        <f t="shared" si="23"/>
        <v>6212.6475</v>
      </c>
      <c r="P176" s="145">
        <f t="shared" si="24"/>
        <v>0</v>
      </c>
      <c r="Q176" s="159">
        <f>Valores!$C$16</f>
        <v>8673.47</v>
      </c>
      <c r="R176" s="159">
        <f>Valores!$D$4</f>
        <v>4774.45</v>
      </c>
      <c r="S176" s="159">
        <f>Valores!$C$27</f>
        <v>4359.58</v>
      </c>
      <c r="T176" s="148">
        <f>IF($H$5="NO",Valores!$C$44,Valores!$C$44/2)</f>
        <v>2384.69</v>
      </c>
      <c r="U176" s="145">
        <f>Valores!$C$24</f>
        <v>3897.01</v>
      </c>
      <c r="V176" s="145">
        <f t="shared" si="30"/>
        <v>3897.01</v>
      </c>
      <c r="W176" s="145">
        <v>0</v>
      </c>
      <c r="X176" s="145">
        <v>0</v>
      </c>
      <c r="Y176" s="149">
        <v>0</v>
      </c>
      <c r="Z176" s="145">
        <f>Y176*Valores!$C$2</f>
        <v>0</v>
      </c>
      <c r="AA176" s="145">
        <v>0</v>
      </c>
      <c r="AB176" s="148">
        <f>Valores!$C$91</f>
        <v>2307.6923076923076</v>
      </c>
      <c r="AC176" s="150">
        <f>Valores!$C$30</f>
        <v>199.86</v>
      </c>
      <c r="AD176" s="145">
        <f t="shared" si="26"/>
        <v>0</v>
      </c>
      <c r="AE176" s="145">
        <f>Valores!$C$31</f>
        <v>199.86</v>
      </c>
      <c r="AF176" s="149">
        <v>0</v>
      </c>
      <c r="AG176" s="145">
        <f>INT(((AF176*Valores!$C$2)*100)+0.5)/100</f>
        <v>0</v>
      </c>
      <c r="AH176" s="145">
        <f>IF($H$5="NO",Valores!$C$59,Valores!$C$59/2)</f>
        <v>406.53</v>
      </c>
      <c r="AI176" s="145">
        <f>IF($H$5="NO",Valores!$C$61,Valores!$C$61/2)</f>
        <v>116.15</v>
      </c>
      <c r="AJ176" s="151">
        <f t="shared" si="27"/>
        <v>68667.8898076923</v>
      </c>
      <c r="AK176" s="159">
        <f>Valores!$C$36</f>
        <v>1046.83</v>
      </c>
      <c r="AL176" s="148">
        <f>Valores!$C$9</f>
        <v>0</v>
      </c>
      <c r="AM176" s="148">
        <f>Valores!$C$86</f>
        <v>4550</v>
      </c>
      <c r="AN176" s="148"/>
      <c r="AO176" s="150">
        <f>Valores!$C$51</f>
        <v>327.6</v>
      </c>
      <c r="AP176" s="152">
        <f t="shared" si="25"/>
        <v>5596.83</v>
      </c>
      <c r="AQ176" s="154">
        <f>AJ176*-Valores!$C$68</f>
        <v>-7553.467878846154</v>
      </c>
      <c r="AR176" s="154">
        <f>AJ176*-Valores!$C$69</f>
        <v>0</v>
      </c>
      <c r="AS176" s="147">
        <f>AJ176*-Valores!$C$70</f>
        <v>-3090.0550413461538</v>
      </c>
      <c r="AT176" s="147">
        <v>-159.43</v>
      </c>
      <c r="AU176" s="147">
        <f t="shared" si="28"/>
        <v>-53.83</v>
      </c>
      <c r="AV176" s="151">
        <f t="shared" si="29"/>
        <v>63407.93688749999</v>
      </c>
      <c r="AW176" s="155"/>
      <c r="AX176" s="155">
        <v>45</v>
      </c>
      <c r="AY176" s="140" t="s">
        <v>4</v>
      </c>
    </row>
    <row r="177" spans="1:51" s="117" customFormat="1" ht="11.25" customHeight="1">
      <c r="A177" s="157">
        <v>175</v>
      </c>
      <c r="B177" s="157" t="s">
        <v>143</v>
      </c>
      <c r="C177" s="140" t="s">
        <v>466</v>
      </c>
      <c r="D177" s="140"/>
      <c r="E177" s="140">
        <f t="shared" si="22"/>
        <v>27</v>
      </c>
      <c r="F177" s="141" t="s">
        <v>467</v>
      </c>
      <c r="G177" s="142">
        <v>185</v>
      </c>
      <c r="H177" s="143">
        <f>INT((G177*Valores!$C$2*100)+0.5)/100</f>
        <v>1727.84</v>
      </c>
      <c r="I177" s="161">
        <f>1835</f>
        <v>1835</v>
      </c>
      <c r="J177" s="145">
        <f>INT((I177*Valores!$C$2*100)+0.5)/100</f>
        <v>17138.35</v>
      </c>
      <c r="K177" s="160">
        <v>0</v>
      </c>
      <c r="L177" s="145">
        <f>INT((K177*Valores!$C$2*100)+0.5)/100</f>
        <v>0</v>
      </c>
      <c r="M177" s="158">
        <v>1300</v>
      </c>
      <c r="N177" s="145">
        <f>INT((M177*Valores!$C$2*100)+0.5)/100</f>
        <v>12141.61</v>
      </c>
      <c r="O177" s="145">
        <f t="shared" si="23"/>
        <v>5593.425</v>
      </c>
      <c r="P177" s="145">
        <f t="shared" si="24"/>
        <v>0</v>
      </c>
      <c r="Q177" s="159">
        <f>Valores!$C$16</f>
        <v>8673.47</v>
      </c>
      <c r="R177" s="159">
        <f>Valores!$D$4</f>
        <v>4774.45</v>
      </c>
      <c r="S177" s="159">
        <f>Valores!$C$27</f>
        <v>4359.58</v>
      </c>
      <c r="T177" s="148">
        <f>IF($H$5="NO",Valores!$C$44,Valores!$C$44/2)</f>
        <v>2384.69</v>
      </c>
      <c r="U177" s="145">
        <f>Valores!$C$24</f>
        <v>3897.01</v>
      </c>
      <c r="V177" s="145">
        <f t="shared" si="30"/>
        <v>3897.01</v>
      </c>
      <c r="W177" s="145">
        <v>0</v>
      </c>
      <c r="X177" s="145">
        <v>0</v>
      </c>
      <c r="Y177" s="149">
        <v>0</v>
      </c>
      <c r="Z177" s="145">
        <f>Y177*Valores!$C$2</f>
        <v>0</v>
      </c>
      <c r="AA177" s="145">
        <v>0</v>
      </c>
      <c r="AB177" s="148">
        <f>Valores!$C$91</f>
        <v>2307.6923076923076</v>
      </c>
      <c r="AC177" s="150">
        <f>Valores!$C$30</f>
        <v>199.86</v>
      </c>
      <c r="AD177" s="145">
        <f t="shared" si="26"/>
        <v>0</v>
      </c>
      <c r="AE177" s="145">
        <f>Valores!$C$31</f>
        <v>199.86</v>
      </c>
      <c r="AF177" s="149">
        <v>0</v>
      </c>
      <c r="AG177" s="145">
        <f>INT(((AF177*Valores!$C$2)*100)+0.5)/100</f>
        <v>0</v>
      </c>
      <c r="AH177" s="145">
        <f>IF($H$5="NO",Valores!$C$59,Valores!$C$59/2)</f>
        <v>406.53</v>
      </c>
      <c r="AI177" s="145">
        <f>IF($H$5="NO",Valores!$C$61,Valores!$C$61/2)</f>
        <v>116.15</v>
      </c>
      <c r="AJ177" s="151">
        <f t="shared" si="27"/>
        <v>63920.51730769231</v>
      </c>
      <c r="AK177" s="159">
        <f>Valores!$C$36</f>
        <v>1046.83</v>
      </c>
      <c r="AL177" s="148">
        <f>Valores!$C$9</f>
        <v>0</v>
      </c>
      <c r="AM177" s="148">
        <f>Valores!$C$86</f>
        <v>4550</v>
      </c>
      <c r="AN177" s="148"/>
      <c r="AO177" s="150">
        <f>Valores!$C$51</f>
        <v>327.6</v>
      </c>
      <c r="AP177" s="152">
        <f t="shared" si="25"/>
        <v>5596.83</v>
      </c>
      <c r="AQ177" s="154">
        <f>AJ177*-Valores!$C$68</f>
        <v>-7031.256903846154</v>
      </c>
      <c r="AR177" s="154">
        <f>AJ177*-Valores!$C$69</f>
        <v>0</v>
      </c>
      <c r="AS177" s="147">
        <f>AJ177*-Valores!$C$70</f>
        <v>-2876.4232788461536</v>
      </c>
      <c r="AT177" s="147">
        <v>-159.43</v>
      </c>
      <c r="AU177" s="147">
        <f t="shared" si="28"/>
        <v>-53.83</v>
      </c>
      <c r="AV177" s="151">
        <f t="shared" si="29"/>
        <v>59396.407125000005</v>
      </c>
      <c r="AW177" s="155"/>
      <c r="AX177" s="155">
        <v>45</v>
      </c>
      <c r="AY177" s="140" t="s">
        <v>4</v>
      </c>
    </row>
    <row r="178" spans="1:51" s="117" customFormat="1" ht="11.25" customHeight="1">
      <c r="A178" s="139">
        <v>176</v>
      </c>
      <c r="B178" s="139"/>
      <c r="C178" s="140" t="s">
        <v>468</v>
      </c>
      <c r="D178" s="140"/>
      <c r="E178" s="140">
        <f t="shared" si="22"/>
        <v>27</v>
      </c>
      <c r="F178" s="141" t="s">
        <v>469</v>
      </c>
      <c r="G178" s="142">
        <v>160</v>
      </c>
      <c r="H178" s="143">
        <f>INT((G178*Valores!$C$2*100)+0.5)/100</f>
        <v>1494.35</v>
      </c>
      <c r="I178" s="161">
        <f>1484</f>
        <v>1484</v>
      </c>
      <c r="J178" s="145">
        <f>INT((I178*Valores!$C$2*100)+0.5)/100</f>
        <v>13860.11</v>
      </c>
      <c r="K178" s="160">
        <v>0</v>
      </c>
      <c r="L178" s="145">
        <f>INT((K178*Valores!$C$2*100)+0.5)/100</f>
        <v>0</v>
      </c>
      <c r="M178" s="158">
        <v>1300</v>
      </c>
      <c r="N178" s="145">
        <f>INT((M178*Valores!$C$2*100)+0.5)/100</f>
        <v>12141.61</v>
      </c>
      <c r="O178" s="145">
        <f t="shared" si="23"/>
        <v>5066.6655</v>
      </c>
      <c r="P178" s="145">
        <f t="shared" si="24"/>
        <v>0</v>
      </c>
      <c r="Q178" s="159">
        <f>Valores!$C$16</f>
        <v>8673.47</v>
      </c>
      <c r="R178" s="159">
        <f>Valores!$D$4</f>
        <v>4774.45</v>
      </c>
      <c r="S178" s="159">
        <f>Valores!$C$27</f>
        <v>4359.58</v>
      </c>
      <c r="T178" s="148">
        <f>IF($H$5="NO",Valores!$C$44,Valores!$C$44/2)</f>
        <v>2384.69</v>
      </c>
      <c r="U178" s="145">
        <f>Valores!$C$24</f>
        <v>3897.01</v>
      </c>
      <c r="V178" s="145">
        <f t="shared" si="30"/>
        <v>3897.01</v>
      </c>
      <c r="W178" s="145">
        <v>0</v>
      </c>
      <c r="X178" s="145">
        <v>0</v>
      </c>
      <c r="Y178" s="149">
        <v>0</v>
      </c>
      <c r="Z178" s="145">
        <f>Y178*Valores!$C$2</f>
        <v>0</v>
      </c>
      <c r="AA178" s="145">
        <v>0</v>
      </c>
      <c r="AB178" s="148">
        <f>Valores!$C$91</f>
        <v>2307.6923076923076</v>
      </c>
      <c r="AC178" s="150">
        <f>Valores!$C$30</f>
        <v>199.86</v>
      </c>
      <c r="AD178" s="145">
        <f t="shared" si="26"/>
        <v>0</v>
      </c>
      <c r="AE178" s="145">
        <f>Valores!$C$31</f>
        <v>199.86</v>
      </c>
      <c r="AF178" s="149">
        <v>0</v>
      </c>
      <c r="AG178" s="145">
        <f>INT(((AF178*Valores!$C$2)*100)+0.5)/100</f>
        <v>0</v>
      </c>
      <c r="AH178" s="145">
        <f>IF($H$5="NO",Valores!$C$59,Valores!$C$59/2)</f>
        <v>406.53</v>
      </c>
      <c r="AI178" s="145">
        <f>IF($H$5="NO",Valores!$C$61,Valores!$C$61/2)</f>
        <v>116.15</v>
      </c>
      <c r="AJ178" s="151">
        <f t="shared" si="27"/>
        <v>59882.027807692306</v>
      </c>
      <c r="AK178" s="159">
        <f>Valores!$C$36</f>
        <v>1046.83</v>
      </c>
      <c r="AL178" s="148">
        <f>Valores!$C$9</f>
        <v>0</v>
      </c>
      <c r="AM178" s="148">
        <f>Valores!$C$86</f>
        <v>4550</v>
      </c>
      <c r="AN178" s="148"/>
      <c r="AO178" s="150">
        <f>Valores!$C$51</f>
        <v>327.6</v>
      </c>
      <c r="AP178" s="152">
        <f t="shared" si="25"/>
        <v>5596.83</v>
      </c>
      <c r="AQ178" s="154">
        <f>AJ178*-Valores!$C$68</f>
        <v>-6587.023058846154</v>
      </c>
      <c r="AR178" s="154">
        <f>AJ178*-Valores!$C$69</f>
        <v>0</v>
      </c>
      <c r="AS178" s="147">
        <f>AJ178*-Valores!$C$70</f>
        <v>-2694.691251346154</v>
      </c>
      <c r="AT178" s="147">
        <v>-159.43</v>
      </c>
      <c r="AU178" s="147">
        <f t="shared" si="28"/>
        <v>-53.83</v>
      </c>
      <c r="AV178" s="151">
        <f t="shared" si="29"/>
        <v>55983.8834975</v>
      </c>
      <c r="AW178" s="155"/>
      <c r="AX178" s="155">
        <v>45</v>
      </c>
      <c r="AY178" s="140" t="s">
        <v>4</v>
      </c>
    </row>
    <row r="179" spans="1:51" s="117" customFormat="1" ht="11.25" customHeight="1">
      <c r="A179" s="139">
        <v>177</v>
      </c>
      <c r="B179" s="139"/>
      <c r="C179" s="140" t="s">
        <v>470</v>
      </c>
      <c r="D179" s="140"/>
      <c r="E179" s="140">
        <f t="shared" si="22"/>
        <v>29</v>
      </c>
      <c r="F179" s="141" t="s">
        <v>471</v>
      </c>
      <c r="G179" s="142">
        <v>178</v>
      </c>
      <c r="H179" s="143">
        <f>INT((G179*Valores!$C$2*100)+0.5)/100</f>
        <v>1662.47</v>
      </c>
      <c r="I179" s="161">
        <f>1842</f>
        <v>1842</v>
      </c>
      <c r="J179" s="145">
        <f>INT((I179*Valores!$C$2*100)+0.5)/100</f>
        <v>17203.73</v>
      </c>
      <c r="K179" s="160">
        <v>0</v>
      </c>
      <c r="L179" s="145">
        <f>INT((K179*Valores!$C$2*100)+0.5)/100</f>
        <v>0</v>
      </c>
      <c r="M179" s="158">
        <v>1300</v>
      </c>
      <c r="N179" s="145">
        <f>INT((M179*Valores!$C$2*100)+0.5)/100</f>
        <v>12141.61</v>
      </c>
      <c r="O179" s="145">
        <f t="shared" si="23"/>
        <v>5593.4265000000005</v>
      </c>
      <c r="P179" s="145">
        <f t="shared" si="24"/>
        <v>0</v>
      </c>
      <c r="Q179" s="159">
        <f>Valores!$C$16</f>
        <v>8673.47</v>
      </c>
      <c r="R179" s="159">
        <f>Valores!$D$4</f>
        <v>4774.45</v>
      </c>
      <c r="S179" s="145">
        <f>Valores!$C$27</f>
        <v>4359.58</v>
      </c>
      <c r="T179" s="148">
        <f>IF($H$5="NO",Valores!$C$44,Valores!$C$44/2)</f>
        <v>2384.69</v>
      </c>
      <c r="U179" s="145">
        <f>Valores!$C$24</f>
        <v>3897.01</v>
      </c>
      <c r="V179" s="145">
        <f t="shared" si="30"/>
        <v>3897.01</v>
      </c>
      <c r="W179" s="145">
        <v>0</v>
      </c>
      <c r="X179" s="145">
        <v>0</v>
      </c>
      <c r="Y179" s="149">
        <v>0</v>
      </c>
      <c r="Z179" s="145">
        <f>Y179*Valores!$C$2</f>
        <v>0</v>
      </c>
      <c r="AA179" s="145">
        <v>0</v>
      </c>
      <c r="AB179" s="148">
        <f>Valores!$C$91</f>
        <v>2307.6923076923076</v>
      </c>
      <c r="AC179" s="150">
        <f>Valores!$C$30</f>
        <v>199.86</v>
      </c>
      <c r="AD179" s="145">
        <f t="shared" si="26"/>
        <v>0</v>
      </c>
      <c r="AE179" s="145">
        <f>Valores!$C$31</f>
        <v>199.86</v>
      </c>
      <c r="AF179" s="149">
        <v>0</v>
      </c>
      <c r="AG179" s="145">
        <f>INT(((AF179*Valores!$C$2)*100)+0.5)/100</f>
        <v>0</v>
      </c>
      <c r="AH179" s="145">
        <f>IF($H$5="NO",Valores!$C$59,Valores!$C$59/2)</f>
        <v>406.53</v>
      </c>
      <c r="AI179" s="145">
        <f>IF($H$5="NO",Valores!$C$61,Valores!$C$61/2)</f>
        <v>116.15</v>
      </c>
      <c r="AJ179" s="151">
        <f t="shared" si="27"/>
        <v>63920.52880769231</v>
      </c>
      <c r="AK179" s="159">
        <f>Valores!$C$36</f>
        <v>1046.83</v>
      </c>
      <c r="AL179" s="148">
        <f>Valores!$C$9</f>
        <v>0</v>
      </c>
      <c r="AM179" s="148">
        <f>Valores!$C$86</f>
        <v>4550</v>
      </c>
      <c r="AN179" s="148"/>
      <c r="AO179" s="150">
        <f>Valores!$C$51</f>
        <v>327.6</v>
      </c>
      <c r="AP179" s="152">
        <f t="shared" si="25"/>
        <v>5596.83</v>
      </c>
      <c r="AQ179" s="154">
        <f>AJ179*-Valores!$C$68</f>
        <v>-7031.258168846154</v>
      </c>
      <c r="AR179" s="154">
        <f>AJ179*-Valores!$C$69</f>
        <v>0</v>
      </c>
      <c r="AS179" s="147">
        <f>AJ179*-Valores!$C$70</f>
        <v>-2876.4237963461537</v>
      </c>
      <c r="AT179" s="147">
        <v>-159.43</v>
      </c>
      <c r="AU179" s="147">
        <f t="shared" si="28"/>
        <v>-53.83</v>
      </c>
      <c r="AV179" s="151">
        <f t="shared" si="29"/>
        <v>59396.4168425</v>
      </c>
      <c r="AW179" s="155"/>
      <c r="AX179" s="155">
        <v>45</v>
      </c>
      <c r="AY179" s="140" t="s">
        <v>4</v>
      </c>
    </row>
    <row r="180" spans="1:51" s="117" customFormat="1" ht="11.25" customHeight="1">
      <c r="A180" s="139">
        <v>178</v>
      </c>
      <c r="B180" s="139"/>
      <c r="C180" s="140" t="s">
        <v>472</v>
      </c>
      <c r="D180" s="140"/>
      <c r="E180" s="140">
        <f t="shared" si="22"/>
        <v>28</v>
      </c>
      <c r="F180" s="141" t="s">
        <v>473</v>
      </c>
      <c r="G180" s="142">
        <v>1278</v>
      </c>
      <c r="H180" s="143">
        <f>INT((G180*Valores!$C$2*100)+0.5)/100</f>
        <v>11936.14</v>
      </c>
      <c r="I180" s="161">
        <v>0</v>
      </c>
      <c r="J180" s="145">
        <f>INT((I180*Valores!$C$2*100)+0.5)/100</f>
        <v>0</v>
      </c>
      <c r="K180" s="160">
        <v>0</v>
      </c>
      <c r="L180" s="145">
        <f>INT((K180*Valores!$C$2*100)+0.5)/100</f>
        <v>0</v>
      </c>
      <c r="M180" s="158">
        <v>1200</v>
      </c>
      <c r="N180" s="145">
        <f>INT((M180*Valores!$C$2*100)+0.5)/100</f>
        <v>11207.64</v>
      </c>
      <c r="O180" s="145">
        <f t="shared" si="23"/>
        <v>4413.822</v>
      </c>
      <c r="P180" s="145">
        <f t="shared" si="24"/>
        <v>0</v>
      </c>
      <c r="Q180" s="159">
        <f>Valores!$C$20</f>
        <v>8160.2</v>
      </c>
      <c r="R180" s="159">
        <f>Valores!$D$4</f>
        <v>4774.45</v>
      </c>
      <c r="S180" s="159">
        <f>Valores!$C$27</f>
        <v>4359.58</v>
      </c>
      <c r="T180" s="148">
        <f>IF($H$5="NO",Valores!$C$44,Valores!$C$44/2)</f>
        <v>2384.69</v>
      </c>
      <c r="U180" s="145">
        <f>Valores!$C$24</f>
        <v>3897.01</v>
      </c>
      <c r="V180" s="145">
        <f t="shared" si="30"/>
        <v>3897.01</v>
      </c>
      <c r="W180" s="145">
        <v>0</v>
      </c>
      <c r="X180" s="145">
        <v>0</v>
      </c>
      <c r="Y180" s="149">
        <v>0</v>
      </c>
      <c r="Z180" s="145">
        <f>Y180*Valores!$C$2</f>
        <v>0</v>
      </c>
      <c r="AA180" s="145">
        <v>0</v>
      </c>
      <c r="AB180" s="148">
        <f>Valores!$C$91</f>
        <v>2307.6923076923076</v>
      </c>
      <c r="AC180" s="150">
        <f>Valores!$C$30</f>
        <v>199.86</v>
      </c>
      <c r="AD180" s="145">
        <f t="shared" si="26"/>
        <v>0</v>
      </c>
      <c r="AE180" s="145">
        <f>Valores!$C$31</f>
        <v>199.86</v>
      </c>
      <c r="AF180" s="149">
        <v>0</v>
      </c>
      <c r="AG180" s="145">
        <f>INT(((AF180*Valores!$C$2)*100)+0.5)/100</f>
        <v>0</v>
      </c>
      <c r="AH180" s="145">
        <f>IF($H$5="NO",Valores!$C$59,Valores!$C$59/2)</f>
        <v>406.53</v>
      </c>
      <c r="AI180" s="145">
        <f>IF($H$5="NO",Valores!$C$61,Valores!$C$61/2)</f>
        <v>116.15</v>
      </c>
      <c r="AJ180" s="151">
        <f t="shared" si="27"/>
        <v>54363.624307692306</v>
      </c>
      <c r="AK180" s="159">
        <f>Valores!$C$36</f>
        <v>1046.83</v>
      </c>
      <c r="AL180" s="148">
        <f>Valores!$C$9</f>
        <v>0</v>
      </c>
      <c r="AM180" s="148">
        <f>Valores!$C$86</f>
        <v>4550</v>
      </c>
      <c r="AN180" s="148"/>
      <c r="AO180" s="150">
        <f>Valores!$C$51</f>
        <v>327.6</v>
      </c>
      <c r="AP180" s="152">
        <f t="shared" si="25"/>
        <v>5596.83</v>
      </c>
      <c r="AQ180" s="154">
        <f>AJ180*-Valores!$C$68</f>
        <v>-5979.998673846154</v>
      </c>
      <c r="AR180" s="154">
        <f>AJ180*-Valores!$C$69</f>
        <v>0</v>
      </c>
      <c r="AS180" s="147">
        <f>AJ180*-Valores!$C$70</f>
        <v>-2446.363093846154</v>
      </c>
      <c r="AT180" s="147">
        <v>-159.43</v>
      </c>
      <c r="AU180" s="147">
        <f t="shared" si="28"/>
        <v>-53.83</v>
      </c>
      <c r="AV180" s="151">
        <f t="shared" si="29"/>
        <v>51320.83254</v>
      </c>
      <c r="AW180" s="155"/>
      <c r="AX180" s="155"/>
      <c r="AY180" s="140" t="s">
        <v>4</v>
      </c>
    </row>
    <row r="181" spans="1:51" s="117" customFormat="1" ht="11.25" customHeight="1">
      <c r="A181" s="139">
        <v>179</v>
      </c>
      <c r="B181" s="139"/>
      <c r="C181" s="140" t="s">
        <v>474</v>
      </c>
      <c r="D181" s="140"/>
      <c r="E181" s="140">
        <f t="shared" si="22"/>
        <v>29</v>
      </c>
      <c r="F181" s="141" t="s">
        <v>475</v>
      </c>
      <c r="G181" s="142">
        <v>971</v>
      </c>
      <c r="H181" s="143">
        <f>INT((G181*Valores!$C$2*100)+0.5)/100</f>
        <v>9068.85</v>
      </c>
      <c r="I181" s="161">
        <v>0</v>
      </c>
      <c r="J181" s="145">
        <f>INT((I181*Valores!$C$2*100)+0.5)/100</f>
        <v>0</v>
      </c>
      <c r="K181" s="160">
        <v>0</v>
      </c>
      <c r="L181" s="145">
        <f>INT((K181*Valores!$C$2*100)+0.5)/100</f>
        <v>0</v>
      </c>
      <c r="M181" s="158">
        <v>660</v>
      </c>
      <c r="N181" s="145">
        <f>INT((M181*Valores!$C$2*100)+0.5)/100</f>
        <v>6164.2</v>
      </c>
      <c r="O181" s="145">
        <f t="shared" si="23"/>
        <v>3227.212499999999</v>
      </c>
      <c r="P181" s="145">
        <f t="shared" si="24"/>
        <v>0</v>
      </c>
      <c r="Q181" s="159">
        <f>Valores!$C$20</f>
        <v>8160.2</v>
      </c>
      <c r="R181" s="159">
        <f>Valores!$D$4</f>
        <v>4774.45</v>
      </c>
      <c r="S181" s="159">
        <f>Valores!$C$27</f>
        <v>4359.58</v>
      </c>
      <c r="T181" s="148">
        <f>IF($H$5="NO",Valores!$C$44,Valores!$C$44/2)</f>
        <v>2384.69</v>
      </c>
      <c r="U181" s="145">
        <f>Valores!$C$24</f>
        <v>3897.01</v>
      </c>
      <c r="V181" s="145">
        <f t="shared" si="30"/>
        <v>3897.01</v>
      </c>
      <c r="W181" s="145">
        <v>0</v>
      </c>
      <c r="X181" s="145">
        <v>0</v>
      </c>
      <c r="Y181" s="149">
        <v>0</v>
      </c>
      <c r="Z181" s="145">
        <f>Y181*Valores!$C$2</f>
        <v>0</v>
      </c>
      <c r="AA181" s="145">
        <v>0</v>
      </c>
      <c r="AB181" s="148">
        <f>Valores!$C$91</f>
        <v>2307.6923076923076</v>
      </c>
      <c r="AC181" s="150">
        <f>Valores!$C$30</f>
        <v>199.86</v>
      </c>
      <c r="AD181" s="145">
        <f t="shared" si="26"/>
        <v>0</v>
      </c>
      <c r="AE181" s="145">
        <f>Valores!$C$31</f>
        <v>199.86</v>
      </c>
      <c r="AF181" s="149">
        <v>0</v>
      </c>
      <c r="AG181" s="145">
        <f>INT(((AF181*Valores!$C$2)*100)+0.5)/100</f>
        <v>0</v>
      </c>
      <c r="AH181" s="145">
        <f>IF($H$5="NO",Valores!$C$59,Valores!$C$59/2)</f>
        <v>406.53</v>
      </c>
      <c r="AI181" s="145">
        <f>IF($H$5="NO",Valores!$C$61,Valores!$C$61/2)</f>
        <v>116.15</v>
      </c>
      <c r="AJ181" s="151">
        <f t="shared" si="27"/>
        <v>45266.28480769231</v>
      </c>
      <c r="AK181" s="159">
        <f>Valores!$C$36</f>
        <v>1046.83</v>
      </c>
      <c r="AL181" s="148">
        <f>Valores!$C$9</f>
        <v>0</v>
      </c>
      <c r="AM181" s="148">
        <f>Valores!$C$86</f>
        <v>4550</v>
      </c>
      <c r="AN181" s="148"/>
      <c r="AO181" s="150">
        <f>Valores!$C$51</f>
        <v>327.6</v>
      </c>
      <c r="AP181" s="152">
        <f t="shared" si="25"/>
        <v>5596.83</v>
      </c>
      <c r="AQ181" s="154">
        <f>AJ181*-Valores!$C$68</f>
        <v>-4979.291328846154</v>
      </c>
      <c r="AR181" s="154">
        <f>AJ181*-Valores!$C$69</f>
        <v>0</v>
      </c>
      <c r="AS181" s="147">
        <f>AJ181*-Valores!$C$70</f>
        <v>-2036.9828163461539</v>
      </c>
      <c r="AT181" s="147">
        <v>-159.43</v>
      </c>
      <c r="AU181" s="147">
        <f t="shared" si="28"/>
        <v>-53.83</v>
      </c>
      <c r="AV181" s="151">
        <f t="shared" si="29"/>
        <v>43633.5806625</v>
      </c>
      <c r="AW181" s="155"/>
      <c r="AX181" s="155">
        <v>18</v>
      </c>
      <c r="AY181" s="140" t="s">
        <v>4</v>
      </c>
    </row>
    <row r="182" spans="1:51" s="117" customFormat="1" ht="11.25" customHeight="1">
      <c r="A182" s="157">
        <v>180</v>
      </c>
      <c r="B182" s="157" t="s">
        <v>143</v>
      </c>
      <c r="C182" s="140" t="s">
        <v>476</v>
      </c>
      <c r="D182" s="140"/>
      <c r="E182" s="140">
        <f t="shared" si="22"/>
        <v>22</v>
      </c>
      <c r="F182" s="141" t="s">
        <v>477</v>
      </c>
      <c r="G182" s="142">
        <v>213</v>
      </c>
      <c r="H182" s="143">
        <f>INT((G182*Valores!$C$2*100)+0.5)/100</f>
        <v>1989.36</v>
      </c>
      <c r="I182" s="161">
        <f>1835</f>
        <v>1835</v>
      </c>
      <c r="J182" s="145">
        <f>INT((I182*Valores!$C$2*100)+0.5)/100</f>
        <v>17138.35</v>
      </c>
      <c r="K182" s="160">
        <v>0</v>
      </c>
      <c r="L182" s="145">
        <f>INT((K182*Valores!$C$2*100)+0.5)/100</f>
        <v>0</v>
      </c>
      <c r="M182" s="158">
        <v>1300</v>
      </c>
      <c r="N182" s="145">
        <f>INT((M182*Valores!$C$2*100)+0.5)/100</f>
        <v>12141.61</v>
      </c>
      <c r="O182" s="145">
        <f t="shared" si="23"/>
        <v>5632.653</v>
      </c>
      <c r="P182" s="145">
        <f t="shared" si="24"/>
        <v>0</v>
      </c>
      <c r="Q182" s="159">
        <f>Valores!$C$16</f>
        <v>8673.47</v>
      </c>
      <c r="R182" s="159">
        <f>Valores!$D$4</f>
        <v>4774.45</v>
      </c>
      <c r="S182" s="159">
        <f>Valores!$C$27</f>
        <v>4359.58</v>
      </c>
      <c r="T182" s="148">
        <f>IF($H$5="NO",Valores!$C$44,Valores!$C$44/2)</f>
        <v>2384.69</v>
      </c>
      <c r="U182" s="145">
        <f>Valores!$C$24</f>
        <v>3897.01</v>
      </c>
      <c r="V182" s="145">
        <f t="shared" si="30"/>
        <v>3897.01</v>
      </c>
      <c r="W182" s="145">
        <v>0</v>
      </c>
      <c r="X182" s="145">
        <v>0</v>
      </c>
      <c r="Y182" s="149">
        <v>0</v>
      </c>
      <c r="Z182" s="145">
        <f>Y182*Valores!$C$2</f>
        <v>0</v>
      </c>
      <c r="AA182" s="145">
        <v>0</v>
      </c>
      <c r="AB182" s="148">
        <f>Valores!$C$91</f>
        <v>2307.6923076923076</v>
      </c>
      <c r="AC182" s="150">
        <f>Valores!$C$30</f>
        <v>199.86</v>
      </c>
      <c r="AD182" s="145">
        <f t="shared" si="26"/>
        <v>0</v>
      </c>
      <c r="AE182" s="145">
        <f>Valores!$C$31</f>
        <v>199.86</v>
      </c>
      <c r="AF182" s="149">
        <v>0</v>
      </c>
      <c r="AG182" s="145">
        <f>INT(((AF182*Valores!$C$2)*100)+0.5)/100</f>
        <v>0</v>
      </c>
      <c r="AH182" s="145">
        <f>IF($H$5="NO",Valores!$C$59,Valores!$C$59/2)</f>
        <v>406.53</v>
      </c>
      <c r="AI182" s="145">
        <f>IF($H$5="NO",Valores!$C$61,Valores!$C$61/2)</f>
        <v>116.15</v>
      </c>
      <c r="AJ182" s="151">
        <f t="shared" si="27"/>
        <v>64221.26530769231</v>
      </c>
      <c r="AK182" s="159">
        <f>Valores!$C$36</f>
        <v>1046.83</v>
      </c>
      <c r="AL182" s="148">
        <f>Valores!$C$9</f>
        <v>0</v>
      </c>
      <c r="AM182" s="148">
        <f>Valores!$C$86</f>
        <v>4550</v>
      </c>
      <c r="AN182" s="148"/>
      <c r="AO182" s="150">
        <f>Valores!$C$51</f>
        <v>327.6</v>
      </c>
      <c r="AP182" s="152">
        <f t="shared" si="25"/>
        <v>5596.83</v>
      </c>
      <c r="AQ182" s="154">
        <f>AJ182*-Valores!$C$68</f>
        <v>-7064.339183846154</v>
      </c>
      <c r="AR182" s="154">
        <f>AJ182*-Valores!$C$69</f>
        <v>0</v>
      </c>
      <c r="AS182" s="147">
        <f>AJ182*-Valores!$C$70</f>
        <v>-2889.9569388461537</v>
      </c>
      <c r="AT182" s="147">
        <v>-159.43</v>
      </c>
      <c r="AU182" s="147">
        <f t="shared" si="28"/>
        <v>-53.83</v>
      </c>
      <c r="AV182" s="151">
        <f t="shared" si="29"/>
        <v>59650.539184999994</v>
      </c>
      <c r="AW182" s="155"/>
      <c r="AX182" s="155">
        <v>45</v>
      </c>
      <c r="AY182" s="140" t="s">
        <v>4</v>
      </c>
    </row>
    <row r="183" spans="1:51" s="117" customFormat="1" ht="11.25" customHeight="1">
      <c r="A183" s="139">
        <v>181</v>
      </c>
      <c r="B183" s="139"/>
      <c r="C183" s="140" t="s">
        <v>478</v>
      </c>
      <c r="D183" s="140"/>
      <c r="E183" s="140">
        <f t="shared" si="22"/>
        <v>26</v>
      </c>
      <c r="F183" s="141" t="s">
        <v>479</v>
      </c>
      <c r="G183" s="142">
        <v>185</v>
      </c>
      <c r="H183" s="143">
        <f>INT((G183*Valores!$C$2*100)+0.5)/100</f>
        <v>1727.84</v>
      </c>
      <c r="I183" s="161">
        <f>1835</f>
        <v>1835</v>
      </c>
      <c r="J183" s="145">
        <f>INT((I183*Valores!$C$2*100)+0.5)/100</f>
        <v>17138.35</v>
      </c>
      <c r="K183" s="160">
        <v>0</v>
      </c>
      <c r="L183" s="145">
        <f>INT((K183*Valores!$C$2*100)+0.5)/100</f>
        <v>0</v>
      </c>
      <c r="M183" s="158">
        <v>1300</v>
      </c>
      <c r="N183" s="145">
        <f>INT((M183*Valores!$C$2*100)+0.5)/100</f>
        <v>12141.61</v>
      </c>
      <c r="O183" s="145">
        <f t="shared" si="23"/>
        <v>5593.425</v>
      </c>
      <c r="P183" s="145">
        <f t="shared" si="24"/>
        <v>0</v>
      </c>
      <c r="Q183" s="159">
        <f>Valores!$C$16</f>
        <v>8673.47</v>
      </c>
      <c r="R183" s="159">
        <f>Valores!$D$4</f>
        <v>4774.45</v>
      </c>
      <c r="S183" s="159">
        <f>Valores!$C$27</f>
        <v>4359.58</v>
      </c>
      <c r="T183" s="148">
        <f>IF($H$5="NO",Valores!$C$44,Valores!$C$44/2)</f>
        <v>2384.69</v>
      </c>
      <c r="U183" s="145">
        <f>Valores!$C$24</f>
        <v>3897.01</v>
      </c>
      <c r="V183" s="145">
        <f t="shared" si="30"/>
        <v>3897.01</v>
      </c>
      <c r="W183" s="145">
        <v>0</v>
      </c>
      <c r="X183" s="145">
        <v>0</v>
      </c>
      <c r="Y183" s="149">
        <v>0</v>
      </c>
      <c r="Z183" s="145">
        <f>Y183*Valores!$C$2</f>
        <v>0</v>
      </c>
      <c r="AA183" s="145">
        <v>0</v>
      </c>
      <c r="AB183" s="148">
        <f>Valores!$C$91</f>
        <v>2307.6923076923076</v>
      </c>
      <c r="AC183" s="150">
        <f>Valores!$C$30</f>
        <v>199.86</v>
      </c>
      <c r="AD183" s="145">
        <f t="shared" si="26"/>
        <v>0</v>
      </c>
      <c r="AE183" s="145">
        <f>Valores!$C$31</f>
        <v>199.86</v>
      </c>
      <c r="AF183" s="149">
        <v>0</v>
      </c>
      <c r="AG183" s="145">
        <f>INT(((AF183*Valores!$C$2)*100)+0.5)/100</f>
        <v>0</v>
      </c>
      <c r="AH183" s="145">
        <f>IF($H$5="NO",Valores!$C$59,Valores!$C$59/2)</f>
        <v>406.53</v>
      </c>
      <c r="AI183" s="145">
        <f>IF($H$5="NO",Valores!$C$61,Valores!$C$61/2)</f>
        <v>116.15</v>
      </c>
      <c r="AJ183" s="151">
        <f t="shared" si="27"/>
        <v>63920.51730769231</v>
      </c>
      <c r="AK183" s="159">
        <f>Valores!$C$36</f>
        <v>1046.83</v>
      </c>
      <c r="AL183" s="148">
        <f>Valores!$C$9</f>
        <v>0</v>
      </c>
      <c r="AM183" s="148">
        <f>Valores!$C$86</f>
        <v>4550</v>
      </c>
      <c r="AN183" s="148"/>
      <c r="AO183" s="150">
        <f>Valores!$C$51</f>
        <v>327.6</v>
      </c>
      <c r="AP183" s="152">
        <f t="shared" si="25"/>
        <v>5596.83</v>
      </c>
      <c r="AQ183" s="154">
        <f>AJ183*-Valores!$C$68</f>
        <v>-7031.256903846154</v>
      </c>
      <c r="AR183" s="154">
        <f>AJ183*-Valores!$C$69</f>
        <v>0</v>
      </c>
      <c r="AS183" s="147">
        <f>AJ183*-Valores!$C$70</f>
        <v>-2876.4232788461536</v>
      </c>
      <c r="AT183" s="147">
        <v>-159.43</v>
      </c>
      <c r="AU183" s="147">
        <f t="shared" si="28"/>
        <v>-53.83</v>
      </c>
      <c r="AV183" s="151">
        <f t="shared" si="29"/>
        <v>59396.407125000005</v>
      </c>
      <c r="AW183" s="155"/>
      <c r="AX183" s="155">
        <v>45</v>
      </c>
      <c r="AY183" s="140" t="s">
        <v>4</v>
      </c>
    </row>
    <row r="184" spans="1:51" s="117" customFormat="1" ht="11.25" customHeight="1">
      <c r="A184" s="139">
        <v>182</v>
      </c>
      <c r="B184" s="139"/>
      <c r="C184" s="140" t="s">
        <v>480</v>
      </c>
      <c r="D184" s="140"/>
      <c r="E184" s="140">
        <f t="shared" si="22"/>
        <v>26</v>
      </c>
      <c r="F184" s="141" t="s">
        <v>481</v>
      </c>
      <c r="G184" s="142">
        <v>160</v>
      </c>
      <c r="H184" s="143">
        <f>INT((G184*Valores!$C$2*100)+0.5)/100</f>
        <v>1494.35</v>
      </c>
      <c r="I184" s="161">
        <f>1484</f>
        <v>1484</v>
      </c>
      <c r="J184" s="145">
        <f>INT((I184*Valores!$C$2*100)+0.5)/100</f>
        <v>13860.11</v>
      </c>
      <c r="K184" s="160">
        <v>0</v>
      </c>
      <c r="L184" s="145">
        <f>INT((K184*Valores!$C$2*100)+0.5)/100</f>
        <v>0</v>
      </c>
      <c r="M184" s="158">
        <v>1300</v>
      </c>
      <c r="N184" s="145">
        <f>INT((M184*Valores!$C$2*100)+0.5)/100</f>
        <v>12141.61</v>
      </c>
      <c r="O184" s="145">
        <f t="shared" si="23"/>
        <v>5066.6655</v>
      </c>
      <c r="P184" s="145">
        <f t="shared" si="24"/>
        <v>0</v>
      </c>
      <c r="Q184" s="159">
        <f>Valores!$C$16</f>
        <v>8673.47</v>
      </c>
      <c r="R184" s="159">
        <f>Valores!$D$4</f>
        <v>4774.45</v>
      </c>
      <c r="S184" s="145">
        <f>Valores!$C$27</f>
        <v>4359.58</v>
      </c>
      <c r="T184" s="148">
        <f>IF($H$5="NO",Valores!$C$44,Valores!$C$44/2)</f>
        <v>2384.69</v>
      </c>
      <c r="U184" s="145">
        <f>Valores!$C$24</f>
        <v>3897.01</v>
      </c>
      <c r="V184" s="145">
        <f t="shared" si="30"/>
        <v>3897.01</v>
      </c>
      <c r="W184" s="145">
        <v>0</v>
      </c>
      <c r="X184" s="145">
        <v>0</v>
      </c>
      <c r="Y184" s="149">
        <v>0</v>
      </c>
      <c r="Z184" s="145">
        <f>Y184*Valores!$C$2</f>
        <v>0</v>
      </c>
      <c r="AA184" s="145">
        <v>0</v>
      </c>
      <c r="AB184" s="148">
        <f>Valores!$C$91</f>
        <v>2307.6923076923076</v>
      </c>
      <c r="AC184" s="150">
        <f>Valores!$C$30</f>
        <v>199.86</v>
      </c>
      <c r="AD184" s="145">
        <f t="shared" si="26"/>
        <v>0</v>
      </c>
      <c r="AE184" s="145">
        <f>Valores!$C$31</f>
        <v>199.86</v>
      </c>
      <c r="AF184" s="149">
        <v>0</v>
      </c>
      <c r="AG184" s="145">
        <f>INT(((AF184*Valores!$C$2)*100)+0.5)/100</f>
        <v>0</v>
      </c>
      <c r="AH184" s="145">
        <f>IF($H$5="NO",Valores!$C$59,Valores!$C$59/2)</f>
        <v>406.53</v>
      </c>
      <c r="AI184" s="145">
        <f>IF($H$5="NO",Valores!$C$61,Valores!$C$61/2)</f>
        <v>116.15</v>
      </c>
      <c r="AJ184" s="151">
        <f t="shared" si="27"/>
        <v>59882.027807692306</v>
      </c>
      <c r="AK184" s="159">
        <f>Valores!$C$36</f>
        <v>1046.83</v>
      </c>
      <c r="AL184" s="148">
        <f>Valores!$C$9</f>
        <v>0</v>
      </c>
      <c r="AM184" s="148">
        <f>Valores!$C$86</f>
        <v>4550</v>
      </c>
      <c r="AN184" s="148"/>
      <c r="AO184" s="150">
        <f>Valores!$C$51</f>
        <v>327.6</v>
      </c>
      <c r="AP184" s="152">
        <f t="shared" si="25"/>
        <v>5596.83</v>
      </c>
      <c r="AQ184" s="154">
        <f>AJ184*-Valores!$C$68</f>
        <v>-6587.023058846154</v>
      </c>
      <c r="AR184" s="154">
        <f>AJ184*-Valores!$C$69</f>
        <v>0</v>
      </c>
      <c r="AS184" s="147">
        <f>AJ184*-Valores!$C$70</f>
        <v>-2694.691251346154</v>
      </c>
      <c r="AT184" s="147">
        <v>-159.43</v>
      </c>
      <c r="AU184" s="147">
        <f t="shared" si="28"/>
        <v>-53.83</v>
      </c>
      <c r="AV184" s="151">
        <f t="shared" si="29"/>
        <v>55983.8834975</v>
      </c>
      <c r="AW184" s="155"/>
      <c r="AX184" s="155">
        <v>45</v>
      </c>
      <c r="AY184" s="140" t="s">
        <v>4</v>
      </c>
    </row>
    <row r="185" spans="1:51" s="117" customFormat="1" ht="11.25" customHeight="1">
      <c r="A185" s="139">
        <v>183</v>
      </c>
      <c r="B185" s="139"/>
      <c r="C185" s="140" t="s">
        <v>482</v>
      </c>
      <c r="D185" s="140"/>
      <c r="E185" s="140">
        <f t="shared" si="22"/>
        <v>22</v>
      </c>
      <c r="F185" s="141" t="s">
        <v>483</v>
      </c>
      <c r="G185" s="142">
        <v>1278</v>
      </c>
      <c r="H185" s="143">
        <f>INT((G185*Valores!$C$2*100)+0.5)/100</f>
        <v>11936.14</v>
      </c>
      <c r="I185" s="161">
        <v>0</v>
      </c>
      <c r="J185" s="145">
        <f>INT((I185*Valores!$C$2*100)+0.5)/100</f>
        <v>0</v>
      </c>
      <c r="K185" s="160">
        <v>0</v>
      </c>
      <c r="L185" s="145">
        <f>INT((K185*Valores!$C$2*100)+0.5)/100</f>
        <v>0</v>
      </c>
      <c r="M185" s="158">
        <v>1200</v>
      </c>
      <c r="N185" s="145">
        <f>INT((M185*Valores!$C$2*100)+0.5)/100</f>
        <v>11207.64</v>
      </c>
      <c r="O185" s="145">
        <f t="shared" si="23"/>
        <v>4413.822</v>
      </c>
      <c r="P185" s="145">
        <f t="shared" si="24"/>
        <v>0</v>
      </c>
      <c r="Q185" s="159">
        <f>Valores!$C$20</f>
        <v>8160.2</v>
      </c>
      <c r="R185" s="159">
        <f>Valores!$D$4</f>
        <v>4774.45</v>
      </c>
      <c r="S185" s="159">
        <f>Valores!$C$27</f>
        <v>4359.58</v>
      </c>
      <c r="T185" s="148">
        <f>IF($H$5="NO",Valores!$C$44,Valores!$C$44/2)</f>
        <v>2384.69</v>
      </c>
      <c r="U185" s="145">
        <f>Valores!$C$24</f>
        <v>3897.01</v>
      </c>
      <c r="V185" s="145">
        <f t="shared" si="30"/>
        <v>3897.01</v>
      </c>
      <c r="W185" s="145">
        <v>0</v>
      </c>
      <c r="X185" s="145">
        <v>0</v>
      </c>
      <c r="Y185" s="149">
        <v>0</v>
      </c>
      <c r="Z185" s="145">
        <f>Y185*Valores!$C$2</f>
        <v>0</v>
      </c>
      <c r="AA185" s="145">
        <v>0</v>
      </c>
      <c r="AB185" s="148">
        <f>Valores!$C$91</f>
        <v>2307.6923076923076</v>
      </c>
      <c r="AC185" s="150">
        <f>Valores!$C$30</f>
        <v>199.86</v>
      </c>
      <c r="AD185" s="145">
        <f t="shared" si="26"/>
        <v>0</v>
      </c>
      <c r="AE185" s="145">
        <f>Valores!$C$31</f>
        <v>199.86</v>
      </c>
      <c r="AF185" s="149">
        <v>0</v>
      </c>
      <c r="AG185" s="145">
        <f>INT(((AF185*Valores!$C$2)*100)+0.5)/100</f>
        <v>0</v>
      </c>
      <c r="AH185" s="145">
        <f>IF($H$5="NO",Valores!$C$59,Valores!$C$59/2)</f>
        <v>406.53</v>
      </c>
      <c r="AI185" s="145">
        <f>IF($H$5="NO",Valores!$C$61,Valores!$C$61/2)</f>
        <v>116.15</v>
      </c>
      <c r="AJ185" s="151">
        <f t="shared" si="27"/>
        <v>54363.624307692306</v>
      </c>
      <c r="AK185" s="159">
        <f>Valores!$C$36</f>
        <v>1046.83</v>
      </c>
      <c r="AL185" s="148">
        <f>Valores!$C$9</f>
        <v>0</v>
      </c>
      <c r="AM185" s="148">
        <f>Valores!$C$86</f>
        <v>4550</v>
      </c>
      <c r="AN185" s="148"/>
      <c r="AO185" s="150">
        <f>Valores!$C$51</f>
        <v>327.6</v>
      </c>
      <c r="AP185" s="152">
        <f t="shared" si="25"/>
        <v>5596.83</v>
      </c>
      <c r="AQ185" s="154">
        <f>AJ185*-Valores!$C$68</f>
        <v>-5979.998673846154</v>
      </c>
      <c r="AR185" s="154">
        <f>AJ185*-Valores!$C$69</f>
        <v>0</v>
      </c>
      <c r="AS185" s="147">
        <f>AJ185*-Valores!$C$70</f>
        <v>-2446.363093846154</v>
      </c>
      <c r="AT185" s="147">
        <v>-159.43</v>
      </c>
      <c r="AU185" s="147">
        <f t="shared" si="28"/>
        <v>-53.83</v>
      </c>
      <c r="AV185" s="151">
        <f t="shared" si="29"/>
        <v>51320.83254</v>
      </c>
      <c r="AW185" s="155"/>
      <c r="AX185" s="155"/>
      <c r="AY185" s="140" t="s">
        <v>4</v>
      </c>
    </row>
    <row r="186" spans="1:51" s="117" customFormat="1" ht="11.25" customHeight="1">
      <c r="A186" s="139">
        <v>184</v>
      </c>
      <c r="B186" s="139"/>
      <c r="C186" s="140" t="s">
        <v>484</v>
      </c>
      <c r="D186" s="140"/>
      <c r="E186" s="140">
        <f t="shared" si="22"/>
        <v>28</v>
      </c>
      <c r="F186" s="141" t="s">
        <v>485</v>
      </c>
      <c r="G186" s="142">
        <v>971</v>
      </c>
      <c r="H186" s="143">
        <f>INT((G186*Valores!$C$2*100)+0.5)/100</f>
        <v>9068.85</v>
      </c>
      <c r="I186" s="161">
        <v>0</v>
      </c>
      <c r="J186" s="145">
        <f>INT((I186*Valores!$C$2*100)+0.5)/100</f>
        <v>0</v>
      </c>
      <c r="K186" s="160">
        <v>0</v>
      </c>
      <c r="L186" s="145">
        <f>INT((K186*Valores!$C$2*100)+0.5)/100</f>
        <v>0</v>
      </c>
      <c r="M186" s="158">
        <v>660</v>
      </c>
      <c r="N186" s="145">
        <f>INT((M186*Valores!$C$2*100)+0.5)/100</f>
        <v>6164.2</v>
      </c>
      <c r="O186" s="145">
        <f t="shared" si="23"/>
        <v>3227.212499999999</v>
      </c>
      <c r="P186" s="145">
        <f t="shared" si="24"/>
        <v>0</v>
      </c>
      <c r="Q186" s="159">
        <f>Valores!$C$20</f>
        <v>8160.2</v>
      </c>
      <c r="R186" s="159">
        <f>Valores!$D$4</f>
        <v>4774.45</v>
      </c>
      <c r="S186" s="159">
        <f>Valores!$C$28</f>
        <v>4057.61</v>
      </c>
      <c r="T186" s="148">
        <f>IF($H$5="NO",Valores!$C$44,Valores!$C$44/2)</f>
        <v>2384.69</v>
      </c>
      <c r="U186" s="145">
        <f>Valores!$C$24</f>
        <v>3897.01</v>
      </c>
      <c r="V186" s="145">
        <f t="shared" si="30"/>
        <v>3897.01</v>
      </c>
      <c r="W186" s="145">
        <v>0</v>
      </c>
      <c r="X186" s="145">
        <v>0</v>
      </c>
      <c r="Y186" s="149">
        <v>0</v>
      </c>
      <c r="Z186" s="145">
        <f>Y186*Valores!$C$2</f>
        <v>0</v>
      </c>
      <c r="AA186" s="145">
        <v>0</v>
      </c>
      <c r="AB186" s="148">
        <f>Valores!$C$91</f>
        <v>2307.6923076923076</v>
      </c>
      <c r="AC186" s="150">
        <f>Valores!$C$30</f>
        <v>199.86</v>
      </c>
      <c r="AD186" s="145">
        <f t="shared" si="26"/>
        <v>0</v>
      </c>
      <c r="AE186" s="145">
        <f>Valores!$C$31</f>
        <v>199.86</v>
      </c>
      <c r="AF186" s="149">
        <v>0</v>
      </c>
      <c r="AG186" s="145">
        <f>INT(((AF186*Valores!$C$2)*100)+0.5)/100</f>
        <v>0</v>
      </c>
      <c r="AH186" s="145">
        <f>IF($H$5="NO",Valores!$C$59,Valores!$C$59/2)</f>
        <v>406.53</v>
      </c>
      <c r="AI186" s="145">
        <f>IF($H$5="NO",Valores!$C$61,Valores!$C$61/2)</f>
        <v>116.15</v>
      </c>
      <c r="AJ186" s="151">
        <f t="shared" si="27"/>
        <v>44964.31480769231</v>
      </c>
      <c r="AK186" s="159">
        <f>Valores!$C$36</f>
        <v>1046.83</v>
      </c>
      <c r="AL186" s="148">
        <f>Valores!$C$9</f>
        <v>0</v>
      </c>
      <c r="AM186" s="148">
        <f>Valores!$C$86</f>
        <v>4550</v>
      </c>
      <c r="AN186" s="148"/>
      <c r="AO186" s="150">
        <f>Valores!$C$53</f>
        <v>327.6</v>
      </c>
      <c r="AP186" s="152">
        <f t="shared" si="25"/>
        <v>5596.83</v>
      </c>
      <c r="AQ186" s="154">
        <f>AJ186*-Valores!$C$68</f>
        <v>-4946.074628846154</v>
      </c>
      <c r="AR186" s="154">
        <f>AJ186*-Valores!$C$69</f>
        <v>0</v>
      </c>
      <c r="AS186" s="147">
        <f>AJ186*-Valores!$C$70</f>
        <v>-2023.394166346154</v>
      </c>
      <c r="AT186" s="147">
        <v>-159.43</v>
      </c>
      <c r="AU186" s="147">
        <f t="shared" si="28"/>
        <v>-53.83</v>
      </c>
      <c r="AV186" s="151">
        <f t="shared" si="29"/>
        <v>43378.416012500005</v>
      </c>
      <c r="AW186" s="155"/>
      <c r="AX186" s="155">
        <v>18</v>
      </c>
      <c r="AY186" s="140" t="s">
        <v>4</v>
      </c>
    </row>
    <row r="187" spans="1:51" s="117" customFormat="1" ht="11.25" customHeight="1">
      <c r="A187" s="157">
        <v>185</v>
      </c>
      <c r="B187" s="157" t="s">
        <v>143</v>
      </c>
      <c r="C187" s="140" t="s">
        <v>486</v>
      </c>
      <c r="D187" s="140"/>
      <c r="E187" s="140">
        <f t="shared" si="22"/>
        <v>23</v>
      </c>
      <c r="F187" s="141" t="s">
        <v>487</v>
      </c>
      <c r="G187" s="142">
        <v>179</v>
      </c>
      <c r="H187" s="143">
        <f>INT((G187*Valores!$C$2*100)+0.5)/100</f>
        <v>1671.81</v>
      </c>
      <c r="I187" s="161">
        <f>1323</f>
        <v>1323</v>
      </c>
      <c r="J187" s="145">
        <f>INT((I187*Valores!$C$2*100)+0.5)/100</f>
        <v>12356.42</v>
      </c>
      <c r="K187" s="160">
        <v>0</v>
      </c>
      <c r="L187" s="145">
        <f>INT((K187*Valores!$C$2*100)+0.5)/100</f>
        <v>0</v>
      </c>
      <c r="M187" s="158">
        <v>1300</v>
      </c>
      <c r="N187" s="145">
        <f>INT((M187*Valores!$C$2*100)+0.5)/100</f>
        <v>12141.61</v>
      </c>
      <c r="O187" s="145">
        <f t="shared" si="23"/>
        <v>4867.731</v>
      </c>
      <c r="P187" s="145">
        <f t="shared" si="24"/>
        <v>0</v>
      </c>
      <c r="Q187" s="159">
        <f>Valores!$C$16</f>
        <v>8673.47</v>
      </c>
      <c r="R187" s="159">
        <f>Valores!$D$4</f>
        <v>4774.45</v>
      </c>
      <c r="S187" s="159">
        <f>Valores!$C$27</f>
        <v>4359.58</v>
      </c>
      <c r="T187" s="148">
        <f>IF($H$5="NO",Valores!$C$44,Valores!$C$44/2)</f>
        <v>2384.69</v>
      </c>
      <c r="U187" s="145">
        <f>Valores!$C$24</f>
        <v>3897.01</v>
      </c>
      <c r="V187" s="145">
        <f t="shared" si="30"/>
        <v>3897.01</v>
      </c>
      <c r="W187" s="145">
        <v>0</v>
      </c>
      <c r="X187" s="145">
        <v>0</v>
      </c>
      <c r="Y187" s="149">
        <v>0</v>
      </c>
      <c r="Z187" s="145">
        <f>Y187*Valores!$C$2</f>
        <v>0</v>
      </c>
      <c r="AA187" s="145">
        <v>0</v>
      </c>
      <c r="AB187" s="148">
        <f>Valores!$C$91</f>
        <v>2307.6923076923076</v>
      </c>
      <c r="AC187" s="150">
        <f>Valores!$C$30</f>
        <v>199.86</v>
      </c>
      <c r="AD187" s="145">
        <f t="shared" si="26"/>
        <v>0</v>
      </c>
      <c r="AE187" s="145">
        <f>Valores!$C$31</f>
        <v>199.86</v>
      </c>
      <c r="AF187" s="149">
        <v>0</v>
      </c>
      <c r="AG187" s="145">
        <f>INT(((AF187*Valores!$C$2)*100)+0.5)/100</f>
        <v>0</v>
      </c>
      <c r="AH187" s="145">
        <f>IF($H$5="NO",Valores!$C$59,Valores!$C$59/2)</f>
        <v>406.53</v>
      </c>
      <c r="AI187" s="145">
        <f>IF($H$5="NO",Valores!$C$61,Valores!$C$61/2)</f>
        <v>116.15</v>
      </c>
      <c r="AJ187" s="151">
        <f t="shared" si="27"/>
        <v>58356.86330769231</v>
      </c>
      <c r="AK187" s="159">
        <f>Valores!$C$36</f>
        <v>1046.83</v>
      </c>
      <c r="AL187" s="148">
        <f>Valores!$C$9</f>
        <v>0</v>
      </c>
      <c r="AM187" s="148">
        <f>Valores!$C$86</f>
        <v>4550</v>
      </c>
      <c r="AN187" s="148"/>
      <c r="AO187" s="150">
        <v>0</v>
      </c>
      <c r="AP187" s="152">
        <f t="shared" si="25"/>
        <v>5596.83</v>
      </c>
      <c r="AQ187" s="154">
        <f>AJ187*-Valores!$C$68</f>
        <v>-6419.254963846154</v>
      </c>
      <c r="AR187" s="154">
        <f>AJ187*-Valores!$C$69</f>
        <v>0</v>
      </c>
      <c r="AS187" s="147">
        <f>AJ187*-Valores!$C$70</f>
        <v>-2626.0588488461535</v>
      </c>
      <c r="AT187" s="147">
        <v>-159.43</v>
      </c>
      <c r="AU187" s="147">
        <f t="shared" si="28"/>
        <v>-53.83</v>
      </c>
      <c r="AV187" s="151">
        <f t="shared" si="29"/>
        <v>54695.119495</v>
      </c>
      <c r="AW187" s="155"/>
      <c r="AX187" s="155">
        <v>45</v>
      </c>
      <c r="AY187" s="140" t="s">
        <v>4</v>
      </c>
    </row>
    <row r="188" spans="1:51" s="117" customFormat="1" ht="11.25" customHeight="1">
      <c r="A188" s="139">
        <v>186</v>
      </c>
      <c r="B188" s="139"/>
      <c r="C188" s="140" t="s">
        <v>488</v>
      </c>
      <c r="D188" s="140"/>
      <c r="E188" s="140">
        <f t="shared" si="22"/>
        <v>26</v>
      </c>
      <c r="F188" s="141" t="s">
        <v>489</v>
      </c>
      <c r="G188" s="142">
        <v>64</v>
      </c>
      <c r="H188" s="143">
        <f>INT((G188*Valores!$C$2*100)+0.5)/100</f>
        <v>597.74</v>
      </c>
      <c r="I188" s="161">
        <v>1354</v>
      </c>
      <c r="J188" s="145">
        <f>INT((I188*Valores!$C$2*100)+0.5)/100</f>
        <v>12645.95</v>
      </c>
      <c r="K188" s="160">
        <v>0</v>
      </c>
      <c r="L188" s="145">
        <f>INT((K188*Valores!$C$2*100)+0.5)/100</f>
        <v>0</v>
      </c>
      <c r="M188" s="158">
        <v>1200</v>
      </c>
      <c r="N188" s="145">
        <f>INT((M188*Valores!$C$2*100)+0.5)/100</f>
        <v>11207.64</v>
      </c>
      <c r="O188" s="145">
        <f t="shared" si="23"/>
        <v>4602.9795</v>
      </c>
      <c r="P188" s="145">
        <f t="shared" si="24"/>
        <v>0</v>
      </c>
      <c r="Q188" s="159">
        <f>Valores!$C$20</f>
        <v>8160.2</v>
      </c>
      <c r="R188" s="159">
        <f>Valores!$D$4</f>
        <v>4774.45</v>
      </c>
      <c r="S188" s="145">
        <v>0</v>
      </c>
      <c r="T188" s="148">
        <f>IF($H$5="NO",Valores!$C$44,Valores!$C$44/2)</f>
        <v>2384.69</v>
      </c>
      <c r="U188" s="159">
        <f>Valores!$C$25</f>
        <v>3850.51</v>
      </c>
      <c r="V188" s="145">
        <f t="shared" si="30"/>
        <v>3850.51</v>
      </c>
      <c r="W188" s="145">
        <v>0</v>
      </c>
      <c r="X188" s="145">
        <v>0</v>
      </c>
      <c r="Y188" s="149">
        <v>0</v>
      </c>
      <c r="Z188" s="145">
        <f>Y188*Valores!$C$2</f>
        <v>0</v>
      </c>
      <c r="AA188" s="145">
        <v>0</v>
      </c>
      <c r="AB188" s="148">
        <f>Valores!$C$91</f>
        <v>2307.6923076923076</v>
      </c>
      <c r="AC188" s="150">
        <f>Valores!$C$30</f>
        <v>199.86</v>
      </c>
      <c r="AD188" s="145">
        <f t="shared" si="26"/>
        <v>0</v>
      </c>
      <c r="AE188" s="145">
        <f>Valores!$C$31</f>
        <v>199.86</v>
      </c>
      <c r="AF188" s="149">
        <v>0</v>
      </c>
      <c r="AG188" s="145">
        <f>INT(((AF188*Valores!$C$2)*100)+0.5)/100</f>
        <v>0</v>
      </c>
      <c r="AH188" s="145">
        <f>IF($H$5="NO",Valores!$C$59,Valores!$C$59/2)</f>
        <v>406.53</v>
      </c>
      <c r="AI188" s="145">
        <f>IF($H$5="NO",Valores!$C$61,Valores!$C$61/2)</f>
        <v>116.15</v>
      </c>
      <c r="AJ188" s="151">
        <f t="shared" si="27"/>
        <v>51454.25180769231</v>
      </c>
      <c r="AK188" s="159">
        <f>Valores!$C$36</f>
        <v>1046.83</v>
      </c>
      <c r="AL188" s="148">
        <f>Valores!$C$9</f>
        <v>0</v>
      </c>
      <c r="AM188" s="148">
        <f>Valores!$C$86</f>
        <v>4550</v>
      </c>
      <c r="AN188" s="148"/>
      <c r="AO188" s="150">
        <v>0</v>
      </c>
      <c r="AP188" s="152">
        <f t="shared" si="25"/>
        <v>5596.83</v>
      </c>
      <c r="AQ188" s="154">
        <f>AJ188*-Valores!$C$68</f>
        <v>-5659.967698846154</v>
      </c>
      <c r="AR188" s="154">
        <f>AJ188*-Valores!$C$69</f>
        <v>0</v>
      </c>
      <c r="AS188" s="147">
        <f>AJ188*-Valores!$C$70</f>
        <v>-2315.4413313461537</v>
      </c>
      <c r="AT188" s="147">
        <v>-159.43</v>
      </c>
      <c r="AU188" s="147">
        <f t="shared" si="28"/>
        <v>-53.83</v>
      </c>
      <c r="AV188" s="151">
        <f t="shared" si="29"/>
        <v>48862.4127775</v>
      </c>
      <c r="AW188" s="155"/>
      <c r="AX188" s="155">
        <v>30</v>
      </c>
      <c r="AY188" s="140" t="s">
        <v>8</v>
      </c>
    </row>
    <row r="189" spans="1:51" s="117" customFormat="1" ht="11.25" customHeight="1">
      <c r="A189" s="139">
        <v>187</v>
      </c>
      <c r="B189" s="139"/>
      <c r="C189" s="140" t="s">
        <v>490</v>
      </c>
      <c r="D189" s="140"/>
      <c r="E189" s="140">
        <f t="shared" si="22"/>
        <v>26</v>
      </c>
      <c r="F189" s="141" t="s">
        <v>491</v>
      </c>
      <c r="G189" s="142">
        <v>55</v>
      </c>
      <c r="H189" s="143">
        <f>INT((G189*Valores!$C$2*100)+0.5)/100</f>
        <v>513.68</v>
      </c>
      <c r="I189" s="161">
        <v>1279</v>
      </c>
      <c r="J189" s="145">
        <f>INT((I189*Valores!$C$2*100)+0.5)/100</f>
        <v>11945.48</v>
      </c>
      <c r="K189" s="160">
        <v>0</v>
      </c>
      <c r="L189" s="145">
        <f>INT((K189*Valores!$C$2*100)+0.5)/100</f>
        <v>0</v>
      </c>
      <c r="M189" s="158">
        <v>1200</v>
      </c>
      <c r="N189" s="145">
        <f>INT((M189*Valores!$C$2*100)+0.5)/100</f>
        <v>11207.64</v>
      </c>
      <c r="O189" s="145">
        <f t="shared" si="23"/>
        <v>4492.275</v>
      </c>
      <c r="P189" s="145">
        <f t="shared" si="24"/>
        <v>0</v>
      </c>
      <c r="Q189" s="159">
        <f>Valores!$C$20</f>
        <v>8160.2</v>
      </c>
      <c r="R189" s="159">
        <f>Valores!$D$4</f>
        <v>4774.45</v>
      </c>
      <c r="S189" s="145">
        <v>0</v>
      </c>
      <c r="T189" s="148">
        <f>IF($H$5="NO",Valores!$C$44,Valores!$C$44/2)</f>
        <v>2384.69</v>
      </c>
      <c r="U189" s="145">
        <f>Valores!$C$24</f>
        <v>3897.01</v>
      </c>
      <c r="V189" s="145">
        <f t="shared" si="30"/>
        <v>3897.01</v>
      </c>
      <c r="W189" s="145">
        <v>0</v>
      </c>
      <c r="X189" s="145">
        <v>0</v>
      </c>
      <c r="Y189" s="149">
        <v>0</v>
      </c>
      <c r="Z189" s="145">
        <f>Y189*Valores!$C$2</f>
        <v>0</v>
      </c>
      <c r="AA189" s="145">
        <v>0</v>
      </c>
      <c r="AB189" s="148">
        <f>Valores!$C$91</f>
        <v>2307.6923076923076</v>
      </c>
      <c r="AC189" s="150">
        <f>Valores!$C$30</f>
        <v>199.86</v>
      </c>
      <c r="AD189" s="145">
        <f t="shared" si="26"/>
        <v>0</v>
      </c>
      <c r="AE189" s="145">
        <f>Valores!$C$31</f>
        <v>199.86</v>
      </c>
      <c r="AF189" s="149">
        <v>0</v>
      </c>
      <c r="AG189" s="145">
        <f>INT(((AF189*Valores!$C$2)*100)+0.5)/100</f>
        <v>0</v>
      </c>
      <c r="AH189" s="145">
        <f>IF($H$5="NO",Valores!$C$59,Valores!$C$59/2)</f>
        <v>406.53</v>
      </c>
      <c r="AI189" s="145">
        <f>IF($H$5="NO",Valores!$C$61,Valores!$C$61/2)</f>
        <v>116.15</v>
      </c>
      <c r="AJ189" s="151">
        <f t="shared" si="27"/>
        <v>50605.5173076923</v>
      </c>
      <c r="AK189" s="159">
        <f>Valores!$C$36</f>
        <v>1046.83</v>
      </c>
      <c r="AL189" s="148">
        <f>Valores!$C$9</f>
        <v>0</v>
      </c>
      <c r="AM189" s="148">
        <f>Valores!$C$86</f>
        <v>4550</v>
      </c>
      <c r="AN189" s="148"/>
      <c r="AO189" s="150">
        <v>0</v>
      </c>
      <c r="AP189" s="152">
        <f t="shared" si="25"/>
        <v>5596.83</v>
      </c>
      <c r="AQ189" s="154">
        <f>AJ189*-Valores!$C$68</f>
        <v>-5566.606903846153</v>
      </c>
      <c r="AR189" s="154">
        <f>AJ189*-Valores!$C$69</f>
        <v>0</v>
      </c>
      <c r="AS189" s="147">
        <f>AJ189*-Valores!$C$70</f>
        <v>-2277.2482788461534</v>
      </c>
      <c r="AT189" s="147">
        <v>-159.43</v>
      </c>
      <c r="AU189" s="147">
        <f t="shared" si="28"/>
        <v>-53.83</v>
      </c>
      <c r="AV189" s="151">
        <f t="shared" si="29"/>
        <v>48145.232124999995</v>
      </c>
      <c r="AW189" s="155"/>
      <c r="AX189" s="155">
        <v>30</v>
      </c>
      <c r="AY189" s="140" t="s">
        <v>8</v>
      </c>
    </row>
    <row r="190" spans="1:51" s="117" customFormat="1" ht="11.25" customHeight="1">
      <c r="A190" s="139">
        <v>188</v>
      </c>
      <c r="B190" s="139"/>
      <c r="C190" s="140" t="s">
        <v>492</v>
      </c>
      <c r="D190" s="140"/>
      <c r="E190" s="140">
        <f t="shared" si="22"/>
        <v>24</v>
      </c>
      <c r="F190" s="141" t="s">
        <v>493</v>
      </c>
      <c r="G190" s="142">
        <v>1027</v>
      </c>
      <c r="H190" s="143">
        <f>INT((G190*Valores!$C$2*100)+0.5)/100</f>
        <v>9591.87</v>
      </c>
      <c r="I190" s="161">
        <v>0</v>
      </c>
      <c r="J190" s="145">
        <f>INT((I190*Valores!$C$2*100)+0.5)/100</f>
        <v>0</v>
      </c>
      <c r="K190" s="160">
        <v>0</v>
      </c>
      <c r="L190" s="145">
        <f>INT((K190*Valores!$C$2*100)+0.5)/100</f>
        <v>0</v>
      </c>
      <c r="M190" s="158">
        <v>1200</v>
      </c>
      <c r="N190" s="145">
        <f>INT((M190*Valores!$C$2*100)+0.5)/100</f>
        <v>11207.64</v>
      </c>
      <c r="O190" s="145">
        <f t="shared" si="23"/>
        <v>4055.2065000000002</v>
      </c>
      <c r="P190" s="145">
        <f t="shared" si="24"/>
        <v>0</v>
      </c>
      <c r="Q190" s="159">
        <f>Valores!$C$20</f>
        <v>8160.2</v>
      </c>
      <c r="R190" s="159">
        <f>Valores!$D$4</f>
        <v>4774.45</v>
      </c>
      <c r="S190" s="145">
        <v>0</v>
      </c>
      <c r="T190" s="148">
        <f>IF($H$5="NO",Valores!$C$44,Valores!$C$44/2)</f>
        <v>2384.69</v>
      </c>
      <c r="U190" s="159">
        <f>Valores!$C$25</f>
        <v>3850.51</v>
      </c>
      <c r="V190" s="145">
        <f t="shared" si="30"/>
        <v>3850.51</v>
      </c>
      <c r="W190" s="145">
        <v>0</v>
      </c>
      <c r="X190" s="145">
        <v>0</v>
      </c>
      <c r="Y190" s="149">
        <v>0</v>
      </c>
      <c r="Z190" s="145">
        <f>Y190*Valores!$C$2</f>
        <v>0</v>
      </c>
      <c r="AA190" s="145">
        <v>0</v>
      </c>
      <c r="AB190" s="148">
        <f>Valores!$C$91</f>
        <v>2307.6923076923076</v>
      </c>
      <c r="AC190" s="150">
        <f>Valores!$C$30</f>
        <v>199.86</v>
      </c>
      <c r="AD190" s="145">
        <f t="shared" si="26"/>
        <v>0</v>
      </c>
      <c r="AE190" s="145">
        <f>Valores!$C$31</f>
        <v>199.86</v>
      </c>
      <c r="AF190" s="149">
        <v>0</v>
      </c>
      <c r="AG190" s="145">
        <f>INT(((AF190*Valores!$C$2)*100)+0.5)/100</f>
        <v>0</v>
      </c>
      <c r="AH190" s="145">
        <f>IF($H$5="NO",Valores!$C$59,Valores!$C$59/2)</f>
        <v>406.53</v>
      </c>
      <c r="AI190" s="145">
        <f>IF($H$5="NO",Valores!$C$61,Valores!$C$61/2)</f>
        <v>116.15</v>
      </c>
      <c r="AJ190" s="151">
        <f t="shared" si="27"/>
        <v>47254.65880769231</v>
      </c>
      <c r="AK190" s="159">
        <f>Valores!$C$36</f>
        <v>1046.83</v>
      </c>
      <c r="AL190" s="148">
        <f>Valores!$C$9</f>
        <v>0</v>
      </c>
      <c r="AM190" s="148">
        <f>Valores!$C$86</f>
        <v>4550</v>
      </c>
      <c r="AN190" s="148"/>
      <c r="AO190" s="150">
        <v>0</v>
      </c>
      <c r="AP190" s="152">
        <f t="shared" si="25"/>
        <v>5596.83</v>
      </c>
      <c r="AQ190" s="154">
        <f>AJ190*-Valores!$C$68</f>
        <v>-5198.012468846154</v>
      </c>
      <c r="AR190" s="154">
        <f>AJ190*-Valores!$C$69</f>
        <v>0</v>
      </c>
      <c r="AS190" s="147">
        <f>AJ190*-Valores!$C$70</f>
        <v>-2126.459646346154</v>
      </c>
      <c r="AT190" s="147">
        <v>-159.43</v>
      </c>
      <c r="AU190" s="147">
        <f t="shared" si="28"/>
        <v>-53.83</v>
      </c>
      <c r="AV190" s="151">
        <f t="shared" si="29"/>
        <v>45313.7566925</v>
      </c>
      <c r="AW190" s="155"/>
      <c r="AX190" s="155">
        <v>30</v>
      </c>
      <c r="AY190" s="140" t="s">
        <v>8</v>
      </c>
    </row>
    <row r="191" spans="1:51" s="117" customFormat="1" ht="11.25" customHeight="1">
      <c r="A191" s="139">
        <v>189</v>
      </c>
      <c r="B191" s="139"/>
      <c r="C191" s="140" t="s">
        <v>494</v>
      </c>
      <c r="D191" s="140"/>
      <c r="E191" s="140">
        <f t="shared" si="22"/>
        <v>24</v>
      </c>
      <c r="F191" s="141" t="s">
        <v>495</v>
      </c>
      <c r="G191" s="142">
        <v>1278</v>
      </c>
      <c r="H191" s="143">
        <f>INT((G191*Valores!$C$2*100)+0.5)/100</f>
        <v>11936.14</v>
      </c>
      <c r="I191" s="161">
        <v>0</v>
      </c>
      <c r="J191" s="145">
        <f>INT((I191*Valores!$C$2*100)+0.5)/100</f>
        <v>0</v>
      </c>
      <c r="K191" s="160">
        <v>0</v>
      </c>
      <c r="L191" s="145">
        <f>INT((K191*Valores!$C$2*100)+0.5)/100</f>
        <v>0</v>
      </c>
      <c r="M191" s="158">
        <v>1200</v>
      </c>
      <c r="N191" s="145">
        <f>INT((M191*Valores!$C$2*100)+0.5)/100</f>
        <v>11207.64</v>
      </c>
      <c r="O191" s="145">
        <f t="shared" si="23"/>
        <v>4413.822</v>
      </c>
      <c r="P191" s="145">
        <f t="shared" si="24"/>
        <v>0</v>
      </c>
      <c r="Q191" s="159">
        <f>Valores!$C$20</f>
        <v>8160.2</v>
      </c>
      <c r="R191" s="159">
        <f>Valores!$D$4</f>
        <v>4774.45</v>
      </c>
      <c r="S191" s="159">
        <f>Valores!$C$27</f>
        <v>4359.58</v>
      </c>
      <c r="T191" s="148">
        <f>IF($H$5="NO",Valores!$C$44,Valores!$C$44/2)</f>
        <v>2384.69</v>
      </c>
      <c r="U191" s="145">
        <f>Valores!$C$24</f>
        <v>3897.01</v>
      </c>
      <c r="V191" s="145">
        <f t="shared" si="30"/>
        <v>3897.01</v>
      </c>
      <c r="W191" s="145">
        <v>0</v>
      </c>
      <c r="X191" s="145">
        <v>0</v>
      </c>
      <c r="Y191" s="149">
        <v>0</v>
      </c>
      <c r="Z191" s="145">
        <f>Y191*Valores!$C$2</f>
        <v>0</v>
      </c>
      <c r="AA191" s="145">
        <v>0</v>
      </c>
      <c r="AB191" s="148">
        <f>Valores!$C$91</f>
        <v>2307.6923076923076</v>
      </c>
      <c r="AC191" s="150">
        <f>Valores!$C$30</f>
        <v>199.86</v>
      </c>
      <c r="AD191" s="145">
        <f t="shared" si="26"/>
        <v>0</v>
      </c>
      <c r="AE191" s="145">
        <f>Valores!$C$31</f>
        <v>199.86</v>
      </c>
      <c r="AF191" s="149">
        <v>0</v>
      </c>
      <c r="AG191" s="145">
        <f>INT(((AF191*Valores!$C$2)*100)+0.5)/100</f>
        <v>0</v>
      </c>
      <c r="AH191" s="145">
        <f>IF($H$5="NO",Valores!$C$59,Valores!$C$59/2)</f>
        <v>406.53</v>
      </c>
      <c r="AI191" s="145">
        <f>IF($H$5="NO",Valores!$C$61,Valores!$C$61/2)</f>
        <v>116.15</v>
      </c>
      <c r="AJ191" s="151">
        <f t="shared" si="27"/>
        <v>54363.624307692306</v>
      </c>
      <c r="AK191" s="159">
        <f>Valores!$C$36</f>
        <v>1046.83</v>
      </c>
      <c r="AL191" s="148">
        <f>Valores!$C$9</f>
        <v>0</v>
      </c>
      <c r="AM191" s="148">
        <f>Valores!$C$86</f>
        <v>4550</v>
      </c>
      <c r="AN191" s="148"/>
      <c r="AO191" s="150">
        <f>Valores!$C$51</f>
        <v>327.6</v>
      </c>
      <c r="AP191" s="152">
        <f t="shared" si="25"/>
        <v>5596.83</v>
      </c>
      <c r="AQ191" s="154">
        <f>AJ191*-Valores!$C$68</f>
        <v>-5979.998673846154</v>
      </c>
      <c r="AR191" s="154">
        <f>AJ191*-Valores!$C$69</f>
        <v>0</v>
      </c>
      <c r="AS191" s="147">
        <f>AJ191*-Valores!$C$70</f>
        <v>-2446.363093846154</v>
      </c>
      <c r="AT191" s="147">
        <v>-159.43</v>
      </c>
      <c r="AU191" s="147">
        <f t="shared" si="28"/>
        <v>-53.83</v>
      </c>
      <c r="AV191" s="151">
        <f t="shared" si="29"/>
        <v>51320.83254</v>
      </c>
      <c r="AW191" s="155"/>
      <c r="AX191" s="155">
        <v>36</v>
      </c>
      <c r="AY191" s="140" t="s">
        <v>4</v>
      </c>
    </row>
    <row r="192" spans="1:51" s="117" customFormat="1" ht="11.25" customHeight="1">
      <c r="A192" s="157">
        <v>190</v>
      </c>
      <c r="B192" s="157" t="s">
        <v>143</v>
      </c>
      <c r="C192" s="140" t="s">
        <v>496</v>
      </c>
      <c r="D192" s="140"/>
      <c r="E192" s="140">
        <f t="shared" si="22"/>
        <v>38</v>
      </c>
      <c r="F192" s="141" t="s">
        <v>497</v>
      </c>
      <c r="G192" s="142">
        <v>1065</v>
      </c>
      <c r="H192" s="143">
        <f>INT((G192*Valores!$C$2*100)+0.5)/100</f>
        <v>9946.78</v>
      </c>
      <c r="I192" s="161">
        <v>0</v>
      </c>
      <c r="J192" s="145">
        <f>INT((I192*Valores!$C$2*100)+0.5)/100</f>
        <v>0</v>
      </c>
      <c r="K192" s="160">
        <v>0</v>
      </c>
      <c r="L192" s="145">
        <f>INT((K192*Valores!$C$2*100)+0.5)/100</f>
        <v>0</v>
      </c>
      <c r="M192" s="158">
        <v>600</v>
      </c>
      <c r="N192" s="145">
        <f>INT((M192*Valores!$C$2*100)+0.5)/100</f>
        <v>5603.82</v>
      </c>
      <c r="O192" s="145">
        <f t="shared" si="23"/>
        <v>3274.845</v>
      </c>
      <c r="P192" s="145">
        <f t="shared" si="24"/>
        <v>0</v>
      </c>
      <c r="Q192" s="159">
        <f>Valores!$C$20</f>
        <v>8160.2</v>
      </c>
      <c r="R192" s="159">
        <f>Valores!$D$4</f>
        <v>4774.45</v>
      </c>
      <c r="S192" s="145">
        <v>0</v>
      </c>
      <c r="T192" s="148">
        <f>IF($H$5="NO",Valores!$C$44,Valores!$C$44/2)</f>
        <v>2384.69</v>
      </c>
      <c r="U192" s="145">
        <f>Valores!$C$24</f>
        <v>3897.01</v>
      </c>
      <c r="V192" s="145">
        <f t="shared" si="30"/>
        <v>3897.01</v>
      </c>
      <c r="W192" s="145">
        <v>0</v>
      </c>
      <c r="X192" s="145">
        <v>0</v>
      </c>
      <c r="Y192" s="149">
        <v>0</v>
      </c>
      <c r="Z192" s="145">
        <f>Y192*Valores!$C$2</f>
        <v>0</v>
      </c>
      <c r="AA192" s="145">
        <v>0</v>
      </c>
      <c r="AB192" s="148">
        <f>Valores!$C$91</f>
        <v>2307.6923076923076</v>
      </c>
      <c r="AC192" s="150">
        <f>Valores!$C$30</f>
        <v>199.86</v>
      </c>
      <c r="AD192" s="145">
        <f t="shared" si="26"/>
        <v>0</v>
      </c>
      <c r="AE192" s="145">
        <f>Valores!$C$31</f>
        <v>199.86</v>
      </c>
      <c r="AF192" s="149">
        <v>0</v>
      </c>
      <c r="AG192" s="145">
        <f>INT(((AF192*Valores!$C$2)*100)+0.5)/100</f>
        <v>0</v>
      </c>
      <c r="AH192" s="145">
        <f>IF($H$5="NO",Valores!$C$59,Valores!$C$59/2)</f>
        <v>406.53</v>
      </c>
      <c r="AI192" s="145">
        <f>IF($H$5="NO",Valores!$C$61,Valores!$C$61/2)</f>
        <v>116.15</v>
      </c>
      <c r="AJ192" s="151">
        <f t="shared" si="27"/>
        <v>41271.88730769231</v>
      </c>
      <c r="AK192" s="159">
        <f>Valores!$C$36</f>
        <v>1046.83</v>
      </c>
      <c r="AL192" s="148">
        <f>Valores!$C$9</f>
        <v>0</v>
      </c>
      <c r="AM192" s="148">
        <f>Valores!$C$86</f>
        <v>4550</v>
      </c>
      <c r="AN192" s="148"/>
      <c r="AO192" s="150">
        <f>Valores!$C$51</f>
        <v>327.6</v>
      </c>
      <c r="AP192" s="152">
        <f t="shared" si="25"/>
        <v>5596.83</v>
      </c>
      <c r="AQ192" s="154">
        <f>AJ192*-Valores!$C$68</f>
        <v>-4539.907603846154</v>
      </c>
      <c r="AR192" s="154">
        <f>AJ192*-Valores!$C$69</f>
        <v>0</v>
      </c>
      <c r="AS192" s="147">
        <f>AJ192*-Valores!$C$70</f>
        <v>-1857.234928846154</v>
      </c>
      <c r="AT192" s="147">
        <v>-159.43</v>
      </c>
      <c r="AU192" s="147">
        <f t="shared" si="28"/>
        <v>-53.83</v>
      </c>
      <c r="AV192" s="151">
        <f t="shared" si="29"/>
        <v>40258.314775</v>
      </c>
      <c r="AW192" s="155"/>
      <c r="AX192" s="155"/>
      <c r="AY192" s="140" t="s">
        <v>4</v>
      </c>
    </row>
    <row r="193" spans="1:51" s="117" customFormat="1" ht="12" customHeight="1">
      <c r="A193" s="139">
        <v>191</v>
      </c>
      <c r="B193" s="139"/>
      <c r="C193" s="140" t="s">
        <v>498</v>
      </c>
      <c r="D193" s="140"/>
      <c r="E193" s="140">
        <f t="shared" si="22"/>
        <v>26</v>
      </c>
      <c r="F193" s="141" t="s">
        <v>499</v>
      </c>
      <c r="G193" s="142">
        <v>971</v>
      </c>
      <c r="H193" s="143">
        <f>INT((G193*Valores!$C$2*100)+0.5)/100</f>
        <v>9068.85</v>
      </c>
      <c r="I193" s="161">
        <v>0</v>
      </c>
      <c r="J193" s="145">
        <f>INT((I193*Valores!$C$2*100)+0.5)/100</f>
        <v>0</v>
      </c>
      <c r="K193" s="160">
        <v>0</v>
      </c>
      <c r="L193" s="145">
        <f>INT((K193*Valores!$C$2*100)+0.5)/100</f>
        <v>0</v>
      </c>
      <c r="M193" s="158">
        <v>660</v>
      </c>
      <c r="N193" s="145">
        <f>INT((M193*Valores!$C$2*100)+0.5)/100</f>
        <v>6164.2</v>
      </c>
      <c r="O193" s="145">
        <f t="shared" si="23"/>
        <v>3112.4819999999995</v>
      </c>
      <c r="P193" s="145">
        <f t="shared" si="24"/>
        <v>0</v>
      </c>
      <c r="Q193" s="159">
        <f>Valores!$C$20</f>
        <v>8160.2</v>
      </c>
      <c r="R193" s="159">
        <f>Valores!$D$4</f>
        <v>4774.45</v>
      </c>
      <c r="S193" s="159">
        <f>Valores!$C$28</f>
        <v>4057.61</v>
      </c>
      <c r="T193" s="148">
        <f>IF($H$5="NO",Valores!$C$43,Valores!$C$43/2)</f>
        <v>1619.82</v>
      </c>
      <c r="U193" s="145">
        <f>Valores!$C$24</f>
        <v>3897.01</v>
      </c>
      <c r="V193" s="145">
        <f t="shared" si="30"/>
        <v>3897.01</v>
      </c>
      <c r="W193" s="145">
        <v>0</v>
      </c>
      <c r="X193" s="145">
        <v>0</v>
      </c>
      <c r="Y193" s="149">
        <v>0</v>
      </c>
      <c r="Z193" s="145">
        <f>Y193*Valores!$C$2</f>
        <v>0</v>
      </c>
      <c r="AA193" s="145">
        <v>0</v>
      </c>
      <c r="AB193" s="148">
        <f>Valores!$C$89</f>
        <v>1153.8461538461538</v>
      </c>
      <c r="AC193" s="150">
        <f>Valores!$C$30</f>
        <v>199.86</v>
      </c>
      <c r="AD193" s="145">
        <f t="shared" si="26"/>
        <v>0</v>
      </c>
      <c r="AE193" s="145">
        <f>Valores!$C$31</f>
        <v>199.86</v>
      </c>
      <c r="AF193" s="149">
        <v>0</v>
      </c>
      <c r="AG193" s="145">
        <f>INT(((AF193*Valores!$C$2)*100)+0.5)/100</f>
        <v>0</v>
      </c>
      <c r="AH193" s="145">
        <f>IF($H$5="NO",Valores!$C$59,Valores!$C$59/2)</f>
        <v>406.53</v>
      </c>
      <c r="AI193" s="145">
        <f>IF($H$5="NO",Valores!$C$61,Valores!$C$61/2)</f>
        <v>116.15</v>
      </c>
      <c r="AJ193" s="151">
        <f t="shared" si="27"/>
        <v>42930.86815384616</v>
      </c>
      <c r="AK193" s="159">
        <f>Valores!$C$36</f>
        <v>1046.83</v>
      </c>
      <c r="AL193" s="148">
        <f>Valores!$C$8</f>
        <v>0</v>
      </c>
      <c r="AM193" s="148">
        <f>Valores!$C$84</f>
        <v>2275</v>
      </c>
      <c r="AN193" s="148"/>
      <c r="AO193" s="150">
        <v>0</v>
      </c>
      <c r="AP193" s="152">
        <f t="shared" si="25"/>
        <v>3321.83</v>
      </c>
      <c r="AQ193" s="154">
        <f>AJ193*-Valores!$C$68</f>
        <v>-4722.395496923078</v>
      </c>
      <c r="AR193" s="154">
        <f>AJ193*-Valores!$C$69</f>
        <v>0</v>
      </c>
      <c r="AS193" s="147">
        <f>AJ193*-Valores!$C$70</f>
        <v>-1931.889066923077</v>
      </c>
      <c r="AT193" s="147">
        <v>-159.43</v>
      </c>
      <c r="AU193" s="147">
        <f t="shared" si="28"/>
        <v>-53.83</v>
      </c>
      <c r="AV193" s="151">
        <f t="shared" si="29"/>
        <v>39385.15359000001</v>
      </c>
      <c r="AW193" s="155"/>
      <c r="AX193" s="155">
        <v>18</v>
      </c>
      <c r="AY193" s="140" t="s">
        <v>4</v>
      </c>
    </row>
    <row r="194" spans="1:51" s="117" customFormat="1" ht="11.25" customHeight="1">
      <c r="A194" s="139">
        <v>192</v>
      </c>
      <c r="B194" s="139"/>
      <c r="C194" s="140" t="s">
        <v>500</v>
      </c>
      <c r="D194" s="140">
        <v>1</v>
      </c>
      <c r="E194" s="140">
        <f t="shared" si="22"/>
        <v>36</v>
      </c>
      <c r="F194" s="141" t="str">
        <f aca="true" t="shared" si="31" ref="F194:F229">CONCATENATE("Hora Cátedra Enseñanza Superior ",D194," hs")</f>
        <v>Hora Cátedra Enseñanza Superior 1 hs</v>
      </c>
      <c r="G194" s="142">
        <f aca="true" t="shared" si="32" ref="G194:G229">99*D194</f>
        <v>99</v>
      </c>
      <c r="H194" s="143">
        <f>INT((G194*Valores!$C$2*100)+0.5)/100</f>
        <v>924.63</v>
      </c>
      <c r="I194" s="161">
        <v>0</v>
      </c>
      <c r="J194" s="145">
        <f>INT((I194*Valores!$C$2*100)+0.5)/100</f>
        <v>0</v>
      </c>
      <c r="K194" s="160">
        <v>0</v>
      </c>
      <c r="L194" s="145">
        <f>INT((K194*Valores!$C$2*100)+0.5)/100</f>
        <v>0</v>
      </c>
      <c r="M194" s="158">
        <v>0</v>
      </c>
      <c r="N194" s="145">
        <f>INT((M194*Valores!$C$2*100)+0.5)/100</f>
        <v>0</v>
      </c>
      <c r="O194" s="145">
        <f t="shared" si="23"/>
        <v>163.32600000000002</v>
      </c>
      <c r="P194" s="145">
        <f t="shared" si="24"/>
        <v>0</v>
      </c>
      <c r="Q194" s="159">
        <f>Valores!$C$14*D194</f>
        <v>309.17</v>
      </c>
      <c r="R194" s="159">
        <f>IF(D194&lt;15,(Valores!$E$4*D194),Valores!$D$4)</f>
        <v>318.29</v>
      </c>
      <c r="S194" s="145">
        <v>0</v>
      </c>
      <c r="T194" s="148">
        <f>IF($H$5="NO",IF(Valores!$C$46*D194&gt;Valores!$C$44,Valores!$C$44,Valores!$C$46*D194),IF(Valores!$C$46*D194&gt;Valores!$C$44,Valores!$C$44,Valores!$C$46*D194)/2)</f>
        <v>68.25</v>
      </c>
      <c r="U194" s="159">
        <f>Valores!$C$23*D194</f>
        <v>95.96</v>
      </c>
      <c r="V194" s="145">
        <f t="shared" si="30"/>
        <v>95.96</v>
      </c>
      <c r="W194" s="145">
        <v>0</v>
      </c>
      <c r="X194" s="145">
        <v>0</v>
      </c>
      <c r="Y194" s="165">
        <v>0</v>
      </c>
      <c r="Z194" s="145">
        <f>Y194*Valores!$C$2</f>
        <v>0</v>
      </c>
      <c r="AA194" s="145">
        <v>0</v>
      </c>
      <c r="AB194" s="148">
        <f>IF(Valores!$C$92*D194&gt;Valores!$C$91,Valores!$C$91,Valores!$C$92*D194)</f>
        <v>57.69230769230771</v>
      </c>
      <c r="AC194" s="150">
        <f>IF((Valores!$C$33)*D194&gt;Valores!$F$33,Valores!$F$33,(Valores!$C$33)*D194)</f>
        <v>8.00384</v>
      </c>
      <c r="AD194" s="145">
        <f t="shared" si="26"/>
        <v>0</v>
      </c>
      <c r="AE194" s="145">
        <f>IF(Valores!$C$34*D194&gt;Valores!$F$34,Valores!$F$34,Valores!$C$34*D194)</f>
        <v>6.662656000000001</v>
      </c>
      <c r="AF194" s="149">
        <v>0</v>
      </c>
      <c r="AG194" s="145">
        <f>INT(((AF194*Valores!$C$2)*100)+0.5)/100</f>
        <v>0</v>
      </c>
      <c r="AH194" s="145">
        <f>IF($H$5="NO",IF(Valores!$D$59*'Escala Docente'!D194&gt;Valores!$F$59,Valores!$F$59,Valores!$D$59*'Escala Docente'!D194),IF(Valores!$D$59*'Escala Docente'!D194&gt;Valores!$F$59,Valores!$F$59,Valores!$D$59*'Escala Docente'!D194)/2)</f>
        <v>27.1024</v>
      </c>
      <c r="AI194" s="145">
        <f>IF($H$5="NO",IF(Valores!$D$61*D194&gt;Valores!$F$61,Valores!$F$61,Valores!$D$61*D194),IF(Valores!$D$61*D194&gt;Valores!$F$61,Valores!$F$61,Valores!$D$61*D194)/2)</f>
        <v>7.7442</v>
      </c>
      <c r="AJ194" s="151">
        <f t="shared" si="27"/>
        <v>1986.831403692308</v>
      </c>
      <c r="AK194" s="159">
        <f>IF(Valores!$C$37*D194&gt;Valores!$F$37,Valores!$F$37,Valores!$C$37*D194)</f>
        <v>69.79</v>
      </c>
      <c r="AL194" s="148">
        <f>IF(Valores!$C$11*D194&gt;Valores!$F$11,Valores!$F$11,Valores!$C$11*D194)</f>
        <v>0</v>
      </c>
      <c r="AM194" s="148">
        <f>IF(Valores!$C$87*D194&gt;Valores!$C$86,Valores!$C$86,Valores!$C$87*D194)</f>
        <v>113.74999999999999</v>
      </c>
      <c r="AN194" s="148"/>
      <c r="AO194" s="150">
        <f>IF(Valores!$C$57*D194&gt;Valores!$F$57,Valores!$F$57,Valores!$C$57*D194)</f>
        <v>14.2</v>
      </c>
      <c r="AP194" s="152">
        <f t="shared" si="25"/>
        <v>183.54</v>
      </c>
      <c r="AQ194" s="154">
        <f>AJ194*-Valores!$C$68</f>
        <v>-218.55145440615388</v>
      </c>
      <c r="AR194" s="154">
        <f>AJ194*-Valores!$C$69</f>
        <v>0</v>
      </c>
      <c r="AS194" s="147">
        <f>AJ194*-Valores!$C$70</f>
        <v>-89.40741316615386</v>
      </c>
      <c r="AT194" s="147">
        <v>-159.43</v>
      </c>
      <c r="AU194" s="147">
        <f t="shared" si="28"/>
        <v>-53.83</v>
      </c>
      <c r="AV194" s="151">
        <f t="shared" si="29"/>
        <v>1649.1525361200004</v>
      </c>
      <c r="AW194" s="155"/>
      <c r="AX194" s="155">
        <f aca="true" t="shared" si="33" ref="AX194:AX225">4*D194</f>
        <v>4</v>
      </c>
      <c r="AY194" s="140" t="s">
        <v>4</v>
      </c>
    </row>
    <row r="195" spans="1:51" s="117" customFormat="1" ht="11.25" customHeight="1">
      <c r="A195" s="139">
        <v>193</v>
      </c>
      <c r="B195" s="139"/>
      <c r="C195" s="140" t="s">
        <v>500</v>
      </c>
      <c r="D195" s="140">
        <v>2</v>
      </c>
      <c r="E195" s="140">
        <f t="shared" si="22"/>
        <v>36</v>
      </c>
      <c r="F195" s="141" t="str">
        <f t="shared" si="31"/>
        <v>Hora Cátedra Enseñanza Superior 2 hs</v>
      </c>
      <c r="G195" s="142">
        <f t="shared" si="32"/>
        <v>198</v>
      </c>
      <c r="H195" s="143">
        <f>INT((G195*Valores!$C$2*100)+0.5)/100</f>
        <v>1849.26</v>
      </c>
      <c r="I195" s="161">
        <v>0</v>
      </c>
      <c r="J195" s="145">
        <f>INT((I195*Valores!$C$2*100)+0.5)/100</f>
        <v>0</v>
      </c>
      <c r="K195" s="160">
        <v>0</v>
      </c>
      <c r="L195" s="145">
        <f>INT((K195*Valores!$C$2*100)+0.5)/100</f>
        <v>0</v>
      </c>
      <c r="M195" s="158">
        <v>0</v>
      </c>
      <c r="N195" s="145">
        <f>INT((M195*Valores!$C$2*100)+0.5)/100</f>
        <v>0</v>
      </c>
      <c r="O195" s="145">
        <f t="shared" si="23"/>
        <v>326.65200000000004</v>
      </c>
      <c r="P195" s="145">
        <f t="shared" si="24"/>
        <v>0</v>
      </c>
      <c r="Q195" s="159">
        <f>Valores!$C$14*D195</f>
        <v>618.34</v>
      </c>
      <c r="R195" s="159">
        <f>IF(D195&lt;15,(Valores!$E$4*D195),Valores!$D$4)</f>
        <v>636.58</v>
      </c>
      <c r="S195" s="145">
        <v>0</v>
      </c>
      <c r="T195" s="148">
        <f>IF($H$5="NO",IF(Valores!$C$46*D195&gt;Valores!$C$44,Valores!$C$44,Valores!$C$46*D195),IF(Valores!$C$46*D195&gt;Valores!$C$44,Valores!$C$44,Valores!$C$46*D195)/2)</f>
        <v>136.5</v>
      </c>
      <c r="U195" s="159">
        <f>Valores!$C$23*D195</f>
        <v>191.92</v>
      </c>
      <c r="V195" s="145">
        <f t="shared" si="30"/>
        <v>191.92</v>
      </c>
      <c r="W195" s="145">
        <v>0</v>
      </c>
      <c r="X195" s="145">
        <v>0</v>
      </c>
      <c r="Y195" s="165">
        <v>0</v>
      </c>
      <c r="Z195" s="145">
        <f>Y195*Valores!$C$2</f>
        <v>0</v>
      </c>
      <c r="AA195" s="145">
        <v>0</v>
      </c>
      <c r="AB195" s="148">
        <f>IF(Valores!$C$92*D195&gt;Valores!$C$91,Valores!$C$91,Valores!$C$92*D195)</f>
        <v>115.38461538461542</v>
      </c>
      <c r="AC195" s="150">
        <f>IF((Valores!$C$33)*D195&gt;Valores!$F$33,Valores!$F$33,(Valores!$C$33)*D195)</f>
        <v>16.00768</v>
      </c>
      <c r="AD195" s="145">
        <f t="shared" si="26"/>
        <v>0</v>
      </c>
      <c r="AE195" s="145">
        <f>IF(Valores!$C$34*D195&gt;Valores!$F$34,Valores!$F$34,Valores!$C$34*D195)</f>
        <v>13.325312000000002</v>
      </c>
      <c r="AF195" s="149">
        <v>0</v>
      </c>
      <c r="AG195" s="145">
        <f>INT(((AF195*Valores!$C$2)*100)+0.5)/100</f>
        <v>0</v>
      </c>
      <c r="AH195" s="145">
        <f>IF($H$5="NO",IF(Valores!$D$59*'Escala Docente'!D195&gt;Valores!$F$59,Valores!$F$59,Valores!$D$59*'Escala Docente'!D195),IF(Valores!$D$59*'Escala Docente'!D195&gt;Valores!$F$59,Valores!$F$59,Valores!$D$59*'Escala Docente'!D195)/2)</f>
        <v>54.2048</v>
      </c>
      <c r="AI195" s="145">
        <f>IF($H$5="NO",IF(Valores!$D$61*D195&gt;Valores!$F$61,Valores!$F$61,Valores!$D$61*D195),IF(Valores!$D$61*D195&gt;Valores!$F$61,Valores!$F$61,Valores!$D$61*D195)/2)</f>
        <v>15.4884</v>
      </c>
      <c r="AJ195" s="151">
        <f t="shared" si="27"/>
        <v>3973.662807384616</v>
      </c>
      <c r="AK195" s="159">
        <f>IF(Valores!$C$37*D195&gt;Valores!$F$37,Valores!$F$37,Valores!$C$37*D195)</f>
        <v>139.58</v>
      </c>
      <c r="AL195" s="148">
        <f>IF(Valores!$C$11*D195&gt;Valores!$F$11,Valores!$F$11,Valores!$C$11*D195)</f>
        <v>0</v>
      </c>
      <c r="AM195" s="148">
        <f>IF(Valores!$C$87*D195&gt;Valores!$C$86,Valores!$C$86,Valores!$C$87*D195)</f>
        <v>227.49999999999997</v>
      </c>
      <c r="AN195" s="148"/>
      <c r="AO195" s="150">
        <f>IF(Valores!$C$57*D195&gt;Valores!$F$57,Valores!$F$57,Valores!$C$57*D195)</f>
        <v>28.4</v>
      </c>
      <c r="AP195" s="152">
        <f t="shared" si="25"/>
        <v>367.08</v>
      </c>
      <c r="AQ195" s="154">
        <f>AJ195*-Valores!$C$68</f>
        <v>-437.10290881230776</v>
      </c>
      <c r="AR195" s="154">
        <f>AJ195*-Valores!$C$69</f>
        <v>0</v>
      </c>
      <c r="AS195" s="147">
        <f>AJ195*-Valores!$C$70</f>
        <v>-178.81482633230772</v>
      </c>
      <c r="AT195" s="147">
        <v>-159.43</v>
      </c>
      <c r="AU195" s="147">
        <f t="shared" si="28"/>
        <v>-53.83</v>
      </c>
      <c r="AV195" s="151">
        <f t="shared" si="29"/>
        <v>3511.565072240001</v>
      </c>
      <c r="AW195" s="155"/>
      <c r="AX195" s="155">
        <f t="shared" si="33"/>
        <v>8</v>
      </c>
      <c r="AY195" s="140" t="s">
        <v>4</v>
      </c>
    </row>
    <row r="196" spans="1:51" s="117" customFormat="1" ht="11.25" customHeight="1">
      <c r="A196" s="139">
        <v>194</v>
      </c>
      <c r="B196" s="139"/>
      <c r="C196" s="140" t="s">
        <v>500</v>
      </c>
      <c r="D196" s="140">
        <v>3</v>
      </c>
      <c r="E196" s="140">
        <f t="shared" si="22"/>
        <v>36</v>
      </c>
      <c r="F196" s="141" t="str">
        <f t="shared" si="31"/>
        <v>Hora Cátedra Enseñanza Superior 3 hs</v>
      </c>
      <c r="G196" s="142">
        <f t="shared" si="32"/>
        <v>297</v>
      </c>
      <c r="H196" s="143">
        <f>INT((G196*Valores!$C$2*100)+0.5)/100</f>
        <v>2773.89</v>
      </c>
      <c r="I196" s="161">
        <v>0</v>
      </c>
      <c r="J196" s="145">
        <f>INT((I196*Valores!$C$2*100)+0.5)/100</f>
        <v>0</v>
      </c>
      <c r="K196" s="160">
        <v>0</v>
      </c>
      <c r="L196" s="145">
        <f>INT((K196*Valores!$C$2*100)+0.5)/100</f>
        <v>0</v>
      </c>
      <c r="M196" s="158">
        <v>0</v>
      </c>
      <c r="N196" s="145">
        <f>INT((M196*Valores!$C$2*100)+0.5)/100</f>
        <v>0</v>
      </c>
      <c r="O196" s="145">
        <f t="shared" si="23"/>
        <v>489.97799999999995</v>
      </c>
      <c r="P196" s="145">
        <f t="shared" si="24"/>
        <v>0</v>
      </c>
      <c r="Q196" s="159">
        <f>Valores!$C$14*D196</f>
        <v>927.51</v>
      </c>
      <c r="R196" s="159">
        <f>IF(D196&lt;15,(Valores!$E$4*D196),Valores!$D$4)</f>
        <v>954.8700000000001</v>
      </c>
      <c r="S196" s="145">
        <v>0</v>
      </c>
      <c r="T196" s="148">
        <f>IF($H$5="NO",IF(Valores!$C$46*D196&gt;Valores!$C$44,Valores!$C$44,Valores!$C$46*D196),IF(Valores!$C$46*D196&gt;Valores!$C$44,Valores!$C$44,Valores!$C$46*D196)/2)</f>
        <v>204.75</v>
      </c>
      <c r="U196" s="159">
        <f>Valores!$C$23*D196</f>
        <v>287.88</v>
      </c>
      <c r="V196" s="145">
        <f t="shared" si="30"/>
        <v>287.88</v>
      </c>
      <c r="W196" s="145">
        <v>0</v>
      </c>
      <c r="X196" s="145">
        <v>0</v>
      </c>
      <c r="Y196" s="165">
        <v>0</v>
      </c>
      <c r="Z196" s="145">
        <f>Y196*Valores!$C$2</f>
        <v>0</v>
      </c>
      <c r="AA196" s="145">
        <v>0</v>
      </c>
      <c r="AB196" s="148">
        <f>IF(Valores!$C$92*D196&gt;Valores!$C$91,Valores!$C$91,Valores!$C$92*D196)</f>
        <v>173.07692307692312</v>
      </c>
      <c r="AC196" s="150">
        <f>IF((Valores!$C$33)*D196&gt;Valores!$F$33,Valores!$F$33,(Valores!$C$33)*D196)</f>
        <v>24.01152</v>
      </c>
      <c r="AD196" s="145">
        <f t="shared" si="26"/>
        <v>0</v>
      </c>
      <c r="AE196" s="145">
        <f>IF(Valores!$C$34*D196&gt;Valores!$F$34,Valores!$F$34,Valores!$C$34*D196)</f>
        <v>19.987968000000002</v>
      </c>
      <c r="AF196" s="149">
        <v>0</v>
      </c>
      <c r="AG196" s="145">
        <f>INT(((AF196*Valores!$C$2)*100)+0.5)/100</f>
        <v>0</v>
      </c>
      <c r="AH196" s="145">
        <f>IF($H$5="NO",IF(Valores!$D$59*'Escala Docente'!D196&gt;Valores!$F$59,Valores!$F$59,Valores!$D$59*'Escala Docente'!D196),IF(Valores!$D$59*'Escala Docente'!D196&gt;Valores!$F$59,Valores!$F$59,Valores!$D$59*'Escala Docente'!D196)/2)</f>
        <v>81.3072</v>
      </c>
      <c r="AI196" s="145">
        <f>IF($H$5="NO",IF(Valores!$D$61*D196&gt;Valores!$F$61,Valores!$F$61,Valores!$D$61*D196),IF(Valores!$D$61*D196&gt;Valores!$F$61,Valores!$F$61,Valores!$D$61*D196)/2)</f>
        <v>23.2326</v>
      </c>
      <c r="AJ196" s="151">
        <f t="shared" si="27"/>
        <v>5960.494211076923</v>
      </c>
      <c r="AK196" s="159">
        <f>IF(Valores!$C$37*D196&gt;Valores!$F$37,Valores!$F$37,Valores!$C$37*D196)</f>
        <v>209.37</v>
      </c>
      <c r="AL196" s="148">
        <f>IF(Valores!$C$11*D196&gt;Valores!$F$11,Valores!$F$11,Valores!$C$11*D196)</f>
        <v>0</v>
      </c>
      <c r="AM196" s="148">
        <f>IF(Valores!$C$87*D196&gt;Valores!$C$86,Valores!$C$86,Valores!$C$87*D196)</f>
        <v>341.24999999999994</v>
      </c>
      <c r="AN196" s="148"/>
      <c r="AO196" s="150">
        <f>IF(Valores!$C$57*D196&gt;Valores!$F$57,Valores!$F$57,Valores!$C$57*D196)</f>
        <v>42.599999999999994</v>
      </c>
      <c r="AP196" s="152">
        <f t="shared" si="25"/>
        <v>550.6199999999999</v>
      </c>
      <c r="AQ196" s="154">
        <f>AJ196*-Valores!$C$68</f>
        <v>-655.6543632184615</v>
      </c>
      <c r="AR196" s="154">
        <f>AJ196*-Valores!$C$69</f>
        <v>0</v>
      </c>
      <c r="AS196" s="147">
        <f>AJ196*-Valores!$C$70</f>
        <v>-268.22223949846153</v>
      </c>
      <c r="AT196" s="147">
        <v>-159.43</v>
      </c>
      <c r="AU196" s="147">
        <f t="shared" si="28"/>
        <v>-53.83</v>
      </c>
      <c r="AV196" s="151">
        <f t="shared" si="29"/>
        <v>5373.97760836</v>
      </c>
      <c r="AW196" s="155"/>
      <c r="AX196" s="155">
        <f t="shared" si="33"/>
        <v>12</v>
      </c>
      <c r="AY196" s="140" t="s">
        <v>4</v>
      </c>
    </row>
    <row r="197" spans="1:51" s="117" customFormat="1" ht="11.25" customHeight="1">
      <c r="A197" s="157">
        <v>195</v>
      </c>
      <c r="B197" s="157" t="s">
        <v>143</v>
      </c>
      <c r="C197" s="140" t="s">
        <v>500</v>
      </c>
      <c r="D197" s="140">
        <v>4</v>
      </c>
      <c r="E197" s="140">
        <f t="shared" si="22"/>
        <v>36</v>
      </c>
      <c r="F197" s="141" t="str">
        <f t="shared" si="31"/>
        <v>Hora Cátedra Enseñanza Superior 4 hs</v>
      </c>
      <c r="G197" s="142">
        <f t="shared" si="32"/>
        <v>396</v>
      </c>
      <c r="H197" s="143">
        <f>INT((G197*Valores!$C$2*100)+0.5)/100</f>
        <v>3698.52</v>
      </c>
      <c r="I197" s="161">
        <v>0</v>
      </c>
      <c r="J197" s="145">
        <f>INT((I197*Valores!$C$2*100)+0.5)/100</f>
        <v>0</v>
      </c>
      <c r="K197" s="160">
        <v>0</v>
      </c>
      <c r="L197" s="145">
        <f>INT((K197*Valores!$C$2*100)+0.5)/100</f>
        <v>0</v>
      </c>
      <c r="M197" s="158">
        <v>0</v>
      </c>
      <c r="N197" s="145">
        <f>INT((M197*Valores!$C$2*100)+0.5)/100</f>
        <v>0</v>
      </c>
      <c r="O197" s="145">
        <f t="shared" si="23"/>
        <v>653.3040000000001</v>
      </c>
      <c r="P197" s="145">
        <f t="shared" si="24"/>
        <v>0</v>
      </c>
      <c r="Q197" s="159">
        <f>Valores!$C$14*D197</f>
        <v>1236.68</v>
      </c>
      <c r="R197" s="159">
        <f>IF(D197&lt;15,(Valores!$E$4*D197),Valores!$D$4)</f>
        <v>1273.16</v>
      </c>
      <c r="S197" s="145">
        <v>0</v>
      </c>
      <c r="T197" s="148">
        <f>IF($H$5="NO",IF(Valores!$C$46*D197&gt;Valores!$C$44,Valores!$C$44,Valores!$C$46*D197),IF(Valores!$C$46*D197&gt;Valores!$C$44,Valores!$C$44,Valores!$C$46*D197)/2)</f>
        <v>273</v>
      </c>
      <c r="U197" s="159">
        <f>Valores!$C$23*D197</f>
        <v>383.84</v>
      </c>
      <c r="V197" s="145">
        <f t="shared" si="30"/>
        <v>383.84</v>
      </c>
      <c r="W197" s="145">
        <v>0</v>
      </c>
      <c r="X197" s="145">
        <v>0</v>
      </c>
      <c r="Y197" s="165">
        <v>0</v>
      </c>
      <c r="Z197" s="145">
        <f>Y197*Valores!$C$2</f>
        <v>0</v>
      </c>
      <c r="AA197" s="145">
        <v>0</v>
      </c>
      <c r="AB197" s="148">
        <f>IF(Valores!$C$92*D197&gt;Valores!$C$91,Valores!$C$91,Valores!$C$92*D197)</f>
        <v>230.76923076923083</v>
      </c>
      <c r="AC197" s="150">
        <f>IF((Valores!$C$33)*D197&gt;Valores!$F$33,Valores!$F$33,(Valores!$C$33)*D197)</f>
        <v>32.01536</v>
      </c>
      <c r="AD197" s="145">
        <f t="shared" si="26"/>
        <v>0</v>
      </c>
      <c r="AE197" s="145">
        <f>IF(Valores!$C$34*D197&gt;Valores!$F$34,Valores!$F$34,Valores!$C$34*D197)</f>
        <v>26.650624000000004</v>
      </c>
      <c r="AF197" s="149">
        <v>0</v>
      </c>
      <c r="AG197" s="145">
        <f>INT(((AF197*Valores!$C$2)*100)+0.5)/100</f>
        <v>0</v>
      </c>
      <c r="AH197" s="145">
        <f>IF($H$5="NO",IF(Valores!$D$59*'Escala Docente'!D197&gt;Valores!$F$59,Valores!$F$59,Valores!$D$59*'Escala Docente'!D197),IF(Valores!$D$59*'Escala Docente'!D197&gt;Valores!$F$59,Valores!$F$59,Valores!$D$59*'Escala Docente'!D197)/2)</f>
        <v>108.4096</v>
      </c>
      <c r="AI197" s="145">
        <f>IF($H$5="NO",IF(Valores!$D$61*D197&gt;Valores!$F$61,Valores!$F$61,Valores!$D$61*D197),IF(Valores!$D$61*D197&gt;Valores!$F$61,Valores!$F$61,Valores!$D$61*D197)/2)</f>
        <v>30.9768</v>
      </c>
      <c r="AJ197" s="151">
        <f t="shared" si="27"/>
        <v>7947.325614769232</v>
      </c>
      <c r="AK197" s="159">
        <f>IF(Valores!$C$37*D197&gt;Valores!$F$37,Valores!$F$37,Valores!$C$37*D197)</f>
        <v>279.16</v>
      </c>
      <c r="AL197" s="148">
        <f>IF(Valores!$C$11*D197&gt;Valores!$F$11,Valores!$F$11,Valores!$C$11*D197)</f>
        <v>0</v>
      </c>
      <c r="AM197" s="148">
        <f>IF(Valores!$C$87*D197&gt;Valores!$C$86,Valores!$C$86,Valores!$C$87*D197)</f>
        <v>454.99999999999994</v>
      </c>
      <c r="AN197" s="148"/>
      <c r="AO197" s="150">
        <f>IF(Valores!$C$57*D197&gt;Valores!$F$57,Valores!$F$57,Valores!$C$57*D197)</f>
        <v>56.8</v>
      </c>
      <c r="AP197" s="152">
        <f t="shared" si="25"/>
        <v>734.16</v>
      </c>
      <c r="AQ197" s="154">
        <f>AJ197*-Valores!$C$68</f>
        <v>-874.2058176246155</v>
      </c>
      <c r="AR197" s="154">
        <f>AJ197*-Valores!$C$69</f>
        <v>0</v>
      </c>
      <c r="AS197" s="147">
        <f>AJ197*-Valores!$C$70</f>
        <v>-357.62965266461543</v>
      </c>
      <c r="AT197" s="147">
        <v>-159.43</v>
      </c>
      <c r="AU197" s="147">
        <f t="shared" si="28"/>
        <v>-53.83</v>
      </c>
      <c r="AV197" s="151">
        <f t="shared" si="29"/>
        <v>7236.390144480001</v>
      </c>
      <c r="AW197" s="155"/>
      <c r="AX197" s="155">
        <f t="shared" si="33"/>
        <v>16</v>
      </c>
      <c r="AY197" s="140" t="s">
        <v>4</v>
      </c>
    </row>
    <row r="198" spans="1:51" s="117" customFormat="1" ht="11.25" customHeight="1">
      <c r="A198" s="139">
        <v>196</v>
      </c>
      <c r="B198" s="139"/>
      <c r="C198" s="140" t="s">
        <v>500</v>
      </c>
      <c r="D198" s="140">
        <v>5</v>
      </c>
      <c r="E198" s="140">
        <f t="shared" si="22"/>
        <v>36</v>
      </c>
      <c r="F198" s="141" t="str">
        <f t="shared" si="31"/>
        <v>Hora Cátedra Enseñanza Superior 5 hs</v>
      </c>
      <c r="G198" s="142">
        <f t="shared" si="32"/>
        <v>495</v>
      </c>
      <c r="H198" s="143">
        <f>INT((G198*Valores!$C$2*100)+0.5)/100</f>
        <v>4623.15</v>
      </c>
      <c r="I198" s="161">
        <v>0</v>
      </c>
      <c r="J198" s="145">
        <f>INT((I198*Valores!$C$2*100)+0.5)/100</f>
        <v>0</v>
      </c>
      <c r="K198" s="160">
        <v>0</v>
      </c>
      <c r="L198" s="145">
        <f>INT((K198*Valores!$C$2*100)+0.5)/100</f>
        <v>0</v>
      </c>
      <c r="M198" s="158">
        <v>0</v>
      </c>
      <c r="N198" s="145">
        <f>INT((M198*Valores!$C$2*100)+0.5)/100</f>
        <v>0</v>
      </c>
      <c r="O198" s="145">
        <f t="shared" si="23"/>
        <v>816.63</v>
      </c>
      <c r="P198" s="145">
        <f t="shared" si="24"/>
        <v>0</v>
      </c>
      <c r="Q198" s="159">
        <f>Valores!$C$14*D198</f>
        <v>1545.8500000000001</v>
      </c>
      <c r="R198" s="159">
        <f>IF(D198&lt;15,(Valores!$E$4*D198),Valores!$D$4)</f>
        <v>1591.45</v>
      </c>
      <c r="S198" s="145">
        <v>0</v>
      </c>
      <c r="T198" s="148">
        <f>IF($H$5="NO",IF(Valores!$C$46*D198&gt;Valores!$C$44,Valores!$C$44,Valores!$C$46*D198),IF(Valores!$C$46*D198&gt;Valores!$C$44,Valores!$C$44,Valores!$C$46*D198)/2)</f>
        <v>341.25</v>
      </c>
      <c r="U198" s="159">
        <f>Valores!$C$23*D198</f>
        <v>479.79999999999995</v>
      </c>
      <c r="V198" s="145">
        <f t="shared" si="30"/>
        <v>479.79999999999995</v>
      </c>
      <c r="W198" s="145">
        <v>0</v>
      </c>
      <c r="X198" s="145">
        <v>0</v>
      </c>
      <c r="Y198" s="165">
        <v>0</v>
      </c>
      <c r="Z198" s="145">
        <f>Y198*Valores!$C$2</f>
        <v>0</v>
      </c>
      <c r="AA198" s="145">
        <v>0</v>
      </c>
      <c r="AB198" s="148">
        <f>IF(Valores!$C$92*D198&gt;Valores!$C$91,Valores!$C$91,Valores!$C$92*D198)</f>
        <v>288.46153846153857</v>
      </c>
      <c r="AC198" s="150">
        <f>IF((Valores!$C$33)*D198&gt;Valores!$F$33,Valores!$F$33,(Valores!$C$33)*D198)</f>
        <v>40.0192</v>
      </c>
      <c r="AD198" s="145">
        <f t="shared" si="26"/>
        <v>0</v>
      </c>
      <c r="AE198" s="145">
        <f>IF(Valores!$C$34*D198&gt;Valores!$F$34,Valores!$F$34,Valores!$C$34*D198)</f>
        <v>33.313280000000006</v>
      </c>
      <c r="AF198" s="149">
        <v>0</v>
      </c>
      <c r="AG198" s="145">
        <f>INT(((AF198*Valores!$C$2)*100)+0.5)/100</f>
        <v>0</v>
      </c>
      <c r="AH198" s="145">
        <f>IF($H$5="NO",IF(Valores!$D$59*'Escala Docente'!D198&gt;Valores!$F$59,Valores!$F$59,Valores!$D$59*'Escala Docente'!D198),IF(Valores!$D$59*'Escala Docente'!D198&gt;Valores!$F$59,Valores!$F$59,Valores!$D$59*'Escala Docente'!D198)/2)</f>
        <v>135.512</v>
      </c>
      <c r="AI198" s="145">
        <f>IF($H$5="NO",IF(Valores!$D$61*D198&gt;Valores!$F$61,Valores!$F$61,Valores!$D$61*D198),IF(Valores!$D$61*D198&gt;Valores!$F$61,Valores!$F$61,Valores!$D$61*D198)/2)</f>
        <v>38.721000000000004</v>
      </c>
      <c r="AJ198" s="151">
        <f t="shared" si="27"/>
        <v>9934.15701846154</v>
      </c>
      <c r="AK198" s="159">
        <f>IF(Valores!$C$37*D198&gt;Valores!$F$37,Valores!$F$37,Valores!$C$37*D198)</f>
        <v>348.95000000000005</v>
      </c>
      <c r="AL198" s="148">
        <f>IF(Valores!$C$11*D198&gt;Valores!$F$11,Valores!$F$11,Valores!$C$11*D198)</f>
        <v>0</v>
      </c>
      <c r="AM198" s="148">
        <f>IF(Valores!$C$87*D198&gt;Valores!$C$86,Valores!$C$86,Valores!$C$87*D198)</f>
        <v>568.7499999999999</v>
      </c>
      <c r="AN198" s="148"/>
      <c r="AO198" s="150">
        <f>IF(Valores!$C$57*D198&gt;Valores!$F$57,Valores!$F$57,Valores!$C$57*D198)</f>
        <v>71</v>
      </c>
      <c r="AP198" s="152">
        <f t="shared" si="25"/>
        <v>917.6999999999999</v>
      </c>
      <c r="AQ198" s="154">
        <f>AJ198*-Valores!$C$68</f>
        <v>-1092.7572720307694</v>
      </c>
      <c r="AR198" s="154">
        <f>AJ198*-Valores!$C$69</f>
        <v>0</v>
      </c>
      <c r="AS198" s="147">
        <f>AJ198*-Valores!$C$70</f>
        <v>-447.0370658307693</v>
      </c>
      <c r="AT198" s="147">
        <v>-159.43</v>
      </c>
      <c r="AU198" s="147">
        <f t="shared" si="28"/>
        <v>-53.83</v>
      </c>
      <c r="AV198" s="151">
        <f t="shared" si="29"/>
        <v>9098.802680600002</v>
      </c>
      <c r="AW198" s="155"/>
      <c r="AX198" s="155">
        <f t="shared" si="33"/>
        <v>20</v>
      </c>
      <c r="AY198" s="140" t="s">
        <v>4</v>
      </c>
    </row>
    <row r="199" spans="1:51" s="117" customFormat="1" ht="11.25" customHeight="1">
      <c r="A199" s="139">
        <v>197</v>
      </c>
      <c r="B199" s="139"/>
      <c r="C199" s="140" t="s">
        <v>500</v>
      </c>
      <c r="D199" s="140">
        <v>6</v>
      </c>
      <c r="E199" s="140">
        <f t="shared" si="22"/>
        <v>36</v>
      </c>
      <c r="F199" s="141" t="str">
        <f t="shared" si="31"/>
        <v>Hora Cátedra Enseñanza Superior 6 hs</v>
      </c>
      <c r="G199" s="142">
        <f t="shared" si="32"/>
        <v>594</v>
      </c>
      <c r="H199" s="143">
        <f>INT((G199*Valores!$C$2*100)+0.5)/100</f>
        <v>5547.78</v>
      </c>
      <c r="I199" s="161">
        <v>0</v>
      </c>
      <c r="J199" s="145">
        <f>INT((I199*Valores!$C$2*100)+0.5)/100</f>
        <v>0</v>
      </c>
      <c r="K199" s="160">
        <v>0</v>
      </c>
      <c r="L199" s="145">
        <f>INT((K199*Valores!$C$2*100)+0.5)/100</f>
        <v>0</v>
      </c>
      <c r="M199" s="158">
        <v>0</v>
      </c>
      <c r="N199" s="145">
        <f>INT((M199*Valores!$C$2*100)+0.5)/100</f>
        <v>0</v>
      </c>
      <c r="O199" s="145">
        <f t="shared" si="23"/>
        <v>979.9559999999999</v>
      </c>
      <c r="P199" s="145">
        <f t="shared" si="24"/>
        <v>0</v>
      </c>
      <c r="Q199" s="159">
        <f>Valores!$C$14*D199</f>
        <v>1855.02</v>
      </c>
      <c r="R199" s="159">
        <f>IF(D199&lt;15,(Valores!$E$4*D199),Valores!$D$4)</f>
        <v>1909.7400000000002</v>
      </c>
      <c r="S199" s="145">
        <v>0</v>
      </c>
      <c r="T199" s="148">
        <f>IF($H$5="NO",IF(Valores!$C$46*D199&gt;Valores!$C$44,Valores!$C$44,Valores!$C$46*D199),IF(Valores!$C$46*D199&gt;Valores!$C$44,Valores!$C$44,Valores!$C$46*D199)/2)</f>
        <v>409.5</v>
      </c>
      <c r="U199" s="159">
        <f>Valores!$C$23*D199</f>
        <v>575.76</v>
      </c>
      <c r="V199" s="145">
        <f t="shared" si="30"/>
        <v>575.76</v>
      </c>
      <c r="W199" s="145">
        <v>0</v>
      </c>
      <c r="X199" s="145">
        <v>0</v>
      </c>
      <c r="Y199" s="165">
        <v>0</v>
      </c>
      <c r="Z199" s="145">
        <f>Y199*Valores!$C$2</f>
        <v>0</v>
      </c>
      <c r="AA199" s="145">
        <v>0</v>
      </c>
      <c r="AB199" s="148">
        <f>IF(Valores!$C$92*D199&gt;Valores!$C$91,Valores!$C$91,Valores!$C$92*D199)</f>
        <v>346.15384615384625</v>
      </c>
      <c r="AC199" s="150">
        <f>IF((Valores!$C$33)*D199&gt;Valores!$F$33,Valores!$F$33,(Valores!$C$33)*D199)</f>
        <v>48.02304</v>
      </c>
      <c r="AD199" s="145">
        <f t="shared" si="26"/>
        <v>0</v>
      </c>
      <c r="AE199" s="145">
        <f>IF(Valores!$C$34*D199&gt;Valores!$F$34,Valores!$F$34,Valores!$C$34*D199)</f>
        <v>39.975936000000004</v>
      </c>
      <c r="AF199" s="149">
        <v>0</v>
      </c>
      <c r="AG199" s="145">
        <f>INT(((AF199*Valores!$C$2)*100)+0.5)/100</f>
        <v>0</v>
      </c>
      <c r="AH199" s="145">
        <f>IF($H$5="NO",IF(Valores!$D$59*'Escala Docente'!D199&gt;Valores!$F$59,Valores!$F$59,Valores!$D$59*'Escala Docente'!D199),IF(Valores!$D$59*'Escala Docente'!D199&gt;Valores!$F$59,Valores!$F$59,Valores!$D$59*'Escala Docente'!D199)/2)</f>
        <v>162.6144</v>
      </c>
      <c r="AI199" s="145">
        <f>IF($H$5="NO",IF(Valores!$D$61*D199&gt;Valores!$F$61,Valores!$F$61,Valores!$D$61*D199),IF(Valores!$D$61*D199&gt;Valores!$F$61,Valores!$F$61,Valores!$D$61*D199)/2)</f>
        <v>46.4652</v>
      </c>
      <c r="AJ199" s="151">
        <f t="shared" si="27"/>
        <v>11920.988422153847</v>
      </c>
      <c r="AK199" s="159">
        <f>IF(Valores!$C$37*D199&gt;Valores!$F$37,Valores!$F$37,Valores!$C$37*D199)</f>
        <v>418.74</v>
      </c>
      <c r="AL199" s="148">
        <f>IF(Valores!$C$11*D199&gt;Valores!$F$11,Valores!$F$11,Valores!$C$11*D199)</f>
        <v>0</v>
      </c>
      <c r="AM199" s="148">
        <f>IF(Valores!$C$87*D199&gt;Valores!$C$86,Valores!$C$86,Valores!$C$87*D199)</f>
        <v>682.4999999999999</v>
      </c>
      <c r="AN199" s="148"/>
      <c r="AO199" s="150">
        <f>IF(Valores!$C$57*D199&gt;Valores!$F$57,Valores!$F$57,Valores!$C$57*D199)</f>
        <v>85.19999999999999</v>
      </c>
      <c r="AP199" s="152">
        <f t="shared" si="25"/>
        <v>1101.2399999999998</v>
      </c>
      <c r="AQ199" s="154">
        <f>AJ199*-Valores!$C$68</f>
        <v>-1311.308726436923</v>
      </c>
      <c r="AR199" s="154">
        <f>AJ199*-Valores!$C$69</f>
        <v>0</v>
      </c>
      <c r="AS199" s="147">
        <f>AJ199*-Valores!$C$70</f>
        <v>-536.4444789969231</v>
      </c>
      <c r="AT199" s="147">
        <v>-159.43</v>
      </c>
      <c r="AU199" s="147">
        <f t="shared" si="28"/>
        <v>-53.83</v>
      </c>
      <c r="AV199" s="151">
        <f t="shared" si="29"/>
        <v>10961.21521672</v>
      </c>
      <c r="AW199" s="155"/>
      <c r="AX199" s="155">
        <f t="shared" si="33"/>
        <v>24</v>
      </c>
      <c r="AY199" s="140" t="s">
        <v>4</v>
      </c>
    </row>
    <row r="200" spans="1:51" s="117" customFormat="1" ht="11.25" customHeight="1">
      <c r="A200" s="139">
        <v>198</v>
      </c>
      <c r="B200" s="139"/>
      <c r="C200" s="140" t="s">
        <v>500</v>
      </c>
      <c r="D200" s="140">
        <v>7</v>
      </c>
      <c r="E200" s="140">
        <f aca="true" t="shared" si="34" ref="E200:E263">LEN(F200)</f>
        <v>36</v>
      </c>
      <c r="F200" s="141" t="str">
        <f t="shared" si="31"/>
        <v>Hora Cátedra Enseñanza Superior 7 hs</v>
      </c>
      <c r="G200" s="142">
        <f t="shared" si="32"/>
        <v>693</v>
      </c>
      <c r="H200" s="143">
        <f>INT((G200*Valores!$C$2*100)+0.5)/100</f>
        <v>6472.41</v>
      </c>
      <c r="I200" s="161">
        <v>0</v>
      </c>
      <c r="J200" s="145">
        <f>INT((I200*Valores!$C$2*100)+0.5)/100</f>
        <v>0</v>
      </c>
      <c r="K200" s="160">
        <v>0</v>
      </c>
      <c r="L200" s="145">
        <f>INT((K200*Valores!$C$2*100)+0.5)/100</f>
        <v>0</v>
      </c>
      <c r="M200" s="158">
        <v>0</v>
      </c>
      <c r="N200" s="145">
        <f>INT((M200*Valores!$C$2*100)+0.5)/100</f>
        <v>0</v>
      </c>
      <c r="O200" s="145">
        <f aca="true" t="shared" si="35" ref="O200:O263">IF($J$2=0,IF(C200&lt;&gt;"13-930",(SUM(H200,J200,L200,N200,Z200,U200,T200)*$O$2),0),0)</f>
        <v>1143.282</v>
      </c>
      <c r="P200" s="145">
        <f aca="true" t="shared" si="36" ref="P200:P263">SUM(H200,J200,L200,N200,Z200,T200)*$J$2</f>
        <v>0</v>
      </c>
      <c r="Q200" s="159">
        <f>Valores!$C$14*D200</f>
        <v>2164.19</v>
      </c>
      <c r="R200" s="159">
        <f>IF(D200&lt;15,(Valores!$E$4*D200),Valores!$D$4)</f>
        <v>2228.03</v>
      </c>
      <c r="S200" s="145">
        <v>0</v>
      </c>
      <c r="T200" s="148">
        <f>IF($H$5="NO",IF(Valores!$C$46*D200&gt;Valores!$C$44,Valores!$C$44,Valores!$C$46*D200),IF(Valores!$C$46*D200&gt;Valores!$C$44,Valores!$C$44,Valores!$C$46*D200)/2)</f>
        <v>477.75</v>
      </c>
      <c r="U200" s="159">
        <f>Valores!$C$23*D200</f>
        <v>671.7199999999999</v>
      </c>
      <c r="V200" s="145">
        <f t="shared" si="30"/>
        <v>671.7199999999999</v>
      </c>
      <c r="W200" s="145">
        <v>0</v>
      </c>
      <c r="X200" s="145">
        <v>0</v>
      </c>
      <c r="Y200" s="165">
        <v>0</v>
      </c>
      <c r="Z200" s="145">
        <f>Y200*Valores!$C$2</f>
        <v>0</v>
      </c>
      <c r="AA200" s="145">
        <v>0</v>
      </c>
      <c r="AB200" s="148">
        <f>IF(Valores!$C$92*D200&gt;Valores!$C$91,Valores!$C$91,Valores!$C$92*D200)</f>
        <v>403.8461538461539</v>
      </c>
      <c r="AC200" s="150">
        <f>IF((Valores!$C$33)*D200&gt;Valores!$F$33,Valores!$F$33,(Valores!$C$33)*D200)</f>
        <v>56.026880000000006</v>
      </c>
      <c r="AD200" s="145">
        <f t="shared" si="26"/>
        <v>0</v>
      </c>
      <c r="AE200" s="145">
        <f>IF(Valores!$C$34*D200&gt;Valores!$F$34,Valores!$F$34,Valores!$C$34*D200)</f>
        <v>46.63859200000001</v>
      </c>
      <c r="AF200" s="149">
        <v>0</v>
      </c>
      <c r="AG200" s="145">
        <f>INT(((AF200*Valores!$C$2)*100)+0.5)/100</f>
        <v>0</v>
      </c>
      <c r="AH200" s="145">
        <f>IF($H$5="NO",IF(Valores!$D$59*'Escala Docente'!D200&gt;Valores!$F$59,Valores!$F$59,Valores!$D$59*'Escala Docente'!D200),IF(Valores!$D$59*'Escala Docente'!D200&gt;Valores!$F$59,Valores!$F$59,Valores!$D$59*'Escala Docente'!D200)/2)</f>
        <v>189.7168</v>
      </c>
      <c r="AI200" s="145">
        <f>IF($H$5="NO",IF(Valores!$D$61*D200&gt;Valores!$F$61,Valores!$F$61,Valores!$D$61*D200),IF(Valores!$D$61*D200&gt;Valores!$F$61,Valores!$F$61,Valores!$D$61*D200)/2)</f>
        <v>54.2094</v>
      </c>
      <c r="AJ200" s="151">
        <f t="shared" si="27"/>
        <v>13907.819825846153</v>
      </c>
      <c r="AK200" s="159">
        <f>IF(Valores!$C$37*D200&gt;Valores!$F$37,Valores!$F$37,Valores!$C$37*D200)</f>
        <v>488.53000000000003</v>
      </c>
      <c r="AL200" s="148">
        <f>IF(Valores!$C$11*D200&gt;Valores!$F$11,Valores!$F$11,Valores!$C$11*D200)</f>
        <v>0</v>
      </c>
      <c r="AM200" s="148">
        <f>IF(Valores!$C$87*D200&gt;Valores!$C$86,Valores!$C$86,Valores!$C$87*D200)</f>
        <v>796.2499999999999</v>
      </c>
      <c r="AN200" s="148"/>
      <c r="AO200" s="150">
        <f>IF(Valores!$C$57*D200&gt;Valores!$F$57,Valores!$F$57,Valores!$C$57*D200)</f>
        <v>99.39999999999999</v>
      </c>
      <c r="AP200" s="152">
        <f aca="true" t="shared" si="37" ref="AP200:AP263">IF($H$4="SI",SUM(AK200:AO200),SUM(AK200:AM200))</f>
        <v>1284.78</v>
      </c>
      <c r="AQ200" s="154">
        <f>AJ200*-Valores!$C$68</f>
        <v>-1529.8601808430767</v>
      </c>
      <c r="AR200" s="154">
        <f>AJ200*-Valores!$C$69</f>
        <v>0</v>
      </c>
      <c r="AS200" s="147">
        <f>AJ200*-Valores!$C$70</f>
        <v>-625.8518921630769</v>
      </c>
      <c r="AT200" s="147">
        <v>-159.43</v>
      </c>
      <c r="AU200" s="147">
        <f t="shared" si="28"/>
        <v>-53.83</v>
      </c>
      <c r="AV200" s="151">
        <f t="shared" si="29"/>
        <v>12823.62775284</v>
      </c>
      <c r="AW200" s="155"/>
      <c r="AX200" s="155">
        <f t="shared" si="33"/>
        <v>28</v>
      </c>
      <c r="AY200" s="140" t="s">
        <v>4</v>
      </c>
    </row>
    <row r="201" spans="1:51" s="117" customFormat="1" ht="11.25" customHeight="1">
      <c r="A201" s="139">
        <v>199</v>
      </c>
      <c r="B201" s="139"/>
      <c r="C201" s="140" t="s">
        <v>500</v>
      </c>
      <c r="D201" s="140">
        <v>8</v>
      </c>
      <c r="E201" s="140">
        <f t="shared" si="34"/>
        <v>36</v>
      </c>
      <c r="F201" s="141" t="str">
        <f t="shared" si="31"/>
        <v>Hora Cátedra Enseñanza Superior 8 hs</v>
      </c>
      <c r="G201" s="142">
        <f t="shared" si="32"/>
        <v>792</v>
      </c>
      <c r="H201" s="143">
        <f>INT((G201*Valores!$C$2*100)+0.5)/100</f>
        <v>7397.04</v>
      </c>
      <c r="I201" s="161">
        <v>0</v>
      </c>
      <c r="J201" s="145">
        <f>INT((I201*Valores!$C$2*100)+0.5)/100</f>
        <v>0</v>
      </c>
      <c r="K201" s="160">
        <v>0</v>
      </c>
      <c r="L201" s="145">
        <f>INT((K201*Valores!$C$2*100)+0.5)/100</f>
        <v>0</v>
      </c>
      <c r="M201" s="158">
        <v>0</v>
      </c>
      <c r="N201" s="145">
        <f>INT((M201*Valores!$C$2*100)+0.5)/100</f>
        <v>0</v>
      </c>
      <c r="O201" s="145">
        <f t="shared" si="35"/>
        <v>1306.6080000000002</v>
      </c>
      <c r="P201" s="145">
        <f t="shared" si="36"/>
        <v>0</v>
      </c>
      <c r="Q201" s="159">
        <f>Valores!$C$14*D201</f>
        <v>2473.36</v>
      </c>
      <c r="R201" s="159">
        <f>IF(D201&lt;15,(Valores!$E$4*D201),Valores!$D$4)</f>
        <v>2546.32</v>
      </c>
      <c r="S201" s="145">
        <v>0</v>
      </c>
      <c r="T201" s="148">
        <f>IF($H$5="NO",IF(Valores!$C$46*D201&gt;Valores!$C$44,Valores!$C$44,Valores!$C$46*D201),IF(Valores!$C$46*D201&gt;Valores!$C$44,Valores!$C$44,Valores!$C$46*D201)/2)</f>
        <v>546</v>
      </c>
      <c r="U201" s="159">
        <f>Valores!$C$23*D201</f>
        <v>767.68</v>
      </c>
      <c r="V201" s="145">
        <f t="shared" si="30"/>
        <v>767.68</v>
      </c>
      <c r="W201" s="145">
        <v>0</v>
      </c>
      <c r="X201" s="145">
        <v>0</v>
      </c>
      <c r="Y201" s="165">
        <v>0</v>
      </c>
      <c r="Z201" s="145">
        <f>Y201*Valores!$C$2</f>
        <v>0</v>
      </c>
      <c r="AA201" s="145">
        <v>0</v>
      </c>
      <c r="AB201" s="148">
        <f>IF(Valores!$C$92*D201&gt;Valores!$C$91,Valores!$C$91,Valores!$C$92*D201)</f>
        <v>461.53846153846166</v>
      </c>
      <c r="AC201" s="150">
        <f>IF((Valores!$C$33)*D201&gt;Valores!$F$33,Valores!$F$33,(Valores!$C$33)*D201)</f>
        <v>64.03072</v>
      </c>
      <c r="AD201" s="145">
        <f aca="true" t="shared" si="38" ref="AD201:AD264">SUM(H201,J201,L201,Z201,T201)*$H$3/100</f>
        <v>0</v>
      </c>
      <c r="AE201" s="145">
        <f>IF(Valores!$C$34*D201&gt;Valores!$F$34,Valores!$F$34,Valores!$C$34*D201)</f>
        <v>53.30124800000001</v>
      </c>
      <c r="AF201" s="149">
        <v>0</v>
      </c>
      <c r="AG201" s="145">
        <f>INT(((AF201*Valores!$C$2)*100)+0.5)/100</f>
        <v>0</v>
      </c>
      <c r="AH201" s="145">
        <f>IF($H$5="NO",IF(Valores!$D$59*'Escala Docente'!D201&gt;Valores!$F$59,Valores!$F$59,Valores!$D$59*'Escala Docente'!D201),IF(Valores!$D$59*'Escala Docente'!D201&gt;Valores!$F$59,Valores!$F$59,Valores!$D$59*'Escala Docente'!D201)/2)</f>
        <v>216.8192</v>
      </c>
      <c r="AI201" s="145">
        <f>IF($H$5="NO",IF(Valores!$D$61*D201&gt;Valores!$F$61,Valores!$F$61,Valores!$D$61*D201),IF(Valores!$D$61*D201&gt;Valores!$F$61,Valores!$F$61,Valores!$D$61*D201)/2)</f>
        <v>61.9536</v>
      </c>
      <c r="AJ201" s="151">
        <f aca="true" t="shared" si="39" ref="AJ201:AJ264">SUM(H201,J201,L201,N201,O201,P201,Q201,R201,S201,V201,W201,X201,Z201,AA201,AC201,AD201,AE201,AG201,T201,AH201,AI201,AB201)</f>
        <v>15894.651229538464</v>
      </c>
      <c r="AK201" s="159">
        <f>IF(Valores!$C$37*D201&gt;Valores!$F$37,Valores!$F$37,Valores!$C$37*D201)</f>
        <v>558.32</v>
      </c>
      <c r="AL201" s="148">
        <f>IF(Valores!$C$11*D201&gt;Valores!$F$11,Valores!$F$11,Valores!$C$11*D201)</f>
        <v>0</v>
      </c>
      <c r="AM201" s="148">
        <f>IF(Valores!$C$87*D201&gt;Valores!$C$86,Valores!$C$86,Valores!$C$87*D201)</f>
        <v>909.9999999999999</v>
      </c>
      <c r="AN201" s="148"/>
      <c r="AO201" s="150">
        <f>IF(Valores!$C$57*D201&gt;Valores!$F$57,Valores!$F$57,Valores!$C$57*D201)</f>
        <v>113.6</v>
      </c>
      <c r="AP201" s="152">
        <f t="shared" si="37"/>
        <v>1468.32</v>
      </c>
      <c r="AQ201" s="154">
        <f>AJ201*-Valores!$C$68</f>
        <v>-1748.411635249231</v>
      </c>
      <c r="AR201" s="154">
        <f>AJ201*-Valores!$C$69</f>
        <v>0</v>
      </c>
      <c r="AS201" s="147">
        <f>AJ201*-Valores!$C$70</f>
        <v>-715.2593053292309</v>
      </c>
      <c r="AT201" s="147">
        <v>-159.43</v>
      </c>
      <c r="AU201" s="147">
        <f aca="true" t="shared" si="40" ref="AU201:AU264">IF($H$6=0,-53.83,(-53.83+$H$6*(-53.83)))</f>
        <v>-53.83</v>
      </c>
      <c r="AV201" s="151">
        <f aca="true" t="shared" si="41" ref="AV201:AV264">AJ201+AP201+AR201+AS201+AQ201+AT201+AU201</f>
        <v>14686.040288960003</v>
      </c>
      <c r="AW201" s="155"/>
      <c r="AX201" s="155">
        <f t="shared" si="33"/>
        <v>32</v>
      </c>
      <c r="AY201" s="140" t="s">
        <v>4</v>
      </c>
    </row>
    <row r="202" spans="1:51" s="117" customFormat="1" ht="11.25" customHeight="1">
      <c r="A202" s="157">
        <v>200</v>
      </c>
      <c r="B202" s="157" t="s">
        <v>143</v>
      </c>
      <c r="C202" s="140" t="s">
        <v>500</v>
      </c>
      <c r="D202" s="140">
        <v>9</v>
      </c>
      <c r="E202" s="140">
        <f t="shared" si="34"/>
        <v>36</v>
      </c>
      <c r="F202" s="141" t="str">
        <f t="shared" si="31"/>
        <v>Hora Cátedra Enseñanza Superior 9 hs</v>
      </c>
      <c r="G202" s="142">
        <f t="shared" si="32"/>
        <v>891</v>
      </c>
      <c r="H202" s="143">
        <f>INT((G202*Valores!$C$2*100)+0.5)/100</f>
        <v>8321.67</v>
      </c>
      <c r="I202" s="161">
        <v>0</v>
      </c>
      <c r="J202" s="145">
        <f>INT((I202*Valores!$C$2*100)+0.5)/100</f>
        <v>0</v>
      </c>
      <c r="K202" s="160">
        <v>0</v>
      </c>
      <c r="L202" s="145">
        <f>INT((K202*Valores!$C$2*100)+0.5)/100</f>
        <v>0</v>
      </c>
      <c r="M202" s="158">
        <v>0</v>
      </c>
      <c r="N202" s="145">
        <f>INT((M202*Valores!$C$2*100)+0.5)/100</f>
        <v>0</v>
      </c>
      <c r="O202" s="145">
        <f t="shared" si="35"/>
        <v>1469.934</v>
      </c>
      <c r="P202" s="145">
        <f t="shared" si="36"/>
        <v>0</v>
      </c>
      <c r="Q202" s="159">
        <f>Valores!$C$14*D202</f>
        <v>2782.53</v>
      </c>
      <c r="R202" s="159">
        <f>IF(D202&lt;15,(Valores!$E$4*D202),Valores!$D$4)</f>
        <v>2864.61</v>
      </c>
      <c r="S202" s="145">
        <v>0</v>
      </c>
      <c r="T202" s="148">
        <f>IF($H$5="NO",IF(Valores!$C$46*D202&gt;Valores!$C$44,Valores!$C$44,Valores!$C$46*D202),IF(Valores!$C$46*D202&gt;Valores!$C$44,Valores!$C$44,Valores!$C$46*D202)/2)</f>
        <v>614.25</v>
      </c>
      <c r="U202" s="159">
        <f>Valores!$C$23*D202</f>
        <v>863.64</v>
      </c>
      <c r="V202" s="145">
        <f t="shared" si="30"/>
        <v>863.64</v>
      </c>
      <c r="W202" s="145">
        <v>0</v>
      </c>
      <c r="X202" s="145">
        <v>0</v>
      </c>
      <c r="Y202" s="165">
        <v>0</v>
      </c>
      <c r="Z202" s="145">
        <f>Y202*Valores!$C$2</f>
        <v>0</v>
      </c>
      <c r="AA202" s="145">
        <v>0</v>
      </c>
      <c r="AB202" s="148">
        <f>IF(Valores!$C$92*D202&gt;Valores!$C$91,Valores!$C$91,Valores!$C$92*D202)</f>
        <v>519.2307692307694</v>
      </c>
      <c r="AC202" s="150">
        <f>IF((Valores!$C$33)*D202&gt;Valores!$F$33,Valores!$F$33,(Valores!$C$33)*D202)</f>
        <v>72.03456</v>
      </c>
      <c r="AD202" s="145">
        <f t="shared" si="38"/>
        <v>0</v>
      </c>
      <c r="AE202" s="145">
        <f>IF(Valores!$C$34*D202&gt;Valores!$F$34,Valores!$F$34,Valores!$C$34*D202)</f>
        <v>59.96390400000001</v>
      </c>
      <c r="AF202" s="149">
        <v>0</v>
      </c>
      <c r="AG202" s="145">
        <f>INT(((AF202*Valores!$C$2)*100)+0.5)/100</f>
        <v>0</v>
      </c>
      <c r="AH202" s="145">
        <f>IF($H$5="NO",IF(Valores!$D$59*'Escala Docente'!D202&gt;Valores!$F$59,Valores!$F$59,Valores!$D$59*'Escala Docente'!D202),IF(Valores!$D$59*'Escala Docente'!D202&gt;Valores!$F$59,Valores!$F$59,Valores!$D$59*'Escala Docente'!D202)/2)</f>
        <v>243.92159999999998</v>
      </c>
      <c r="AI202" s="145">
        <f>IF($H$5="NO",IF(Valores!$D$61*D202&gt;Valores!$F$61,Valores!$F$61,Valores!$D$61*D202),IF(Valores!$D$61*D202&gt;Valores!$F$61,Valores!$F$61,Valores!$D$61*D202)/2)</f>
        <v>69.6978</v>
      </c>
      <c r="AJ202" s="151">
        <f t="shared" si="39"/>
        <v>17881.48263323077</v>
      </c>
      <c r="AK202" s="159">
        <f>IF(Valores!$C$37*D202&gt;Valores!$F$37,Valores!$F$37,Valores!$C$37*D202)</f>
        <v>628.11</v>
      </c>
      <c r="AL202" s="148">
        <f>IF(Valores!$C$11*D202&gt;Valores!$F$11,Valores!$F$11,Valores!$C$11*D202)</f>
        <v>0</v>
      </c>
      <c r="AM202" s="148">
        <f>IF(Valores!$C$87*D202&gt;Valores!$C$86,Valores!$C$86,Valores!$C$87*D202)</f>
        <v>1023.7499999999999</v>
      </c>
      <c r="AN202" s="148"/>
      <c r="AO202" s="150">
        <f>IF(Valores!$C$57*D202&gt;Valores!$F$57,Valores!$F$57,Valores!$C$57*D202)</f>
        <v>127.8</v>
      </c>
      <c r="AP202" s="152">
        <f t="shared" si="37"/>
        <v>1651.86</v>
      </c>
      <c r="AQ202" s="154">
        <f>AJ202*-Valores!$C$68</f>
        <v>-1966.963089655385</v>
      </c>
      <c r="AR202" s="154">
        <f>AJ202*-Valores!$C$69</f>
        <v>0</v>
      </c>
      <c r="AS202" s="147">
        <f>AJ202*-Valores!$C$70</f>
        <v>-804.6667184953847</v>
      </c>
      <c r="AT202" s="147">
        <v>-159.43</v>
      </c>
      <c r="AU202" s="147">
        <f t="shared" si="40"/>
        <v>-53.83</v>
      </c>
      <c r="AV202" s="151">
        <f t="shared" si="41"/>
        <v>16548.45282508</v>
      </c>
      <c r="AW202" s="155"/>
      <c r="AX202" s="155">
        <f t="shared" si="33"/>
        <v>36</v>
      </c>
      <c r="AY202" s="140" t="s">
        <v>4</v>
      </c>
    </row>
    <row r="203" spans="1:51" s="117" customFormat="1" ht="11.25" customHeight="1">
      <c r="A203" s="139">
        <v>201</v>
      </c>
      <c r="B203" s="139"/>
      <c r="C203" s="140" t="s">
        <v>500</v>
      </c>
      <c r="D203" s="140">
        <v>10</v>
      </c>
      <c r="E203" s="140">
        <f t="shared" si="34"/>
        <v>37</v>
      </c>
      <c r="F203" s="141" t="str">
        <f t="shared" si="31"/>
        <v>Hora Cátedra Enseñanza Superior 10 hs</v>
      </c>
      <c r="G203" s="142">
        <f t="shared" si="32"/>
        <v>990</v>
      </c>
      <c r="H203" s="143">
        <f>INT((G203*Valores!$C$2*100)+0.5)/100</f>
        <v>9246.3</v>
      </c>
      <c r="I203" s="161">
        <v>0</v>
      </c>
      <c r="J203" s="145">
        <f>INT((I203*Valores!$C$2*100)+0.5)/100</f>
        <v>0</v>
      </c>
      <c r="K203" s="160">
        <v>0</v>
      </c>
      <c r="L203" s="145">
        <f>INT((K203*Valores!$C$2*100)+0.5)/100</f>
        <v>0</v>
      </c>
      <c r="M203" s="158">
        <v>0</v>
      </c>
      <c r="N203" s="145">
        <f>INT((M203*Valores!$C$2*100)+0.5)/100</f>
        <v>0</v>
      </c>
      <c r="O203" s="145">
        <f t="shared" si="35"/>
        <v>1633.26</v>
      </c>
      <c r="P203" s="145">
        <f t="shared" si="36"/>
        <v>0</v>
      </c>
      <c r="Q203" s="159">
        <f>Valores!$C$14*D203</f>
        <v>3091.7000000000003</v>
      </c>
      <c r="R203" s="159">
        <f>IF(D203&lt;15,(Valores!$E$4*D203),Valores!$D$4)</f>
        <v>3182.9</v>
      </c>
      <c r="S203" s="145">
        <v>0</v>
      </c>
      <c r="T203" s="148">
        <f>IF($H$5="NO",IF(Valores!$C$46*D203&gt;Valores!$C$44,Valores!$C$44,Valores!$C$46*D203),IF(Valores!$C$46*D203&gt;Valores!$C$44,Valores!$C$44,Valores!$C$46*D203)/2)</f>
        <v>682.5</v>
      </c>
      <c r="U203" s="159">
        <f>Valores!$C$23*D203</f>
        <v>959.5999999999999</v>
      </c>
      <c r="V203" s="145">
        <f t="shared" si="30"/>
        <v>959.5999999999999</v>
      </c>
      <c r="W203" s="145">
        <v>0</v>
      </c>
      <c r="X203" s="145">
        <v>0</v>
      </c>
      <c r="Y203" s="165">
        <v>0</v>
      </c>
      <c r="Z203" s="145">
        <f>Y203*Valores!$C$2</f>
        <v>0</v>
      </c>
      <c r="AA203" s="145">
        <v>0</v>
      </c>
      <c r="AB203" s="148">
        <f>IF(Valores!$C$92*D203&gt;Valores!$C$91,Valores!$C$91,Valores!$C$92*D203)</f>
        <v>576.9230769230771</v>
      </c>
      <c r="AC203" s="150">
        <f>IF((Valores!$C$33)*D203&gt;Valores!$F$33,Valores!$F$33,(Valores!$C$33)*D203)</f>
        <v>80.0384</v>
      </c>
      <c r="AD203" s="145">
        <f t="shared" si="38"/>
        <v>0</v>
      </c>
      <c r="AE203" s="145">
        <f>IF(Valores!$C$34*D203&gt;Valores!$F$34,Valores!$F$34,Valores!$C$34*D203)</f>
        <v>66.62656000000001</v>
      </c>
      <c r="AF203" s="149">
        <v>0</v>
      </c>
      <c r="AG203" s="145">
        <f>INT(((AF203*Valores!$C$2)*100)+0.5)/100</f>
        <v>0</v>
      </c>
      <c r="AH203" s="145">
        <f>IF($H$5="NO",IF(Valores!$D$59*'Escala Docente'!D203&gt;Valores!$F$59,Valores!$F$59,Valores!$D$59*'Escala Docente'!D203),IF(Valores!$D$59*'Escala Docente'!D203&gt;Valores!$F$59,Valores!$F$59,Valores!$D$59*'Escala Docente'!D203)/2)</f>
        <v>271.024</v>
      </c>
      <c r="AI203" s="145">
        <f>IF($H$5="NO",IF(Valores!$D$61*D203&gt;Valores!$F$61,Valores!$F$61,Valores!$D$61*D203),IF(Valores!$D$61*D203&gt;Valores!$F$61,Valores!$F$61,Valores!$D$61*D203)/2)</f>
        <v>77.44200000000001</v>
      </c>
      <c r="AJ203" s="151">
        <f t="shared" si="39"/>
        <v>19868.31403692308</v>
      </c>
      <c r="AK203" s="159">
        <f>IF(Valores!$C$37*D203&gt;Valores!$F$37,Valores!$F$37,Valores!$C$37*D203)</f>
        <v>697.9000000000001</v>
      </c>
      <c r="AL203" s="148">
        <f>IF(Valores!$C$11*D203&gt;Valores!$F$11,Valores!$F$11,Valores!$C$11*D203)</f>
        <v>0</v>
      </c>
      <c r="AM203" s="148">
        <f>IF(Valores!$C$87*D203&gt;Valores!$C$86,Valores!$C$86,Valores!$C$87*D203)</f>
        <v>1137.4999999999998</v>
      </c>
      <c r="AN203" s="148"/>
      <c r="AO203" s="150">
        <f>IF(Valores!$C$57*D203&gt;Valores!$F$57,Valores!$F$57,Valores!$C$57*D203)</f>
        <v>142</v>
      </c>
      <c r="AP203" s="152">
        <f t="shared" si="37"/>
        <v>1835.3999999999999</v>
      </c>
      <c r="AQ203" s="154">
        <f>AJ203*-Valores!$C$68</f>
        <v>-2185.514544061539</v>
      </c>
      <c r="AR203" s="154">
        <f>AJ203*-Valores!$C$69</f>
        <v>0</v>
      </c>
      <c r="AS203" s="147">
        <f>AJ203*-Valores!$C$70</f>
        <v>-894.0741316615386</v>
      </c>
      <c r="AT203" s="147">
        <v>-159.43</v>
      </c>
      <c r="AU203" s="147">
        <f t="shared" si="40"/>
        <v>-53.83</v>
      </c>
      <c r="AV203" s="151">
        <f t="shared" si="41"/>
        <v>18410.8653612</v>
      </c>
      <c r="AW203" s="155"/>
      <c r="AX203" s="155">
        <f t="shared" si="33"/>
        <v>40</v>
      </c>
      <c r="AY203" s="140" t="s">
        <v>4</v>
      </c>
    </row>
    <row r="204" spans="1:51" s="117" customFormat="1" ht="11.25" customHeight="1">
      <c r="A204" s="139">
        <v>202</v>
      </c>
      <c r="B204" s="139"/>
      <c r="C204" s="140" t="s">
        <v>500</v>
      </c>
      <c r="D204" s="140">
        <v>11</v>
      </c>
      <c r="E204" s="140">
        <f t="shared" si="34"/>
        <v>37</v>
      </c>
      <c r="F204" s="141" t="str">
        <f t="shared" si="31"/>
        <v>Hora Cátedra Enseñanza Superior 11 hs</v>
      </c>
      <c r="G204" s="142">
        <f t="shared" si="32"/>
        <v>1089</v>
      </c>
      <c r="H204" s="143">
        <f>INT((G204*Valores!$C$2*100)+0.5)/100</f>
        <v>10170.93</v>
      </c>
      <c r="I204" s="161">
        <v>0</v>
      </c>
      <c r="J204" s="145">
        <f>INT((I204*Valores!$C$2*100)+0.5)/100</f>
        <v>0</v>
      </c>
      <c r="K204" s="160">
        <v>0</v>
      </c>
      <c r="L204" s="145">
        <f>INT((K204*Valores!$C$2*100)+0.5)/100</f>
        <v>0</v>
      </c>
      <c r="M204" s="158">
        <v>0</v>
      </c>
      <c r="N204" s="145">
        <f>INT((M204*Valores!$C$2*100)+0.5)/100</f>
        <v>0</v>
      </c>
      <c r="O204" s="145">
        <f t="shared" si="35"/>
        <v>1796.586</v>
      </c>
      <c r="P204" s="145">
        <f t="shared" si="36"/>
        <v>0</v>
      </c>
      <c r="Q204" s="159">
        <f>Valores!$C$14*D204</f>
        <v>3400.8700000000003</v>
      </c>
      <c r="R204" s="159">
        <f>IF(D204&lt;15,(Valores!$E$4*D204),Valores!$D$4)</f>
        <v>3501.19</v>
      </c>
      <c r="S204" s="145">
        <v>0</v>
      </c>
      <c r="T204" s="148">
        <f>IF($H$5="NO",IF(Valores!$C$46*D204&gt;Valores!$C$44,Valores!$C$44,Valores!$C$46*D204),IF(Valores!$C$46*D204&gt;Valores!$C$44,Valores!$C$44,Valores!$C$46*D204)/2)</f>
        <v>750.75</v>
      </c>
      <c r="U204" s="159">
        <f>Valores!$C$23*D204</f>
        <v>1055.56</v>
      </c>
      <c r="V204" s="145">
        <f t="shared" si="30"/>
        <v>1055.56</v>
      </c>
      <c r="W204" s="145">
        <v>0</v>
      </c>
      <c r="X204" s="145">
        <v>0</v>
      </c>
      <c r="Y204" s="165">
        <v>0</v>
      </c>
      <c r="Z204" s="145">
        <f>Y204*Valores!$C$2</f>
        <v>0</v>
      </c>
      <c r="AA204" s="145">
        <v>0</v>
      </c>
      <c r="AB204" s="148">
        <f>IF(Valores!$C$92*D204&gt;Valores!$C$91,Valores!$C$91,Valores!$C$92*D204)</f>
        <v>634.6153846153848</v>
      </c>
      <c r="AC204" s="150">
        <f>IF((Valores!$C$33)*D204&gt;Valores!$F$33,Valores!$F$33,(Valores!$C$33)*D204)</f>
        <v>88.04224</v>
      </c>
      <c r="AD204" s="145">
        <f t="shared" si="38"/>
        <v>0</v>
      </c>
      <c r="AE204" s="145">
        <f>IF(Valores!$C$34*D204&gt;Valores!$F$34,Valores!$F$34,Valores!$C$34*D204)</f>
        <v>73.28921600000001</v>
      </c>
      <c r="AF204" s="149">
        <v>0</v>
      </c>
      <c r="AG204" s="145">
        <f>INT(((AF204*Valores!$C$2)*100)+0.5)/100</f>
        <v>0</v>
      </c>
      <c r="AH204" s="145">
        <f>IF($H$5="NO",IF(Valores!$D$59*'Escala Docente'!D204&gt;Valores!$F$59,Valores!$F$59,Valores!$D$59*'Escala Docente'!D204),IF(Valores!$D$59*'Escala Docente'!D204&gt;Valores!$F$59,Valores!$F$59,Valores!$D$59*'Escala Docente'!D204)/2)</f>
        <v>298.1264</v>
      </c>
      <c r="AI204" s="145">
        <f>IF($H$5="NO",IF(Valores!$D$61*D204&gt;Valores!$F$61,Valores!$F$61,Valores!$D$61*D204),IF(Valores!$D$61*D204&gt;Valores!$F$61,Valores!$F$61,Valores!$D$61*D204)/2)</f>
        <v>85.1862</v>
      </c>
      <c r="AJ204" s="151">
        <f t="shared" si="39"/>
        <v>21855.145440615386</v>
      </c>
      <c r="AK204" s="159">
        <f>IF(Valores!$C$37*D204&gt;Valores!$F$37,Valores!$F$37,Valores!$C$37*D204)</f>
        <v>767.69</v>
      </c>
      <c r="AL204" s="148">
        <f>IF(Valores!$C$11*D204&gt;Valores!$F$11,Valores!$F$11,Valores!$C$11*D204)</f>
        <v>0</v>
      </c>
      <c r="AM204" s="148">
        <f>IF(Valores!$C$87*D204&gt;Valores!$C$86,Valores!$C$86,Valores!$C$87*D204)</f>
        <v>1251.2499999999998</v>
      </c>
      <c r="AN204" s="148"/>
      <c r="AO204" s="150">
        <f>IF(Valores!$C$57*D204&gt;Valores!$F$57,Valores!$F$57,Valores!$C$57*D204)</f>
        <v>156.2</v>
      </c>
      <c r="AP204" s="152">
        <f t="shared" si="37"/>
        <v>2018.9399999999998</v>
      </c>
      <c r="AQ204" s="154">
        <f>AJ204*-Valores!$C$68</f>
        <v>-2404.0659984676927</v>
      </c>
      <c r="AR204" s="154">
        <f>AJ204*-Valores!$C$69</f>
        <v>0</v>
      </c>
      <c r="AS204" s="147">
        <f>AJ204*-Valores!$C$70</f>
        <v>-983.4815448276923</v>
      </c>
      <c r="AT204" s="147">
        <v>-159.43</v>
      </c>
      <c r="AU204" s="147">
        <f t="shared" si="40"/>
        <v>-53.83</v>
      </c>
      <c r="AV204" s="151">
        <f t="shared" si="41"/>
        <v>20273.277897319997</v>
      </c>
      <c r="AW204" s="155"/>
      <c r="AX204" s="155">
        <f t="shared" si="33"/>
        <v>44</v>
      </c>
      <c r="AY204" s="140" t="s">
        <v>4</v>
      </c>
    </row>
    <row r="205" spans="1:51" s="117" customFormat="1" ht="11.25" customHeight="1">
      <c r="A205" s="139">
        <v>203</v>
      </c>
      <c r="B205" s="139"/>
      <c r="C205" s="140" t="s">
        <v>500</v>
      </c>
      <c r="D205" s="140">
        <v>12</v>
      </c>
      <c r="E205" s="140">
        <f t="shared" si="34"/>
        <v>37</v>
      </c>
      <c r="F205" s="141" t="str">
        <f t="shared" si="31"/>
        <v>Hora Cátedra Enseñanza Superior 12 hs</v>
      </c>
      <c r="G205" s="142">
        <f t="shared" si="32"/>
        <v>1188</v>
      </c>
      <c r="H205" s="143">
        <f>INT((G205*Valores!$C$2*100)+0.5)/100</f>
        <v>11095.56</v>
      </c>
      <c r="I205" s="161">
        <v>0</v>
      </c>
      <c r="J205" s="145">
        <f>INT((I205*Valores!$C$2*100)+0.5)/100</f>
        <v>0</v>
      </c>
      <c r="K205" s="160">
        <v>0</v>
      </c>
      <c r="L205" s="145">
        <f>INT((K205*Valores!$C$2*100)+0.5)/100</f>
        <v>0</v>
      </c>
      <c r="M205" s="158">
        <v>0</v>
      </c>
      <c r="N205" s="145">
        <f>INT((M205*Valores!$C$2*100)+0.5)/100</f>
        <v>0</v>
      </c>
      <c r="O205" s="145">
        <f t="shared" si="35"/>
        <v>1959.9119999999998</v>
      </c>
      <c r="P205" s="145">
        <f t="shared" si="36"/>
        <v>0</v>
      </c>
      <c r="Q205" s="159">
        <f>Valores!$C$14*D205</f>
        <v>3710.04</v>
      </c>
      <c r="R205" s="159">
        <f>IF(D205&lt;15,(Valores!$E$4*D205),Valores!$D$4)</f>
        <v>3819.4800000000005</v>
      </c>
      <c r="S205" s="145">
        <v>0</v>
      </c>
      <c r="T205" s="148">
        <f>IF($H$5="NO",IF(Valores!$C$46*D205&gt;Valores!$C$44,Valores!$C$44,Valores!$C$46*D205),IF(Valores!$C$46*D205&gt;Valores!$C$44,Valores!$C$44,Valores!$C$46*D205)/2)</f>
        <v>819</v>
      </c>
      <c r="U205" s="159">
        <f>Valores!$C$23*D205</f>
        <v>1151.52</v>
      </c>
      <c r="V205" s="145">
        <f t="shared" si="30"/>
        <v>1151.52</v>
      </c>
      <c r="W205" s="145">
        <v>0</v>
      </c>
      <c r="X205" s="145">
        <v>0</v>
      </c>
      <c r="Y205" s="165">
        <v>0</v>
      </c>
      <c r="Z205" s="145">
        <f>Y205*Valores!$C$2</f>
        <v>0</v>
      </c>
      <c r="AA205" s="145">
        <v>0</v>
      </c>
      <c r="AB205" s="148">
        <f>IF(Valores!$C$92*D205&gt;Valores!$C$91,Valores!$C$91,Valores!$C$92*D205)</f>
        <v>692.3076923076925</v>
      </c>
      <c r="AC205" s="150">
        <f>IF((Valores!$C$33)*D205&gt;Valores!$F$33,Valores!$F$33,(Valores!$C$33)*D205)</f>
        <v>96.04608</v>
      </c>
      <c r="AD205" s="145">
        <f t="shared" si="38"/>
        <v>0</v>
      </c>
      <c r="AE205" s="145">
        <f>IF(Valores!$C$34*D205&gt;Valores!$F$34,Valores!$F$34,Valores!$C$34*D205)</f>
        <v>79.95187200000001</v>
      </c>
      <c r="AF205" s="149">
        <v>0</v>
      </c>
      <c r="AG205" s="145">
        <f>INT(((AF205*Valores!$C$2)*100)+0.5)/100</f>
        <v>0</v>
      </c>
      <c r="AH205" s="145">
        <f>IF($H$5="NO",IF(Valores!$D$59*'Escala Docente'!D205&gt;Valores!$F$59,Valores!$F$59,Valores!$D$59*'Escala Docente'!D205),IF(Valores!$D$59*'Escala Docente'!D205&gt;Valores!$F$59,Valores!$F$59,Valores!$D$59*'Escala Docente'!D205)/2)</f>
        <v>325.2288</v>
      </c>
      <c r="AI205" s="145">
        <f>IF($H$5="NO",IF(Valores!$D$61*D205&gt;Valores!$F$61,Valores!$F$61,Valores!$D$61*D205),IF(Valores!$D$61*D205&gt;Valores!$F$61,Valores!$F$61,Valores!$D$61*D205)/2)</f>
        <v>92.9304</v>
      </c>
      <c r="AJ205" s="151">
        <f t="shared" si="39"/>
        <v>23841.976844307694</v>
      </c>
      <c r="AK205" s="159">
        <f>IF(Valores!$C$37*D205&gt;Valores!$F$37,Valores!$F$37,Valores!$C$37*D205)</f>
        <v>837.48</v>
      </c>
      <c r="AL205" s="148">
        <f>IF(Valores!$C$11*D205&gt;Valores!$F$11,Valores!$F$11,Valores!$C$11*D205)</f>
        <v>0</v>
      </c>
      <c r="AM205" s="148">
        <f>IF(Valores!$C$87*D205&gt;Valores!$C$86,Valores!$C$86,Valores!$C$87*D205)</f>
        <v>1364.9999999999998</v>
      </c>
      <c r="AN205" s="148"/>
      <c r="AO205" s="150">
        <f>IF(Valores!$C$57*D205&gt;Valores!$F$57,Valores!$F$57,Valores!$C$57*D205)</f>
        <v>170.39999999999998</v>
      </c>
      <c r="AP205" s="152">
        <f t="shared" si="37"/>
        <v>2202.4799999999996</v>
      </c>
      <c r="AQ205" s="154">
        <f>AJ205*-Valores!$C$68</f>
        <v>-2622.617452873846</v>
      </c>
      <c r="AR205" s="154">
        <f>AJ205*-Valores!$C$69</f>
        <v>0</v>
      </c>
      <c r="AS205" s="147">
        <f>AJ205*-Valores!$C$70</f>
        <v>-1072.8889579938461</v>
      </c>
      <c r="AT205" s="147">
        <v>-159.43</v>
      </c>
      <c r="AU205" s="147">
        <f t="shared" si="40"/>
        <v>-53.83</v>
      </c>
      <c r="AV205" s="151">
        <f t="shared" si="41"/>
        <v>22135.69043344</v>
      </c>
      <c r="AW205" s="155"/>
      <c r="AX205" s="155">
        <f t="shared" si="33"/>
        <v>48</v>
      </c>
      <c r="AY205" s="140" t="s">
        <v>4</v>
      </c>
    </row>
    <row r="206" spans="1:51" s="117" customFormat="1" ht="11.25" customHeight="1">
      <c r="A206" s="139">
        <v>204</v>
      </c>
      <c r="B206" s="139"/>
      <c r="C206" s="140" t="s">
        <v>500</v>
      </c>
      <c r="D206" s="140">
        <v>13</v>
      </c>
      <c r="E206" s="140">
        <f t="shared" si="34"/>
        <v>37</v>
      </c>
      <c r="F206" s="141" t="str">
        <f t="shared" si="31"/>
        <v>Hora Cátedra Enseñanza Superior 13 hs</v>
      </c>
      <c r="G206" s="142">
        <f t="shared" si="32"/>
        <v>1287</v>
      </c>
      <c r="H206" s="143">
        <f>INT((G206*Valores!$C$2*100)+0.5)/100</f>
        <v>12020.19</v>
      </c>
      <c r="I206" s="161">
        <v>0</v>
      </c>
      <c r="J206" s="145">
        <f>INT((I206*Valores!$C$2*100)+0.5)/100</f>
        <v>0</v>
      </c>
      <c r="K206" s="160">
        <v>0</v>
      </c>
      <c r="L206" s="145">
        <f>INT((K206*Valores!$C$2*100)+0.5)/100</f>
        <v>0</v>
      </c>
      <c r="M206" s="158">
        <v>0</v>
      </c>
      <c r="N206" s="145">
        <f>INT((M206*Valores!$C$2*100)+0.5)/100</f>
        <v>0</v>
      </c>
      <c r="O206" s="145">
        <f t="shared" si="35"/>
        <v>2123.238</v>
      </c>
      <c r="P206" s="145">
        <f t="shared" si="36"/>
        <v>0</v>
      </c>
      <c r="Q206" s="159">
        <f>Valores!$C$14*D206</f>
        <v>4019.21</v>
      </c>
      <c r="R206" s="159">
        <f>IF(D206&lt;15,(Valores!$E$4*D206),Valores!$D$4)</f>
        <v>4137.77</v>
      </c>
      <c r="S206" s="145">
        <v>0</v>
      </c>
      <c r="T206" s="148">
        <f>IF($H$5="NO",IF(Valores!$C$46*D206&gt;Valores!$C$44,Valores!$C$44,Valores!$C$46*D206),IF(Valores!$C$46*D206&gt;Valores!$C$44,Valores!$C$44,Valores!$C$46*D206)/2)</f>
        <v>887.25</v>
      </c>
      <c r="U206" s="159">
        <f>Valores!$C$23*D206</f>
        <v>1247.48</v>
      </c>
      <c r="V206" s="145">
        <f t="shared" si="30"/>
        <v>1247.48</v>
      </c>
      <c r="W206" s="145">
        <v>0</v>
      </c>
      <c r="X206" s="145">
        <v>0</v>
      </c>
      <c r="Y206" s="165">
        <v>0</v>
      </c>
      <c r="Z206" s="145">
        <f>Y206*Valores!$C$2</f>
        <v>0</v>
      </c>
      <c r="AA206" s="145">
        <v>0</v>
      </c>
      <c r="AB206" s="148">
        <f>IF(Valores!$C$92*D206&gt;Valores!$C$91,Valores!$C$91,Valores!$C$92*D206)</f>
        <v>750.0000000000002</v>
      </c>
      <c r="AC206" s="150">
        <f>IF((Valores!$C$33)*D206&gt;Valores!$F$33,Valores!$F$33,(Valores!$C$33)*D206)</f>
        <v>104.04992</v>
      </c>
      <c r="AD206" s="145">
        <f t="shared" si="38"/>
        <v>0</v>
      </c>
      <c r="AE206" s="145">
        <f>IF(Valores!$C$34*D206&gt;Valores!$F$34,Valores!$F$34,Valores!$C$34*D206)</f>
        <v>86.614528</v>
      </c>
      <c r="AF206" s="149">
        <v>0</v>
      </c>
      <c r="AG206" s="145">
        <f>INT(((AF206*Valores!$C$2)*100)+0.5)/100</f>
        <v>0</v>
      </c>
      <c r="AH206" s="145">
        <f>IF($H$5="NO",IF(Valores!$D$59*'Escala Docente'!D206&gt;Valores!$F$59,Valores!$F$59,Valores!$D$59*'Escala Docente'!D206),IF(Valores!$D$59*'Escala Docente'!D206&gt;Valores!$F$59,Valores!$F$59,Valores!$D$59*'Escala Docente'!D206)/2)</f>
        <v>352.33119999999997</v>
      </c>
      <c r="AI206" s="145">
        <f>IF($H$5="NO",IF(Valores!$D$61*D206&gt;Valores!$F$61,Valores!$F$61,Valores!$D$61*D206),IF(Valores!$D$61*D206&gt;Valores!$F$61,Valores!$F$61,Valores!$D$61*D206)/2)</f>
        <v>100.6746</v>
      </c>
      <c r="AJ206" s="151">
        <f t="shared" si="39"/>
        <v>25828.808247999998</v>
      </c>
      <c r="AK206" s="159">
        <f>IF(Valores!$C$37*D206&gt;Valores!$F$37,Valores!$F$37,Valores!$C$37*D206)</f>
        <v>907.2700000000001</v>
      </c>
      <c r="AL206" s="148">
        <f>IF(Valores!$C$11*D206&gt;Valores!$F$11,Valores!$F$11,Valores!$C$11*D206)</f>
        <v>0</v>
      </c>
      <c r="AM206" s="148">
        <f>IF(Valores!$C$87*D206&gt;Valores!$C$86,Valores!$C$86,Valores!$C$87*D206)</f>
        <v>1478.7499999999998</v>
      </c>
      <c r="AN206" s="148"/>
      <c r="AO206" s="150">
        <f>IF(Valores!$C$57*D206&gt;Valores!$F$57,Valores!$F$57,Valores!$C$57*D206)</f>
        <v>184.6</v>
      </c>
      <c r="AP206" s="152">
        <f t="shared" si="37"/>
        <v>2386.02</v>
      </c>
      <c r="AQ206" s="154">
        <f>AJ206*-Valores!$C$68</f>
        <v>-2841.1689072799995</v>
      </c>
      <c r="AR206" s="154">
        <f>AJ206*-Valores!$C$69</f>
        <v>0</v>
      </c>
      <c r="AS206" s="147">
        <f>AJ206*-Valores!$C$70</f>
        <v>-1162.2963711599998</v>
      </c>
      <c r="AT206" s="147">
        <v>-159.43</v>
      </c>
      <c r="AU206" s="147">
        <f t="shared" si="40"/>
        <v>-53.83</v>
      </c>
      <c r="AV206" s="151">
        <f t="shared" si="41"/>
        <v>23998.102969559997</v>
      </c>
      <c r="AW206" s="155"/>
      <c r="AX206" s="155">
        <f t="shared" si="33"/>
        <v>52</v>
      </c>
      <c r="AY206" s="140" t="s">
        <v>4</v>
      </c>
    </row>
    <row r="207" spans="1:51" s="117" customFormat="1" ht="11.25" customHeight="1">
      <c r="A207" s="157">
        <v>205</v>
      </c>
      <c r="B207" s="157" t="s">
        <v>143</v>
      </c>
      <c r="C207" s="140" t="s">
        <v>500</v>
      </c>
      <c r="D207" s="140">
        <v>14</v>
      </c>
      <c r="E207" s="140">
        <f t="shared" si="34"/>
        <v>37</v>
      </c>
      <c r="F207" s="141" t="str">
        <f t="shared" si="31"/>
        <v>Hora Cátedra Enseñanza Superior 14 hs</v>
      </c>
      <c r="G207" s="142">
        <f t="shared" si="32"/>
        <v>1386</v>
      </c>
      <c r="H207" s="143">
        <f>INT((G207*Valores!$C$2*100)+0.5)/100</f>
        <v>12944.82</v>
      </c>
      <c r="I207" s="161">
        <v>0</v>
      </c>
      <c r="J207" s="145">
        <f>INT((I207*Valores!$C$2*100)+0.5)/100</f>
        <v>0</v>
      </c>
      <c r="K207" s="160">
        <v>0</v>
      </c>
      <c r="L207" s="145">
        <f>INT((K207*Valores!$C$2*100)+0.5)/100</f>
        <v>0</v>
      </c>
      <c r="M207" s="158">
        <v>0</v>
      </c>
      <c r="N207" s="145">
        <f>INT((M207*Valores!$C$2*100)+0.5)/100</f>
        <v>0</v>
      </c>
      <c r="O207" s="145">
        <f t="shared" si="35"/>
        <v>2286.564</v>
      </c>
      <c r="P207" s="145">
        <f t="shared" si="36"/>
        <v>0</v>
      </c>
      <c r="Q207" s="159">
        <f>Valores!$C$14*D207</f>
        <v>4328.38</v>
      </c>
      <c r="R207" s="159">
        <f>IF(D207&lt;15,(Valores!$E$4*D207),Valores!$D$4)</f>
        <v>4456.06</v>
      </c>
      <c r="S207" s="145">
        <v>0</v>
      </c>
      <c r="T207" s="148">
        <f>IF($H$5="NO",IF(Valores!$C$46*D207&gt;Valores!$C$44,Valores!$C$44,Valores!$C$46*D207),IF(Valores!$C$46*D207&gt;Valores!$C$44,Valores!$C$44,Valores!$C$46*D207)/2)</f>
        <v>955.5</v>
      </c>
      <c r="U207" s="159">
        <f>Valores!$C$23*D207</f>
        <v>1343.4399999999998</v>
      </c>
      <c r="V207" s="145">
        <f t="shared" si="30"/>
        <v>1343.4399999999998</v>
      </c>
      <c r="W207" s="145">
        <v>0</v>
      </c>
      <c r="X207" s="145">
        <v>0</v>
      </c>
      <c r="Y207" s="165">
        <v>0</v>
      </c>
      <c r="Z207" s="145">
        <f>Y207*Valores!$C$2</f>
        <v>0</v>
      </c>
      <c r="AA207" s="145">
        <v>0</v>
      </c>
      <c r="AB207" s="148">
        <f>IF(Valores!$C$92*D207&gt;Valores!$C$91,Valores!$C$91,Valores!$C$92*D207)</f>
        <v>807.6923076923078</v>
      </c>
      <c r="AC207" s="150">
        <f>IF((Valores!$C$33)*D207&gt;Valores!$F$33,Valores!$F$33,(Valores!$C$33)*D207)</f>
        <v>112.05376000000001</v>
      </c>
      <c r="AD207" s="145">
        <f t="shared" si="38"/>
        <v>0</v>
      </c>
      <c r="AE207" s="145">
        <f>IF(Valores!$C$34*D207&gt;Valores!$F$34,Valores!$F$34,Valores!$C$34*D207)</f>
        <v>93.27718400000002</v>
      </c>
      <c r="AF207" s="149">
        <v>0</v>
      </c>
      <c r="AG207" s="145">
        <f>INT(((AF207*Valores!$C$2)*100)+0.5)/100</f>
        <v>0</v>
      </c>
      <c r="AH207" s="145">
        <f>IF($H$5="NO",IF(Valores!$D$59*'Escala Docente'!D207&gt;Valores!$F$59,Valores!$F$59,Valores!$D$59*'Escala Docente'!D207),IF(Valores!$D$59*'Escala Docente'!D207&gt;Valores!$F$59,Valores!$F$59,Valores!$D$59*'Escala Docente'!D207)/2)</f>
        <v>379.4336</v>
      </c>
      <c r="AI207" s="145">
        <f>IF($H$5="NO",IF(Valores!$D$61*D207&gt;Valores!$F$61,Valores!$F$61,Valores!$D$61*D207),IF(Valores!$D$61*D207&gt;Valores!$F$61,Valores!$F$61,Valores!$D$61*D207)/2)</f>
        <v>108.4188</v>
      </c>
      <c r="AJ207" s="151">
        <f t="shared" si="39"/>
        <v>27815.639651692305</v>
      </c>
      <c r="AK207" s="159">
        <f>IF(Valores!$C$37*D207&gt;Valores!$F$37,Valores!$F$37,Valores!$C$37*D207)</f>
        <v>977.0600000000001</v>
      </c>
      <c r="AL207" s="148">
        <f>IF(Valores!$C$11*D207&gt;Valores!$F$11,Valores!$F$11,Valores!$C$11*D207)</f>
        <v>0</v>
      </c>
      <c r="AM207" s="148">
        <f>IF(Valores!$C$87*D207&gt;Valores!$C$86,Valores!$C$86,Valores!$C$87*D207)</f>
        <v>1592.4999999999998</v>
      </c>
      <c r="AN207" s="148"/>
      <c r="AO207" s="150">
        <f>IF(Valores!$C$57*D207&gt;Valores!$F$57,Valores!$F$57,Valores!$C$57*D207)</f>
        <v>198.79999999999998</v>
      </c>
      <c r="AP207" s="152">
        <f t="shared" si="37"/>
        <v>2569.56</v>
      </c>
      <c r="AQ207" s="154">
        <f>AJ207*-Valores!$C$68</f>
        <v>-3059.7203616861534</v>
      </c>
      <c r="AR207" s="154">
        <f>AJ207*-Valores!$C$69</f>
        <v>0</v>
      </c>
      <c r="AS207" s="147">
        <f>AJ207*-Valores!$C$70</f>
        <v>-1251.7037843261537</v>
      </c>
      <c r="AT207" s="147">
        <v>-159.43</v>
      </c>
      <c r="AU207" s="147">
        <f t="shared" si="40"/>
        <v>-53.83</v>
      </c>
      <c r="AV207" s="151">
        <f t="shared" si="41"/>
        <v>25860.51550568</v>
      </c>
      <c r="AW207" s="155"/>
      <c r="AX207" s="155">
        <f t="shared" si="33"/>
        <v>56</v>
      </c>
      <c r="AY207" s="140" t="s">
        <v>4</v>
      </c>
    </row>
    <row r="208" spans="1:51" s="117" customFormat="1" ht="11.25" customHeight="1">
      <c r="A208" s="139">
        <v>206</v>
      </c>
      <c r="B208" s="139"/>
      <c r="C208" s="140" t="s">
        <v>500</v>
      </c>
      <c r="D208" s="140">
        <v>15</v>
      </c>
      <c r="E208" s="140">
        <f t="shared" si="34"/>
        <v>37</v>
      </c>
      <c r="F208" s="141" t="str">
        <f t="shared" si="31"/>
        <v>Hora Cátedra Enseñanza Superior 15 hs</v>
      </c>
      <c r="G208" s="142">
        <f t="shared" si="32"/>
        <v>1485</v>
      </c>
      <c r="H208" s="143">
        <f>INT((G208*Valores!$C$2*100)+0.5)/100</f>
        <v>13869.45</v>
      </c>
      <c r="I208" s="161">
        <v>0</v>
      </c>
      <c r="J208" s="145">
        <f>INT((I208*Valores!$C$2*100)+0.5)/100</f>
        <v>0</v>
      </c>
      <c r="K208" s="160">
        <v>0</v>
      </c>
      <c r="L208" s="145">
        <f>INT((K208*Valores!$C$2*100)+0.5)/100</f>
        <v>0</v>
      </c>
      <c r="M208" s="158">
        <v>0</v>
      </c>
      <c r="N208" s="145">
        <f>INT((M208*Valores!$C$2*100)+0.5)/100</f>
        <v>0</v>
      </c>
      <c r="O208" s="145">
        <f t="shared" si="35"/>
        <v>2449.89</v>
      </c>
      <c r="P208" s="145">
        <f t="shared" si="36"/>
        <v>0</v>
      </c>
      <c r="Q208" s="159">
        <f>Valores!$C$14*D208</f>
        <v>4637.55</v>
      </c>
      <c r="R208" s="159">
        <f>IF(D208&lt;15,(Valores!$E$4*D208),Valores!$D$4)</f>
        <v>4774.45</v>
      </c>
      <c r="S208" s="145">
        <v>0</v>
      </c>
      <c r="T208" s="148">
        <f>IF($H$5="NO",IF(Valores!$C$46*D208&gt;Valores!$C$44,Valores!$C$44,Valores!$C$46*D208),IF(Valores!$C$46*D208&gt;Valores!$C$44,Valores!$C$44,Valores!$C$46*D208)/2)</f>
        <v>1023.75</v>
      </c>
      <c r="U208" s="159">
        <f>Valores!$C$23*D208</f>
        <v>1439.3999999999999</v>
      </c>
      <c r="V208" s="145">
        <f t="shared" si="30"/>
        <v>1439.3999999999999</v>
      </c>
      <c r="W208" s="145">
        <v>0</v>
      </c>
      <c r="X208" s="145">
        <v>0</v>
      </c>
      <c r="Y208" s="165">
        <v>0</v>
      </c>
      <c r="Z208" s="145">
        <f>Y208*Valores!$C$2</f>
        <v>0</v>
      </c>
      <c r="AA208" s="145">
        <v>0</v>
      </c>
      <c r="AB208" s="148">
        <f>IF(Valores!$C$92*D208&gt;Valores!$C$91,Valores!$C$91,Valores!$C$92*D208)</f>
        <v>865.3846153846156</v>
      </c>
      <c r="AC208" s="150">
        <f>IF((Valores!$C$33)*D208&gt;Valores!$F$33,Valores!$F$33,(Valores!$C$33)*D208)</f>
        <v>120.05760000000001</v>
      </c>
      <c r="AD208" s="145">
        <f t="shared" si="38"/>
        <v>0</v>
      </c>
      <c r="AE208" s="145">
        <f>IF(Valores!$C$34*D208&gt;Valores!$F$34,Valores!$F$34,Valores!$C$34*D208)</f>
        <v>99.93984000000002</v>
      </c>
      <c r="AF208" s="149">
        <v>0</v>
      </c>
      <c r="AG208" s="145">
        <f>INT(((AF208*Valores!$C$2)*100)+0.5)/100</f>
        <v>0</v>
      </c>
      <c r="AH208" s="145">
        <f>IF($H$5="NO",IF(Valores!$D$59*'Escala Docente'!D208&gt;Valores!$F$59,Valores!$F$59,Valores!$D$59*'Escala Docente'!D208),IF(Valores!$D$59*'Escala Docente'!D208&gt;Valores!$F$59,Valores!$F$59,Valores!$D$59*'Escala Docente'!D208)/2)</f>
        <v>406.536</v>
      </c>
      <c r="AI208" s="145">
        <f>IF($H$5="NO",IF(Valores!$D$61*D208&gt;Valores!$F$61,Valores!$F$61,Valores!$D$61*D208),IF(Valores!$D$61*D208&gt;Valores!$F$61,Valores!$F$61,Valores!$D$61*D208)/2)</f>
        <v>116.163</v>
      </c>
      <c r="AJ208" s="151">
        <f t="shared" si="39"/>
        <v>29802.57105538462</v>
      </c>
      <c r="AK208" s="159">
        <f>IF(Valores!$C$37*D208&gt;Valores!$F$37,Valores!$F$37,Valores!$C$37*D208)</f>
        <v>1046.8500000000001</v>
      </c>
      <c r="AL208" s="148">
        <f>IF(Valores!$C$11*D208&gt;Valores!$F$11,Valores!$F$11,Valores!$C$11*D208)</f>
        <v>0</v>
      </c>
      <c r="AM208" s="148">
        <f>IF(Valores!$C$87*D208&gt;Valores!$C$86,Valores!$C$86,Valores!$C$87*D208)</f>
        <v>1706.2499999999998</v>
      </c>
      <c r="AN208" s="148"/>
      <c r="AO208" s="150">
        <f>IF(Valores!$C$57*D208&gt;Valores!$F$57,Valores!$F$57,Valores!$C$57*D208)</f>
        <v>213</v>
      </c>
      <c r="AP208" s="152">
        <f t="shared" si="37"/>
        <v>2753.1</v>
      </c>
      <c r="AQ208" s="154">
        <f>AJ208*-Valores!$C$68</f>
        <v>-3278.282816092308</v>
      </c>
      <c r="AR208" s="154">
        <f>AJ208*-Valores!$C$69</f>
        <v>0</v>
      </c>
      <c r="AS208" s="147">
        <f>AJ208*-Valores!$C$70</f>
        <v>-1341.1156974923078</v>
      </c>
      <c r="AT208" s="147">
        <v>-159.43</v>
      </c>
      <c r="AU208" s="147">
        <f t="shared" si="40"/>
        <v>-53.83</v>
      </c>
      <c r="AV208" s="151">
        <f t="shared" si="41"/>
        <v>27723.0125418</v>
      </c>
      <c r="AW208" s="155"/>
      <c r="AX208" s="155">
        <f t="shared" si="33"/>
        <v>60</v>
      </c>
      <c r="AY208" s="140" t="s">
        <v>4</v>
      </c>
    </row>
    <row r="209" spans="1:51" s="117" customFormat="1" ht="11.25" customHeight="1">
      <c r="A209" s="139">
        <v>207</v>
      </c>
      <c r="B209" s="139"/>
      <c r="C209" s="140" t="s">
        <v>500</v>
      </c>
      <c r="D209" s="140">
        <v>16</v>
      </c>
      <c r="E209" s="140">
        <f t="shared" si="34"/>
        <v>37</v>
      </c>
      <c r="F209" s="141" t="str">
        <f t="shared" si="31"/>
        <v>Hora Cátedra Enseñanza Superior 16 hs</v>
      </c>
      <c r="G209" s="142">
        <f t="shared" si="32"/>
        <v>1584</v>
      </c>
      <c r="H209" s="143">
        <f>INT((G209*Valores!$C$2*100)+0.5)/100</f>
        <v>14794.08</v>
      </c>
      <c r="I209" s="161">
        <v>0</v>
      </c>
      <c r="J209" s="145">
        <f>INT((I209*Valores!$C$2*100)+0.5)/100</f>
        <v>0</v>
      </c>
      <c r="K209" s="160">
        <v>0</v>
      </c>
      <c r="L209" s="145">
        <f>INT((K209*Valores!$C$2*100)+0.5)/100</f>
        <v>0</v>
      </c>
      <c r="M209" s="158">
        <v>0</v>
      </c>
      <c r="N209" s="145">
        <f>INT((M209*Valores!$C$2*100)+0.5)/100</f>
        <v>0</v>
      </c>
      <c r="O209" s="145">
        <f t="shared" si="35"/>
        <v>2613.2160000000003</v>
      </c>
      <c r="P209" s="145">
        <f t="shared" si="36"/>
        <v>0</v>
      </c>
      <c r="Q209" s="159">
        <f>Valores!$C$14*D209</f>
        <v>4946.72</v>
      </c>
      <c r="R209" s="159">
        <f>IF(D209&lt;15,(Valores!$E$4*D209),Valores!$D$4)</f>
        <v>4774.45</v>
      </c>
      <c r="S209" s="145">
        <v>0</v>
      </c>
      <c r="T209" s="148">
        <f>IF($H$5="NO",IF(Valores!$C$46*D209&gt;Valores!$C$44,Valores!$C$44,Valores!$C$46*D209),IF(Valores!$C$46*D209&gt;Valores!$C$44,Valores!$C$44,Valores!$C$46*D209)/2)</f>
        <v>1092</v>
      </c>
      <c r="U209" s="159">
        <f>Valores!$C$23*D209</f>
        <v>1535.36</v>
      </c>
      <c r="V209" s="145">
        <f t="shared" si="30"/>
        <v>1535.36</v>
      </c>
      <c r="W209" s="145">
        <v>0</v>
      </c>
      <c r="X209" s="145">
        <v>0</v>
      </c>
      <c r="Y209" s="165">
        <v>0</v>
      </c>
      <c r="Z209" s="145">
        <f>Y209*Valores!$C$2</f>
        <v>0</v>
      </c>
      <c r="AA209" s="145">
        <v>0</v>
      </c>
      <c r="AB209" s="148">
        <f>IF(Valores!$C$92*D209&gt;Valores!$C$91,Valores!$C$91,Valores!$C$92*D209)</f>
        <v>923.0769230769233</v>
      </c>
      <c r="AC209" s="150">
        <f>IF((Valores!$C$33)*D209&gt;Valores!$F$33,Valores!$F$33,(Valores!$C$33)*D209)</f>
        <v>128.06144</v>
      </c>
      <c r="AD209" s="145">
        <f t="shared" si="38"/>
        <v>0</v>
      </c>
      <c r="AE209" s="145">
        <f>IF(Valores!$C$34*D209&gt;Valores!$F$34,Valores!$F$34,Valores!$C$34*D209)</f>
        <v>106.60249600000002</v>
      </c>
      <c r="AF209" s="149">
        <v>0</v>
      </c>
      <c r="AG209" s="145">
        <f>INT(((AF209*Valores!$C$2)*100)+0.5)/100</f>
        <v>0</v>
      </c>
      <c r="AH209" s="145">
        <f>IF($H$5="NO",IF(Valores!$D$59*'Escala Docente'!D209&gt;Valores!$F$59,Valores!$F$59,Valores!$D$59*'Escala Docente'!D209),IF(Valores!$D$59*'Escala Docente'!D209&gt;Valores!$F$59,Valores!$F$59,Valores!$D$59*'Escala Docente'!D209)/2)</f>
        <v>433.6384</v>
      </c>
      <c r="AI209" s="145">
        <f>IF($H$5="NO",IF(Valores!$D$61*D209&gt;Valores!$F$61,Valores!$F$61,Valores!$D$61*D209),IF(Valores!$D$61*D209&gt;Valores!$F$61,Valores!$F$61,Valores!$D$61*D209)/2)</f>
        <v>123.9072</v>
      </c>
      <c r="AJ209" s="151">
        <f t="shared" si="39"/>
        <v>31471.11245907693</v>
      </c>
      <c r="AK209" s="159">
        <f>IF(Valores!$C$37*D209&gt;Valores!$F$37,Valores!$F$37,Valores!$C$37*D209)</f>
        <v>1116.64</v>
      </c>
      <c r="AL209" s="148">
        <f>IF(Valores!$C$11*D209&gt;Valores!$F$11,Valores!$F$11,Valores!$C$11*D209)</f>
        <v>0</v>
      </c>
      <c r="AM209" s="148">
        <f>IF(Valores!$C$87*D209&gt;Valores!$C$86,Valores!$C$86,Valores!$C$87*D209)</f>
        <v>1819.9999999999998</v>
      </c>
      <c r="AN209" s="148"/>
      <c r="AO209" s="150">
        <f>IF(Valores!$C$57*D209&gt;Valores!$F$57,Valores!$F$57,Valores!$C$57*D209)</f>
        <v>227.2</v>
      </c>
      <c r="AP209" s="152">
        <f t="shared" si="37"/>
        <v>2936.64</v>
      </c>
      <c r="AQ209" s="154">
        <f>AJ209*-Valores!$C$68</f>
        <v>-3461.822370498462</v>
      </c>
      <c r="AR209" s="154">
        <f>AJ209*-Valores!$C$69</f>
        <v>0</v>
      </c>
      <c r="AS209" s="147">
        <f>AJ209*-Valores!$C$70</f>
        <v>-1416.2000606584618</v>
      </c>
      <c r="AT209" s="147">
        <v>-159.43</v>
      </c>
      <c r="AU209" s="147">
        <f t="shared" si="40"/>
        <v>-53.83</v>
      </c>
      <c r="AV209" s="151">
        <f t="shared" si="41"/>
        <v>29316.470027920004</v>
      </c>
      <c r="AW209" s="155"/>
      <c r="AX209" s="155">
        <f t="shared" si="33"/>
        <v>64</v>
      </c>
      <c r="AY209" s="140" t="s">
        <v>4</v>
      </c>
    </row>
    <row r="210" spans="1:51" s="117" customFormat="1" ht="11.25" customHeight="1">
      <c r="A210" s="139">
        <v>208</v>
      </c>
      <c r="B210" s="139"/>
      <c r="C210" s="140" t="s">
        <v>500</v>
      </c>
      <c r="D210" s="140">
        <v>17</v>
      </c>
      <c r="E210" s="140">
        <f t="shared" si="34"/>
        <v>37</v>
      </c>
      <c r="F210" s="141" t="str">
        <f t="shared" si="31"/>
        <v>Hora Cátedra Enseñanza Superior 17 hs</v>
      </c>
      <c r="G210" s="142">
        <f t="shared" si="32"/>
        <v>1683</v>
      </c>
      <c r="H210" s="143">
        <f>INT((G210*Valores!$C$2*100)+0.5)/100</f>
        <v>15718.72</v>
      </c>
      <c r="I210" s="161">
        <v>0</v>
      </c>
      <c r="J210" s="145">
        <f>INT((I210*Valores!$C$2*100)+0.5)/100</f>
        <v>0</v>
      </c>
      <c r="K210" s="160">
        <v>0</v>
      </c>
      <c r="L210" s="145">
        <f>INT((K210*Valores!$C$2*100)+0.5)/100</f>
        <v>0</v>
      </c>
      <c r="M210" s="158">
        <v>0</v>
      </c>
      <c r="N210" s="145">
        <f>INT((M210*Valores!$C$2*100)+0.5)/100</f>
        <v>0</v>
      </c>
      <c r="O210" s="145">
        <f t="shared" si="35"/>
        <v>2776.5435</v>
      </c>
      <c r="P210" s="145">
        <f t="shared" si="36"/>
        <v>0</v>
      </c>
      <c r="Q210" s="159">
        <f>Valores!$C$14*D210</f>
        <v>5255.89</v>
      </c>
      <c r="R210" s="159">
        <f>IF(D210&lt;15,(Valores!$E$4*D210),Valores!$D$4)</f>
        <v>4774.45</v>
      </c>
      <c r="S210" s="145">
        <v>0</v>
      </c>
      <c r="T210" s="148">
        <f>IF($H$5="NO",IF(Valores!$C$46*D210&gt;Valores!$C$44,Valores!$C$44,Valores!$C$46*D210),IF(Valores!$C$46*D210&gt;Valores!$C$44,Valores!$C$44,Valores!$C$46*D210)/2)</f>
        <v>1160.25</v>
      </c>
      <c r="U210" s="159">
        <f>Valores!$C$23*D210</f>
        <v>1631.32</v>
      </c>
      <c r="V210" s="145">
        <f t="shared" si="30"/>
        <v>1631.32</v>
      </c>
      <c r="W210" s="145">
        <v>0</v>
      </c>
      <c r="X210" s="145">
        <v>0</v>
      </c>
      <c r="Y210" s="165">
        <v>0</v>
      </c>
      <c r="Z210" s="145">
        <f>Y210*Valores!$C$2</f>
        <v>0</v>
      </c>
      <c r="AA210" s="145">
        <v>0</v>
      </c>
      <c r="AB210" s="148">
        <f>IF(Valores!$C$92*D210&gt;Valores!$C$91,Valores!$C$91,Valores!$C$92*D210)</f>
        <v>980.7692307692311</v>
      </c>
      <c r="AC210" s="150">
        <f>IF((Valores!$C$33)*D210&gt;Valores!$F$33,Valores!$F$33,(Valores!$C$33)*D210)</f>
        <v>136.06528</v>
      </c>
      <c r="AD210" s="145">
        <f t="shared" si="38"/>
        <v>0</v>
      </c>
      <c r="AE210" s="145">
        <f>IF(Valores!$C$34*D210&gt;Valores!$F$34,Valores!$F$34,Valores!$C$34*D210)</f>
        <v>113.26515200000001</v>
      </c>
      <c r="AF210" s="149">
        <v>0</v>
      </c>
      <c r="AG210" s="145">
        <f>INT(((AF210*Valores!$C$2)*100)+0.5)/100</f>
        <v>0</v>
      </c>
      <c r="AH210" s="145">
        <f>IF($H$5="NO",IF(Valores!$D$59*'Escala Docente'!D210&gt;Valores!$F$59,Valores!$F$59,Valores!$D$59*'Escala Docente'!D210),IF(Valores!$D$59*'Escala Docente'!D210&gt;Valores!$F$59,Valores!$F$59,Valores!$D$59*'Escala Docente'!D210)/2)</f>
        <v>460.7408</v>
      </c>
      <c r="AI210" s="145">
        <f>IF($H$5="NO",IF(Valores!$D$61*D210&gt;Valores!$F$61,Valores!$F$61,Valores!$D$61*D210),IF(Valores!$D$61*D210&gt;Valores!$F$61,Valores!$F$61,Valores!$D$61*D210)/2)</f>
        <v>131.6514</v>
      </c>
      <c r="AJ210" s="151">
        <f t="shared" si="39"/>
        <v>33139.66536276923</v>
      </c>
      <c r="AK210" s="159">
        <f>IF(Valores!$C$37*D210&gt;Valores!$F$37,Valores!$F$37,Valores!$C$37*D210)</f>
        <v>1186.43</v>
      </c>
      <c r="AL210" s="148">
        <f>IF(Valores!$C$11*D210&gt;Valores!$F$11,Valores!$F$11,Valores!$C$11*D210)</f>
        <v>0</v>
      </c>
      <c r="AM210" s="148">
        <f>IF(Valores!$C$87*D210&gt;Valores!$C$86,Valores!$C$86,Valores!$C$87*D210)</f>
        <v>1933.7499999999998</v>
      </c>
      <c r="AN210" s="148"/>
      <c r="AO210" s="150">
        <f>IF(Valores!$C$57*D210&gt;Valores!$F$57,Valores!$F$57,Valores!$C$57*D210)</f>
        <v>241.39999999999998</v>
      </c>
      <c r="AP210" s="152">
        <f t="shared" si="37"/>
        <v>3120.18</v>
      </c>
      <c r="AQ210" s="154">
        <f>AJ210*-Valores!$C$68</f>
        <v>-3645.363189904615</v>
      </c>
      <c r="AR210" s="154">
        <f>AJ210*-Valores!$C$69</f>
        <v>0</v>
      </c>
      <c r="AS210" s="147">
        <f>AJ210*-Valores!$C$70</f>
        <v>-1491.2849413246151</v>
      </c>
      <c r="AT210" s="147">
        <v>-159.43</v>
      </c>
      <c r="AU210" s="147">
        <f t="shared" si="40"/>
        <v>-53.83</v>
      </c>
      <c r="AV210" s="151">
        <f t="shared" si="41"/>
        <v>30909.937231539996</v>
      </c>
      <c r="AW210" s="155"/>
      <c r="AX210" s="155">
        <f t="shared" si="33"/>
        <v>68</v>
      </c>
      <c r="AY210" s="140" t="s">
        <v>4</v>
      </c>
    </row>
    <row r="211" spans="1:51" s="117" customFormat="1" ht="11.25" customHeight="1">
      <c r="A211" s="139">
        <v>209</v>
      </c>
      <c r="B211" s="139"/>
      <c r="C211" s="140" t="s">
        <v>500</v>
      </c>
      <c r="D211" s="140">
        <v>18</v>
      </c>
      <c r="E211" s="140">
        <f t="shared" si="34"/>
        <v>37</v>
      </c>
      <c r="F211" s="141" t="str">
        <f t="shared" si="31"/>
        <v>Hora Cátedra Enseñanza Superior 18 hs</v>
      </c>
      <c r="G211" s="142">
        <f t="shared" si="32"/>
        <v>1782</v>
      </c>
      <c r="H211" s="143">
        <f>INT((G211*Valores!$C$2*100)+0.5)/100</f>
        <v>16643.35</v>
      </c>
      <c r="I211" s="161">
        <v>0</v>
      </c>
      <c r="J211" s="145">
        <f>INT((I211*Valores!$C$2*100)+0.5)/100</f>
        <v>0</v>
      </c>
      <c r="K211" s="160">
        <v>0</v>
      </c>
      <c r="L211" s="145">
        <f>INT((K211*Valores!$C$2*100)+0.5)/100</f>
        <v>0</v>
      </c>
      <c r="M211" s="158">
        <v>0</v>
      </c>
      <c r="N211" s="145">
        <f>INT((M211*Valores!$C$2*100)+0.5)/100</f>
        <v>0</v>
      </c>
      <c r="O211" s="145">
        <f t="shared" si="35"/>
        <v>2939.8694999999993</v>
      </c>
      <c r="P211" s="145">
        <f t="shared" si="36"/>
        <v>0</v>
      </c>
      <c r="Q211" s="159">
        <f>Valores!$C$14*D211</f>
        <v>5565.06</v>
      </c>
      <c r="R211" s="159">
        <f>IF(D211&lt;15,(Valores!$E$4*D211),Valores!$D$4)</f>
        <v>4774.45</v>
      </c>
      <c r="S211" s="145">
        <v>0</v>
      </c>
      <c r="T211" s="148">
        <f>IF($H$5="NO",IF(Valores!$C$46*D211&gt;Valores!$C$44,Valores!$C$44,Valores!$C$46*D211),IF(Valores!$C$46*D211&gt;Valores!$C$44,Valores!$C$44,Valores!$C$46*D211)/2)</f>
        <v>1228.5</v>
      </c>
      <c r="U211" s="159">
        <f>Valores!$C$23*D211</f>
        <v>1727.28</v>
      </c>
      <c r="V211" s="145">
        <f t="shared" si="30"/>
        <v>1727.28</v>
      </c>
      <c r="W211" s="145">
        <v>0</v>
      </c>
      <c r="X211" s="145">
        <v>0</v>
      </c>
      <c r="Y211" s="165">
        <v>0</v>
      </c>
      <c r="Z211" s="145">
        <f>Y211*Valores!$C$2</f>
        <v>0</v>
      </c>
      <c r="AA211" s="145">
        <v>0</v>
      </c>
      <c r="AB211" s="148">
        <f>IF(Valores!$C$92*D211&gt;Valores!$C$91,Valores!$C$91,Valores!$C$92*D211)</f>
        <v>1038.4615384615388</v>
      </c>
      <c r="AC211" s="150">
        <f>IF((Valores!$C$33)*D211&gt;Valores!$F$33,Valores!$F$33,(Valores!$C$33)*D211)</f>
        <v>144.06912</v>
      </c>
      <c r="AD211" s="145">
        <f t="shared" si="38"/>
        <v>0</v>
      </c>
      <c r="AE211" s="145">
        <f>IF(Valores!$C$34*D211&gt;Valores!$F$34,Valores!$F$34,Valores!$C$34*D211)</f>
        <v>119.92780800000001</v>
      </c>
      <c r="AF211" s="149">
        <v>0</v>
      </c>
      <c r="AG211" s="145">
        <f>INT(((AF211*Valores!$C$2)*100)+0.5)/100</f>
        <v>0</v>
      </c>
      <c r="AH211" s="145">
        <f>IF($H$5="NO",IF(Valores!$D$59*'Escala Docente'!D211&gt;Valores!$F$59,Valores!$F$59,Valores!$D$59*'Escala Docente'!D211),IF(Valores!$D$59*'Escala Docente'!D211&gt;Valores!$F$59,Valores!$F$59,Valores!$D$59*'Escala Docente'!D211)/2)</f>
        <v>487.84319999999997</v>
      </c>
      <c r="AI211" s="145">
        <f>IF($H$5="NO",IF(Valores!$D$61*D211&gt;Valores!$F$61,Valores!$F$61,Valores!$D$61*D211),IF(Valores!$D$61*D211&gt;Valores!$F$61,Valores!$F$61,Valores!$D$61*D211)/2)</f>
        <v>139.3956</v>
      </c>
      <c r="AJ211" s="151">
        <f t="shared" si="39"/>
        <v>34808.206766461546</v>
      </c>
      <c r="AK211" s="159">
        <f>IF(Valores!$C$37*D211&gt;Valores!$F$37,Valores!$F$37,Valores!$C$37*D211)</f>
        <v>1256.22</v>
      </c>
      <c r="AL211" s="148">
        <f>IF(Valores!$C$11*D211&gt;Valores!$F$11,Valores!$F$11,Valores!$C$11*D211)</f>
        <v>0</v>
      </c>
      <c r="AM211" s="148">
        <f>IF(Valores!$C$87*D211&gt;Valores!$C$86,Valores!$C$86,Valores!$C$87*D211)</f>
        <v>2047.4999999999998</v>
      </c>
      <c r="AN211" s="148"/>
      <c r="AO211" s="150">
        <f>IF(Valores!$C$57*D211&gt;Valores!$F$57,Valores!$F$57,Valores!$C$57*D211)</f>
        <v>255.6</v>
      </c>
      <c r="AP211" s="152">
        <f t="shared" si="37"/>
        <v>3303.72</v>
      </c>
      <c r="AQ211" s="154">
        <f>AJ211*-Valores!$C$68</f>
        <v>-3828.9027443107702</v>
      </c>
      <c r="AR211" s="154">
        <f>AJ211*-Valores!$C$69</f>
        <v>0</v>
      </c>
      <c r="AS211" s="147">
        <f>AJ211*-Valores!$C$70</f>
        <v>-1566.3693044907695</v>
      </c>
      <c r="AT211" s="147">
        <v>-159.43</v>
      </c>
      <c r="AU211" s="147">
        <f t="shared" si="40"/>
        <v>-53.83</v>
      </c>
      <c r="AV211" s="151">
        <f t="shared" si="41"/>
        <v>32503.394717660005</v>
      </c>
      <c r="AW211" s="155"/>
      <c r="AX211" s="155">
        <f t="shared" si="33"/>
        <v>72</v>
      </c>
      <c r="AY211" s="140" t="s">
        <v>4</v>
      </c>
    </row>
    <row r="212" spans="1:51" s="117" customFormat="1" ht="11.25" customHeight="1">
      <c r="A212" s="157">
        <v>210</v>
      </c>
      <c r="B212" s="157" t="s">
        <v>143</v>
      </c>
      <c r="C212" s="140" t="s">
        <v>500</v>
      </c>
      <c r="D212" s="140">
        <v>19</v>
      </c>
      <c r="E212" s="140">
        <f t="shared" si="34"/>
        <v>37</v>
      </c>
      <c r="F212" s="141" t="str">
        <f t="shared" si="31"/>
        <v>Hora Cátedra Enseñanza Superior 19 hs</v>
      </c>
      <c r="G212" s="142">
        <f t="shared" si="32"/>
        <v>1881</v>
      </c>
      <c r="H212" s="143">
        <f>INT((G212*Valores!$C$2*100)+0.5)/100</f>
        <v>17567.98</v>
      </c>
      <c r="I212" s="161">
        <v>0</v>
      </c>
      <c r="J212" s="145">
        <f>INT((I212*Valores!$C$2*100)+0.5)/100</f>
        <v>0</v>
      </c>
      <c r="K212" s="160">
        <v>0</v>
      </c>
      <c r="L212" s="145">
        <f>INT((K212*Valores!$C$2*100)+0.5)/100</f>
        <v>0</v>
      </c>
      <c r="M212" s="158">
        <v>0</v>
      </c>
      <c r="N212" s="145">
        <f>INT((M212*Valores!$C$2*100)+0.5)/100</f>
        <v>0</v>
      </c>
      <c r="O212" s="145">
        <f t="shared" si="35"/>
        <v>3103.1955000000003</v>
      </c>
      <c r="P212" s="145">
        <f t="shared" si="36"/>
        <v>0</v>
      </c>
      <c r="Q212" s="159">
        <f>Valores!$C$14*D212</f>
        <v>5874.2300000000005</v>
      </c>
      <c r="R212" s="159">
        <f>IF(D212&lt;15,(Valores!$E$4*D212),Valores!$D$4)</f>
        <v>4774.45</v>
      </c>
      <c r="S212" s="145">
        <v>0</v>
      </c>
      <c r="T212" s="148">
        <f>IF($H$5="NO",IF(Valores!$C$46*D212&gt;Valores!$C$44,Valores!$C$44,Valores!$C$46*D212),IF(Valores!$C$46*D212&gt;Valores!$C$44,Valores!$C$44,Valores!$C$46*D212)/2)</f>
        <v>1296.75</v>
      </c>
      <c r="U212" s="159">
        <f>Valores!$C$23*D212</f>
        <v>1823.2399999999998</v>
      </c>
      <c r="V212" s="145">
        <f t="shared" si="30"/>
        <v>1823.2399999999998</v>
      </c>
      <c r="W212" s="145">
        <v>0</v>
      </c>
      <c r="X212" s="145">
        <v>0</v>
      </c>
      <c r="Y212" s="165">
        <v>0</v>
      </c>
      <c r="Z212" s="145">
        <f>Y212*Valores!$C$2</f>
        <v>0</v>
      </c>
      <c r="AA212" s="145">
        <v>0</v>
      </c>
      <c r="AB212" s="148">
        <f>IF(Valores!$C$92*D212&gt;Valores!$C$91,Valores!$C$91,Valores!$C$92*D212)</f>
        <v>1096.1538461538464</v>
      </c>
      <c r="AC212" s="150">
        <f>IF((Valores!$C$33)*D212&gt;Valores!$F$33,Valores!$F$33,(Valores!$C$33)*D212)</f>
        <v>152.07296</v>
      </c>
      <c r="AD212" s="145">
        <f t="shared" si="38"/>
        <v>0</v>
      </c>
      <c r="AE212" s="145">
        <f>IF(Valores!$C$34*D212&gt;Valores!$F$34,Valores!$F$34,Valores!$C$34*D212)</f>
        <v>126.59046400000003</v>
      </c>
      <c r="AF212" s="149">
        <v>0</v>
      </c>
      <c r="AG212" s="145">
        <f>INT(((AF212*Valores!$C$2)*100)+0.5)/100</f>
        <v>0</v>
      </c>
      <c r="AH212" s="145">
        <f>IF($H$5="NO",IF(Valores!$D$59*'Escala Docente'!D212&gt;Valores!$F$59,Valores!$F$59,Valores!$D$59*'Escala Docente'!D212),IF(Valores!$D$59*'Escala Docente'!D212&gt;Valores!$F$59,Valores!$F$59,Valores!$D$59*'Escala Docente'!D212)/2)</f>
        <v>514.9456</v>
      </c>
      <c r="AI212" s="145">
        <f>IF($H$5="NO",IF(Valores!$D$61*D212&gt;Valores!$F$61,Valores!$F$61,Valores!$D$61*D212),IF(Valores!$D$61*D212&gt;Valores!$F$61,Valores!$F$61,Valores!$D$61*D212)/2)</f>
        <v>147.1398</v>
      </c>
      <c r="AJ212" s="151">
        <f t="shared" si="39"/>
        <v>36476.74817015384</v>
      </c>
      <c r="AK212" s="159">
        <f>IF(Valores!$C$37*D212&gt;Valores!$F$37,Valores!$F$37,Valores!$C$37*D212)</f>
        <v>1326.0100000000002</v>
      </c>
      <c r="AL212" s="148">
        <f>IF(Valores!$C$11*D212&gt;Valores!$F$11,Valores!$F$11,Valores!$C$11*D212)</f>
        <v>0</v>
      </c>
      <c r="AM212" s="148">
        <f>IF(Valores!$C$87*D212&gt;Valores!$C$86,Valores!$C$86,Valores!$C$87*D212)</f>
        <v>2161.2499999999995</v>
      </c>
      <c r="AN212" s="148"/>
      <c r="AO212" s="150">
        <f>IF(Valores!$C$57*D212&gt;Valores!$F$57,Valores!$F$57,Valores!$C$57*D212)</f>
        <v>269.8</v>
      </c>
      <c r="AP212" s="152">
        <f t="shared" si="37"/>
        <v>3487.2599999999998</v>
      </c>
      <c r="AQ212" s="154">
        <f>AJ212*-Valores!$C$68</f>
        <v>-4012.442298716923</v>
      </c>
      <c r="AR212" s="154">
        <f>AJ212*-Valores!$C$69</f>
        <v>0</v>
      </c>
      <c r="AS212" s="147">
        <f>AJ212*-Valores!$C$70</f>
        <v>-1641.4536676569228</v>
      </c>
      <c r="AT212" s="147">
        <v>-159.43</v>
      </c>
      <c r="AU212" s="147">
        <f t="shared" si="40"/>
        <v>-53.83</v>
      </c>
      <c r="AV212" s="151">
        <f t="shared" si="41"/>
        <v>34096.85220377999</v>
      </c>
      <c r="AW212" s="155"/>
      <c r="AX212" s="155">
        <f t="shared" si="33"/>
        <v>76</v>
      </c>
      <c r="AY212" s="140" t="s">
        <v>4</v>
      </c>
    </row>
    <row r="213" spans="1:51" s="117" customFormat="1" ht="11.25" customHeight="1">
      <c r="A213" s="139">
        <v>211</v>
      </c>
      <c r="B213" s="139"/>
      <c r="C213" s="140" t="s">
        <v>500</v>
      </c>
      <c r="D213" s="140">
        <v>20</v>
      </c>
      <c r="E213" s="140">
        <f t="shared" si="34"/>
        <v>37</v>
      </c>
      <c r="F213" s="141" t="str">
        <f t="shared" si="31"/>
        <v>Hora Cátedra Enseñanza Superior 20 hs</v>
      </c>
      <c r="G213" s="142">
        <f t="shared" si="32"/>
        <v>1980</v>
      </c>
      <c r="H213" s="143">
        <f>INT((G213*Valores!$C$2*100)+0.5)/100</f>
        <v>18492.61</v>
      </c>
      <c r="I213" s="161">
        <v>0</v>
      </c>
      <c r="J213" s="145">
        <f>INT((I213*Valores!$C$2*100)+0.5)/100</f>
        <v>0</v>
      </c>
      <c r="K213" s="160">
        <v>0</v>
      </c>
      <c r="L213" s="145">
        <f>INT((K213*Valores!$C$2*100)+0.5)/100</f>
        <v>0</v>
      </c>
      <c r="M213" s="158">
        <v>0</v>
      </c>
      <c r="N213" s="145">
        <f>INT((M213*Valores!$C$2*100)+0.5)/100</f>
        <v>0</v>
      </c>
      <c r="O213" s="145">
        <f t="shared" si="35"/>
        <v>3266.5215000000003</v>
      </c>
      <c r="P213" s="145">
        <f t="shared" si="36"/>
        <v>0</v>
      </c>
      <c r="Q213" s="159">
        <f>Valores!$C$14*D213</f>
        <v>6183.400000000001</v>
      </c>
      <c r="R213" s="159">
        <f>IF(D213&lt;15,(Valores!$E$4*D213),Valores!$D$4)</f>
        <v>4774.45</v>
      </c>
      <c r="S213" s="145">
        <v>0</v>
      </c>
      <c r="T213" s="148">
        <f>IF($H$5="NO",IF(Valores!$C$46*D213&gt;Valores!$C$44,Valores!$C$44,Valores!$C$46*D213),IF(Valores!$C$46*D213&gt;Valores!$C$44,Valores!$C$44,Valores!$C$46*D213)/2)</f>
        <v>1365</v>
      </c>
      <c r="U213" s="159">
        <f>Valores!$C$23*D213</f>
        <v>1919.1999999999998</v>
      </c>
      <c r="V213" s="145">
        <f t="shared" si="30"/>
        <v>1919.1999999999998</v>
      </c>
      <c r="W213" s="145">
        <v>0</v>
      </c>
      <c r="X213" s="145">
        <v>0</v>
      </c>
      <c r="Y213" s="165">
        <v>0</v>
      </c>
      <c r="Z213" s="145">
        <f>Y213*Valores!$C$2</f>
        <v>0</v>
      </c>
      <c r="AA213" s="145">
        <v>0</v>
      </c>
      <c r="AB213" s="148">
        <f>IF(Valores!$C$92*D213&gt;Valores!$C$91,Valores!$C$91,Valores!$C$92*D213)</f>
        <v>1153.8461538461543</v>
      </c>
      <c r="AC213" s="150">
        <f>IF((Valores!$C$33)*D213&gt;Valores!$F$33,Valores!$F$33,(Valores!$C$33)*D213)</f>
        <v>160.0768</v>
      </c>
      <c r="AD213" s="145">
        <f t="shared" si="38"/>
        <v>0</v>
      </c>
      <c r="AE213" s="145">
        <f>IF(Valores!$C$34*D213&gt;Valores!$F$34,Valores!$F$34,Valores!$C$34*D213)</f>
        <v>133.25312000000002</v>
      </c>
      <c r="AF213" s="149">
        <v>0</v>
      </c>
      <c r="AG213" s="145">
        <f>INT(((AF213*Valores!$C$2)*100)+0.5)/100</f>
        <v>0</v>
      </c>
      <c r="AH213" s="145">
        <f>IF($H$5="NO",IF(Valores!$D$59*'Escala Docente'!D213&gt;Valores!$F$59,Valores!$F$59,Valores!$D$59*'Escala Docente'!D213),IF(Valores!$D$59*'Escala Docente'!D213&gt;Valores!$F$59,Valores!$F$59,Valores!$D$59*'Escala Docente'!D213)/2)</f>
        <v>542.048</v>
      </c>
      <c r="AI213" s="145">
        <f>IF($H$5="NO",IF(Valores!$D$61*D213&gt;Valores!$F$61,Valores!$F$61,Valores!$D$61*D213),IF(Valores!$D$61*D213&gt;Valores!$F$61,Valores!$F$61,Valores!$D$61*D213)/2)</f>
        <v>154.88400000000001</v>
      </c>
      <c r="AJ213" s="151">
        <f t="shared" si="39"/>
        <v>38145.28957384616</v>
      </c>
      <c r="AK213" s="159">
        <f>IF(Valores!$C$37*D213&gt;Valores!$F$37,Valores!$F$37,Valores!$C$37*D213)</f>
        <v>1395.8000000000002</v>
      </c>
      <c r="AL213" s="148">
        <f>IF(Valores!$C$11*D213&gt;Valores!$F$11,Valores!$F$11,Valores!$C$11*D213)</f>
        <v>0</v>
      </c>
      <c r="AM213" s="148">
        <f>IF(Valores!$C$87*D213&gt;Valores!$C$86,Valores!$C$86,Valores!$C$87*D213)</f>
        <v>2274.9999999999995</v>
      </c>
      <c r="AN213" s="148"/>
      <c r="AO213" s="150">
        <f>IF(Valores!$C$57*D213&gt;Valores!$F$57,Valores!$F$57,Valores!$C$57*D213)</f>
        <v>284</v>
      </c>
      <c r="AP213" s="152">
        <f t="shared" si="37"/>
        <v>3670.7999999999997</v>
      </c>
      <c r="AQ213" s="154">
        <f>AJ213*-Valores!$C$68</f>
        <v>-4195.981853123078</v>
      </c>
      <c r="AR213" s="154">
        <f>AJ213*-Valores!$C$69</f>
        <v>0</v>
      </c>
      <c r="AS213" s="147">
        <f>AJ213*-Valores!$C$70</f>
        <v>-1716.5380308230772</v>
      </c>
      <c r="AT213" s="147">
        <v>-159.43</v>
      </c>
      <c r="AU213" s="147">
        <f t="shared" si="40"/>
        <v>-53.83</v>
      </c>
      <c r="AV213" s="151">
        <f t="shared" si="41"/>
        <v>35690.30968990001</v>
      </c>
      <c r="AW213" s="155"/>
      <c r="AX213" s="155">
        <f t="shared" si="33"/>
        <v>80</v>
      </c>
      <c r="AY213" s="140" t="s">
        <v>4</v>
      </c>
    </row>
    <row r="214" spans="1:51" s="117" customFormat="1" ht="11.25" customHeight="1">
      <c r="A214" s="139">
        <v>212</v>
      </c>
      <c r="B214" s="139"/>
      <c r="C214" s="140" t="s">
        <v>500</v>
      </c>
      <c r="D214" s="140">
        <v>21</v>
      </c>
      <c r="E214" s="140">
        <f t="shared" si="34"/>
        <v>37</v>
      </c>
      <c r="F214" s="141" t="str">
        <f t="shared" si="31"/>
        <v>Hora Cátedra Enseñanza Superior 21 hs</v>
      </c>
      <c r="G214" s="142">
        <f t="shared" si="32"/>
        <v>2079</v>
      </c>
      <c r="H214" s="143">
        <f>INT((G214*Valores!$C$2*100)+0.5)/100</f>
        <v>19417.24</v>
      </c>
      <c r="I214" s="161">
        <v>0</v>
      </c>
      <c r="J214" s="145">
        <f>INT((I214*Valores!$C$2*100)+0.5)/100</f>
        <v>0</v>
      </c>
      <c r="K214" s="160">
        <v>0</v>
      </c>
      <c r="L214" s="145">
        <f>INT((K214*Valores!$C$2*100)+0.5)/100</f>
        <v>0</v>
      </c>
      <c r="M214" s="158">
        <v>0</v>
      </c>
      <c r="N214" s="145">
        <f>INT((M214*Valores!$C$2*100)+0.5)/100</f>
        <v>0</v>
      </c>
      <c r="O214" s="145">
        <f t="shared" si="35"/>
        <v>3429.8475000000003</v>
      </c>
      <c r="P214" s="145">
        <f t="shared" si="36"/>
        <v>0</v>
      </c>
      <c r="Q214" s="159">
        <f>Valores!$C$14*D214</f>
        <v>6492.570000000001</v>
      </c>
      <c r="R214" s="159">
        <f>IF(D214&lt;15,(Valores!$E$4*D214),Valores!$D$4)</f>
        <v>4774.45</v>
      </c>
      <c r="S214" s="145">
        <v>0</v>
      </c>
      <c r="T214" s="148">
        <f>IF($H$5="NO",IF(Valores!$C$46*D214&gt;Valores!$C$44,Valores!$C$44,Valores!$C$46*D214),IF(Valores!$C$46*D214&gt;Valores!$C$44,Valores!$C$44,Valores!$C$46*D214)/2)</f>
        <v>1433.25</v>
      </c>
      <c r="U214" s="159">
        <f>Valores!$C$23*D214</f>
        <v>2015.1599999999999</v>
      </c>
      <c r="V214" s="145">
        <f t="shared" si="30"/>
        <v>2015.1599999999999</v>
      </c>
      <c r="W214" s="145">
        <v>0</v>
      </c>
      <c r="X214" s="145">
        <v>0</v>
      </c>
      <c r="Y214" s="165">
        <v>0</v>
      </c>
      <c r="Z214" s="145">
        <f>Y214*Valores!$C$2</f>
        <v>0</v>
      </c>
      <c r="AA214" s="145">
        <v>0</v>
      </c>
      <c r="AB214" s="148">
        <f>IF(Valores!$C$92*D214&gt;Valores!$C$91,Valores!$C$91,Valores!$C$92*D214)</f>
        <v>1211.538461538462</v>
      </c>
      <c r="AC214" s="150">
        <f>IF((Valores!$C$33)*D214&gt;Valores!$F$33,Valores!$F$33,(Valores!$C$33)*D214)</f>
        <v>168.08064000000002</v>
      </c>
      <c r="AD214" s="145">
        <f t="shared" si="38"/>
        <v>0</v>
      </c>
      <c r="AE214" s="145">
        <f>IF(Valores!$C$34*D214&gt;Valores!$F$34,Valores!$F$34,Valores!$C$34*D214)</f>
        <v>139.91577600000002</v>
      </c>
      <c r="AF214" s="149">
        <v>0</v>
      </c>
      <c r="AG214" s="145">
        <f>INT(((AF214*Valores!$C$2)*100)+0.5)/100</f>
        <v>0</v>
      </c>
      <c r="AH214" s="145">
        <f>IF($H$5="NO",IF(Valores!$D$59*'Escala Docente'!D214&gt;Valores!$F$59,Valores!$F$59,Valores!$D$59*'Escala Docente'!D214),IF(Valores!$D$59*'Escala Docente'!D214&gt;Valores!$F$59,Valores!$F$59,Valores!$D$59*'Escala Docente'!D214)/2)</f>
        <v>569.1504</v>
      </c>
      <c r="AI214" s="145">
        <f>IF($H$5="NO",IF(Valores!$D$61*D214&gt;Valores!$F$61,Valores!$F$61,Valores!$D$61*D214),IF(Valores!$D$61*D214&gt;Valores!$F$61,Valores!$F$61,Valores!$D$61*D214)/2)</f>
        <v>162.6282</v>
      </c>
      <c r="AJ214" s="151">
        <f t="shared" si="39"/>
        <v>39813.83097753846</v>
      </c>
      <c r="AK214" s="159">
        <f>IF(Valores!$C$37*D214&gt;Valores!$F$37,Valores!$F$37,Valores!$C$37*D214)</f>
        <v>1465.5900000000001</v>
      </c>
      <c r="AL214" s="148">
        <f>IF(Valores!$C$11*D214&gt;Valores!$F$11,Valores!$F$11,Valores!$C$11*D214)</f>
        <v>0</v>
      </c>
      <c r="AM214" s="148">
        <f>IF(Valores!$C$87*D214&gt;Valores!$C$86,Valores!$C$86,Valores!$C$87*D214)</f>
        <v>2388.7499999999995</v>
      </c>
      <c r="AN214" s="148"/>
      <c r="AO214" s="150">
        <f>IF(Valores!$C$57*D214&gt;Valores!$F$57,Valores!$F$57,Valores!$C$57*D214)</f>
        <v>298.2</v>
      </c>
      <c r="AP214" s="152">
        <f t="shared" si="37"/>
        <v>3854.3399999999997</v>
      </c>
      <c r="AQ214" s="154">
        <f>AJ214*-Valores!$C$68</f>
        <v>-4379.521407529231</v>
      </c>
      <c r="AR214" s="154">
        <f>AJ214*-Valores!$C$69</f>
        <v>0</v>
      </c>
      <c r="AS214" s="147">
        <f>AJ214*-Valores!$C$70</f>
        <v>-1791.6223939892307</v>
      </c>
      <c r="AT214" s="147">
        <v>-159.43</v>
      </c>
      <c r="AU214" s="147">
        <f t="shared" si="40"/>
        <v>-53.83</v>
      </c>
      <c r="AV214" s="151">
        <f t="shared" si="41"/>
        <v>37283.767176019996</v>
      </c>
      <c r="AW214" s="155"/>
      <c r="AX214" s="155">
        <f t="shared" si="33"/>
        <v>84</v>
      </c>
      <c r="AY214" s="140" t="s">
        <v>8</v>
      </c>
    </row>
    <row r="215" spans="1:51" s="117" customFormat="1" ht="11.25" customHeight="1">
      <c r="A215" s="139">
        <v>213</v>
      </c>
      <c r="B215" s="139"/>
      <c r="C215" s="140" t="s">
        <v>500</v>
      </c>
      <c r="D215" s="140">
        <v>22</v>
      </c>
      <c r="E215" s="140">
        <f t="shared" si="34"/>
        <v>37</v>
      </c>
      <c r="F215" s="141" t="str">
        <f t="shared" si="31"/>
        <v>Hora Cátedra Enseñanza Superior 22 hs</v>
      </c>
      <c r="G215" s="142">
        <f t="shared" si="32"/>
        <v>2178</v>
      </c>
      <c r="H215" s="143">
        <f>INT((G215*Valores!$C$2*100)+0.5)/100</f>
        <v>20341.87</v>
      </c>
      <c r="I215" s="161">
        <v>0</v>
      </c>
      <c r="J215" s="145">
        <f>INT((I215*Valores!$C$2*100)+0.5)/100</f>
        <v>0</v>
      </c>
      <c r="K215" s="160">
        <v>0</v>
      </c>
      <c r="L215" s="145">
        <f>INT((K215*Valores!$C$2*100)+0.5)/100</f>
        <v>0</v>
      </c>
      <c r="M215" s="158">
        <v>0</v>
      </c>
      <c r="N215" s="145">
        <f>INT((M215*Valores!$C$2*100)+0.5)/100</f>
        <v>0</v>
      </c>
      <c r="O215" s="145">
        <f t="shared" si="35"/>
        <v>3593.1734999999994</v>
      </c>
      <c r="P215" s="145">
        <f t="shared" si="36"/>
        <v>0</v>
      </c>
      <c r="Q215" s="159">
        <f>Valores!$C$14*D215</f>
        <v>6801.740000000001</v>
      </c>
      <c r="R215" s="159">
        <f>IF(D215&lt;15,(Valores!$E$4*D215),Valores!$D$4)</f>
        <v>4774.45</v>
      </c>
      <c r="S215" s="145">
        <v>0</v>
      </c>
      <c r="T215" s="148">
        <f>IF($H$5="NO",IF(Valores!$C$46*D215&gt;Valores!$C$44,Valores!$C$44,Valores!$C$46*D215),IF(Valores!$C$46*D215&gt;Valores!$C$44,Valores!$C$44,Valores!$C$46*D215)/2)</f>
        <v>1501.5</v>
      </c>
      <c r="U215" s="159">
        <f>Valores!$C$23*D215</f>
        <v>2111.12</v>
      </c>
      <c r="V215" s="145">
        <f t="shared" si="30"/>
        <v>2111.12</v>
      </c>
      <c r="W215" s="145">
        <v>0</v>
      </c>
      <c r="X215" s="145">
        <v>0</v>
      </c>
      <c r="Y215" s="165">
        <v>0</v>
      </c>
      <c r="Z215" s="145">
        <f>Y215*Valores!$C$2</f>
        <v>0</v>
      </c>
      <c r="AA215" s="145">
        <v>0</v>
      </c>
      <c r="AB215" s="148">
        <f>IF(Valores!$C$92*D215&gt;Valores!$C$91,Valores!$C$91,Valores!$C$92*D215)</f>
        <v>1269.2307692307695</v>
      </c>
      <c r="AC215" s="150">
        <f>IF((Valores!$C$33)*D215&gt;Valores!$F$33,Valores!$F$33,(Valores!$C$33)*D215)</f>
        <v>176.08448</v>
      </c>
      <c r="AD215" s="145">
        <f t="shared" si="38"/>
        <v>0</v>
      </c>
      <c r="AE215" s="145">
        <f>IF(Valores!$C$34*D215&gt;Valores!$F$34,Valores!$F$34,Valores!$C$34*D215)</f>
        <v>146.57843200000002</v>
      </c>
      <c r="AF215" s="149">
        <v>0</v>
      </c>
      <c r="AG215" s="145">
        <f>INT(((AF215*Valores!$C$2)*100)+0.5)/100</f>
        <v>0</v>
      </c>
      <c r="AH215" s="145">
        <f>IF($H$5="NO",IF(Valores!$D$59*'Escala Docente'!D215&gt;Valores!$F$59,Valores!$F$59,Valores!$D$59*'Escala Docente'!D215),IF(Valores!$D$59*'Escala Docente'!D215&gt;Valores!$F$59,Valores!$F$59,Valores!$D$59*'Escala Docente'!D215)/2)</f>
        <v>596.2528</v>
      </c>
      <c r="AI215" s="145">
        <f>IF($H$5="NO",IF(Valores!$D$61*D215&gt;Valores!$F$61,Valores!$F$61,Valores!$D$61*D215),IF(Valores!$D$61*D215&gt;Valores!$F$61,Valores!$F$61,Valores!$D$61*D215)/2)</f>
        <v>170.3724</v>
      </c>
      <c r="AJ215" s="151">
        <f t="shared" si="39"/>
        <v>41482.37238123077</v>
      </c>
      <c r="AK215" s="159">
        <f>IF(Valores!$C$37*D215&gt;Valores!$F$37,Valores!$F$37,Valores!$C$37*D215)</f>
        <v>1535.38</v>
      </c>
      <c r="AL215" s="148">
        <f>IF(Valores!$C$11*D215&gt;Valores!$F$11,Valores!$F$11,Valores!$C$11*D215)</f>
        <v>0</v>
      </c>
      <c r="AM215" s="148">
        <f>IF(Valores!$C$87*D215&gt;Valores!$C$86,Valores!$C$86,Valores!$C$87*D215)</f>
        <v>2502.4999999999995</v>
      </c>
      <c r="AN215" s="148"/>
      <c r="AO215" s="150">
        <f>IF(Valores!$C$57*D215&gt;Valores!$F$57,Valores!$F$57,Valores!$C$57*D215)</f>
        <v>312.4</v>
      </c>
      <c r="AP215" s="152">
        <f t="shared" si="37"/>
        <v>4037.8799999999997</v>
      </c>
      <c r="AQ215" s="154">
        <f>AJ215*-Valores!$C$68</f>
        <v>-4563.060961935385</v>
      </c>
      <c r="AR215" s="154">
        <f>AJ215*-Valores!$C$69</f>
        <v>0</v>
      </c>
      <c r="AS215" s="147">
        <f>AJ215*-Valores!$C$70</f>
        <v>-1866.7067571553846</v>
      </c>
      <c r="AT215" s="147">
        <v>-159.43</v>
      </c>
      <c r="AU215" s="147">
        <f t="shared" si="40"/>
        <v>-53.83</v>
      </c>
      <c r="AV215" s="151">
        <f t="shared" si="41"/>
        <v>38877.22466214</v>
      </c>
      <c r="AW215" s="155"/>
      <c r="AX215" s="155">
        <f t="shared" si="33"/>
        <v>88</v>
      </c>
      <c r="AY215" s="140" t="s">
        <v>4</v>
      </c>
    </row>
    <row r="216" spans="1:51" s="117" customFormat="1" ht="11.25" customHeight="1">
      <c r="A216" s="139">
        <v>214</v>
      </c>
      <c r="B216" s="139"/>
      <c r="C216" s="140" t="s">
        <v>500</v>
      </c>
      <c r="D216" s="140">
        <v>23</v>
      </c>
      <c r="E216" s="140">
        <f t="shared" si="34"/>
        <v>37</v>
      </c>
      <c r="F216" s="141" t="str">
        <f t="shared" si="31"/>
        <v>Hora Cátedra Enseñanza Superior 23 hs</v>
      </c>
      <c r="G216" s="142">
        <f t="shared" si="32"/>
        <v>2277</v>
      </c>
      <c r="H216" s="143">
        <f>INT((G216*Valores!$C$2*100)+0.5)/100</f>
        <v>21266.5</v>
      </c>
      <c r="I216" s="161">
        <v>0</v>
      </c>
      <c r="J216" s="145">
        <f>INT((I216*Valores!$C$2*100)+0.5)/100</f>
        <v>0</v>
      </c>
      <c r="K216" s="160">
        <v>0</v>
      </c>
      <c r="L216" s="145">
        <f>INT((K216*Valores!$C$2*100)+0.5)/100</f>
        <v>0</v>
      </c>
      <c r="M216" s="158">
        <v>0</v>
      </c>
      <c r="N216" s="145">
        <f>INT((M216*Valores!$C$2*100)+0.5)/100</f>
        <v>0</v>
      </c>
      <c r="O216" s="145">
        <f t="shared" si="35"/>
        <v>3756.4995</v>
      </c>
      <c r="P216" s="145">
        <f t="shared" si="36"/>
        <v>0</v>
      </c>
      <c r="Q216" s="159">
        <f>Valores!$C$14*D216</f>
        <v>7110.910000000001</v>
      </c>
      <c r="R216" s="159">
        <f>IF(D216&lt;15,(Valores!$E$4*D216),Valores!$D$4)</f>
        <v>4774.45</v>
      </c>
      <c r="S216" s="145">
        <v>0</v>
      </c>
      <c r="T216" s="148">
        <f>IF($H$5="NO",IF(Valores!$C$46*D216&gt;Valores!$C$44,Valores!$C$44,Valores!$C$46*D216),IF(Valores!$C$46*D216&gt;Valores!$C$44,Valores!$C$44,Valores!$C$46*D216)/2)</f>
        <v>1569.75</v>
      </c>
      <c r="U216" s="159">
        <f>Valores!$C$23*D216</f>
        <v>2207.08</v>
      </c>
      <c r="V216" s="145">
        <f t="shared" si="30"/>
        <v>2207.08</v>
      </c>
      <c r="W216" s="145">
        <v>0</v>
      </c>
      <c r="X216" s="145">
        <v>0</v>
      </c>
      <c r="Y216" s="165">
        <v>0</v>
      </c>
      <c r="Z216" s="145">
        <f>Y216*Valores!$C$2</f>
        <v>0</v>
      </c>
      <c r="AA216" s="145">
        <v>0</v>
      </c>
      <c r="AB216" s="148">
        <f>IF(Valores!$C$92*D216&gt;Valores!$C$91,Valores!$C$91,Valores!$C$92*D216)</f>
        <v>1326.9230769230774</v>
      </c>
      <c r="AC216" s="150">
        <f>IF((Valores!$C$33)*D216&gt;Valores!$F$33,Valores!$F$33,(Valores!$C$33)*D216)</f>
        <v>184.08832</v>
      </c>
      <c r="AD216" s="145">
        <f t="shared" si="38"/>
        <v>0</v>
      </c>
      <c r="AE216" s="145">
        <f>IF(Valores!$C$34*D216&gt;Valores!$F$34,Valores!$F$34,Valores!$C$34*D216)</f>
        <v>153.24108800000002</v>
      </c>
      <c r="AF216" s="149">
        <v>0</v>
      </c>
      <c r="AG216" s="145">
        <f>INT(((AF216*Valores!$C$2)*100)+0.5)/100</f>
        <v>0</v>
      </c>
      <c r="AH216" s="145">
        <f>IF($H$5="NO",IF(Valores!$D$59*'Escala Docente'!D216&gt;Valores!$F$59,Valores!$F$59,Valores!$D$59*'Escala Docente'!D216),IF(Valores!$D$59*'Escala Docente'!D216&gt;Valores!$F$59,Valores!$F$59,Valores!$D$59*'Escala Docente'!D216)/2)</f>
        <v>623.3552</v>
      </c>
      <c r="AI216" s="145">
        <f>IF($H$5="NO",IF(Valores!$D$61*D216&gt;Valores!$F$61,Valores!$F$61,Valores!$D$61*D216),IF(Valores!$D$61*D216&gt;Valores!$F$61,Valores!$F$61,Valores!$D$61*D216)/2)</f>
        <v>178.1166</v>
      </c>
      <c r="AJ216" s="151">
        <f t="shared" si="39"/>
        <v>43150.91378492308</v>
      </c>
      <c r="AK216" s="159">
        <f>IF(Valores!$C$37*D216&gt;Valores!$F$37,Valores!$F$37,Valores!$C$37*D216)</f>
        <v>1605.17</v>
      </c>
      <c r="AL216" s="148">
        <f>IF(Valores!$C$11*D216&gt;Valores!$F$11,Valores!$F$11,Valores!$C$11*D216)</f>
        <v>0</v>
      </c>
      <c r="AM216" s="148">
        <f>IF(Valores!$C$87*D216&gt;Valores!$C$86,Valores!$C$86,Valores!$C$87*D216)</f>
        <v>2616.2499999999995</v>
      </c>
      <c r="AN216" s="148"/>
      <c r="AO216" s="150">
        <f>IF(Valores!$C$57*D216&gt;Valores!$F$57,Valores!$F$57,Valores!$C$57*D216)</f>
        <v>326.59999999999997</v>
      </c>
      <c r="AP216" s="152">
        <f t="shared" si="37"/>
        <v>4221.42</v>
      </c>
      <c r="AQ216" s="154">
        <f>AJ216*-Valores!$C$68</f>
        <v>-4746.600516341539</v>
      </c>
      <c r="AR216" s="154">
        <f>AJ216*-Valores!$C$69</f>
        <v>0</v>
      </c>
      <c r="AS216" s="147">
        <f>AJ216*-Valores!$C$70</f>
        <v>-1941.7911203215388</v>
      </c>
      <c r="AT216" s="147">
        <v>-159.43</v>
      </c>
      <c r="AU216" s="147">
        <f t="shared" si="40"/>
        <v>-53.83</v>
      </c>
      <c r="AV216" s="151">
        <f t="shared" si="41"/>
        <v>40470.68214826</v>
      </c>
      <c r="AW216" s="155"/>
      <c r="AX216" s="155">
        <f t="shared" si="33"/>
        <v>92</v>
      </c>
      <c r="AY216" s="140" t="s">
        <v>8</v>
      </c>
    </row>
    <row r="217" spans="1:51" s="117" customFormat="1" ht="11.25" customHeight="1">
      <c r="A217" s="157">
        <v>215</v>
      </c>
      <c r="B217" s="157" t="s">
        <v>143</v>
      </c>
      <c r="C217" s="140" t="s">
        <v>500</v>
      </c>
      <c r="D217" s="140">
        <v>24</v>
      </c>
      <c r="E217" s="140">
        <f t="shared" si="34"/>
        <v>37</v>
      </c>
      <c r="F217" s="141" t="str">
        <f t="shared" si="31"/>
        <v>Hora Cátedra Enseñanza Superior 24 hs</v>
      </c>
      <c r="G217" s="142">
        <f t="shared" si="32"/>
        <v>2376</v>
      </c>
      <c r="H217" s="143">
        <f>INT((G217*Valores!$C$2*100)+0.5)/100</f>
        <v>22191.13</v>
      </c>
      <c r="I217" s="161">
        <v>0</v>
      </c>
      <c r="J217" s="145">
        <f>INT((I217*Valores!$C$2*100)+0.5)/100</f>
        <v>0</v>
      </c>
      <c r="K217" s="160">
        <v>0</v>
      </c>
      <c r="L217" s="145">
        <f>INT((K217*Valores!$C$2*100)+0.5)/100</f>
        <v>0</v>
      </c>
      <c r="M217" s="158">
        <v>0</v>
      </c>
      <c r="N217" s="145">
        <f>INT((M217*Valores!$C$2*100)+0.5)/100</f>
        <v>0</v>
      </c>
      <c r="O217" s="145">
        <f t="shared" si="35"/>
        <v>3919.8255</v>
      </c>
      <c r="P217" s="145">
        <f t="shared" si="36"/>
        <v>0</v>
      </c>
      <c r="Q217" s="159">
        <f>Valores!$C$14*D217</f>
        <v>7420.08</v>
      </c>
      <c r="R217" s="159">
        <f>IF(D217&lt;15,(Valores!$E$4*D217),Valores!$D$4)</f>
        <v>4774.45</v>
      </c>
      <c r="S217" s="145">
        <v>0</v>
      </c>
      <c r="T217" s="148">
        <f>IF($H$5="NO",IF(Valores!$C$46*D217&gt;Valores!$C$44,Valores!$C$44,Valores!$C$46*D217),IF(Valores!$C$46*D217&gt;Valores!$C$44,Valores!$C$44,Valores!$C$46*D217)/2)</f>
        <v>1638</v>
      </c>
      <c r="U217" s="159">
        <f>Valores!$C$23*D217</f>
        <v>2303.04</v>
      </c>
      <c r="V217" s="145">
        <f t="shared" si="30"/>
        <v>2303.04</v>
      </c>
      <c r="W217" s="145">
        <v>0</v>
      </c>
      <c r="X217" s="145">
        <v>0</v>
      </c>
      <c r="Y217" s="165">
        <v>0</v>
      </c>
      <c r="Z217" s="145">
        <f>Y217*Valores!$C$2</f>
        <v>0</v>
      </c>
      <c r="AA217" s="145">
        <v>0</v>
      </c>
      <c r="AB217" s="148">
        <f>IF(Valores!$C$92*D217&gt;Valores!$C$91,Valores!$C$91,Valores!$C$92*D217)</f>
        <v>1384.615384615385</v>
      </c>
      <c r="AC217" s="150">
        <f>IF((Valores!$C$33)*D217&gt;Valores!$F$33,Valores!$F$33,(Valores!$C$33)*D217)</f>
        <v>192.09216</v>
      </c>
      <c r="AD217" s="145">
        <f t="shared" si="38"/>
        <v>0</v>
      </c>
      <c r="AE217" s="145">
        <f>IF(Valores!$C$34*D217&gt;Valores!$F$34,Valores!$F$34,Valores!$C$34*D217)</f>
        <v>159.90374400000002</v>
      </c>
      <c r="AF217" s="149">
        <v>0</v>
      </c>
      <c r="AG217" s="145">
        <f>INT(((AF217*Valores!$C$2)*100)+0.5)/100</f>
        <v>0</v>
      </c>
      <c r="AH217" s="145">
        <f>IF($H$5="NO",IF(Valores!$D$59*'Escala Docente'!D217&gt;Valores!$F$59,Valores!$F$59,Valores!$D$59*'Escala Docente'!D217),IF(Valores!$D$59*'Escala Docente'!D217&gt;Valores!$F$59,Valores!$F$59,Valores!$D$59*'Escala Docente'!D217)/2)</f>
        <v>650.4576</v>
      </c>
      <c r="AI217" s="145">
        <f>IF($H$5="NO",IF(Valores!$D$61*D217&gt;Valores!$F$61,Valores!$F$61,Valores!$D$61*D217),IF(Valores!$D$61*D217&gt;Valores!$F$61,Valores!$F$61,Valores!$D$61*D217)/2)</f>
        <v>185.8608</v>
      </c>
      <c r="AJ217" s="151">
        <f t="shared" si="39"/>
        <v>44819.455188615386</v>
      </c>
      <c r="AK217" s="159">
        <f>IF(Valores!$C$37*D217&gt;Valores!$F$37,Valores!$F$37,Valores!$C$37*D217)</f>
        <v>1674.96</v>
      </c>
      <c r="AL217" s="148">
        <f>IF(Valores!$C$11*D217&gt;Valores!$F$11,Valores!$F$11,Valores!$C$11*D217)</f>
        <v>0</v>
      </c>
      <c r="AM217" s="148">
        <f>IF(Valores!$C$87*D217&gt;Valores!$C$86,Valores!$C$86,Valores!$C$87*D217)</f>
        <v>2729.9999999999995</v>
      </c>
      <c r="AN217" s="148"/>
      <c r="AO217" s="150">
        <f>IF(Valores!$C$57*D217&gt;Valores!$F$57,Valores!$F$57,Valores!$C$57*D217)</f>
        <v>327.6</v>
      </c>
      <c r="AP217" s="152">
        <f t="shared" si="37"/>
        <v>4404.959999999999</v>
      </c>
      <c r="AQ217" s="154">
        <f>AJ217*-Valores!$C$68</f>
        <v>-4930.140070747692</v>
      </c>
      <c r="AR217" s="154">
        <f>AJ217*-Valores!$C$69</f>
        <v>0</v>
      </c>
      <c r="AS217" s="147">
        <f>AJ217*-Valores!$C$70</f>
        <v>-2016.8754834876922</v>
      </c>
      <c r="AT217" s="147">
        <v>-159.43</v>
      </c>
      <c r="AU217" s="147">
        <f t="shared" si="40"/>
        <v>-53.83</v>
      </c>
      <c r="AV217" s="151">
        <f t="shared" si="41"/>
        <v>42064.13963438</v>
      </c>
      <c r="AW217" s="155"/>
      <c r="AX217" s="155">
        <f t="shared" si="33"/>
        <v>96</v>
      </c>
      <c r="AY217" s="140" t="s">
        <v>8</v>
      </c>
    </row>
    <row r="218" spans="1:51" s="117" customFormat="1" ht="11.25" customHeight="1">
      <c r="A218" s="139">
        <v>216</v>
      </c>
      <c r="B218" s="139"/>
      <c r="C218" s="140" t="s">
        <v>500</v>
      </c>
      <c r="D218" s="140">
        <v>25</v>
      </c>
      <c r="E218" s="140">
        <f t="shared" si="34"/>
        <v>37</v>
      </c>
      <c r="F218" s="141" t="str">
        <f t="shared" si="31"/>
        <v>Hora Cátedra Enseñanza Superior 25 hs</v>
      </c>
      <c r="G218" s="142">
        <f t="shared" si="32"/>
        <v>2475</v>
      </c>
      <c r="H218" s="143">
        <f>INT((G218*Valores!$C$2*100)+0.5)/100</f>
        <v>23115.76</v>
      </c>
      <c r="I218" s="161">
        <v>0</v>
      </c>
      <c r="J218" s="145">
        <f>INT((I218*Valores!$C$2*100)+0.5)/100</f>
        <v>0</v>
      </c>
      <c r="K218" s="160">
        <v>0</v>
      </c>
      <c r="L218" s="145">
        <f>INT((K218*Valores!$C$2*100)+0.5)/100</f>
        <v>0</v>
      </c>
      <c r="M218" s="158">
        <v>0</v>
      </c>
      <c r="N218" s="145">
        <f>INT((M218*Valores!$C$2*100)+0.5)/100</f>
        <v>0</v>
      </c>
      <c r="O218" s="145">
        <f t="shared" si="35"/>
        <v>4083.1514999999995</v>
      </c>
      <c r="P218" s="145">
        <f t="shared" si="36"/>
        <v>0</v>
      </c>
      <c r="Q218" s="159">
        <f>Valores!$C$14*D218</f>
        <v>7729.25</v>
      </c>
      <c r="R218" s="159">
        <f>IF(D218&lt;15,(Valores!$E$4*D218),Valores!$D$4)</f>
        <v>4774.45</v>
      </c>
      <c r="S218" s="145">
        <v>0</v>
      </c>
      <c r="T218" s="148">
        <f>IF($H$5="NO",IF(Valores!$C$46*D218&gt;Valores!$C$44,Valores!$C$44,Valores!$C$46*D218),IF(Valores!$C$46*D218&gt;Valores!$C$44,Valores!$C$44,Valores!$C$46*D218)/2)</f>
        <v>1706.25</v>
      </c>
      <c r="U218" s="159">
        <f>Valores!$C$23*D218</f>
        <v>2399</v>
      </c>
      <c r="V218" s="145">
        <f t="shared" si="30"/>
        <v>2399</v>
      </c>
      <c r="W218" s="145">
        <v>0</v>
      </c>
      <c r="X218" s="145">
        <v>0</v>
      </c>
      <c r="Y218" s="165">
        <v>0</v>
      </c>
      <c r="Z218" s="145">
        <f>Y218*Valores!$C$2</f>
        <v>0</v>
      </c>
      <c r="AA218" s="145">
        <v>0</v>
      </c>
      <c r="AB218" s="148">
        <f>IF(Valores!$C$92*D218&gt;Valores!$C$91,Valores!$C$91,Valores!$C$92*D218)</f>
        <v>1442.3076923076926</v>
      </c>
      <c r="AC218" s="150">
        <f>IF((Valores!$C$33)*D218&gt;Valores!$F$33,Valores!$F$33,(Valores!$C$33)*D218)</f>
        <v>200.096</v>
      </c>
      <c r="AD218" s="145">
        <f t="shared" si="38"/>
        <v>0</v>
      </c>
      <c r="AE218" s="145">
        <f>IF(Valores!$C$34*D218&gt;Valores!$F$34,Valores!$F$34,Valores!$C$34*D218)</f>
        <v>166.56640000000002</v>
      </c>
      <c r="AF218" s="149">
        <v>0</v>
      </c>
      <c r="AG218" s="145">
        <f>INT(((AF218*Valores!$C$2)*100)+0.5)/100</f>
        <v>0</v>
      </c>
      <c r="AH218" s="145">
        <f>IF($H$5="NO",IF(Valores!$D$59*'Escala Docente'!D218&gt;Valores!$F$59,Valores!$F$59,Valores!$D$59*'Escala Docente'!D218),IF(Valores!$D$59*'Escala Docente'!D218&gt;Valores!$F$59,Valores!$F$59,Valores!$D$59*'Escala Docente'!D218)/2)</f>
        <v>677.56</v>
      </c>
      <c r="AI218" s="145">
        <f>IF($H$5="NO",IF(Valores!$D$61*D218&gt;Valores!$F$61,Valores!$F$61,Valores!$D$61*D218),IF(Valores!$D$61*D218&gt;Valores!$F$61,Valores!$F$61,Valores!$D$61*D218)/2)</f>
        <v>193.60500000000002</v>
      </c>
      <c r="AJ218" s="151">
        <f t="shared" si="39"/>
        <v>46487.996592307696</v>
      </c>
      <c r="AK218" s="159">
        <f>IF(Valores!$C$37*D218&gt;Valores!$F$37,Valores!$F$37,Valores!$C$37*D218)</f>
        <v>1744.7500000000002</v>
      </c>
      <c r="AL218" s="148">
        <f>IF(Valores!$C$11*D218&gt;Valores!$F$11,Valores!$F$11,Valores!$C$11*D218)</f>
        <v>0</v>
      </c>
      <c r="AM218" s="148">
        <f>IF(Valores!$C$87*D218&gt;Valores!$C$86,Valores!$C$86,Valores!$C$87*D218)</f>
        <v>2843.7499999999995</v>
      </c>
      <c r="AN218" s="148"/>
      <c r="AO218" s="150">
        <f>IF(Valores!$C$57*D218&gt;Valores!$F$57,Valores!$F$57,Valores!$C$57*D218)</f>
        <v>327.6</v>
      </c>
      <c r="AP218" s="152">
        <f t="shared" si="37"/>
        <v>4588.5</v>
      </c>
      <c r="AQ218" s="154">
        <f>AJ218*-Valores!$C$68</f>
        <v>-5113.679625153846</v>
      </c>
      <c r="AR218" s="154">
        <f>AJ218*-Valores!$C$69</f>
        <v>0</v>
      </c>
      <c r="AS218" s="147">
        <f>AJ218*-Valores!$C$70</f>
        <v>-2091.9598466538464</v>
      </c>
      <c r="AT218" s="147">
        <v>-159.43</v>
      </c>
      <c r="AU218" s="147">
        <f t="shared" si="40"/>
        <v>-53.83</v>
      </c>
      <c r="AV218" s="151">
        <f t="shared" si="41"/>
        <v>43657.5971205</v>
      </c>
      <c r="AW218" s="155"/>
      <c r="AX218" s="155">
        <f t="shared" si="33"/>
        <v>100</v>
      </c>
      <c r="AY218" s="140" t="s">
        <v>4</v>
      </c>
    </row>
    <row r="219" spans="1:51" s="117" customFormat="1" ht="11.25" customHeight="1">
      <c r="A219" s="139">
        <v>217</v>
      </c>
      <c r="B219" s="139"/>
      <c r="C219" s="140" t="s">
        <v>500</v>
      </c>
      <c r="D219" s="140">
        <v>26</v>
      </c>
      <c r="E219" s="140">
        <f t="shared" si="34"/>
        <v>37</v>
      </c>
      <c r="F219" s="141" t="str">
        <f t="shared" si="31"/>
        <v>Hora Cátedra Enseñanza Superior 26 hs</v>
      </c>
      <c r="G219" s="142">
        <f t="shared" si="32"/>
        <v>2574</v>
      </c>
      <c r="H219" s="143">
        <f>INT((G219*Valores!$C$2*100)+0.5)/100</f>
        <v>24040.39</v>
      </c>
      <c r="I219" s="161">
        <v>0</v>
      </c>
      <c r="J219" s="145">
        <f>INT((I219*Valores!$C$2*100)+0.5)/100</f>
        <v>0</v>
      </c>
      <c r="K219" s="160">
        <v>0</v>
      </c>
      <c r="L219" s="145">
        <f>INT((K219*Valores!$C$2*100)+0.5)/100</f>
        <v>0</v>
      </c>
      <c r="M219" s="158">
        <v>0</v>
      </c>
      <c r="N219" s="145">
        <f>INT((M219*Valores!$C$2*100)+0.5)/100</f>
        <v>0</v>
      </c>
      <c r="O219" s="145">
        <f t="shared" si="35"/>
        <v>4246.4775</v>
      </c>
      <c r="P219" s="145">
        <f t="shared" si="36"/>
        <v>0</v>
      </c>
      <c r="Q219" s="159">
        <f>Valores!$C$14*D219</f>
        <v>8038.42</v>
      </c>
      <c r="R219" s="159">
        <f>IF(D219&lt;15,(Valores!$E$4*D219),Valores!$D$4)</f>
        <v>4774.45</v>
      </c>
      <c r="S219" s="145">
        <v>0</v>
      </c>
      <c r="T219" s="148">
        <f>IF($H$5="NO",IF(Valores!$C$46*D219&gt;Valores!$C$44,Valores!$C$44,Valores!$C$46*D219),IF(Valores!$C$46*D219&gt;Valores!$C$44,Valores!$C$44,Valores!$C$46*D219)/2)</f>
        <v>1774.5</v>
      </c>
      <c r="U219" s="159">
        <f>Valores!$C$23*D219</f>
        <v>2494.96</v>
      </c>
      <c r="V219" s="145">
        <f t="shared" si="30"/>
        <v>2494.96</v>
      </c>
      <c r="W219" s="145">
        <v>0</v>
      </c>
      <c r="X219" s="145">
        <v>0</v>
      </c>
      <c r="Y219" s="165">
        <v>0</v>
      </c>
      <c r="Z219" s="145">
        <f>Y219*Valores!$C$2</f>
        <v>0</v>
      </c>
      <c r="AA219" s="145">
        <v>0</v>
      </c>
      <c r="AB219" s="148">
        <f>IF(Valores!$C$92*D219&gt;Valores!$C$91,Valores!$C$91,Valores!$C$92*D219)</f>
        <v>1500.0000000000005</v>
      </c>
      <c r="AC219" s="150">
        <f>IF((Valores!$C$33)*D219&gt;Valores!$F$33,Valores!$F$33,(Valores!$C$33)*D219)</f>
        <v>208.09984</v>
      </c>
      <c r="AD219" s="145">
        <f t="shared" si="38"/>
        <v>0</v>
      </c>
      <c r="AE219" s="145">
        <f>IF(Valores!$C$34*D219&gt;Valores!$F$34,Valores!$F$34,Valores!$C$34*D219)</f>
        <v>173.229056</v>
      </c>
      <c r="AF219" s="149">
        <v>0</v>
      </c>
      <c r="AG219" s="145">
        <f>INT(((AF219*Valores!$C$2)*100)+0.5)/100</f>
        <v>0</v>
      </c>
      <c r="AH219" s="145">
        <f>IF($H$5="NO",IF(Valores!$D$59*'Escala Docente'!D219&gt;Valores!$F$59,Valores!$F$59,Valores!$D$59*'Escala Docente'!D219),IF(Valores!$D$59*'Escala Docente'!D219&gt;Valores!$F$59,Valores!$F$59,Valores!$D$59*'Escala Docente'!D219)/2)</f>
        <v>704.6623999999999</v>
      </c>
      <c r="AI219" s="145">
        <f>IF($H$5="NO",IF(Valores!$D$61*D219&gt;Valores!$F$61,Valores!$F$61,Valores!$D$61*D219),IF(Valores!$D$61*D219&gt;Valores!$F$61,Valores!$F$61,Valores!$D$61*D219)/2)</f>
        <v>201.3492</v>
      </c>
      <c r="AJ219" s="151">
        <f t="shared" si="39"/>
        <v>48156.53799599999</v>
      </c>
      <c r="AK219" s="159">
        <f>IF(Valores!$C$37*D219&gt;Valores!$F$37,Valores!$F$37,Valores!$C$37*D219)</f>
        <v>1814.5400000000002</v>
      </c>
      <c r="AL219" s="148">
        <f>IF(Valores!$C$11*D219&gt;Valores!$F$11,Valores!$F$11,Valores!$C$11*D219)</f>
        <v>0</v>
      </c>
      <c r="AM219" s="148">
        <f>IF(Valores!$C$87*D219&gt;Valores!$C$86,Valores!$C$86,Valores!$C$87*D219)</f>
        <v>2957.4999999999995</v>
      </c>
      <c r="AN219" s="148"/>
      <c r="AO219" s="150">
        <f>IF(Valores!$C$57*D219&gt;Valores!$F$57,Valores!$F$57,Valores!$C$57*D219)</f>
        <v>327.6</v>
      </c>
      <c r="AP219" s="152">
        <f t="shared" si="37"/>
        <v>4772.04</v>
      </c>
      <c r="AQ219" s="154">
        <f>AJ219*-Valores!$C$68</f>
        <v>-5297.219179559999</v>
      </c>
      <c r="AR219" s="154">
        <f>AJ219*-Valores!$C$69</f>
        <v>0</v>
      </c>
      <c r="AS219" s="147">
        <f>AJ219*-Valores!$C$70</f>
        <v>-2167.0442098199997</v>
      </c>
      <c r="AT219" s="147">
        <v>-159.43</v>
      </c>
      <c r="AU219" s="147">
        <f t="shared" si="40"/>
        <v>-53.83</v>
      </c>
      <c r="AV219" s="151">
        <f t="shared" si="41"/>
        <v>45251.05460661999</v>
      </c>
      <c r="AW219" s="155"/>
      <c r="AX219" s="155">
        <f t="shared" si="33"/>
        <v>104</v>
      </c>
      <c r="AY219" s="140" t="s">
        <v>8</v>
      </c>
    </row>
    <row r="220" spans="1:51" s="117" customFormat="1" ht="11.25" customHeight="1">
      <c r="A220" s="139">
        <v>218</v>
      </c>
      <c r="B220" s="139"/>
      <c r="C220" s="140" t="s">
        <v>500</v>
      </c>
      <c r="D220" s="140">
        <v>27</v>
      </c>
      <c r="E220" s="140">
        <f t="shared" si="34"/>
        <v>37</v>
      </c>
      <c r="F220" s="141" t="str">
        <f t="shared" si="31"/>
        <v>Hora Cátedra Enseñanza Superior 27 hs</v>
      </c>
      <c r="G220" s="142">
        <f t="shared" si="32"/>
        <v>2673</v>
      </c>
      <c r="H220" s="143">
        <f>INT((G220*Valores!$C$2*100)+0.5)/100</f>
        <v>24965.02</v>
      </c>
      <c r="I220" s="161">
        <v>0</v>
      </c>
      <c r="J220" s="145">
        <f>INT((I220*Valores!$C$2*100)+0.5)/100</f>
        <v>0</v>
      </c>
      <c r="K220" s="160">
        <v>0</v>
      </c>
      <c r="L220" s="145">
        <f>INT((K220*Valores!$C$2*100)+0.5)/100</f>
        <v>0</v>
      </c>
      <c r="M220" s="158">
        <v>0</v>
      </c>
      <c r="N220" s="145">
        <f>INT((M220*Valores!$C$2*100)+0.5)/100</f>
        <v>0</v>
      </c>
      <c r="O220" s="145">
        <f t="shared" si="35"/>
        <v>4409.8035</v>
      </c>
      <c r="P220" s="145">
        <f t="shared" si="36"/>
        <v>0</v>
      </c>
      <c r="Q220" s="159">
        <f>Valores!$C$14*D220</f>
        <v>8347.59</v>
      </c>
      <c r="R220" s="159">
        <f>IF(D220&lt;15,(Valores!$E$4*D220),Valores!$D$4)</f>
        <v>4774.45</v>
      </c>
      <c r="S220" s="145">
        <v>0</v>
      </c>
      <c r="T220" s="148">
        <f>IF($H$5="NO",IF(Valores!$C$46*D220&gt;Valores!$C$44,Valores!$C$44,Valores!$C$46*D220),IF(Valores!$C$46*D220&gt;Valores!$C$44,Valores!$C$44,Valores!$C$46*D220)/2)</f>
        <v>1842.75</v>
      </c>
      <c r="U220" s="148">
        <f>Valores!$C$23*D220</f>
        <v>2590.9199999999996</v>
      </c>
      <c r="V220" s="145">
        <f t="shared" si="30"/>
        <v>2590.9199999999996</v>
      </c>
      <c r="W220" s="145">
        <v>0</v>
      </c>
      <c r="X220" s="145">
        <v>0</v>
      </c>
      <c r="Y220" s="165">
        <v>0</v>
      </c>
      <c r="Z220" s="145">
        <f>Y220*Valores!$C$2</f>
        <v>0</v>
      </c>
      <c r="AA220" s="145">
        <v>0</v>
      </c>
      <c r="AB220" s="148">
        <f>IF(Valores!$C$92*D220&gt;Valores!$C$91,Valores!$C$91,Valores!$C$92*D220)</f>
        <v>1557.692307692308</v>
      </c>
      <c r="AC220" s="150">
        <f>IF((Valores!$C$33)*D220&gt;Valores!$F$33,Valores!$F$33,(Valores!$C$33)*D220)</f>
        <v>216.10368</v>
      </c>
      <c r="AD220" s="145">
        <f t="shared" si="38"/>
        <v>0</v>
      </c>
      <c r="AE220" s="145">
        <f>IF(Valores!$C$34*D220&gt;Valores!$F$34,Valores!$F$34,Valores!$C$34*D220)</f>
        <v>179.89171200000004</v>
      </c>
      <c r="AF220" s="149">
        <v>0</v>
      </c>
      <c r="AG220" s="145">
        <f>INT(((AF220*Valores!$C$2)*100)+0.5)/100</f>
        <v>0</v>
      </c>
      <c r="AH220" s="145">
        <f>IF($H$5="NO",IF(Valores!$D$59*'Escala Docente'!D220&gt;Valores!$F$59,Valores!$F$59,Valores!$D$59*'Escala Docente'!D220),IF(Valores!$D$59*'Escala Docente'!D220&gt;Valores!$F$59,Valores!$F$59,Valores!$D$59*'Escala Docente'!D220)/2)</f>
        <v>731.7648</v>
      </c>
      <c r="AI220" s="145">
        <f>IF($H$5="NO",IF(Valores!$D$61*D220&gt;Valores!$F$61,Valores!$F$61,Valores!$D$61*D220),IF(Valores!$D$61*D220&gt;Valores!$F$61,Valores!$F$61,Valores!$D$61*D220)/2)</f>
        <v>209.0934</v>
      </c>
      <c r="AJ220" s="151">
        <f t="shared" si="39"/>
        <v>49825.07939969229</v>
      </c>
      <c r="AK220" s="159">
        <f>IF(Valores!$C$37*D220&gt;Valores!$F$37,Valores!$F$37,Valores!$C$37*D220)</f>
        <v>1884.3300000000002</v>
      </c>
      <c r="AL220" s="148">
        <f>IF(Valores!$C$11*D220&gt;Valores!$F$11,Valores!$F$11,Valores!$C$11*D220)</f>
        <v>0</v>
      </c>
      <c r="AM220" s="148">
        <f>IF(Valores!$C$87*D220&gt;Valores!$C$86,Valores!$C$86,Valores!$C$87*D220)</f>
        <v>3071.2499999999995</v>
      </c>
      <c r="AN220" s="148"/>
      <c r="AO220" s="150">
        <f>IF(Valores!$C$57*D220&gt;Valores!$F$57,Valores!$F$57,Valores!$C$57*D220)</f>
        <v>327.6</v>
      </c>
      <c r="AP220" s="152">
        <f t="shared" si="37"/>
        <v>4955.58</v>
      </c>
      <c r="AQ220" s="154">
        <f>AJ220*-Valores!$C$68</f>
        <v>-5480.758733966151</v>
      </c>
      <c r="AR220" s="154">
        <f>AJ220*-Valores!$C$69</f>
        <v>0</v>
      </c>
      <c r="AS220" s="147">
        <f>AJ220*-Valores!$C$70</f>
        <v>-2242.128572986153</v>
      </c>
      <c r="AT220" s="147">
        <v>-159.43</v>
      </c>
      <c r="AU220" s="147">
        <f t="shared" si="40"/>
        <v>-53.83</v>
      </c>
      <c r="AV220" s="151">
        <f t="shared" si="41"/>
        <v>46844.51209273998</v>
      </c>
      <c r="AW220" s="155"/>
      <c r="AX220" s="155">
        <f t="shared" si="33"/>
        <v>108</v>
      </c>
      <c r="AY220" s="140" t="s">
        <v>8</v>
      </c>
    </row>
    <row r="221" spans="1:51" s="117" customFormat="1" ht="11.25" customHeight="1">
      <c r="A221" s="139">
        <v>219</v>
      </c>
      <c r="B221" s="139"/>
      <c r="C221" s="140" t="s">
        <v>500</v>
      </c>
      <c r="D221" s="140">
        <v>28</v>
      </c>
      <c r="E221" s="140">
        <f t="shared" si="34"/>
        <v>37</v>
      </c>
      <c r="F221" s="141" t="str">
        <f t="shared" si="31"/>
        <v>Hora Cátedra Enseñanza Superior 28 hs</v>
      </c>
      <c r="G221" s="142">
        <f t="shared" si="32"/>
        <v>2772</v>
      </c>
      <c r="H221" s="143">
        <f>INT((G221*Valores!$C$2*100)+0.5)/100</f>
        <v>25889.65</v>
      </c>
      <c r="I221" s="161">
        <v>0</v>
      </c>
      <c r="J221" s="145">
        <f>INT((I221*Valores!$C$2*100)+0.5)/100</f>
        <v>0</v>
      </c>
      <c r="K221" s="160">
        <v>0</v>
      </c>
      <c r="L221" s="145">
        <f>INT((K221*Valores!$C$2*100)+0.5)/100</f>
        <v>0</v>
      </c>
      <c r="M221" s="158">
        <v>0</v>
      </c>
      <c r="N221" s="145">
        <f>INT((M221*Valores!$C$2*100)+0.5)/100</f>
        <v>0</v>
      </c>
      <c r="O221" s="145">
        <f t="shared" si="35"/>
        <v>4573.1295</v>
      </c>
      <c r="P221" s="145">
        <f t="shared" si="36"/>
        <v>0</v>
      </c>
      <c r="Q221" s="159">
        <f>Valores!$C$14*D221</f>
        <v>8656.76</v>
      </c>
      <c r="R221" s="159">
        <f>IF(D221&lt;15,(Valores!$E$4*D221),Valores!$D$4)</f>
        <v>4774.45</v>
      </c>
      <c r="S221" s="145">
        <v>0</v>
      </c>
      <c r="T221" s="148">
        <f>IF($H$5="NO",IF(Valores!$C$46*D221&gt;Valores!$C$44,Valores!$C$44,Valores!$C$46*D221),IF(Valores!$C$46*D221&gt;Valores!$C$44,Valores!$C$44,Valores!$C$46*D221)/2)</f>
        <v>1911</v>
      </c>
      <c r="U221" s="159">
        <f>Valores!$C$23*D221</f>
        <v>2686.8799999999997</v>
      </c>
      <c r="V221" s="145">
        <f t="shared" si="30"/>
        <v>2686.8799999999997</v>
      </c>
      <c r="W221" s="145">
        <v>0</v>
      </c>
      <c r="X221" s="145">
        <v>0</v>
      </c>
      <c r="Y221" s="165">
        <v>0</v>
      </c>
      <c r="Z221" s="145">
        <f>Y221*Valores!$C$2</f>
        <v>0</v>
      </c>
      <c r="AA221" s="145">
        <v>0</v>
      </c>
      <c r="AB221" s="148">
        <f>IF(Valores!$C$92*D221&gt;Valores!$C$91,Valores!$C$91,Valores!$C$92*D221)</f>
        <v>1615.3846153846157</v>
      </c>
      <c r="AC221" s="150">
        <f>IF((Valores!$C$33)*D221&gt;Valores!$F$33,Valores!$F$33,(Valores!$C$33)*D221)</f>
        <v>224.10752000000002</v>
      </c>
      <c r="AD221" s="145">
        <f t="shared" si="38"/>
        <v>0</v>
      </c>
      <c r="AE221" s="145">
        <f>IF(Valores!$C$34*D221&gt;Valores!$F$34,Valores!$F$34,Valores!$C$34*D221)</f>
        <v>186.55436800000004</v>
      </c>
      <c r="AF221" s="149">
        <v>0</v>
      </c>
      <c r="AG221" s="145">
        <f>INT(((AF221*Valores!$C$2)*100)+0.5)/100</f>
        <v>0</v>
      </c>
      <c r="AH221" s="145">
        <f>IF($H$5="NO",IF(Valores!$D$59*'Escala Docente'!D221&gt;Valores!$F$59,Valores!$F$59,Valores!$D$59*'Escala Docente'!D221),IF(Valores!$D$59*'Escala Docente'!D221&gt;Valores!$F$59,Valores!$F$59,Valores!$D$59*'Escala Docente'!D221)/2)</f>
        <v>758.8672</v>
      </c>
      <c r="AI221" s="145">
        <f>IF($H$5="NO",IF(Valores!$D$61*D221&gt;Valores!$F$61,Valores!$F$61,Valores!$D$61*D221),IF(Valores!$D$61*D221&gt;Valores!$F$61,Valores!$F$61,Valores!$D$61*D221)/2)</f>
        <v>216.8376</v>
      </c>
      <c r="AJ221" s="151">
        <f t="shared" si="39"/>
        <v>51493.620803384605</v>
      </c>
      <c r="AK221" s="159">
        <f>IF(Valores!$C$37*D221&gt;Valores!$F$37,Valores!$F$37,Valores!$C$37*D221)</f>
        <v>1954.1200000000001</v>
      </c>
      <c r="AL221" s="148">
        <f>IF(Valores!$C$11*D221&gt;Valores!$F$11,Valores!$F$11,Valores!$C$11*D221)</f>
        <v>0</v>
      </c>
      <c r="AM221" s="148">
        <f>IF(Valores!$C$87*D221&gt;Valores!$C$86,Valores!$C$86,Valores!$C$87*D221)</f>
        <v>3184.9999999999995</v>
      </c>
      <c r="AN221" s="148"/>
      <c r="AO221" s="150">
        <f>IF(Valores!$C$57*D221&gt;Valores!$F$57,Valores!$F$57,Valores!$C$57*D221)</f>
        <v>327.6</v>
      </c>
      <c r="AP221" s="152">
        <f t="shared" si="37"/>
        <v>5139.12</v>
      </c>
      <c r="AQ221" s="154">
        <f>AJ221*-Valores!$C$68</f>
        <v>-5664.298288372306</v>
      </c>
      <c r="AR221" s="154">
        <f>AJ221*-Valores!$C$69</f>
        <v>0</v>
      </c>
      <c r="AS221" s="147">
        <f>AJ221*-Valores!$C$70</f>
        <v>-2317.212936152307</v>
      </c>
      <c r="AT221" s="147">
        <v>-159.43</v>
      </c>
      <c r="AU221" s="147">
        <f t="shared" si="40"/>
        <v>-53.83</v>
      </c>
      <c r="AV221" s="151">
        <f t="shared" si="41"/>
        <v>48437.96957885999</v>
      </c>
      <c r="AW221" s="155"/>
      <c r="AX221" s="155">
        <f t="shared" si="33"/>
        <v>112</v>
      </c>
      <c r="AY221" s="140" t="s">
        <v>8</v>
      </c>
    </row>
    <row r="222" spans="1:51" s="117" customFormat="1" ht="11.25" customHeight="1">
      <c r="A222" s="157">
        <v>220</v>
      </c>
      <c r="B222" s="157" t="s">
        <v>143</v>
      </c>
      <c r="C222" s="140" t="s">
        <v>500</v>
      </c>
      <c r="D222" s="140">
        <v>29</v>
      </c>
      <c r="E222" s="140">
        <f t="shared" si="34"/>
        <v>37</v>
      </c>
      <c r="F222" s="141" t="str">
        <f t="shared" si="31"/>
        <v>Hora Cátedra Enseñanza Superior 29 hs</v>
      </c>
      <c r="G222" s="142">
        <f t="shared" si="32"/>
        <v>2871</v>
      </c>
      <c r="H222" s="143">
        <f>INT((G222*Valores!$C$2*100)+0.5)/100</f>
        <v>26814.28</v>
      </c>
      <c r="I222" s="161">
        <v>0</v>
      </c>
      <c r="J222" s="145">
        <f>INT((I222*Valores!$C$2*100)+0.5)/100</f>
        <v>0</v>
      </c>
      <c r="K222" s="160">
        <v>0</v>
      </c>
      <c r="L222" s="145">
        <f>INT((K222*Valores!$C$2*100)+0.5)/100</f>
        <v>0</v>
      </c>
      <c r="M222" s="158">
        <v>0</v>
      </c>
      <c r="N222" s="145">
        <f>INT((M222*Valores!$C$2*100)+0.5)/100</f>
        <v>0</v>
      </c>
      <c r="O222" s="145">
        <f t="shared" si="35"/>
        <v>4736.4555</v>
      </c>
      <c r="P222" s="145">
        <f t="shared" si="36"/>
        <v>0</v>
      </c>
      <c r="Q222" s="159">
        <f>Valores!$C$14*D222</f>
        <v>8965.93</v>
      </c>
      <c r="R222" s="159">
        <f>IF(D222&lt;15,(Valores!$E$4*D222),Valores!$D$4)</f>
        <v>4774.45</v>
      </c>
      <c r="S222" s="145">
        <v>0</v>
      </c>
      <c r="T222" s="148">
        <f>IF($H$5="NO",IF(Valores!$C$46*D222&gt;Valores!$C$44,Valores!$C$44,Valores!$C$46*D222),IF(Valores!$C$46*D222&gt;Valores!$C$44,Valores!$C$44,Valores!$C$46*D222)/2)</f>
        <v>1979.25</v>
      </c>
      <c r="U222" s="148">
        <f>Valores!$C$23*D222</f>
        <v>2782.8399999999997</v>
      </c>
      <c r="V222" s="145">
        <f t="shared" si="30"/>
        <v>2782.8399999999997</v>
      </c>
      <c r="W222" s="145">
        <v>0</v>
      </c>
      <c r="X222" s="145">
        <v>0</v>
      </c>
      <c r="Y222" s="165">
        <v>0</v>
      </c>
      <c r="Z222" s="145">
        <f>Y222*Valores!$C$2</f>
        <v>0</v>
      </c>
      <c r="AA222" s="145">
        <v>0</v>
      </c>
      <c r="AB222" s="148">
        <f>IF(Valores!$C$92*D222&gt;Valores!$C$91,Valores!$C$91,Valores!$C$92*D222)</f>
        <v>1673.0769230769235</v>
      </c>
      <c r="AC222" s="150">
        <f>IF((Valores!$C$33)*D222&gt;Valores!$F$33,Valores!$F$33,(Valores!$C$33)*D222)</f>
        <v>232.11136000000002</v>
      </c>
      <c r="AD222" s="145">
        <f t="shared" si="38"/>
        <v>0</v>
      </c>
      <c r="AE222" s="145">
        <f>IF(Valores!$C$34*D222&gt;Valores!$F$34,Valores!$F$34,Valores!$C$34*D222)</f>
        <v>193.21702400000004</v>
      </c>
      <c r="AF222" s="149">
        <v>0</v>
      </c>
      <c r="AG222" s="145">
        <f>INT(((AF222*Valores!$C$2)*100)+0.5)/100</f>
        <v>0</v>
      </c>
      <c r="AH222" s="145">
        <f>IF($H$5="NO",IF(Valores!$D$59*'Escala Docente'!D222&gt;Valores!$F$59,Valores!$F$59,Valores!$D$59*'Escala Docente'!D222),IF(Valores!$D$59*'Escala Docente'!D222&gt;Valores!$F$59,Valores!$F$59,Valores!$D$59*'Escala Docente'!D222)/2)</f>
        <v>785.9696</v>
      </c>
      <c r="AI222" s="145">
        <f>IF($H$5="NO",IF(Valores!$D$61*D222&gt;Valores!$F$61,Valores!$F$61,Valores!$D$61*D222),IF(Valores!$D$61*D222&gt;Valores!$F$61,Valores!$F$61,Valores!$D$61*D222)/2)</f>
        <v>224.58180000000002</v>
      </c>
      <c r="AJ222" s="151">
        <f t="shared" si="39"/>
        <v>53162.162207076915</v>
      </c>
      <c r="AK222" s="159">
        <f>IF(Valores!$C$37*D222&gt;Valores!$F$37,Valores!$F$37,Valores!$C$37*D222)</f>
        <v>2023.91</v>
      </c>
      <c r="AL222" s="148">
        <f>IF(Valores!$C$11*D222&gt;Valores!$F$11,Valores!$F$11,Valores!$C$11*D222)</f>
        <v>0</v>
      </c>
      <c r="AM222" s="148">
        <f>IF(Valores!$C$87*D222&gt;Valores!$C$86,Valores!$C$86,Valores!$C$87*D222)</f>
        <v>3298.7499999999995</v>
      </c>
      <c r="AN222" s="148"/>
      <c r="AO222" s="150">
        <f>IF(Valores!$C$57*D222&gt;Valores!$F$57,Valores!$F$57,Valores!$C$57*D222)</f>
        <v>327.6</v>
      </c>
      <c r="AP222" s="152">
        <f t="shared" si="37"/>
        <v>5322.66</v>
      </c>
      <c r="AQ222" s="154">
        <f>AJ222*-Valores!$C$68</f>
        <v>-5847.837842778461</v>
      </c>
      <c r="AR222" s="154">
        <f>AJ222*-Valores!$C$69</f>
        <v>0</v>
      </c>
      <c r="AS222" s="147">
        <f>AJ222*-Valores!$C$70</f>
        <v>-2392.2972993184612</v>
      </c>
      <c r="AT222" s="147">
        <v>-159.43</v>
      </c>
      <c r="AU222" s="147">
        <f t="shared" si="40"/>
        <v>-53.83</v>
      </c>
      <c r="AV222" s="151">
        <f t="shared" si="41"/>
        <v>50031.42706497999</v>
      </c>
      <c r="AW222" s="155"/>
      <c r="AX222" s="155">
        <f t="shared" si="33"/>
        <v>116</v>
      </c>
      <c r="AY222" s="140" t="s">
        <v>8</v>
      </c>
    </row>
    <row r="223" spans="1:51" s="117" customFormat="1" ht="11.25" customHeight="1">
      <c r="A223" s="139">
        <v>221</v>
      </c>
      <c r="B223" s="139"/>
      <c r="C223" s="140" t="s">
        <v>500</v>
      </c>
      <c r="D223" s="140">
        <v>30</v>
      </c>
      <c r="E223" s="140">
        <f t="shared" si="34"/>
        <v>37</v>
      </c>
      <c r="F223" s="141" t="str">
        <f t="shared" si="31"/>
        <v>Hora Cátedra Enseñanza Superior 30 hs</v>
      </c>
      <c r="G223" s="142">
        <f t="shared" si="32"/>
        <v>2970</v>
      </c>
      <c r="H223" s="143">
        <f>INT((G223*Valores!$C$2*100)+0.5)/100</f>
        <v>27738.91</v>
      </c>
      <c r="I223" s="161">
        <v>0</v>
      </c>
      <c r="J223" s="145">
        <f>INT((I223*Valores!$C$2*100)+0.5)/100</f>
        <v>0</v>
      </c>
      <c r="K223" s="160">
        <v>0</v>
      </c>
      <c r="L223" s="145">
        <f>INT((K223*Valores!$C$2*100)+0.5)/100</f>
        <v>0</v>
      </c>
      <c r="M223" s="158">
        <v>0</v>
      </c>
      <c r="N223" s="145">
        <f>INT((M223*Valores!$C$2*100)+0.5)/100</f>
        <v>0</v>
      </c>
      <c r="O223" s="145">
        <f t="shared" si="35"/>
        <v>4899.7815</v>
      </c>
      <c r="P223" s="145">
        <f t="shared" si="36"/>
        <v>0</v>
      </c>
      <c r="Q223" s="159">
        <f>Valores!$C$14*D223</f>
        <v>9275.1</v>
      </c>
      <c r="R223" s="159">
        <f>IF(D223&lt;15,(Valores!$E$4*D223),Valores!$D$4)</f>
        <v>4774.45</v>
      </c>
      <c r="S223" s="145">
        <v>0</v>
      </c>
      <c r="T223" s="148">
        <f>IF($H$5="NO",IF(Valores!$C$46*D223&gt;Valores!$C$44,Valores!$C$44,Valores!$C$46*D223),IF(Valores!$C$46*D223&gt;Valores!$C$44,Valores!$C$44,Valores!$C$46*D223)/2)</f>
        <v>2047.5</v>
      </c>
      <c r="U223" s="159">
        <f>Valores!$C$23*D223</f>
        <v>2878.7999999999997</v>
      </c>
      <c r="V223" s="145">
        <f t="shared" si="30"/>
        <v>2878.7999999999997</v>
      </c>
      <c r="W223" s="145">
        <v>0</v>
      </c>
      <c r="X223" s="145">
        <v>0</v>
      </c>
      <c r="Y223" s="165">
        <v>0</v>
      </c>
      <c r="Z223" s="145">
        <f>Y223*Valores!$C$2</f>
        <v>0</v>
      </c>
      <c r="AA223" s="145">
        <v>0</v>
      </c>
      <c r="AB223" s="148">
        <f>IF(Valores!$C$92*D223&gt;Valores!$C$91,Valores!$C$91,Valores!$C$92*D223)</f>
        <v>1730.7692307692312</v>
      </c>
      <c r="AC223" s="150">
        <f>IF((Valores!$C$33)*D223&gt;Valores!$F$33,Valores!$F$33,(Valores!$C$33)*D223)</f>
        <v>240.11520000000002</v>
      </c>
      <c r="AD223" s="145">
        <f t="shared" si="38"/>
        <v>0</v>
      </c>
      <c r="AE223" s="145">
        <f>IF(Valores!$C$34*D223&gt;Valores!$F$34,Valores!$F$34,Valores!$C$34*D223)</f>
        <v>199.86</v>
      </c>
      <c r="AF223" s="149">
        <v>0</v>
      </c>
      <c r="AG223" s="145">
        <f>INT(((AF223*Valores!$C$2)*100)+0.5)/100</f>
        <v>0</v>
      </c>
      <c r="AH223" s="145">
        <f>IF($H$5="NO",IF(Valores!$D$59*'Escala Docente'!D223&gt;Valores!$F$59,Valores!$F$59,Valores!$D$59*'Escala Docente'!D223),IF(Valores!$D$59*'Escala Docente'!D223&gt;Valores!$F$59,Valores!$F$59,Valores!$D$59*'Escala Docente'!D223)/2)</f>
        <v>813.06</v>
      </c>
      <c r="AI223" s="145">
        <f>IF($H$5="NO",IF(Valores!$D$61*D223&gt;Valores!$F$61,Valores!$F$61,Valores!$D$61*D223),IF(Valores!$D$61*D223&gt;Valores!$F$61,Valores!$F$61,Valores!$D$61*D223)/2)</f>
        <v>232.3</v>
      </c>
      <c r="AJ223" s="151">
        <f t="shared" si="39"/>
        <v>54830.645930769235</v>
      </c>
      <c r="AK223" s="159">
        <f>IF(Valores!$C$37*D223&gt;Valores!$F$37,Valores!$F$37,Valores!$C$37*D223)</f>
        <v>2093.66</v>
      </c>
      <c r="AL223" s="148">
        <f>IF(Valores!$C$11*D223&gt;Valores!$F$11,Valores!$F$11,Valores!$C$11*D223)</f>
        <v>0</v>
      </c>
      <c r="AM223" s="148">
        <f>IF(Valores!$C$87*D223&gt;Valores!$C$86,Valores!$C$86,Valores!$C$87*D223)</f>
        <v>3412.4999999999995</v>
      </c>
      <c r="AN223" s="148"/>
      <c r="AO223" s="150">
        <f>IF(Valores!$C$57*D223&gt;Valores!$F$57,Valores!$F$57,Valores!$C$57*D223)</f>
        <v>327.6</v>
      </c>
      <c r="AP223" s="152">
        <f t="shared" si="37"/>
        <v>5506.16</v>
      </c>
      <c r="AQ223" s="154">
        <f>AJ223*-Valores!$C$68</f>
        <v>-6031.371052384616</v>
      </c>
      <c r="AR223" s="154">
        <f>AJ223*-Valores!$C$69</f>
        <v>0</v>
      </c>
      <c r="AS223" s="147">
        <f>AJ223*-Valores!$C$70</f>
        <v>-2467.3790668846154</v>
      </c>
      <c r="AT223" s="147">
        <v>-159.43</v>
      </c>
      <c r="AU223" s="147">
        <f t="shared" si="40"/>
        <v>-53.83</v>
      </c>
      <c r="AV223" s="151">
        <f t="shared" si="41"/>
        <v>51624.7958115</v>
      </c>
      <c r="AW223" s="155"/>
      <c r="AX223" s="155">
        <f t="shared" si="33"/>
        <v>120</v>
      </c>
      <c r="AY223" s="140" t="s">
        <v>4</v>
      </c>
    </row>
    <row r="224" spans="1:51" s="117" customFormat="1" ht="11.25" customHeight="1">
      <c r="A224" s="139">
        <v>222</v>
      </c>
      <c r="B224" s="139"/>
      <c r="C224" s="140" t="s">
        <v>500</v>
      </c>
      <c r="D224" s="140">
        <v>31</v>
      </c>
      <c r="E224" s="140">
        <f t="shared" si="34"/>
        <v>37</v>
      </c>
      <c r="F224" s="141" t="str">
        <f t="shared" si="31"/>
        <v>Hora Cátedra Enseñanza Superior 31 hs</v>
      </c>
      <c r="G224" s="142">
        <f t="shared" si="32"/>
        <v>3069</v>
      </c>
      <c r="H224" s="143">
        <f>INT((G224*Valores!$C$2*100)+0.5)/100</f>
        <v>28663.54</v>
      </c>
      <c r="I224" s="161">
        <v>0</v>
      </c>
      <c r="J224" s="145">
        <f>INT((I224*Valores!$C$2*100)+0.5)/100</f>
        <v>0</v>
      </c>
      <c r="K224" s="160">
        <v>0</v>
      </c>
      <c r="L224" s="145">
        <f>INT((K224*Valores!$C$2*100)+0.5)/100</f>
        <v>0</v>
      </c>
      <c r="M224" s="158">
        <v>0</v>
      </c>
      <c r="N224" s="145">
        <f>INT((M224*Valores!$C$2*100)+0.5)/100</f>
        <v>0</v>
      </c>
      <c r="O224" s="145">
        <f t="shared" si="35"/>
        <v>5063.1075</v>
      </c>
      <c r="P224" s="145">
        <f t="shared" si="36"/>
        <v>0</v>
      </c>
      <c r="Q224" s="159">
        <f>Valores!$C$14*D224</f>
        <v>9584.27</v>
      </c>
      <c r="R224" s="159">
        <f>IF(D224&lt;15,(Valores!$E$4*D224),Valores!$D$4)</f>
        <v>4774.45</v>
      </c>
      <c r="S224" s="145">
        <v>0</v>
      </c>
      <c r="T224" s="148">
        <f>IF($H$5="NO",IF(Valores!$C$46*D224&gt;Valores!$C$44,Valores!$C$44,Valores!$C$46*D224),IF(Valores!$C$46*D224&gt;Valores!$C$44,Valores!$C$44,Valores!$C$46*D224)/2)</f>
        <v>2115.75</v>
      </c>
      <c r="U224" s="148">
        <f>Valores!$C$23*D224</f>
        <v>2974.7599999999998</v>
      </c>
      <c r="V224" s="145">
        <f t="shared" si="30"/>
        <v>2974.7599999999998</v>
      </c>
      <c r="W224" s="145">
        <v>0</v>
      </c>
      <c r="X224" s="145">
        <v>0</v>
      </c>
      <c r="Y224" s="165">
        <v>0</v>
      </c>
      <c r="Z224" s="145">
        <f>Y224*Valores!$C$2</f>
        <v>0</v>
      </c>
      <c r="AA224" s="145">
        <v>0</v>
      </c>
      <c r="AB224" s="148">
        <f>IF(Valores!$C$92*D224&gt;Valores!$C$91,Valores!$C$91,Valores!$C$92*D224)</f>
        <v>1788.461538461539</v>
      </c>
      <c r="AC224" s="150">
        <f>IF((Valores!$C$33)*D224&gt;Valores!$F$33,Valores!$F$33,(Valores!$C$33)*D224)</f>
        <v>248.11904</v>
      </c>
      <c r="AD224" s="145">
        <f t="shared" si="38"/>
        <v>0</v>
      </c>
      <c r="AE224" s="145">
        <f>IF(Valores!$C$34*D224&gt;Valores!$F$34,Valores!$F$34,Valores!$C$34*D224)</f>
        <v>199.86</v>
      </c>
      <c r="AF224" s="149">
        <v>0</v>
      </c>
      <c r="AG224" s="145">
        <f>INT(((AF224*Valores!$C$2)*100)+0.5)/100</f>
        <v>0</v>
      </c>
      <c r="AH224" s="145">
        <f>IF($H$5="NO",IF(Valores!$D$59*'Escala Docente'!D224&gt;Valores!$F$59,Valores!$F$59,Valores!$D$59*'Escala Docente'!D224),IF(Valores!$D$59*'Escala Docente'!D224&gt;Valores!$F$59,Valores!$F$59,Valores!$D$59*'Escala Docente'!D224)/2)</f>
        <v>813.06</v>
      </c>
      <c r="AI224" s="145">
        <f>IF($H$5="NO",IF(Valores!$D$61*D224&gt;Valores!$F$61,Valores!$F$61,Valores!$D$61*D224),IF(Valores!$D$61*D224&gt;Valores!$F$61,Valores!$F$61,Valores!$D$61*D224)/2)</f>
        <v>232.3</v>
      </c>
      <c r="AJ224" s="151">
        <f t="shared" si="39"/>
        <v>56457.67807846153</v>
      </c>
      <c r="AK224" s="159">
        <f>IF(Valores!$C$37*D224&gt;Valores!$F$37,Valores!$F$37,Valores!$C$37*D224)</f>
        <v>2093.66</v>
      </c>
      <c r="AL224" s="148">
        <f>IF(Valores!$C$11*D224&gt;Valores!$F$11,Valores!$F$11,Valores!$C$11*D224)</f>
        <v>0</v>
      </c>
      <c r="AM224" s="148">
        <f>IF(Valores!$C$87*D224&gt;Valores!$C$86,Valores!$C$86,Valores!$C$87*D224)</f>
        <v>3526.2499999999995</v>
      </c>
      <c r="AN224" s="148"/>
      <c r="AO224" s="150">
        <f>IF(Valores!$C$57*D224&gt;Valores!$F$57,Valores!$F$57,Valores!$C$57*D224)</f>
        <v>327.6</v>
      </c>
      <c r="AP224" s="152">
        <f t="shared" si="37"/>
        <v>5619.91</v>
      </c>
      <c r="AQ224" s="154">
        <f>AJ224*-Valores!$C$68</f>
        <v>-6210.344588630769</v>
      </c>
      <c r="AR224" s="154">
        <f>AJ224*-Valores!$C$69</f>
        <v>0</v>
      </c>
      <c r="AS224" s="147">
        <f>AJ224*-Valores!$C$70</f>
        <v>-2540.595513530769</v>
      </c>
      <c r="AT224" s="147">
        <v>-159.43</v>
      </c>
      <c r="AU224" s="147">
        <f t="shared" si="40"/>
        <v>-53.83</v>
      </c>
      <c r="AV224" s="151">
        <f t="shared" si="41"/>
        <v>53113.38797629999</v>
      </c>
      <c r="AW224" s="155"/>
      <c r="AX224" s="155">
        <f t="shared" si="33"/>
        <v>124</v>
      </c>
      <c r="AY224" s="140" t="s">
        <v>8</v>
      </c>
    </row>
    <row r="225" spans="1:51" s="117" customFormat="1" ht="11.25" customHeight="1">
      <c r="A225" s="139">
        <v>223</v>
      </c>
      <c r="B225" s="139"/>
      <c r="C225" s="140" t="s">
        <v>500</v>
      </c>
      <c r="D225" s="140">
        <v>32</v>
      </c>
      <c r="E225" s="140">
        <f t="shared" si="34"/>
        <v>37</v>
      </c>
      <c r="F225" s="141" t="str">
        <f t="shared" si="31"/>
        <v>Hora Cátedra Enseñanza Superior 32 hs</v>
      </c>
      <c r="G225" s="142">
        <f t="shared" si="32"/>
        <v>3168</v>
      </c>
      <c r="H225" s="143">
        <f>INT((G225*Valores!$C$2*100)+0.5)/100</f>
        <v>29588.17</v>
      </c>
      <c r="I225" s="161">
        <v>0</v>
      </c>
      <c r="J225" s="145">
        <f>INT((I225*Valores!$C$2*100)+0.5)/100</f>
        <v>0</v>
      </c>
      <c r="K225" s="160">
        <v>0</v>
      </c>
      <c r="L225" s="145">
        <f>INT((K225*Valores!$C$2*100)+0.5)/100</f>
        <v>0</v>
      </c>
      <c r="M225" s="158">
        <v>0</v>
      </c>
      <c r="N225" s="145">
        <f>INT((M225*Valores!$C$2*100)+0.5)/100</f>
        <v>0</v>
      </c>
      <c r="O225" s="145">
        <f t="shared" si="35"/>
        <v>5226.4335</v>
      </c>
      <c r="P225" s="145">
        <f t="shared" si="36"/>
        <v>0</v>
      </c>
      <c r="Q225" s="159">
        <f>Valores!$C$14*D225</f>
        <v>9893.44</v>
      </c>
      <c r="R225" s="159">
        <f>IF(D225&lt;15,(Valores!$E$4*D225),Valores!$D$4)</f>
        <v>4774.45</v>
      </c>
      <c r="S225" s="145">
        <v>0</v>
      </c>
      <c r="T225" s="148">
        <f>IF($H$5="NO",IF(Valores!$C$46*D225&gt;Valores!$C$44,Valores!$C$44,Valores!$C$46*D225),IF(Valores!$C$46*D225&gt;Valores!$C$44,Valores!$C$44,Valores!$C$46*D225)/2)</f>
        <v>2184</v>
      </c>
      <c r="U225" s="159">
        <f>Valores!$C$23*D225</f>
        <v>3070.72</v>
      </c>
      <c r="V225" s="145">
        <f t="shared" si="30"/>
        <v>3070.72</v>
      </c>
      <c r="W225" s="145">
        <v>0</v>
      </c>
      <c r="X225" s="145">
        <v>0</v>
      </c>
      <c r="Y225" s="165">
        <v>0</v>
      </c>
      <c r="Z225" s="145">
        <f>Y225*Valores!$C$2</f>
        <v>0</v>
      </c>
      <c r="AA225" s="145">
        <v>0</v>
      </c>
      <c r="AB225" s="148">
        <f>IF(Valores!$C$92*D225&gt;Valores!$C$91,Valores!$C$91,Valores!$C$92*D225)</f>
        <v>1846.1538461538466</v>
      </c>
      <c r="AC225" s="150">
        <f>IF((Valores!$C$33)*D225&gt;Valores!$F$33,Valores!$F$33,(Valores!$C$33)*D225)</f>
        <v>256.12288</v>
      </c>
      <c r="AD225" s="145">
        <f t="shared" si="38"/>
        <v>0</v>
      </c>
      <c r="AE225" s="145">
        <f>IF(Valores!$C$34*D225&gt;Valores!$F$34,Valores!$F$34,Valores!$C$34*D225)</f>
        <v>199.86</v>
      </c>
      <c r="AF225" s="149">
        <v>0</v>
      </c>
      <c r="AG225" s="145">
        <f>INT(((AF225*Valores!$C$2)*100)+0.5)/100</f>
        <v>0</v>
      </c>
      <c r="AH225" s="145">
        <f>IF($H$5="NO",IF(Valores!$D$59*'Escala Docente'!D225&gt;Valores!$F$59,Valores!$F$59,Valores!$D$59*'Escala Docente'!D225),IF(Valores!$D$59*'Escala Docente'!D225&gt;Valores!$F$59,Valores!$F$59,Valores!$D$59*'Escala Docente'!D225)/2)</f>
        <v>813.06</v>
      </c>
      <c r="AI225" s="145">
        <f>IF($H$5="NO",IF(Valores!$D$61*D225&gt;Valores!$F$61,Valores!$F$61,Valores!$D$61*D225),IF(Valores!$D$61*D225&gt;Valores!$F$61,Valores!$F$61,Valores!$D$61*D225)/2)</f>
        <v>232.3</v>
      </c>
      <c r="AJ225" s="151">
        <f t="shared" si="39"/>
        <v>58084.710226153846</v>
      </c>
      <c r="AK225" s="159">
        <f>IF(Valores!$C$37*D225&gt;Valores!$F$37,Valores!$F$37,Valores!$C$37*D225)</f>
        <v>2093.66</v>
      </c>
      <c r="AL225" s="148">
        <f>IF(Valores!$C$11*D225&gt;Valores!$F$11,Valores!$F$11,Valores!$C$11*D225)</f>
        <v>0</v>
      </c>
      <c r="AM225" s="148">
        <f>IF(Valores!$C$87*D225&gt;Valores!$C$86,Valores!$C$86,Valores!$C$87*D225)</f>
        <v>3639.9999999999995</v>
      </c>
      <c r="AN225" s="148"/>
      <c r="AO225" s="150">
        <f>IF(Valores!$C$57*D225&gt;Valores!$F$57,Valores!$F$57,Valores!$C$57*D225)</f>
        <v>327.6</v>
      </c>
      <c r="AP225" s="152">
        <f t="shared" si="37"/>
        <v>5733.66</v>
      </c>
      <c r="AQ225" s="154">
        <f>AJ225*-Valores!$C$68</f>
        <v>-6389.318124876923</v>
      </c>
      <c r="AR225" s="154">
        <f>AJ225*-Valores!$C$69</f>
        <v>0</v>
      </c>
      <c r="AS225" s="147">
        <f>AJ225*-Valores!$C$70</f>
        <v>-2613.811960176923</v>
      </c>
      <c r="AT225" s="147">
        <v>-159.43</v>
      </c>
      <c r="AU225" s="147">
        <f t="shared" si="40"/>
        <v>-53.83</v>
      </c>
      <c r="AV225" s="151">
        <f t="shared" si="41"/>
        <v>54601.98014109999</v>
      </c>
      <c r="AW225" s="155"/>
      <c r="AX225" s="155">
        <f t="shared" si="33"/>
        <v>128</v>
      </c>
      <c r="AY225" s="140" t="s">
        <v>8</v>
      </c>
    </row>
    <row r="226" spans="1:51" s="117" customFormat="1" ht="11.25" customHeight="1">
      <c r="A226" s="139">
        <v>224</v>
      </c>
      <c r="B226" s="139"/>
      <c r="C226" s="140" t="s">
        <v>500</v>
      </c>
      <c r="D226" s="140">
        <v>33</v>
      </c>
      <c r="E226" s="140">
        <f t="shared" si="34"/>
        <v>37</v>
      </c>
      <c r="F226" s="141" t="str">
        <f t="shared" si="31"/>
        <v>Hora Cátedra Enseñanza Superior 33 hs</v>
      </c>
      <c r="G226" s="142">
        <f t="shared" si="32"/>
        <v>3267</v>
      </c>
      <c r="H226" s="143">
        <f>INT((G226*Valores!$C$2*100)+0.5)/100</f>
        <v>30512.8</v>
      </c>
      <c r="I226" s="161">
        <v>0</v>
      </c>
      <c r="J226" s="145">
        <f>INT((I226*Valores!$C$2*100)+0.5)/100</f>
        <v>0</v>
      </c>
      <c r="K226" s="160">
        <v>0</v>
      </c>
      <c r="L226" s="145">
        <f>INT((K226*Valores!$C$2*100)+0.5)/100</f>
        <v>0</v>
      </c>
      <c r="M226" s="158">
        <v>0</v>
      </c>
      <c r="N226" s="145">
        <f>INT((M226*Valores!$C$2*100)+0.5)/100</f>
        <v>0</v>
      </c>
      <c r="O226" s="145">
        <f t="shared" si="35"/>
        <v>5389.759499999999</v>
      </c>
      <c r="P226" s="145">
        <f t="shared" si="36"/>
        <v>0</v>
      </c>
      <c r="Q226" s="159">
        <f>Valores!$C$14*D226</f>
        <v>10202.61</v>
      </c>
      <c r="R226" s="159">
        <f>IF(D226&lt;15,(Valores!$E$4*D226),Valores!$D$4)</f>
        <v>4774.45</v>
      </c>
      <c r="S226" s="145">
        <v>0</v>
      </c>
      <c r="T226" s="148">
        <f>IF($H$5="NO",IF(Valores!$C$46*D226&gt;Valores!$C$44,Valores!$C$44,Valores!$C$46*D226),IF(Valores!$C$46*D226&gt;Valores!$C$44,Valores!$C$44,Valores!$C$46*D226)/2)</f>
        <v>2252.25</v>
      </c>
      <c r="U226" s="159">
        <f>Valores!$C$23*D226</f>
        <v>3166.68</v>
      </c>
      <c r="V226" s="145">
        <f t="shared" si="30"/>
        <v>3166.68</v>
      </c>
      <c r="W226" s="145">
        <v>0</v>
      </c>
      <c r="X226" s="145">
        <v>0</v>
      </c>
      <c r="Y226" s="165">
        <v>0</v>
      </c>
      <c r="Z226" s="145">
        <f>Y226*Valores!$C$2</f>
        <v>0</v>
      </c>
      <c r="AA226" s="145">
        <v>0</v>
      </c>
      <c r="AB226" s="148">
        <f>IF(Valores!$C$92*D226&gt;Valores!$C$91,Valores!$C$91,Valores!$C$92*D226)</f>
        <v>1903.8461538461543</v>
      </c>
      <c r="AC226" s="150">
        <f>IF((Valores!$C$33)*D226&gt;Valores!$F$33,Valores!$F$33,(Valores!$C$33)*D226)</f>
        <v>264.12672000000003</v>
      </c>
      <c r="AD226" s="145">
        <f t="shared" si="38"/>
        <v>0</v>
      </c>
      <c r="AE226" s="145">
        <f>IF(Valores!$C$34*D226&gt;Valores!$F$34,Valores!$F$34,Valores!$C$34*D226)</f>
        <v>199.86</v>
      </c>
      <c r="AF226" s="149">
        <v>0</v>
      </c>
      <c r="AG226" s="145">
        <f>INT(((AF226*Valores!$C$2)*100)+0.5)/100</f>
        <v>0</v>
      </c>
      <c r="AH226" s="145">
        <f>IF($H$5="NO",IF(Valores!$D$59*'Escala Docente'!D226&gt;Valores!$F$59,Valores!$F$59,Valores!$D$59*'Escala Docente'!D226),IF(Valores!$D$59*'Escala Docente'!D226&gt;Valores!$F$59,Valores!$F$59,Valores!$D$59*'Escala Docente'!D226)/2)</f>
        <v>813.06</v>
      </c>
      <c r="AI226" s="145">
        <f>IF($H$5="NO",IF(Valores!$D$61*D226&gt;Valores!$F$61,Valores!$F$61,Valores!$D$61*D226),IF(Valores!$D$61*D226&gt;Valores!$F$61,Valores!$F$61,Valores!$D$61*D226)/2)</f>
        <v>232.3</v>
      </c>
      <c r="AJ226" s="151">
        <f t="shared" si="39"/>
        <v>59711.74237384615</v>
      </c>
      <c r="AK226" s="159">
        <f>IF(Valores!$C$37*D226&gt;Valores!$F$37,Valores!$F$37,Valores!$C$37*D226)</f>
        <v>2093.66</v>
      </c>
      <c r="AL226" s="148">
        <f>IF(Valores!$C$11*D226&gt;Valores!$F$11,Valores!$F$11,Valores!$C$11*D226)</f>
        <v>0</v>
      </c>
      <c r="AM226" s="148">
        <f>IF(Valores!$C$87*D226&gt;Valores!$C$86,Valores!$C$86,Valores!$C$87*D226)</f>
        <v>3753.7499999999995</v>
      </c>
      <c r="AN226" s="148"/>
      <c r="AO226" s="150">
        <f>IF(Valores!$C$57*D226&gt;Valores!$F$57,Valores!$F$57,Valores!$C$57*D226)</f>
        <v>327.6</v>
      </c>
      <c r="AP226" s="152">
        <f t="shared" si="37"/>
        <v>5847.41</v>
      </c>
      <c r="AQ226" s="154">
        <f>AJ226*-Valores!$C$68</f>
        <v>-6568.291661123077</v>
      </c>
      <c r="AR226" s="154">
        <f>AJ226*-Valores!$C$69</f>
        <v>0</v>
      </c>
      <c r="AS226" s="147">
        <f>AJ226*-Valores!$C$70</f>
        <v>-2687.0284068230767</v>
      </c>
      <c r="AT226" s="147">
        <v>-159.43</v>
      </c>
      <c r="AU226" s="147">
        <f t="shared" si="40"/>
        <v>-53.83</v>
      </c>
      <c r="AV226" s="151">
        <f t="shared" si="41"/>
        <v>56090.5723059</v>
      </c>
      <c r="AW226" s="155"/>
      <c r="AX226" s="155">
        <f aca="true" t="shared" si="42" ref="AX226:AX257">4*D226</f>
        <v>132</v>
      </c>
      <c r="AY226" s="140" t="s">
        <v>8</v>
      </c>
    </row>
    <row r="227" spans="1:51" s="117" customFormat="1" ht="11.25" customHeight="1">
      <c r="A227" s="157">
        <v>225</v>
      </c>
      <c r="B227" s="157" t="s">
        <v>143</v>
      </c>
      <c r="C227" s="140" t="s">
        <v>500</v>
      </c>
      <c r="D227" s="140">
        <v>34</v>
      </c>
      <c r="E227" s="140">
        <f t="shared" si="34"/>
        <v>37</v>
      </c>
      <c r="F227" s="141" t="str">
        <f t="shared" si="31"/>
        <v>Hora Cátedra Enseñanza Superior 34 hs</v>
      </c>
      <c r="G227" s="142">
        <f t="shared" si="32"/>
        <v>3366</v>
      </c>
      <c r="H227" s="143">
        <f>INT((G227*Valores!$C$2*100)+0.5)/100</f>
        <v>31437.43</v>
      </c>
      <c r="I227" s="161">
        <v>0</v>
      </c>
      <c r="J227" s="145">
        <f>INT((I227*Valores!$C$2*100)+0.5)/100</f>
        <v>0</v>
      </c>
      <c r="K227" s="160">
        <v>0</v>
      </c>
      <c r="L227" s="145">
        <f>INT((K227*Valores!$C$2*100)+0.5)/100</f>
        <v>0</v>
      </c>
      <c r="M227" s="158">
        <v>0</v>
      </c>
      <c r="N227" s="145">
        <f>INT((M227*Valores!$C$2*100)+0.5)/100</f>
        <v>0</v>
      </c>
      <c r="O227" s="145">
        <f t="shared" si="35"/>
        <v>5553.0855</v>
      </c>
      <c r="P227" s="145">
        <f t="shared" si="36"/>
        <v>0</v>
      </c>
      <c r="Q227" s="159">
        <f>Valores!$C$14*D227</f>
        <v>10511.78</v>
      </c>
      <c r="R227" s="159">
        <f>IF(D227&lt;15,(Valores!$E$4*D227),Valores!$D$4)</f>
        <v>4774.45</v>
      </c>
      <c r="S227" s="145">
        <v>0</v>
      </c>
      <c r="T227" s="148">
        <f>IF($H$5="NO",IF(Valores!$C$46*D227&gt;Valores!$C$44,Valores!$C$44,Valores!$C$46*D227),IF(Valores!$C$46*D227&gt;Valores!$C$44,Valores!$C$44,Valores!$C$46*D227)/2)</f>
        <v>2320.5</v>
      </c>
      <c r="U227" s="159">
        <f>Valores!$C$23*D227</f>
        <v>3262.64</v>
      </c>
      <c r="V227" s="145">
        <f t="shared" si="30"/>
        <v>3262.64</v>
      </c>
      <c r="W227" s="145">
        <v>0</v>
      </c>
      <c r="X227" s="145">
        <v>0</v>
      </c>
      <c r="Y227" s="165">
        <v>0</v>
      </c>
      <c r="Z227" s="145">
        <f>Y227*Valores!$C$2</f>
        <v>0</v>
      </c>
      <c r="AA227" s="145">
        <v>0</v>
      </c>
      <c r="AB227" s="148">
        <f>IF(Valores!$C$92*D227&gt;Valores!$C$91,Valores!$C$91,Valores!$C$92*D227)</f>
        <v>1961.5384615384621</v>
      </c>
      <c r="AC227" s="150">
        <f>IF((Valores!$C$33)*D227&gt;Valores!$F$33,Valores!$F$33,(Valores!$C$33)*D227)</f>
        <v>272.13056</v>
      </c>
      <c r="AD227" s="145">
        <f t="shared" si="38"/>
        <v>0</v>
      </c>
      <c r="AE227" s="145">
        <f>IF(Valores!$C$34*D227&gt;Valores!$F$34,Valores!$F$34,Valores!$C$34*D227)</f>
        <v>199.86</v>
      </c>
      <c r="AF227" s="149">
        <v>0</v>
      </c>
      <c r="AG227" s="145">
        <f>INT(((AF227*Valores!$C$2)*100)+0.5)/100</f>
        <v>0</v>
      </c>
      <c r="AH227" s="145">
        <f>IF($H$5="NO",IF(Valores!$D$59*'Escala Docente'!D227&gt;Valores!$F$59,Valores!$F$59,Valores!$D$59*'Escala Docente'!D227),IF(Valores!$D$59*'Escala Docente'!D227&gt;Valores!$F$59,Valores!$F$59,Valores!$D$59*'Escala Docente'!D227)/2)</f>
        <v>813.06</v>
      </c>
      <c r="AI227" s="145">
        <f>IF($H$5="NO",IF(Valores!$D$61*D227&gt;Valores!$F$61,Valores!$F$61,Valores!$D$61*D227),IF(Valores!$D$61*D227&gt;Valores!$F$61,Valores!$F$61,Valores!$D$61*D227)/2)</f>
        <v>232.3</v>
      </c>
      <c r="AJ227" s="151">
        <f t="shared" si="39"/>
        <v>61338.77452153846</v>
      </c>
      <c r="AK227" s="159">
        <f>IF(Valores!$C$37*D227&gt;Valores!$F$37,Valores!$F$37,Valores!$C$37*D227)</f>
        <v>2093.66</v>
      </c>
      <c r="AL227" s="148">
        <f>IF(Valores!$C$11*D227&gt;Valores!$F$11,Valores!$F$11,Valores!$C$11*D227)</f>
        <v>0</v>
      </c>
      <c r="AM227" s="148">
        <f>IF(Valores!$C$87*D227&gt;Valores!$C$86,Valores!$C$86,Valores!$C$87*D227)</f>
        <v>3867.4999999999995</v>
      </c>
      <c r="AN227" s="148"/>
      <c r="AO227" s="150">
        <f>IF(Valores!$C$57*D227&gt;Valores!$F$57,Valores!$F$57,Valores!$C$57*D227)</f>
        <v>327.6</v>
      </c>
      <c r="AP227" s="152">
        <f t="shared" si="37"/>
        <v>5961.16</v>
      </c>
      <c r="AQ227" s="154">
        <f>AJ227*-Valores!$C$68</f>
        <v>-6747.26519736923</v>
      </c>
      <c r="AR227" s="154">
        <f>AJ227*-Valores!$C$69</f>
        <v>0</v>
      </c>
      <c r="AS227" s="147">
        <f>AJ227*-Valores!$C$70</f>
        <v>-2760.2448534692303</v>
      </c>
      <c r="AT227" s="147">
        <v>-159.43</v>
      </c>
      <c r="AU227" s="147">
        <f t="shared" si="40"/>
        <v>-53.83</v>
      </c>
      <c r="AV227" s="151">
        <f t="shared" si="41"/>
        <v>57579.16447069999</v>
      </c>
      <c r="AW227" s="155"/>
      <c r="AX227" s="155">
        <f t="shared" si="42"/>
        <v>136</v>
      </c>
      <c r="AY227" s="140" t="s">
        <v>8</v>
      </c>
    </row>
    <row r="228" spans="1:51" s="117" customFormat="1" ht="11.25" customHeight="1">
      <c r="A228" s="139">
        <v>226</v>
      </c>
      <c r="B228" s="139"/>
      <c r="C228" s="140" t="s">
        <v>500</v>
      </c>
      <c r="D228" s="140">
        <v>35</v>
      </c>
      <c r="E228" s="140">
        <f t="shared" si="34"/>
        <v>37</v>
      </c>
      <c r="F228" s="141" t="str">
        <f t="shared" si="31"/>
        <v>Hora Cátedra Enseñanza Superior 35 hs</v>
      </c>
      <c r="G228" s="142">
        <f t="shared" si="32"/>
        <v>3465</v>
      </c>
      <c r="H228" s="143">
        <f>INT((G228*Valores!$C$2*100)+0.5)/100</f>
        <v>32362.06</v>
      </c>
      <c r="I228" s="161">
        <v>0</v>
      </c>
      <c r="J228" s="145">
        <f>INT((I228*Valores!$C$2*100)+0.5)/100</f>
        <v>0</v>
      </c>
      <c r="K228" s="160">
        <v>0</v>
      </c>
      <c r="L228" s="145">
        <f>INT((K228*Valores!$C$2*100)+0.5)/100</f>
        <v>0</v>
      </c>
      <c r="M228" s="158">
        <v>0</v>
      </c>
      <c r="N228" s="145">
        <f>INT((M228*Valores!$C$2*100)+0.5)/100</f>
        <v>0</v>
      </c>
      <c r="O228" s="145">
        <f t="shared" si="35"/>
        <v>5715.802500000001</v>
      </c>
      <c r="P228" s="145">
        <f t="shared" si="36"/>
        <v>0</v>
      </c>
      <c r="Q228" s="159">
        <f>Valores!$C$14*D228</f>
        <v>10820.95</v>
      </c>
      <c r="R228" s="159">
        <f>IF(D228&lt;15,(Valores!$E$4*D228),Valores!$D$4)</f>
        <v>4774.45</v>
      </c>
      <c r="S228" s="145">
        <v>0</v>
      </c>
      <c r="T228" s="148">
        <f>IF($H$5="NO",IF(Valores!$C$46*D228&gt;Valores!$C$44,Valores!$C$44,Valores!$C$46*D228),IF(Valores!$C$46*D228&gt;Valores!$C$44,Valores!$C$44,Valores!$C$46*D228)/2)</f>
        <v>2384.69</v>
      </c>
      <c r="U228" s="159">
        <f>Valores!$C$23*D228</f>
        <v>3358.6</v>
      </c>
      <c r="V228" s="145">
        <f t="shared" si="30"/>
        <v>3358.6</v>
      </c>
      <c r="W228" s="145">
        <v>0</v>
      </c>
      <c r="X228" s="145">
        <v>0</v>
      </c>
      <c r="Y228" s="165">
        <v>0</v>
      </c>
      <c r="Z228" s="145">
        <f>Y228*Valores!$C$2</f>
        <v>0</v>
      </c>
      <c r="AA228" s="145">
        <v>0</v>
      </c>
      <c r="AB228" s="148">
        <f>IF(Valores!$C$92*D228&gt;Valores!$C$91,Valores!$C$91,Valores!$C$92*D228)</f>
        <v>2019.2307692307697</v>
      </c>
      <c r="AC228" s="150">
        <f>IF((Valores!$C$33)*D228&gt;Valores!$F$33,Valores!$F$33,(Valores!$C$33)*D228)</f>
        <v>280.1344</v>
      </c>
      <c r="AD228" s="145">
        <f t="shared" si="38"/>
        <v>0</v>
      </c>
      <c r="AE228" s="145">
        <f>IF(Valores!$C$34*D228&gt;Valores!$F$34,Valores!$F$34,Valores!$C$34*D228)</f>
        <v>199.86</v>
      </c>
      <c r="AF228" s="149">
        <v>0</v>
      </c>
      <c r="AG228" s="145">
        <f>INT(((AF228*Valores!$C$2)*100)+0.5)/100</f>
        <v>0</v>
      </c>
      <c r="AH228" s="145">
        <f>IF($H$5="NO",IF(Valores!$D$59*'Escala Docente'!D228&gt;Valores!$F$59,Valores!$F$59,Valores!$D$59*'Escala Docente'!D228),IF(Valores!$D$59*'Escala Docente'!D228&gt;Valores!$F$59,Valores!$F$59,Valores!$D$59*'Escala Docente'!D228)/2)</f>
        <v>813.06</v>
      </c>
      <c r="AI228" s="145">
        <f>IF($H$5="NO",IF(Valores!$D$61*D228&gt;Valores!$F$61,Valores!$F$61,Valores!$D$61*D228),IF(Valores!$D$61*D228&gt;Valores!$F$61,Valores!$F$61,Valores!$D$61*D228)/2)</f>
        <v>232.3</v>
      </c>
      <c r="AJ228" s="151">
        <f t="shared" si="39"/>
        <v>62961.137669230775</v>
      </c>
      <c r="AK228" s="159">
        <f>IF(Valores!$C$37*D228&gt;Valores!$F$37,Valores!$F$37,Valores!$C$37*D228)</f>
        <v>2093.66</v>
      </c>
      <c r="AL228" s="148">
        <f>IF(Valores!$C$11*D228&gt;Valores!$F$11,Valores!$F$11,Valores!$C$11*D228)</f>
        <v>0</v>
      </c>
      <c r="AM228" s="148">
        <f>IF(Valores!$C$87*D228&gt;Valores!$C$86,Valores!$C$86,Valores!$C$87*D228)</f>
        <v>3981.2499999999995</v>
      </c>
      <c r="AN228" s="148"/>
      <c r="AO228" s="150">
        <f>IF(Valores!$C$57*D228&gt;Valores!$F$57,Valores!$F$57,Valores!$C$57*D228)</f>
        <v>327.6</v>
      </c>
      <c r="AP228" s="152">
        <f t="shared" si="37"/>
        <v>6074.91</v>
      </c>
      <c r="AQ228" s="154">
        <f>AJ228*-Valores!$C$68</f>
        <v>-6925.725143615386</v>
      </c>
      <c r="AR228" s="154">
        <f>AJ228*-Valores!$C$69</f>
        <v>0</v>
      </c>
      <c r="AS228" s="147">
        <f>AJ228*-Valores!$C$70</f>
        <v>-2833.2511951153847</v>
      </c>
      <c r="AT228" s="147">
        <v>-159.43</v>
      </c>
      <c r="AU228" s="147">
        <f t="shared" si="40"/>
        <v>-53.83</v>
      </c>
      <c r="AV228" s="151">
        <f t="shared" si="41"/>
        <v>59063.81133049999</v>
      </c>
      <c r="AW228" s="155"/>
      <c r="AX228" s="155">
        <f t="shared" si="42"/>
        <v>140</v>
      </c>
      <c r="AY228" s="140" t="s">
        <v>8</v>
      </c>
    </row>
    <row r="229" spans="1:51" s="117" customFormat="1" ht="11.25" customHeight="1">
      <c r="A229" s="139">
        <v>227</v>
      </c>
      <c r="B229" s="139"/>
      <c r="C229" s="140" t="s">
        <v>500</v>
      </c>
      <c r="D229" s="140">
        <v>36</v>
      </c>
      <c r="E229" s="140">
        <f t="shared" si="34"/>
        <v>37</v>
      </c>
      <c r="F229" s="141" t="str">
        <f t="shared" si="31"/>
        <v>Hora Cátedra Enseñanza Superior 36 hs</v>
      </c>
      <c r="G229" s="142">
        <f t="shared" si="32"/>
        <v>3564</v>
      </c>
      <c r="H229" s="143">
        <f>INT((G229*Valores!$C$2*100)+0.5)/100</f>
        <v>33286.69</v>
      </c>
      <c r="I229" s="161">
        <v>0</v>
      </c>
      <c r="J229" s="145">
        <f>INT((I229*Valores!$C$2*100)+0.5)/100</f>
        <v>0</v>
      </c>
      <c r="K229" s="160">
        <v>0</v>
      </c>
      <c r="L229" s="145">
        <f>INT((K229*Valores!$C$2*100)+0.5)/100</f>
        <v>0</v>
      </c>
      <c r="M229" s="158">
        <v>0</v>
      </c>
      <c r="N229" s="145">
        <f>INT((M229*Valores!$C$2*100)+0.5)/100</f>
        <v>0</v>
      </c>
      <c r="O229" s="145">
        <f t="shared" si="35"/>
        <v>5868.8910000000005</v>
      </c>
      <c r="P229" s="145">
        <f t="shared" si="36"/>
        <v>0</v>
      </c>
      <c r="Q229" s="159">
        <f>Valores!$C$14*D229</f>
        <v>11130.12</v>
      </c>
      <c r="R229" s="159">
        <f>IF(D229&lt;15,(Valores!$E$4*D229),Valores!$D$4)</f>
        <v>4774.45</v>
      </c>
      <c r="S229" s="145">
        <v>0</v>
      </c>
      <c r="T229" s="148">
        <f>IF($H$5="NO",IF(Valores!$C$46*D229&gt;Valores!$C$44,Valores!$C$44,Valores!$C$46*D229),IF(Valores!$C$46*D229&gt;Valores!$C$44,Valores!$C$44,Valores!$C$46*D229)/2)</f>
        <v>2384.69</v>
      </c>
      <c r="U229" s="159">
        <f>Valores!$C$23*D229</f>
        <v>3454.56</v>
      </c>
      <c r="V229" s="145">
        <f t="shared" si="30"/>
        <v>3454.56</v>
      </c>
      <c r="W229" s="145">
        <v>0</v>
      </c>
      <c r="X229" s="145">
        <v>0</v>
      </c>
      <c r="Y229" s="165">
        <v>0</v>
      </c>
      <c r="Z229" s="145">
        <f>Y229*Valores!$C$2</f>
        <v>0</v>
      </c>
      <c r="AA229" s="145">
        <v>0</v>
      </c>
      <c r="AB229" s="148">
        <f>IF(Valores!$C$92*D229&gt;Valores!$C$91,Valores!$C$91,Valores!$C$92*D229)</f>
        <v>2076.9230769230776</v>
      </c>
      <c r="AC229" s="150">
        <f>IF((Valores!$C$33)*D229&gt;Valores!$F$33,Valores!$F$33,(Valores!$C$33)*D229)</f>
        <v>288.13824</v>
      </c>
      <c r="AD229" s="145">
        <f t="shared" si="38"/>
        <v>0</v>
      </c>
      <c r="AE229" s="145">
        <f>IF(Valores!$C$34*D229&gt;Valores!$F$34,Valores!$F$34,Valores!$C$34*D229)</f>
        <v>199.86</v>
      </c>
      <c r="AF229" s="149">
        <v>0</v>
      </c>
      <c r="AG229" s="145">
        <f>INT(((AF229*Valores!$C$2)*100)+0.5)/100</f>
        <v>0</v>
      </c>
      <c r="AH229" s="145">
        <f>IF($H$5="NO",IF(Valores!$D$59*'Escala Docente'!D229&gt;Valores!$F$59,Valores!$F$59,Valores!$D$59*'Escala Docente'!D229),IF(Valores!$D$59*'Escala Docente'!D229&gt;Valores!$F$59,Valores!$F$59,Valores!$D$59*'Escala Docente'!D229)/2)</f>
        <v>813.06</v>
      </c>
      <c r="AI229" s="145">
        <f>IF($H$5="NO",IF(Valores!$D$61*D229&gt;Valores!$F$61,Valores!$F$61,Valores!$D$61*D229),IF(Valores!$D$61*D229&gt;Valores!$F$61,Valores!$F$61,Valores!$D$61*D229)/2)</f>
        <v>232.3</v>
      </c>
      <c r="AJ229" s="151">
        <f t="shared" si="39"/>
        <v>64509.682316923085</v>
      </c>
      <c r="AK229" s="159">
        <f>IF(Valores!$C$37*D229&gt;Valores!$F$37,Valores!$F$37,Valores!$C$37*D229)</f>
        <v>2093.66</v>
      </c>
      <c r="AL229" s="148">
        <f>IF(Valores!$C$11*D229&gt;Valores!$F$11,Valores!$F$11,Valores!$C$11*D229)</f>
        <v>0</v>
      </c>
      <c r="AM229" s="148">
        <f>IF(Valores!$C$87*D229&gt;Valores!$C$86,Valores!$C$86,Valores!$C$87*D229)</f>
        <v>4094.9999999999995</v>
      </c>
      <c r="AN229" s="148"/>
      <c r="AO229" s="150">
        <f>IF(Valores!$C$57*D229&gt;Valores!$F$57,Valores!$F$57,Valores!$C$57*D229)</f>
        <v>327.6</v>
      </c>
      <c r="AP229" s="152">
        <f t="shared" si="37"/>
        <v>6188.66</v>
      </c>
      <c r="AQ229" s="154">
        <f>AJ229*-Valores!$C$68</f>
        <v>-7096.0650548615395</v>
      </c>
      <c r="AR229" s="154">
        <f>AJ229*-Valores!$C$69</f>
        <v>0</v>
      </c>
      <c r="AS229" s="147">
        <f>AJ229*-Valores!$C$70</f>
        <v>-2902.935704261539</v>
      </c>
      <c r="AT229" s="147">
        <v>-159.43</v>
      </c>
      <c r="AU229" s="147">
        <f t="shared" si="40"/>
        <v>-53.83</v>
      </c>
      <c r="AV229" s="151">
        <f t="shared" si="41"/>
        <v>60486.0815578</v>
      </c>
      <c r="AW229" s="155"/>
      <c r="AX229" s="155">
        <f t="shared" si="42"/>
        <v>144</v>
      </c>
      <c r="AY229" s="140" t="s">
        <v>8</v>
      </c>
    </row>
    <row r="230" spans="1:51" s="117" customFormat="1" ht="11.25" customHeight="1">
      <c r="A230" s="139">
        <v>228</v>
      </c>
      <c r="B230" s="139"/>
      <c r="C230" s="140" t="s">
        <v>501</v>
      </c>
      <c r="D230" s="140">
        <v>1</v>
      </c>
      <c r="E230" s="140">
        <f t="shared" si="34"/>
        <v>33</v>
      </c>
      <c r="F230" s="141" t="str">
        <f>CONCATENATE("Hora Cátedra Enseñanza Media ",D230," hs")</f>
        <v>Hora Cátedra Enseñanza Media 1 hs</v>
      </c>
      <c r="G230" s="142">
        <f aca="true" t="shared" si="43" ref="G230:G261">79*D230</f>
        <v>79</v>
      </c>
      <c r="H230" s="143">
        <f>INT((G230*Valores!$C$2*100)+0.49)/100</f>
        <v>737.84</v>
      </c>
      <c r="I230" s="161">
        <v>0</v>
      </c>
      <c r="J230" s="145">
        <f>INT((I230*Valores!$C$2*100)+0.5)/100</f>
        <v>0</v>
      </c>
      <c r="K230" s="160">
        <v>0</v>
      </c>
      <c r="L230" s="145">
        <f>INT((K230*Valores!$C$2*100)+0.5)/100</f>
        <v>0</v>
      </c>
      <c r="M230" s="158">
        <v>0</v>
      </c>
      <c r="N230" s="145">
        <f>INT((M230*Valores!$C$2*100)+0.5)/100</f>
        <v>0</v>
      </c>
      <c r="O230" s="145">
        <f t="shared" si="35"/>
        <v>135.3075</v>
      </c>
      <c r="P230" s="145">
        <f t="shared" si="36"/>
        <v>0</v>
      </c>
      <c r="Q230" s="159">
        <f>Valores!$C$14*D230</f>
        <v>309.17</v>
      </c>
      <c r="R230" s="159">
        <f>IF(D230&lt;15,(Valores!$E$4*D230),Valores!$D$4)</f>
        <v>318.29</v>
      </c>
      <c r="S230" s="145">
        <v>0</v>
      </c>
      <c r="T230" s="148">
        <f>IF($H$5="NO",IF(Valores!$C$46*D230&gt;Valores!$C$44,Valores!$C$44,Valores!$C$46*D230),IF(Valores!$C$46*D230&gt;Valores!$C$44,Valores!$C$44,Valores!$C$46*D230)/2)</f>
        <v>68.25</v>
      </c>
      <c r="U230" s="159">
        <f>Valores!$C$23*D230</f>
        <v>95.96</v>
      </c>
      <c r="V230" s="145">
        <f>U230*(1+$J$2)</f>
        <v>95.96</v>
      </c>
      <c r="W230" s="145">
        <v>0</v>
      </c>
      <c r="X230" s="145">
        <v>0</v>
      </c>
      <c r="Y230" s="165">
        <v>0</v>
      </c>
      <c r="Z230" s="145">
        <f>Y230*Valores!$C$2</f>
        <v>0</v>
      </c>
      <c r="AA230" s="145">
        <v>0</v>
      </c>
      <c r="AB230" s="148">
        <f>IF(Valores!$C$92*D230&gt;Valores!$C$91,Valores!$C$91,Valores!$C$92*D230)</f>
        <v>57.69230769230771</v>
      </c>
      <c r="AC230" s="150">
        <f>IF((Valores!$C$33)*D230&gt;Valores!$F$33,Valores!$F$33,(Valores!$C$33)*D230)</f>
        <v>8.00384</v>
      </c>
      <c r="AD230" s="145">
        <f t="shared" si="38"/>
        <v>0</v>
      </c>
      <c r="AE230" s="145">
        <f>IF(Valores!$C$34*D230&gt;Valores!$F$34,Valores!$F$34,Valores!$C$34*D230)</f>
        <v>6.662656000000001</v>
      </c>
      <c r="AF230" s="149">
        <v>0</v>
      </c>
      <c r="AG230" s="145">
        <f>INT(((AF230*Valores!$C$2)*100)+0.5)/100</f>
        <v>0</v>
      </c>
      <c r="AH230" s="145">
        <f>IF($H$5="NO",IF(Valores!$D$59*'Escala Docente'!D230&gt;Valores!$F$59,Valores!$F$59,Valores!$D$59*'Escala Docente'!D230),IF(Valores!$D$59*'Escala Docente'!D230&gt;Valores!$F$59,Valores!$F$59,Valores!$D$59*'Escala Docente'!D230)/2)</f>
        <v>27.1024</v>
      </c>
      <c r="AI230" s="145">
        <f>IF($H$5="NO",IF(Valores!$D$61*D230&gt;Valores!$F$61,Valores!$F$61,Valores!$D$61*D230),IF(Valores!$D$61*D230&gt;Valores!$F$61,Valores!$F$61,Valores!$D$61*D230)/2)</f>
        <v>7.7442</v>
      </c>
      <c r="AJ230" s="151">
        <f t="shared" si="39"/>
        <v>1772.0229036923079</v>
      </c>
      <c r="AK230" s="159">
        <f>IF(Valores!$C$37*D230&gt;Valores!$F$37,Valores!$F$37,Valores!$C$37*D230)</f>
        <v>69.79</v>
      </c>
      <c r="AL230" s="148">
        <f>IF(Valores!$C$11*D230&gt;Valores!$F$11,Valores!$F$11,Valores!$C$11*D230)</f>
        <v>0</v>
      </c>
      <c r="AM230" s="148">
        <f>IF(Valores!$C$87*D230&gt;Valores!$C$86,Valores!$C$86,Valores!$C$87*D230)</f>
        <v>113.74999999999999</v>
      </c>
      <c r="AN230" s="148"/>
      <c r="AO230" s="150">
        <f>IF(Valores!$C$58*D230&gt;Valores!$F$58,Valores!$F$58,Valores!$C$58*D230)</f>
        <v>11.355</v>
      </c>
      <c r="AP230" s="152">
        <f t="shared" si="37"/>
        <v>183.54</v>
      </c>
      <c r="AQ230" s="154">
        <f>AJ230*-Valores!$C$68</f>
        <v>-194.92251940615387</v>
      </c>
      <c r="AR230" s="154">
        <f>AJ230*-Valores!$C$69</f>
        <v>0</v>
      </c>
      <c r="AS230" s="147">
        <f>AJ230*-Valores!$C$70</f>
        <v>-79.74103066615385</v>
      </c>
      <c r="AT230" s="147">
        <v>-159.43</v>
      </c>
      <c r="AU230" s="147">
        <f t="shared" si="40"/>
        <v>-53.83</v>
      </c>
      <c r="AV230" s="151">
        <f t="shared" si="41"/>
        <v>1467.63935362</v>
      </c>
      <c r="AW230" s="155"/>
      <c r="AX230" s="155">
        <f t="shared" si="42"/>
        <v>4</v>
      </c>
      <c r="AY230" s="140" t="s">
        <v>4</v>
      </c>
    </row>
    <row r="231" spans="1:51" s="117" customFormat="1" ht="11.25" customHeight="1">
      <c r="A231" s="139">
        <v>229</v>
      </c>
      <c r="B231" s="139"/>
      <c r="C231" s="140" t="s">
        <v>501</v>
      </c>
      <c r="D231" s="140">
        <v>1</v>
      </c>
      <c r="E231" s="140">
        <f t="shared" si="34"/>
        <v>41</v>
      </c>
      <c r="F231" s="141" t="str">
        <f>CONCATENATE("Hora Cátedra Enseñanza Media ",D231," hs Esc Esp")</f>
        <v>Hora Cátedra Enseñanza Media 1 hs Esc Esp</v>
      </c>
      <c r="G231" s="142">
        <f t="shared" si="43"/>
        <v>79</v>
      </c>
      <c r="H231" s="143">
        <f>INT((G231*Valores!$C$2*100)+0.49)/100</f>
        <v>737.84</v>
      </c>
      <c r="I231" s="161">
        <v>0</v>
      </c>
      <c r="J231" s="145">
        <f>INT((I231*Valores!$C$2*100)+0.5)/100</f>
        <v>0</v>
      </c>
      <c r="K231" s="160">
        <v>0</v>
      </c>
      <c r="L231" s="145">
        <f>INT((K231*Valores!$C$2*100)+0.5)/100</f>
        <v>0</v>
      </c>
      <c r="M231" s="158">
        <v>0</v>
      </c>
      <c r="N231" s="145">
        <f>INT((M231*Valores!$C$2*100)+0.5)/100</f>
        <v>0</v>
      </c>
      <c r="O231" s="145">
        <f t="shared" si="35"/>
        <v>135.3075</v>
      </c>
      <c r="P231" s="145">
        <f t="shared" si="36"/>
        <v>0</v>
      </c>
      <c r="Q231" s="159">
        <f>Valores!$C$14*D231</f>
        <v>309.17</v>
      </c>
      <c r="R231" s="159">
        <f>IF(D231&lt;15,(Valores!$E$4*D231),Valores!$D$4)</f>
        <v>318.29</v>
      </c>
      <c r="S231" s="145">
        <v>0</v>
      </c>
      <c r="T231" s="148">
        <f>IF($H$5="NO",IF(Valores!$C$46*D231&gt;Valores!$C$44,Valores!$C$44,Valores!$C$46*D231),IF(Valores!$C$46*D231&gt;Valores!$C$44,Valores!$C$44,Valores!$C$46*D231)/2)</f>
        <v>68.25</v>
      </c>
      <c r="U231" s="159">
        <f>Valores!$C$23*D231</f>
        <v>95.96</v>
      </c>
      <c r="V231" s="145">
        <f t="shared" si="30"/>
        <v>95.96</v>
      </c>
      <c r="W231" s="145">
        <v>0</v>
      </c>
      <c r="X231" s="145">
        <v>0</v>
      </c>
      <c r="Y231" s="165">
        <v>0</v>
      </c>
      <c r="Z231" s="145">
        <f>Y231*Valores!$C$2</f>
        <v>0</v>
      </c>
      <c r="AA231" s="145">
        <v>0</v>
      </c>
      <c r="AB231" s="148">
        <f>IF(Valores!$C$92*D231&gt;Valores!$C$91,Valores!$C$91,Valores!$C$92*D231)</f>
        <v>57.69230769230771</v>
      </c>
      <c r="AC231" s="150">
        <f>IF((Valores!$C$33)*D231&gt;Valores!$F$33,Valores!$F$33,(Valores!$C$33)*D231)</f>
        <v>8.00384</v>
      </c>
      <c r="AD231" s="145">
        <f t="shared" si="38"/>
        <v>0</v>
      </c>
      <c r="AE231" s="145">
        <f>IF(Valores!$C$34*D231&gt;Valores!$F$34,Valores!$F$34,Valores!$C$34*D231)</f>
        <v>6.662656000000001</v>
      </c>
      <c r="AF231" s="149">
        <v>94</v>
      </c>
      <c r="AG231" s="145">
        <f>INT(((AF231*Valores!$C$2)*100)+0.5)/100</f>
        <v>877.93</v>
      </c>
      <c r="AH231" s="145">
        <f>IF($H$5="NO",IF(Valores!$D$59*'Escala Docente'!D231&gt;Valores!$F$59,Valores!$F$59,Valores!$D$59*'Escala Docente'!D231),IF(Valores!$D$59*'Escala Docente'!D231&gt;Valores!$F$59,Valores!$F$59,Valores!$D$59*'Escala Docente'!D231)/2)</f>
        <v>27.1024</v>
      </c>
      <c r="AI231" s="145">
        <f>IF($H$5="NO",IF(Valores!$D$61*D231&gt;Valores!$F$61,Valores!$F$61,Valores!$D$61*D231),IF(Valores!$D$61*D231&gt;Valores!$F$61,Valores!$F$61,Valores!$D$61*D231)/2)</f>
        <v>7.7442</v>
      </c>
      <c r="AJ231" s="151">
        <f t="shared" si="39"/>
        <v>2649.952903692308</v>
      </c>
      <c r="AK231" s="159">
        <f>IF(Valores!$C$37*D231&gt;Valores!$F$37,Valores!$F$37,Valores!$C$37*D231)</f>
        <v>69.79</v>
      </c>
      <c r="AL231" s="148">
        <f>IF(Valores!$C$11*D231&gt;Valores!$F$11,Valores!$F$11,Valores!$C$11*D231)</f>
        <v>0</v>
      </c>
      <c r="AM231" s="148">
        <f>IF(Valores!$C$87*D231&gt;Valores!$C$86,Valores!$C$86,Valores!$C$87*D231)</f>
        <v>113.74999999999999</v>
      </c>
      <c r="AN231" s="148"/>
      <c r="AO231" s="150">
        <f>IF(Valores!$C$58*D231&gt;Valores!$F$58,Valores!$F$58,Valores!$C$58*D231)</f>
        <v>11.355</v>
      </c>
      <c r="AP231" s="152">
        <f t="shared" si="37"/>
        <v>183.54</v>
      </c>
      <c r="AQ231" s="154">
        <f>AJ231*-Valores!$C$68</f>
        <v>-291.4948194061539</v>
      </c>
      <c r="AR231" s="154">
        <f>AJ231*-Valores!$C$69</f>
        <v>0</v>
      </c>
      <c r="AS231" s="147">
        <f>AJ231*-Valores!$C$70</f>
        <v>-119.24788066615386</v>
      </c>
      <c r="AT231" s="147">
        <v>-159.43</v>
      </c>
      <c r="AU231" s="147">
        <f t="shared" si="40"/>
        <v>-53.83</v>
      </c>
      <c r="AV231" s="151">
        <f t="shared" si="41"/>
        <v>2209.4902036200006</v>
      </c>
      <c r="AW231" s="155"/>
      <c r="AX231" s="155">
        <f t="shared" si="42"/>
        <v>4</v>
      </c>
      <c r="AY231" s="140" t="s">
        <v>4</v>
      </c>
    </row>
    <row r="232" spans="1:51" s="117" customFormat="1" ht="11.25" customHeight="1">
      <c r="A232" s="157">
        <v>230</v>
      </c>
      <c r="B232" s="157" t="s">
        <v>143</v>
      </c>
      <c r="C232" s="140" t="s">
        <v>501</v>
      </c>
      <c r="D232" s="140">
        <v>2</v>
      </c>
      <c r="E232" s="140">
        <f t="shared" si="34"/>
        <v>33</v>
      </c>
      <c r="F232" s="141" t="str">
        <f>CONCATENATE("Hora Cátedra Enseñanza Media ",D232," hs")</f>
        <v>Hora Cátedra Enseñanza Media 2 hs</v>
      </c>
      <c r="G232" s="142">
        <f t="shared" si="43"/>
        <v>158</v>
      </c>
      <c r="H232" s="143">
        <f>INT((G232*Valores!$C$2*100)+0.49)/100</f>
        <v>1475.67</v>
      </c>
      <c r="I232" s="161">
        <v>0</v>
      </c>
      <c r="J232" s="145">
        <f>INT((I232*Valores!$C$2*100)+0.5)/100</f>
        <v>0</v>
      </c>
      <c r="K232" s="160">
        <v>0</v>
      </c>
      <c r="L232" s="145">
        <f>INT((K232*Valores!$C$2*100)+0.5)/100</f>
        <v>0</v>
      </c>
      <c r="M232" s="158">
        <v>0</v>
      </c>
      <c r="N232" s="145">
        <f>INT((M232*Valores!$C$2*100)+0.5)/100</f>
        <v>0</v>
      </c>
      <c r="O232" s="145">
        <f t="shared" si="35"/>
        <v>270.6135</v>
      </c>
      <c r="P232" s="145">
        <f t="shared" si="36"/>
        <v>0</v>
      </c>
      <c r="Q232" s="159">
        <f>Valores!$C$14*D232</f>
        <v>618.34</v>
      </c>
      <c r="R232" s="159">
        <f>IF(D232&lt;15,(Valores!$E$4*D232),Valores!$D$4)</f>
        <v>636.58</v>
      </c>
      <c r="S232" s="145">
        <v>0</v>
      </c>
      <c r="T232" s="148">
        <f>IF($H$5="NO",IF(Valores!$C$46*D232&gt;Valores!$C$44,Valores!$C$44,Valores!$C$46*D232),IF(Valores!$C$46*D232&gt;Valores!$C$44,Valores!$C$44,Valores!$C$46*D232)/2)</f>
        <v>136.5</v>
      </c>
      <c r="U232" s="159">
        <f>Valores!$C$23*D232</f>
        <v>191.92</v>
      </c>
      <c r="V232" s="145">
        <f t="shared" si="30"/>
        <v>191.92</v>
      </c>
      <c r="W232" s="145">
        <v>0</v>
      </c>
      <c r="X232" s="145">
        <v>0</v>
      </c>
      <c r="Y232" s="165">
        <v>0</v>
      </c>
      <c r="Z232" s="145">
        <f>Y232*Valores!$C$2</f>
        <v>0</v>
      </c>
      <c r="AA232" s="145">
        <v>0</v>
      </c>
      <c r="AB232" s="148">
        <f>IF(Valores!$C$92*D232&gt;Valores!$C$91,Valores!$C$91,Valores!$C$92*D232)</f>
        <v>115.38461538461542</v>
      </c>
      <c r="AC232" s="150">
        <f>IF((Valores!$C$33)*D232&gt;Valores!$F$33,Valores!$F$33,(Valores!$C$33)*D232)</f>
        <v>16.00768</v>
      </c>
      <c r="AD232" s="145">
        <f t="shared" si="38"/>
        <v>0</v>
      </c>
      <c r="AE232" s="145">
        <f>IF(Valores!$C$34*D232&gt;Valores!$F$34,Valores!$F$34,Valores!$C$34*D232)</f>
        <v>13.325312000000002</v>
      </c>
      <c r="AF232" s="149">
        <v>0</v>
      </c>
      <c r="AG232" s="145">
        <f>INT(((AF232*Valores!$C$2)*100)+0.5)/100</f>
        <v>0</v>
      </c>
      <c r="AH232" s="145">
        <f>IF($H$5="NO",IF(Valores!$D$59*'Escala Docente'!D232&gt;Valores!$F$59,Valores!$F$59,Valores!$D$59*'Escala Docente'!D232),IF(Valores!$D$59*'Escala Docente'!D232&gt;Valores!$F$59,Valores!$F$59,Valores!$D$59*'Escala Docente'!D232)/2)</f>
        <v>54.2048</v>
      </c>
      <c r="AI232" s="145">
        <f>IF($H$5="NO",IF(Valores!$D$61*D232&gt;Valores!$F$61,Valores!$F$61,Valores!$D$61*D232),IF(Valores!$D$61*D232&gt;Valores!$F$61,Valores!$F$61,Valores!$D$61*D232)/2)</f>
        <v>15.4884</v>
      </c>
      <c r="AJ232" s="151">
        <f t="shared" si="39"/>
        <v>3544.0343073846157</v>
      </c>
      <c r="AK232" s="159">
        <f>IF(Valores!$C$37*D232&gt;Valores!$F$37,Valores!$F$37,Valores!$C$37*D232)</f>
        <v>139.58</v>
      </c>
      <c r="AL232" s="148">
        <f>IF(Valores!$C$11*D232&gt;Valores!$F$11,Valores!$F$11,Valores!$C$11*D232)</f>
        <v>0</v>
      </c>
      <c r="AM232" s="148">
        <f>IF(Valores!$C$87*D232&gt;Valores!$C$86,Valores!$C$86,Valores!$C$87*D232)</f>
        <v>227.49999999999997</v>
      </c>
      <c r="AN232" s="148"/>
      <c r="AO232" s="150">
        <f>IF(Valores!$C$58*D232&gt;Valores!$F$58,Valores!$F$58,Valores!$C$58*D232)</f>
        <v>22.71</v>
      </c>
      <c r="AP232" s="152">
        <f t="shared" si="37"/>
        <v>367.08</v>
      </c>
      <c r="AQ232" s="154">
        <f>AJ232*-Valores!$C$68</f>
        <v>-389.84377381230775</v>
      </c>
      <c r="AR232" s="154">
        <f>AJ232*-Valores!$C$69</f>
        <v>0</v>
      </c>
      <c r="AS232" s="147">
        <f>AJ232*-Valores!$C$70</f>
        <v>-159.4815438323077</v>
      </c>
      <c r="AT232" s="147">
        <v>-159.43</v>
      </c>
      <c r="AU232" s="147">
        <f t="shared" si="40"/>
        <v>-53.83</v>
      </c>
      <c r="AV232" s="151">
        <f t="shared" si="41"/>
        <v>3148.5289897400003</v>
      </c>
      <c r="AW232" s="155"/>
      <c r="AX232" s="155">
        <f t="shared" si="42"/>
        <v>8</v>
      </c>
      <c r="AY232" s="140" t="s">
        <v>4</v>
      </c>
    </row>
    <row r="233" spans="1:51" s="117" customFormat="1" ht="11.25" customHeight="1">
      <c r="A233" s="139">
        <v>231</v>
      </c>
      <c r="B233" s="139"/>
      <c r="C233" s="140" t="s">
        <v>501</v>
      </c>
      <c r="D233" s="140">
        <v>2</v>
      </c>
      <c r="E233" s="140">
        <f t="shared" si="34"/>
        <v>41</v>
      </c>
      <c r="F233" s="141" t="str">
        <f>CONCATENATE("Hora Cátedra Enseñanza Media ",D233," hs Esc Esp")</f>
        <v>Hora Cátedra Enseñanza Media 2 hs Esc Esp</v>
      </c>
      <c r="G233" s="142">
        <f t="shared" si="43"/>
        <v>158</v>
      </c>
      <c r="H233" s="143">
        <f>INT((G233*Valores!$C$2*100)+0.49)/100</f>
        <v>1475.67</v>
      </c>
      <c r="I233" s="161">
        <v>0</v>
      </c>
      <c r="J233" s="145">
        <f>INT((I233*Valores!$C$2*100)+0.5)/100</f>
        <v>0</v>
      </c>
      <c r="K233" s="160">
        <v>0</v>
      </c>
      <c r="L233" s="145">
        <f>INT((K233*Valores!$C$2*100)+0.5)/100</f>
        <v>0</v>
      </c>
      <c r="M233" s="158">
        <v>0</v>
      </c>
      <c r="N233" s="145">
        <f>INT((M233*Valores!$C$2*100)+0.5)/100</f>
        <v>0</v>
      </c>
      <c r="O233" s="145">
        <f t="shared" si="35"/>
        <v>270.6135</v>
      </c>
      <c r="P233" s="145">
        <f t="shared" si="36"/>
        <v>0</v>
      </c>
      <c r="Q233" s="159">
        <f>Valores!$C$14*D233</f>
        <v>618.34</v>
      </c>
      <c r="R233" s="159">
        <f>IF(D233&lt;15,(Valores!$E$4*D233),Valores!$D$4)</f>
        <v>636.58</v>
      </c>
      <c r="S233" s="145">
        <v>0</v>
      </c>
      <c r="T233" s="148">
        <f>IF($H$5="NO",IF(Valores!$C$46*D233&gt;Valores!$C$44,Valores!$C$44,Valores!$C$46*D233),IF(Valores!$C$46*D233&gt;Valores!$C$44,Valores!$C$44,Valores!$C$46*D233)/2)</f>
        <v>136.5</v>
      </c>
      <c r="U233" s="159">
        <f>Valores!$C$23*D233</f>
        <v>191.92</v>
      </c>
      <c r="V233" s="145">
        <f t="shared" si="30"/>
        <v>191.92</v>
      </c>
      <c r="W233" s="145">
        <v>0</v>
      </c>
      <c r="X233" s="145">
        <v>0</v>
      </c>
      <c r="Y233" s="165">
        <v>0</v>
      </c>
      <c r="Z233" s="145">
        <f>Y233*Valores!$C$2</f>
        <v>0</v>
      </c>
      <c r="AA233" s="145">
        <v>0</v>
      </c>
      <c r="AB233" s="148">
        <f>IF(Valores!$C$92*D233&gt;Valores!$C$91,Valores!$C$91,Valores!$C$92*D233)</f>
        <v>115.38461538461542</v>
      </c>
      <c r="AC233" s="150">
        <f>IF((Valores!$C$33)*D233&gt;Valores!$F$33,Valores!$F$33,(Valores!$C$33)*D233)</f>
        <v>16.00768</v>
      </c>
      <c r="AD233" s="145">
        <f t="shared" si="38"/>
        <v>0</v>
      </c>
      <c r="AE233" s="145">
        <f>IF(Valores!$C$34*D233&gt;Valores!$F$34,Valores!$F$34,Valores!$C$34*D233)</f>
        <v>13.325312000000002</v>
      </c>
      <c r="AF233" s="149">
        <v>94</v>
      </c>
      <c r="AG233" s="145">
        <f>INT(((AF233*Valores!$C$2)*100)+0.5)/100</f>
        <v>877.93</v>
      </c>
      <c r="AH233" s="145">
        <f>IF($H$5="NO",IF(Valores!$D$59*'Escala Docente'!D233&gt;Valores!$F$59,Valores!$F$59,Valores!$D$59*'Escala Docente'!D233),IF(Valores!$D$59*'Escala Docente'!D233&gt;Valores!$F$59,Valores!$F$59,Valores!$D$59*'Escala Docente'!D233)/2)</f>
        <v>54.2048</v>
      </c>
      <c r="AI233" s="145">
        <f>IF($H$5="NO",IF(Valores!$D$61*D233&gt;Valores!$F$61,Valores!$F$61,Valores!$D$61*D233),IF(Valores!$D$61*D233&gt;Valores!$F$61,Valores!$F$61,Valores!$D$61*D233)/2)</f>
        <v>15.4884</v>
      </c>
      <c r="AJ233" s="151">
        <f t="shared" si="39"/>
        <v>4421.964307384616</v>
      </c>
      <c r="AK233" s="159">
        <f>IF(Valores!$C$37*D233&gt;Valores!$F$37,Valores!$F$37,Valores!$C$37*D233)</f>
        <v>139.58</v>
      </c>
      <c r="AL233" s="148">
        <f>IF(Valores!$C$11*D233&gt;Valores!$F$11,Valores!$F$11,Valores!$C$11*D233)</f>
        <v>0</v>
      </c>
      <c r="AM233" s="148">
        <f>IF(Valores!$C$87*D233&gt;Valores!$C$86,Valores!$C$86,Valores!$C$87*D233)</f>
        <v>227.49999999999997</v>
      </c>
      <c r="AN233" s="148"/>
      <c r="AO233" s="150">
        <f>IF(Valores!$C$58*D233&gt;Valores!$F$58,Valores!$F$58,Valores!$C$58*D233)</f>
        <v>22.71</v>
      </c>
      <c r="AP233" s="152">
        <f t="shared" si="37"/>
        <v>367.08</v>
      </c>
      <c r="AQ233" s="154">
        <f>AJ233*-Valores!$C$68</f>
        <v>-486.4160738123078</v>
      </c>
      <c r="AR233" s="154">
        <f>AJ233*-Valores!$C$69</f>
        <v>0</v>
      </c>
      <c r="AS233" s="147">
        <f>AJ233*-Valores!$C$70</f>
        <v>-198.98839383230774</v>
      </c>
      <c r="AT233" s="147">
        <v>-159.43</v>
      </c>
      <c r="AU233" s="147">
        <f t="shared" si="40"/>
        <v>-53.83</v>
      </c>
      <c r="AV233" s="151">
        <f t="shared" si="41"/>
        <v>3890.379839740001</v>
      </c>
      <c r="AW233" s="155"/>
      <c r="AX233" s="155">
        <f t="shared" si="42"/>
        <v>8</v>
      </c>
      <c r="AY233" s="140" t="s">
        <v>4</v>
      </c>
    </row>
    <row r="234" spans="1:51" s="117" customFormat="1" ht="11.25" customHeight="1">
      <c r="A234" s="139">
        <v>232</v>
      </c>
      <c r="B234" s="139"/>
      <c r="C234" s="140" t="s">
        <v>501</v>
      </c>
      <c r="D234" s="140">
        <v>3</v>
      </c>
      <c r="E234" s="140">
        <f t="shared" si="34"/>
        <v>33</v>
      </c>
      <c r="F234" s="141" t="str">
        <f>CONCATENATE("Hora Cátedra Enseñanza Media ",D234," hs")</f>
        <v>Hora Cátedra Enseñanza Media 3 hs</v>
      </c>
      <c r="G234" s="142">
        <f t="shared" si="43"/>
        <v>237</v>
      </c>
      <c r="H234" s="143">
        <f>INT((G234*Valores!$C$2*100)+0.49)/100</f>
        <v>2213.51</v>
      </c>
      <c r="I234" s="161">
        <v>0</v>
      </c>
      <c r="J234" s="145">
        <f>INT((I234*Valores!$C$2*100)+0.5)/100</f>
        <v>0</v>
      </c>
      <c r="K234" s="160">
        <v>0</v>
      </c>
      <c r="L234" s="145">
        <f>INT((K234*Valores!$C$2*100)+0.5)/100</f>
        <v>0</v>
      </c>
      <c r="M234" s="158">
        <v>0</v>
      </c>
      <c r="N234" s="145">
        <f>INT((M234*Valores!$C$2*100)+0.5)/100</f>
        <v>0</v>
      </c>
      <c r="O234" s="145">
        <f t="shared" si="35"/>
        <v>405.92100000000005</v>
      </c>
      <c r="P234" s="145">
        <f t="shared" si="36"/>
        <v>0</v>
      </c>
      <c r="Q234" s="159">
        <f>Valores!$C$14*D234</f>
        <v>927.51</v>
      </c>
      <c r="R234" s="159">
        <f>IF(D234&lt;15,(Valores!$E$4*D234),Valores!$D$4)</f>
        <v>954.8700000000001</v>
      </c>
      <c r="S234" s="145">
        <v>0</v>
      </c>
      <c r="T234" s="148">
        <f>IF($H$5="NO",IF(Valores!$C$46*D234&gt;Valores!$C$44,Valores!$C$44,Valores!$C$46*D234),IF(Valores!$C$46*D234&gt;Valores!$C$44,Valores!$C$44,Valores!$C$46*D234)/2)</f>
        <v>204.75</v>
      </c>
      <c r="U234" s="159">
        <f>Valores!$C$23*D234</f>
        <v>287.88</v>
      </c>
      <c r="V234" s="145">
        <f t="shared" si="30"/>
        <v>287.88</v>
      </c>
      <c r="W234" s="145">
        <v>0</v>
      </c>
      <c r="X234" s="145">
        <v>0</v>
      </c>
      <c r="Y234" s="165">
        <v>0</v>
      </c>
      <c r="Z234" s="145">
        <f>Y234*Valores!$C$2</f>
        <v>0</v>
      </c>
      <c r="AA234" s="145">
        <v>0</v>
      </c>
      <c r="AB234" s="148">
        <f>IF(Valores!$C$92*D234&gt;Valores!$C$91,Valores!$C$91,Valores!$C$92*D234)</f>
        <v>173.07692307692312</v>
      </c>
      <c r="AC234" s="150">
        <f>IF((Valores!$C$33)*D234&gt;Valores!$F$33,Valores!$F$33,(Valores!$C$33)*D234)</f>
        <v>24.01152</v>
      </c>
      <c r="AD234" s="145">
        <f t="shared" si="38"/>
        <v>0</v>
      </c>
      <c r="AE234" s="145">
        <f>IF(Valores!$C$34*D234&gt;Valores!$F$34,Valores!$F$34,Valores!$C$34*D234)</f>
        <v>19.987968000000002</v>
      </c>
      <c r="AF234" s="149">
        <v>0</v>
      </c>
      <c r="AG234" s="145">
        <f>INT(((AF234*Valores!$C$2)*100)+0.5)/100</f>
        <v>0</v>
      </c>
      <c r="AH234" s="145">
        <f>IF($H$5="NO",IF(Valores!$D$59*'Escala Docente'!D234&gt;Valores!$F$59,Valores!$F$59,Valores!$D$59*'Escala Docente'!D234),IF(Valores!$D$59*'Escala Docente'!D234&gt;Valores!$F$59,Valores!$F$59,Valores!$D$59*'Escala Docente'!D234)/2)</f>
        <v>81.3072</v>
      </c>
      <c r="AI234" s="145">
        <f>IF($H$5="NO",IF(Valores!$D$61*D234&gt;Valores!$F$61,Valores!$F$61,Valores!$D$61*D234),IF(Valores!$D$61*D234&gt;Valores!$F$61,Valores!$F$61,Valores!$D$61*D234)/2)</f>
        <v>23.2326</v>
      </c>
      <c r="AJ234" s="151">
        <f t="shared" si="39"/>
        <v>5316.057211076924</v>
      </c>
      <c r="AK234" s="159">
        <f>IF(Valores!$C$37*D234&gt;Valores!$F$37,Valores!$F$37,Valores!$C$37*D234)</f>
        <v>209.37</v>
      </c>
      <c r="AL234" s="148">
        <f>IF(Valores!$C$11*D234&gt;Valores!$F$11,Valores!$F$11,Valores!$C$11*D234)</f>
        <v>0</v>
      </c>
      <c r="AM234" s="148">
        <f>IF(Valores!$C$87*D234&gt;Valores!$C$86,Valores!$C$86,Valores!$C$87*D234)</f>
        <v>341.24999999999994</v>
      </c>
      <c r="AN234" s="148"/>
      <c r="AO234" s="150">
        <f>IF(Valores!$C$58*D234&gt;Valores!$F$58,Valores!$F$58,Valores!$C$58*D234)</f>
        <v>34.065</v>
      </c>
      <c r="AP234" s="152">
        <f t="shared" si="37"/>
        <v>550.6199999999999</v>
      </c>
      <c r="AQ234" s="154">
        <f>AJ234*-Valores!$C$68</f>
        <v>-584.7662932184617</v>
      </c>
      <c r="AR234" s="154">
        <f>AJ234*-Valores!$C$69</f>
        <v>0</v>
      </c>
      <c r="AS234" s="147">
        <f>AJ234*-Valores!$C$70</f>
        <v>-239.2225744984616</v>
      </c>
      <c r="AT234" s="147">
        <v>-159.43</v>
      </c>
      <c r="AU234" s="147">
        <f t="shared" si="40"/>
        <v>-53.83</v>
      </c>
      <c r="AV234" s="151">
        <f t="shared" si="41"/>
        <v>4829.428343360001</v>
      </c>
      <c r="AW234" s="155"/>
      <c r="AX234" s="155">
        <f t="shared" si="42"/>
        <v>12</v>
      </c>
      <c r="AY234" s="140" t="s">
        <v>4</v>
      </c>
    </row>
    <row r="235" spans="1:51" s="117" customFormat="1" ht="11.25" customHeight="1">
      <c r="A235" s="139">
        <v>233</v>
      </c>
      <c r="B235" s="139"/>
      <c r="C235" s="140" t="s">
        <v>501</v>
      </c>
      <c r="D235" s="140">
        <v>3</v>
      </c>
      <c r="E235" s="140">
        <f t="shared" si="34"/>
        <v>41</v>
      </c>
      <c r="F235" s="141" t="str">
        <f>CONCATENATE("Hora Cátedra Enseñanza Media ",D235," hs Esc Esp")</f>
        <v>Hora Cátedra Enseñanza Media 3 hs Esc Esp</v>
      </c>
      <c r="G235" s="142">
        <f t="shared" si="43"/>
        <v>237</v>
      </c>
      <c r="H235" s="143">
        <f>INT((G235*Valores!$C$2*100)+0.49)/100</f>
        <v>2213.51</v>
      </c>
      <c r="I235" s="161">
        <v>0</v>
      </c>
      <c r="J235" s="145">
        <f>INT((I235*Valores!$C$2*100)+0.5)/100</f>
        <v>0</v>
      </c>
      <c r="K235" s="160">
        <v>0</v>
      </c>
      <c r="L235" s="145">
        <f>INT((K235*Valores!$C$2*100)+0.5)/100</f>
        <v>0</v>
      </c>
      <c r="M235" s="158">
        <v>0</v>
      </c>
      <c r="N235" s="145">
        <f>INT((M235*Valores!$C$2*100)+0.5)/100</f>
        <v>0</v>
      </c>
      <c r="O235" s="145">
        <f t="shared" si="35"/>
        <v>405.92100000000005</v>
      </c>
      <c r="P235" s="145">
        <f t="shared" si="36"/>
        <v>0</v>
      </c>
      <c r="Q235" s="159">
        <f>Valores!$C$14*D235</f>
        <v>927.51</v>
      </c>
      <c r="R235" s="159">
        <f>IF(D235&lt;15,(Valores!$E$4*D235),Valores!$D$4)</f>
        <v>954.8700000000001</v>
      </c>
      <c r="S235" s="145">
        <v>0</v>
      </c>
      <c r="T235" s="148">
        <f>IF($H$5="NO",IF(Valores!$C$46*D235&gt;Valores!$C$44,Valores!$C$44,Valores!$C$46*D235),IF(Valores!$C$46*D235&gt;Valores!$C$44,Valores!$C$44,Valores!$C$46*D235)/2)</f>
        <v>204.75</v>
      </c>
      <c r="U235" s="159">
        <f>Valores!$C$23*D235</f>
        <v>287.88</v>
      </c>
      <c r="V235" s="145">
        <f t="shared" si="30"/>
        <v>287.88</v>
      </c>
      <c r="W235" s="145">
        <v>0</v>
      </c>
      <c r="X235" s="145">
        <v>0</v>
      </c>
      <c r="Y235" s="165">
        <v>0</v>
      </c>
      <c r="Z235" s="145">
        <f>Y235*Valores!$C$2</f>
        <v>0</v>
      </c>
      <c r="AA235" s="145">
        <v>0</v>
      </c>
      <c r="AB235" s="148">
        <f>IF(Valores!$C$92*D235&gt;Valores!$C$91,Valores!$C$91,Valores!$C$92*D235)</f>
        <v>173.07692307692312</v>
      </c>
      <c r="AC235" s="150">
        <f>IF((Valores!$C$33)*D235&gt;Valores!$F$33,Valores!$F$33,(Valores!$C$33)*D235)</f>
        <v>24.01152</v>
      </c>
      <c r="AD235" s="145">
        <f t="shared" si="38"/>
        <v>0</v>
      </c>
      <c r="AE235" s="145">
        <f>IF(Valores!$C$34*D235&gt;Valores!$F$34,Valores!$F$34,Valores!$C$34*D235)</f>
        <v>19.987968000000002</v>
      </c>
      <c r="AF235" s="149">
        <v>94</v>
      </c>
      <c r="AG235" s="145">
        <f>INT(((AF235*Valores!$C$2)*100)+0.5)/100</f>
        <v>877.93</v>
      </c>
      <c r="AH235" s="145">
        <f>IF($H$5="NO",IF(Valores!$D$59*'Escala Docente'!D235&gt;Valores!$F$59,Valores!$F$59,Valores!$D$59*'Escala Docente'!D235),IF(Valores!$D$59*'Escala Docente'!D235&gt;Valores!$F$59,Valores!$F$59,Valores!$D$59*'Escala Docente'!D235)/2)</f>
        <v>81.3072</v>
      </c>
      <c r="AI235" s="145">
        <f>IF($H$5="NO",IF(Valores!$D$61*D235&gt;Valores!$F$61,Valores!$F$61,Valores!$D$61*D235),IF(Valores!$D$61*D235&gt;Valores!$F$61,Valores!$F$61,Valores!$D$61*D235)/2)</f>
        <v>23.2326</v>
      </c>
      <c r="AJ235" s="151">
        <f t="shared" si="39"/>
        <v>6193.987211076925</v>
      </c>
      <c r="AK235" s="159">
        <f>IF(Valores!$C$37*D235&gt;Valores!$F$37,Valores!$F$37,Valores!$C$37*D235)</f>
        <v>209.37</v>
      </c>
      <c r="AL235" s="148">
        <f>IF(Valores!$C$11*D235&gt;Valores!$F$11,Valores!$F$11,Valores!$C$11*D235)</f>
        <v>0</v>
      </c>
      <c r="AM235" s="148">
        <f>IF(Valores!$C$87*D235&gt;Valores!$C$86,Valores!$C$86,Valores!$C$87*D235)</f>
        <v>341.24999999999994</v>
      </c>
      <c r="AN235" s="148"/>
      <c r="AO235" s="150">
        <f>IF(Valores!$C$58*D235&gt;Valores!$F$58,Valores!$F$58,Valores!$C$58*D235)</f>
        <v>34.065</v>
      </c>
      <c r="AP235" s="152">
        <f t="shared" si="37"/>
        <v>550.6199999999999</v>
      </c>
      <c r="AQ235" s="154">
        <f>AJ235*-Valores!$C$68</f>
        <v>-681.3385932184617</v>
      </c>
      <c r="AR235" s="154">
        <f>AJ235*-Valores!$C$69</f>
        <v>0</v>
      </c>
      <c r="AS235" s="147">
        <f>AJ235*-Valores!$C$70</f>
        <v>-278.7294244984616</v>
      </c>
      <c r="AT235" s="147">
        <v>-159.43</v>
      </c>
      <c r="AU235" s="147">
        <f t="shared" si="40"/>
        <v>-53.83</v>
      </c>
      <c r="AV235" s="151">
        <f t="shared" si="41"/>
        <v>5571.279193360001</v>
      </c>
      <c r="AW235" s="155"/>
      <c r="AX235" s="155">
        <f t="shared" si="42"/>
        <v>12</v>
      </c>
      <c r="AY235" s="140" t="s">
        <v>4</v>
      </c>
    </row>
    <row r="236" spans="1:51" s="117" customFormat="1" ht="11.25" customHeight="1">
      <c r="A236" s="139">
        <v>234</v>
      </c>
      <c r="B236" s="139"/>
      <c r="C236" s="140" t="s">
        <v>501</v>
      </c>
      <c r="D236" s="140">
        <v>4</v>
      </c>
      <c r="E236" s="140">
        <f t="shared" si="34"/>
        <v>33</v>
      </c>
      <c r="F236" s="141" t="str">
        <f>CONCATENATE("Hora Cátedra Enseñanza Media ",D236," hs")</f>
        <v>Hora Cátedra Enseñanza Media 4 hs</v>
      </c>
      <c r="G236" s="142">
        <f t="shared" si="43"/>
        <v>316</v>
      </c>
      <c r="H236" s="143">
        <f>INT((G236*Valores!$C$2*100)+0.49)/100</f>
        <v>2951.35</v>
      </c>
      <c r="I236" s="161">
        <v>0</v>
      </c>
      <c r="J236" s="145">
        <f>INT((I236*Valores!$C$2*100)+0.5)/100</f>
        <v>0</v>
      </c>
      <c r="K236" s="160">
        <v>0</v>
      </c>
      <c r="L236" s="145">
        <f>INT((K236*Valores!$C$2*100)+0.5)/100</f>
        <v>0</v>
      </c>
      <c r="M236" s="158">
        <v>0</v>
      </c>
      <c r="N236" s="145">
        <f>INT((M236*Valores!$C$2*100)+0.5)/100</f>
        <v>0</v>
      </c>
      <c r="O236" s="145">
        <f t="shared" si="35"/>
        <v>541.2284999999999</v>
      </c>
      <c r="P236" s="145">
        <f t="shared" si="36"/>
        <v>0</v>
      </c>
      <c r="Q236" s="159">
        <f>Valores!$C$14*D236</f>
        <v>1236.68</v>
      </c>
      <c r="R236" s="159">
        <f>IF(D236&lt;15,(Valores!$E$4*D236),Valores!$D$4)</f>
        <v>1273.16</v>
      </c>
      <c r="S236" s="145">
        <v>0</v>
      </c>
      <c r="T236" s="148">
        <f>IF($H$5="NO",IF(Valores!$C$46*D236&gt;Valores!$C$44,Valores!$C$44,Valores!$C$46*D236),IF(Valores!$C$46*D236&gt;Valores!$C$44,Valores!$C$44,Valores!$C$46*D236)/2)</f>
        <v>273</v>
      </c>
      <c r="U236" s="159">
        <f>Valores!$C$23*D236</f>
        <v>383.84</v>
      </c>
      <c r="V236" s="145">
        <f t="shared" si="30"/>
        <v>383.84</v>
      </c>
      <c r="W236" s="145">
        <v>0</v>
      </c>
      <c r="X236" s="145">
        <v>0</v>
      </c>
      <c r="Y236" s="165">
        <v>0</v>
      </c>
      <c r="Z236" s="145">
        <f>Y236*Valores!$C$2</f>
        <v>0</v>
      </c>
      <c r="AA236" s="145">
        <v>0</v>
      </c>
      <c r="AB236" s="148">
        <f>IF(Valores!$C$92*D236&gt;Valores!$C$91,Valores!$C$91,Valores!$C$92*D236)</f>
        <v>230.76923076923083</v>
      </c>
      <c r="AC236" s="150">
        <f>IF((Valores!$C$33)*D236&gt;Valores!$F$33,Valores!$F$33,(Valores!$C$33)*D236)</f>
        <v>32.01536</v>
      </c>
      <c r="AD236" s="145">
        <f t="shared" si="38"/>
        <v>0</v>
      </c>
      <c r="AE236" s="145">
        <f>IF(Valores!$C$34*D236&gt;Valores!$F$34,Valores!$F$34,Valores!$C$34*D236)</f>
        <v>26.650624000000004</v>
      </c>
      <c r="AF236" s="149">
        <v>0</v>
      </c>
      <c r="AG236" s="145">
        <f>INT(((AF236*Valores!$C$2)*100)+0.5)/100</f>
        <v>0</v>
      </c>
      <c r="AH236" s="145">
        <f>IF($H$5="NO",IF(Valores!$D$59*'Escala Docente'!D236&gt;Valores!$F$59,Valores!$F$59,Valores!$D$59*'Escala Docente'!D236),IF(Valores!$D$59*'Escala Docente'!D236&gt;Valores!$F$59,Valores!$F$59,Valores!$D$59*'Escala Docente'!D236)/2)</f>
        <v>108.4096</v>
      </c>
      <c r="AI236" s="145">
        <f>IF($H$5="NO",IF(Valores!$D$61*D236&gt;Valores!$F$61,Valores!$F$61,Valores!$D$61*D236),IF(Valores!$D$61*D236&gt;Valores!$F$61,Valores!$F$61,Valores!$D$61*D236)/2)</f>
        <v>30.9768</v>
      </c>
      <c r="AJ236" s="151">
        <f t="shared" si="39"/>
        <v>7088.080114769231</v>
      </c>
      <c r="AK236" s="159">
        <f>IF(Valores!$C$37*D236&gt;Valores!$F$37,Valores!$F$37,Valores!$C$37*D236)</f>
        <v>279.16</v>
      </c>
      <c r="AL236" s="148">
        <f>IF(Valores!$C$11*D236&gt;Valores!$F$11,Valores!$F$11,Valores!$C$11*D236)</f>
        <v>0</v>
      </c>
      <c r="AM236" s="148">
        <f>IF(Valores!$C$87*D236&gt;Valores!$C$86,Valores!$C$86,Valores!$C$87*D236)</f>
        <v>454.99999999999994</v>
      </c>
      <c r="AN236" s="148"/>
      <c r="AO236" s="150">
        <f>IF(Valores!$C$58*D236&gt;Valores!$F$58,Valores!$F$58,Valores!$C$58*D236)</f>
        <v>45.42</v>
      </c>
      <c r="AP236" s="152">
        <f t="shared" si="37"/>
        <v>734.16</v>
      </c>
      <c r="AQ236" s="154">
        <f>AJ236*-Valores!$C$68</f>
        <v>-779.6888126246154</v>
      </c>
      <c r="AR236" s="154">
        <f>AJ236*-Valores!$C$69</f>
        <v>0</v>
      </c>
      <c r="AS236" s="147">
        <f>AJ236*-Valores!$C$70</f>
        <v>-318.9636051646154</v>
      </c>
      <c r="AT236" s="147">
        <v>-159.43</v>
      </c>
      <c r="AU236" s="147">
        <f t="shared" si="40"/>
        <v>-53.83</v>
      </c>
      <c r="AV236" s="151">
        <f t="shared" si="41"/>
        <v>6510.327696979999</v>
      </c>
      <c r="AW236" s="155"/>
      <c r="AX236" s="155">
        <f t="shared" si="42"/>
        <v>16</v>
      </c>
      <c r="AY236" s="140" t="s">
        <v>4</v>
      </c>
    </row>
    <row r="237" spans="1:51" s="117" customFormat="1" ht="11.25" customHeight="1">
      <c r="A237" s="157">
        <v>235</v>
      </c>
      <c r="B237" s="157" t="s">
        <v>143</v>
      </c>
      <c r="C237" s="140" t="s">
        <v>501</v>
      </c>
      <c r="D237" s="140">
        <v>4</v>
      </c>
      <c r="E237" s="140">
        <f t="shared" si="34"/>
        <v>41</v>
      </c>
      <c r="F237" s="141" t="str">
        <f>CONCATENATE("Hora Cátedra Enseñanza Media ",D237," hs Esc Esp")</f>
        <v>Hora Cátedra Enseñanza Media 4 hs Esc Esp</v>
      </c>
      <c r="G237" s="142">
        <f t="shared" si="43"/>
        <v>316</v>
      </c>
      <c r="H237" s="143">
        <f>INT((G237*Valores!$C$2*100)+0.49)/100</f>
        <v>2951.35</v>
      </c>
      <c r="I237" s="161">
        <v>0</v>
      </c>
      <c r="J237" s="145">
        <f>INT((I237*Valores!$C$2*100)+0.5)/100</f>
        <v>0</v>
      </c>
      <c r="K237" s="160">
        <v>0</v>
      </c>
      <c r="L237" s="145">
        <f>INT((K237*Valores!$C$2*100)+0.5)/100</f>
        <v>0</v>
      </c>
      <c r="M237" s="158">
        <v>0</v>
      </c>
      <c r="N237" s="145">
        <f>INT((M237*Valores!$C$2*100)+0.5)/100</f>
        <v>0</v>
      </c>
      <c r="O237" s="145">
        <f t="shared" si="35"/>
        <v>541.2284999999999</v>
      </c>
      <c r="P237" s="145">
        <f t="shared" si="36"/>
        <v>0</v>
      </c>
      <c r="Q237" s="159">
        <f>Valores!$C$14*D237</f>
        <v>1236.68</v>
      </c>
      <c r="R237" s="159">
        <f>IF(D237&lt;15,(Valores!$E$4*D237),Valores!$D$4)</f>
        <v>1273.16</v>
      </c>
      <c r="S237" s="145">
        <v>0</v>
      </c>
      <c r="T237" s="148">
        <f>IF($H$5="NO",IF(Valores!$C$46*D237&gt;Valores!$C$44,Valores!$C$44,Valores!$C$46*D237),IF(Valores!$C$46*D237&gt;Valores!$C$44,Valores!$C$44,Valores!$C$46*D237)/2)</f>
        <v>273</v>
      </c>
      <c r="U237" s="159">
        <f>Valores!$C$23*D237</f>
        <v>383.84</v>
      </c>
      <c r="V237" s="145">
        <f t="shared" si="30"/>
        <v>383.84</v>
      </c>
      <c r="W237" s="145">
        <v>0</v>
      </c>
      <c r="X237" s="145">
        <v>0</v>
      </c>
      <c r="Y237" s="165">
        <v>0</v>
      </c>
      <c r="Z237" s="145">
        <f>Y237*Valores!$C$2</f>
        <v>0</v>
      </c>
      <c r="AA237" s="145">
        <v>0</v>
      </c>
      <c r="AB237" s="148">
        <f>IF(Valores!$C$92*D237&gt;Valores!$C$91,Valores!$C$91,Valores!$C$92*D237)</f>
        <v>230.76923076923083</v>
      </c>
      <c r="AC237" s="150">
        <f>IF((Valores!$C$33)*D237&gt;Valores!$F$33,Valores!$F$33,(Valores!$C$33)*D237)</f>
        <v>32.01536</v>
      </c>
      <c r="AD237" s="145">
        <f t="shared" si="38"/>
        <v>0</v>
      </c>
      <c r="AE237" s="145">
        <f>IF(Valores!$C$34*D237&gt;Valores!$F$34,Valores!$F$34,Valores!$C$34*D237)</f>
        <v>26.650624000000004</v>
      </c>
      <c r="AF237" s="149">
        <v>94</v>
      </c>
      <c r="AG237" s="145">
        <f>INT(((AF237*Valores!$C$2)*100)+0.5)/100</f>
        <v>877.93</v>
      </c>
      <c r="AH237" s="145">
        <f>IF($H$5="NO",IF(Valores!$D$59*'Escala Docente'!D237&gt;Valores!$F$59,Valores!$F$59,Valores!$D$59*'Escala Docente'!D237),IF(Valores!$D$59*'Escala Docente'!D237&gt;Valores!$F$59,Valores!$F$59,Valores!$D$59*'Escala Docente'!D237)/2)</f>
        <v>108.4096</v>
      </c>
      <c r="AI237" s="145">
        <f>IF($H$5="NO",IF(Valores!$D$61*D237&gt;Valores!$F$61,Valores!$F$61,Valores!$D$61*D237),IF(Valores!$D$61*D237&gt;Valores!$F$61,Valores!$F$61,Valores!$D$61*D237)/2)</f>
        <v>30.9768</v>
      </c>
      <c r="AJ237" s="151">
        <f t="shared" si="39"/>
        <v>7966.010114769231</v>
      </c>
      <c r="AK237" s="159">
        <f>IF(Valores!$C$37*D237&gt;Valores!$F$37,Valores!$F$37,Valores!$C$37*D237)</f>
        <v>279.16</v>
      </c>
      <c r="AL237" s="148">
        <f>IF(Valores!$C$11*D237&gt;Valores!$F$11,Valores!$F$11,Valores!$C$11*D237)</f>
        <v>0</v>
      </c>
      <c r="AM237" s="148">
        <f>IF(Valores!$C$87*D237&gt;Valores!$C$86,Valores!$C$86,Valores!$C$87*D237)</f>
        <v>454.99999999999994</v>
      </c>
      <c r="AN237" s="148"/>
      <c r="AO237" s="150">
        <f>IF(Valores!$C$58*D237&gt;Valores!$F$58,Valores!$F$58,Valores!$C$58*D237)</f>
        <v>45.42</v>
      </c>
      <c r="AP237" s="152">
        <f t="shared" si="37"/>
        <v>734.16</v>
      </c>
      <c r="AQ237" s="154">
        <f>AJ237*-Valores!$C$68</f>
        <v>-876.2611126246154</v>
      </c>
      <c r="AR237" s="154">
        <f>AJ237*-Valores!$C$69</f>
        <v>0</v>
      </c>
      <c r="AS237" s="147">
        <f>AJ237*-Valores!$C$70</f>
        <v>-358.4704551646154</v>
      </c>
      <c r="AT237" s="147">
        <v>-159.43</v>
      </c>
      <c r="AU237" s="147">
        <f t="shared" si="40"/>
        <v>-53.83</v>
      </c>
      <c r="AV237" s="151">
        <f t="shared" si="41"/>
        <v>7252.17854698</v>
      </c>
      <c r="AW237" s="155"/>
      <c r="AX237" s="155">
        <f t="shared" si="42"/>
        <v>16</v>
      </c>
      <c r="AY237" s="140" t="s">
        <v>4</v>
      </c>
    </row>
    <row r="238" spans="1:51" s="117" customFormat="1" ht="11.25" customHeight="1">
      <c r="A238" s="139">
        <v>236</v>
      </c>
      <c r="B238" s="139"/>
      <c r="C238" s="140" t="s">
        <v>501</v>
      </c>
      <c r="D238" s="140">
        <v>5</v>
      </c>
      <c r="E238" s="140">
        <f t="shared" si="34"/>
        <v>33</v>
      </c>
      <c r="F238" s="141" t="str">
        <f>CONCATENATE("Hora Cátedra Enseñanza Media ",D238," hs")</f>
        <v>Hora Cátedra Enseñanza Media 5 hs</v>
      </c>
      <c r="G238" s="142">
        <f t="shared" si="43"/>
        <v>395</v>
      </c>
      <c r="H238" s="143">
        <f>INT((G238*Valores!$C$2*100)+0.49)/100</f>
        <v>3689.18</v>
      </c>
      <c r="I238" s="161">
        <v>0</v>
      </c>
      <c r="J238" s="145">
        <f>INT((I238*Valores!$C$2*100)+0.5)/100</f>
        <v>0</v>
      </c>
      <c r="K238" s="160">
        <v>0</v>
      </c>
      <c r="L238" s="145">
        <f>INT((K238*Valores!$C$2*100)+0.5)/100</f>
        <v>0</v>
      </c>
      <c r="M238" s="158">
        <v>0</v>
      </c>
      <c r="N238" s="145">
        <f>INT((M238*Valores!$C$2*100)+0.5)/100</f>
        <v>0</v>
      </c>
      <c r="O238" s="145">
        <f t="shared" si="35"/>
        <v>676.5344999999999</v>
      </c>
      <c r="P238" s="145">
        <f t="shared" si="36"/>
        <v>0</v>
      </c>
      <c r="Q238" s="159">
        <f>Valores!$C$14*D238</f>
        <v>1545.8500000000001</v>
      </c>
      <c r="R238" s="159">
        <f>IF(D238&lt;15,(Valores!$E$4*D238),Valores!$D$4)</f>
        <v>1591.45</v>
      </c>
      <c r="S238" s="145">
        <v>0</v>
      </c>
      <c r="T238" s="148">
        <f>IF($H$5="NO",IF(Valores!$C$46*D238&gt;Valores!$C$44,Valores!$C$44,Valores!$C$46*D238),IF(Valores!$C$46*D238&gt;Valores!$C$44,Valores!$C$44,Valores!$C$46*D238)/2)</f>
        <v>341.25</v>
      </c>
      <c r="U238" s="159">
        <f>Valores!$C$23*D238</f>
        <v>479.79999999999995</v>
      </c>
      <c r="V238" s="145">
        <f t="shared" si="30"/>
        <v>479.79999999999995</v>
      </c>
      <c r="W238" s="145">
        <v>0</v>
      </c>
      <c r="X238" s="145">
        <v>0</v>
      </c>
      <c r="Y238" s="165">
        <v>0</v>
      </c>
      <c r="Z238" s="145">
        <f>Y238*Valores!$C$2</f>
        <v>0</v>
      </c>
      <c r="AA238" s="145">
        <v>0</v>
      </c>
      <c r="AB238" s="148">
        <f>IF(Valores!$C$92*D238&gt;Valores!$C$91,Valores!$C$91,Valores!$C$92*D238)</f>
        <v>288.46153846153857</v>
      </c>
      <c r="AC238" s="150">
        <f>IF((Valores!$C$33)*D238&gt;Valores!$F$33,Valores!$F$33,(Valores!$C$33)*D238)</f>
        <v>40.0192</v>
      </c>
      <c r="AD238" s="145">
        <f t="shared" si="38"/>
        <v>0</v>
      </c>
      <c r="AE238" s="145">
        <f>IF(Valores!$C$34*D238&gt;Valores!$F$34,Valores!$F$34,Valores!$C$34*D238)</f>
        <v>33.313280000000006</v>
      </c>
      <c r="AF238" s="149">
        <v>0</v>
      </c>
      <c r="AG238" s="145">
        <f>INT(((AF238*Valores!$C$2)*100)+0.5)/100</f>
        <v>0</v>
      </c>
      <c r="AH238" s="145">
        <f>IF($H$5="NO",IF(Valores!$D$59*'Escala Docente'!D238&gt;Valores!$F$59,Valores!$F$59,Valores!$D$59*'Escala Docente'!D238),IF(Valores!$D$59*'Escala Docente'!D238&gt;Valores!$F$59,Valores!$F$59,Valores!$D$59*'Escala Docente'!D238)/2)</f>
        <v>135.512</v>
      </c>
      <c r="AI238" s="145">
        <f>IF($H$5="NO",IF(Valores!$D$61*D238&gt;Valores!$F$61,Valores!$F$61,Valores!$D$61*D238),IF(Valores!$D$61*D238&gt;Valores!$F$61,Valores!$F$61,Valores!$D$61*D238)/2)</f>
        <v>38.721000000000004</v>
      </c>
      <c r="AJ238" s="151">
        <f t="shared" si="39"/>
        <v>8860.09151846154</v>
      </c>
      <c r="AK238" s="159">
        <f>IF(Valores!$C$37*D238&gt;Valores!$F$37,Valores!$F$37,Valores!$C$37*D238)</f>
        <v>348.95000000000005</v>
      </c>
      <c r="AL238" s="148">
        <f>IF(Valores!$C$11*D238&gt;Valores!$F$11,Valores!$F$11,Valores!$C$11*D238)</f>
        <v>0</v>
      </c>
      <c r="AM238" s="148">
        <f>IF(Valores!$C$87*D238&gt;Valores!$C$86,Valores!$C$86,Valores!$C$87*D238)</f>
        <v>568.7499999999999</v>
      </c>
      <c r="AN238" s="148"/>
      <c r="AO238" s="150">
        <f>IF(Valores!$C$58*D238&gt;Valores!$F$58,Valores!$F$58,Valores!$C$58*D238)</f>
        <v>56.775000000000006</v>
      </c>
      <c r="AP238" s="152">
        <f t="shared" si="37"/>
        <v>917.6999999999999</v>
      </c>
      <c r="AQ238" s="154">
        <f>AJ238*-Valores!$C$68</f>
        <v>-974.6100670307694</v>
      </c>
      <c r="AR238" s="154">
        <f>AJ238*-Valores!$C$69</f>
        <v>0</v>
      </c>
      <c r="AS238" s="147">
        <f>AJ238*-Valores!$C$70</f>
        <v>-398.7041183307693</v>
      </c>
      <c r="AT238" s="147">
        <v>-159.43</v>
      </c>
      <c r="AU238" s="147">
        <f t="shared" si="40"/>
        <v>-53.83</v>
      </c>
      <c r="AV238" s="151">
        <f t="shared" si="41"/>
        <v>8191.217333100001</v>
      </c>
      <c r="AW238" s="155"/>
      <c r="AX238" s="155">
        <f t="shared" si="42"/>
        <v>20</v>
      </c>
      <c r="AY238" s="140" t="s">
        <v>4</v>
      </c>
    </row>
    <row r="239" spans="1:51" s="117" customFormat="1" ht="11.25" customHeight="1">
      <c r="A239" s="139">
        <v>237</v>
      </c>
      <c r="B239" s="139"/>
      <c r="C239" s="140" t="s">
        <v>501</v>
      </c>
      <c r="D239" s="140">
        <v>5</v>
      </c>
      <c r="E239" s="140">
        <f t="shared" si="34"/>
        <v>41</v>
      </c>
      <c r="F239" s="141" t="str">
        <f>CONCATENATE("Hora Cátedra Enseñanza Media ",D239," hs Esc Esp")</f>
        <v>Hora Cátedra Enseñanza Media 5 hs Esc Esp</v>
      </c>
      <c r="G239" s="142">
        <f t="shared" si="43"/>
        <v>395</v>
      </c>
      <c r="H239" s="143">
        <f>INT((G239*Valores!$C$2*100)+0.49)/100</f>
        <v>3689.18</v>
      </c>
      <c r="I239" s="161">
        <v>0</v>
      </c>
      <c r="J239" s="145">
        <f>INT((I239*Valores!$C$2*100)+0.5)/100</f>
        <v>0</v>
      </c>
      <c r="K239" s="160">
        <v>0</v>
      </c>
      <c r="L239" s="145">
        <f>INT((K239*Valores!$C$2*100)+0.5)/100</f>
        <v>0</v>
      </c>
      <c r="M239" s="158">
        <v>0</v>
      </c>
      <c r="N239" s="145">
        <f>INT((M239*Valores!$C$2*100)+0.5)/100</f>
        <v>0</v>
      </c>
      <c r="O239" s="145">
        <f t="shared" si="35"/>
        <v>676.5344999999999</v>
      </c>
      <c r="P239" s="145">
        <f t="shared" si="36"/>
        <v>0</v>
      </c>
      <c r="Q239" s="159">
        <f>Valores!$C$14*D239</f>
        <v>1545.8500000000001</v>
      </c>
      <c r="R239" s="159">
        <f>IF(D239&lt;15,(Valores!$E$4*D239),Valores!$D$4)</f>
        <v>1591.45</v>
      </c>
      <c r="S239" s="145">
        <v>0</v>
      </c>
      <c r="T239" s="148">
        <f>IF($H$5="NO",IF(Valores!$C$46*D239&gt;Valores!$C$44,Valores!$C$44,Valores!$C$46*D239),IF(Valores!$C$46*D239&gt;Valores!$C$44,Valores!$C$44,Valores!$C$46*D239)/2)</f>
        <v>341.25</v>
      </c>
      <c r="U239" s="159">
        <f>Valores!$C$23*D239</f>
        <v>479.79999999999995</v>
      </c>
      <c r="V239" s="145">
        <f aca="true" t="shared" si="44" ref="V239:V302">U239*(1+$J$2)</f>
        <v>479.79999999999995</v>
      </c>
      <c r="W239" s="145">
        <v>0</v>
      </c>
      <c r="X239" s="145">
        <v>0</v>
      </c>
      <c r="Y239" s="165">
        <v>0</v>
      </c>
      <c r="Z239" s="145">
        <f>Y239*Valores!$C$2</f>
        <v>0</v>
      </c>
      <c r="AA239" s="145">
        <v>0</v>
      </c>
      <c r="AB239" s="148">
        <f>IF(Valores!$C$92*D239&gt;Valores!$C$91,Valores!$C$91,Valores!$C$92*D239)</f>
        <v>288.46153846153857</v>
      </c>
      <c r="AC239" s="150">
        <f>IF((Valores!$C$33)*D239&gt;Valores!$F$33,Valores!$F$33,(Valores!$C$33)*D239)</f>
        <v>40.0192</v>
      </c>
      <c r="AD239" s="145">
        <f t="shared" si="38"/>
        <v>0</v>
      </c>
      <c r="AE239" s="145">
        <f>IF(Valores!$C$34*D239&gt;Valores!$F$34,Valores!$F$34,Valores!$C$34*D239)</f>
        <v>33.313280000000006</v>
      </c>
      <c r="AF239" s="149">
        <v>94</v>
      </c>
      <c r="AG239" s="145">
        <f>INT(((AF239*Valores!$C$2)*100)+0.5)/100</f>
        <v>877.93</v>
      </c>
      <c r="AH239" s="145">
        <f>IF($H$5="NO",IF(Valores!$D$59*'Escala Docente'!D239&gt;Valores!$F$59,Valores!$F$59,Valores!$D$59*'Escala Docente'!D239),IF(Valores!$D$59*'Escala Docente'!D239&gt;Valores!$F$59,Valores!$F$59,Valores!$D$59*'Escala Docente'!D239)/2)</f>
        <v>135.512</v>
      </c>
      <c r="AI239" s="145">
        <f>IF($H$5="NO",IF(Valores!$D$61*D239&gt;Valores!$F$61,Valores!$F$61,Valores!$D$61*D239),IF(Valores!$D$61*D239&gt;Valores!$F$61,Valores!$F$61,Valores!$D$61*D239)/2)</f>
        <v>38.721000000000004</v>
      </c>
      <c r="AJ239" s="151">
        <f t="shared" si="39"/>
        <v>9738.021518461539</v>
      </c>
      <c r="AK239" s="159">
        <f>IF(Valores!$C$37*D239&gt;Valores!$F$37,Valores!$F$37,Valores!$C$37*D239)</f>
        <v>348.95000000000005</v>
      </c>
      <c r="AL239" s="148">
        <f>IF(Valores!$C$11*D239&gt;Valores!$F$11,Valores!$F$11,Valores!$C$11*D239)</f>
        <v>0</v>
      </c>
      <c r="AM239" s="148">
        <f>IF(Valores!$C$87*D239&gt;Valores!$C$86,Valores!$C$86,Valores!$C$87*D239)</f>
        <v>568.7499999999999</v>
      </c>
      <c r="AN239" s="148"/>
      <c r="AO239" s="150">
        <f>IF(Valores!$C$58*D239&gt;Valores!$F$58,Valores!$F$58,Valores!$C$58*D239)</f>
        <v>56.775000000000006</v>
      </c>
      <c r="AP239" s="152">
        <f t="shared" si="37"/>
        <v>917.6999999999999</v>
      </c>
      <c r="AQ239" s="154">
        <f>AJ239*-Valores!$C$68</f>
        <v>-1071.1823670307692</v>
      </c>
      <c r="AR239" s="154">
        <f>AJ239*-Valores!$C$69</f>
        <v>0</v>
      </c>
      <c r="AS239" s="147">
        <f>AJ239*-Valores!$C$70</f>
        <v>-438.2109683307692</v>
      </c>
      <c r="AT239" s="147">
        <v>-159.43</v>
      </c>
      <c r="AU239" s="147">
        <f t="shared" si="40"/>
        <v>-53.83</v>
      </c>
      <c r="AV239" s="151">
        <f t="shared" si="41"/>
        <v>8933.0681831</v>
      </c>
      <c r="AW239" s="155"/>
      <c r="AX239" s="155">
        <f t="shared" si="42"/>
        <v>20</v>
      </c>
      <c r="AY239" s="140" t="s">
        <v>4</v>
      </c>
    </row>
    <row r="240" spans="1:51" s="117" customFormat="1" ht="11.25" customHeight="1">
      <c r="A240" s="139">
        <v>238</v>
      </c>
      <c r="B240" s="139"/>
      <c r="C240" s="140" t="s">
        <v>501</v>
      </c>
      <c r="D240" s="140">
        <v>6</v>
      </c>
      <c r="E240" s="140">
        <f t="shared" si="34"/>
        <v>33</v>
      </c>
      <c r="F240" s="141" t="str">
        <f>CONCATENATE("Hora Cátedra Enseñanza Media ",D240," hs")</f>
        <v>Hora Cátedra Enseñanza Media 6 hs</v>
      </c>
      <c r="G240" s="142">
        <f t="shared" si="43"/>
        <v>474</v>
      </c>
      <c r="H240" s="143">
        <f>INT((G240*Valores!$C$2*100)+0.49)/100</f>
        <v>4427.02</v>
      </c>
      <c r="I240" s="161">
        <v>0</v>
      </c>
      <c r="J240" s="145">
        <f>INT((I240*Valores!$C$2*100)+0.5)/100</f>
        <v>0</v>
      </c>
      <c r="K240" s="160">
        <v>0</v>
      </c>
      <c r="L240" s="145">
        <f>INT((K240*Valores!$C$2*100)+0.5)/100</f>
        <v>0</v>
      </c>
      <c r="M240" s="158">
        <v>0</v>
      </c>
      <c r="N240" s="145">
        <f>INT((M240*Valores!$C$2*100)+0.5)/100</f>
        <v>0</v>
      </c>
      <c r="O240" s="145">
        <f t="shared" si="35"/>
        <v>811.8420000000001</v>
      </c>
      <c r="P240" s="145">
        <f t="shared" si="36"/>
        <v>0</v>
      </c>
      <c r="Q240" s="159">
        <f>Valores!$C$14*D240</f>
        <v>1855.02</v>
      </c>
      <c r="R240" s="159">
        <f>IF(D240&lt;15,(Valores!$E$4*D240),Valores!$D$4)</f>
        <v>1909.7400000000002</v>
      </c>
      <c r="S240" s="145">
        <v>0</v>
      </c>
      <c r="T240" s="148">
        <f>IF($H$5="NO",IF(Valores!$C$46*D240&gt;Valores!$C$44,Valores!$C$44,Valores!$C$46*D240),IF(Valores!$C$46*D240&gt;Valores!$C$44,Valores!$C$44,Valores!$C$46*D240)/2)</f>
        <v>409.5</v>
      </c>
      <c r="U240" s="159">
        <f>Valores!$C$23*D240</f>
        <v>575.76</v>
      </c>
      <c r="V240" s="145">
        <f t="shared" si="44"/>
        <v>575.76</v>
      </c>
      <c r="W240" s="145">
        <v>0</v>
      </c>
      <c r="X240" s="145">
        <v>0</v>
      </c>
      <c r="Y240" s="165">
        <v>0</v>
      </c>
      <c r="Z240" s="145">
        <f>Y240*Valores!$C$2</f>
        <v>0</v>
      </c>
      <c r="AA240" s="145">
        <v>0</v>
      </c>
      <c r="AB240" s="148">
        <f>IF(Valores!$C$92*D240&gt;Valores!$C$91,Valores!$C$91,Valores!$C$92*D240)</f>
        <v>346.15384615384625</v>
      </c>
      <c r="AC240" s="150">
        <f>IF((Valores!$C$33)*D240&gt;Valores!$F$33,Valores!$F$33,(Valores!$C$33)*D240)</f>
        <v>48.02304</v>
      </c>
      <c r="AD240" s="145">
        <f t="shared" si="38"/>
        <v>0</v>
      </c>
      <c r="AE240" s="145">
        <f>IF(Valores!$C$34*D240&gt;Valores!$F$34,Valores!$F$34,Valores!$C$34*D240)</f>
        <v>39.975936000000004</v>
      </c>
      <c r="AF240" s="149">
        <v>0</v>
      </c>
      <c r="AG240" s="145">
        <f>INT(((AF240*Valores!$C$2)*100)+0.5)/100</f>
        <v>0</v>
      </c>
      <c r="AH240" s="145">
        <f>IF($H$5="NO",IF(Valores!$D$59*'Escala Docente'!D240&gt;Valores!$F$59,Valores!$F$59,Valores!$D$59*'Escala Docente'!D240),IF(Valores!$D$59*'Escala Docente'!D240&gt;Valores!$F$59,Valores!$F$59,Valores!$D$59*'Escala Docente'!D240)/2)</f>
        <v>162.6144</v>
      </c>
      <c r="AI240" s="145">
        <f>IF($H$5="NO",IF(Valores!$D$61*D240&gt;Valores!$F$61,Valores!$F$61,Valores!$D$61*D240),IF(Valores!$D$61*D240&gt;Valores!$F$61,Valores!$F$61,Valores!$D$61*D240)/2)</f>
        <v>46.4652</v>
      </c>
      <c r="AJ240" s="151">
        <f t="shared" si="39"/>
        <v>10632.114422153849</v>
      </c>
      <c r="AK240" s="159">
        <f>IF(Valores!$C$37*D240&gt;Valores!$F$37,Valores!$F$37,Valores!$C$37*D240)</f>
        <v>418.74</v>
      </c>
      <c r="AL240" s="148">
        <f>IF(Valores!$C$11*D240&gt;Valores!$F$11,Valores!$F$11,Valores!$C$11*D240)</f>
        <v>0</v>
      </c>
      <c r="AM240" s="148">
        <f>IF(Valores!$C$87*D240&gt;Valores!$C$86,Valores!$C$86,Valores!$C$87*D240)</f>
        <v>682.4999999999999</v>
      </c>
      <c r="AN240" s="148"/>
      <c r="AO240" s="150">
        <f>IF(Valores!$C$58*D240&gt;Valores!$F$58,Valores!$F$58,Valores!$C$58*D240)</f>
        <v>68.13</v>
      </c>
      <c r="AP240" s="152">
        <f t="shared" si="37"/>
        <v>1101.2399999999998</v>
      </c>
      <c r="AQ240" s="154">
        <f>AJ240*-Valores!$C$68</f>
        <v>-1169.5325864369233</v>
      </c>
      <c r="AR240" s="154">
        <f>AJ240*-Valores!$C$69</f>
        <v>0</v>
      </c>
      <c r="AS240" s="147">
        <f>AJ240*-Valores!$C$70</f>
        <v>-478.4451489969232</v>
      </c>
      <c r="AT240" s="147">
        <v>-159.43</v>
      </c>
      <c r="AU240" s="147">
        <f t="shared" si="40"/>
        <v>-53.83</v>
      </c>
      <c r="AV240" s="151">
        <f t="shared" si="41"/>
        <v>9872.116686720003</v>
      </c>
      <c r="AW240" s="155"/>
      <c r="AX240" s="155">
        <f t="shared" si="42"/>
        <v>24</v>
      </c>
      <c r="AY240" s="140" t="s">
        <v>4</v>
      </c>
    </row>
    <row r="241" spans="1:51" s="117" customFormat="1" ht="11.25" customHeight="1">
      <c r="A241" s="139">
        <v>239</v>
      </c>
      <c r="B241" s="139"/>
      <c r="C241" s="140" t="s">
        <v>501</v>
      </c>
      <c r="D241" s="140">
        <v>6</v>
      </c>
      <c r="E241" s="140">
        <f t="shared" si="34"/>
        <v>41</v>
      </c>
      <c r="F241" s="141" t="str">
        <f>CONCATENATE("Hora Cátedra Enseñanza Media ",D241," hs Esc Esp")</f>
        <v>Hora Cátedra Enseñanza Media 6 hs Esc Esp</v>
      </c>
      <c r="G241" s="142">
        <f t="shared" si="43"/>
        <v>474</v>
      </c>
      <c r="H241" s="143">
        <f>INT((G241*Valores!$C$2*100)+0.49)/100</f>
        <v>4427.02</v>
      </c>
      <c r="I241" s="161">
        <v>0</v>
      </c>
      <c r="J241" s="145">
        <f>INT((I241*Valores!$C$2*100)+0.5)/100</f>
        <v>0</v>
      </c>
      <c r="K241" s="160">
        <v>0</v>
      </c>
      <c r="L241" s="145">
        <f>INT((K241*Valores!$C$2*100)+0.5)/100</f>
        <v>0</v>
      </c>
      <c r="M241" s="158">
        <v>0</v>
      </c>
      <c r="N241" s="145">
        <f>INT((M241*Valores!$C$2*100)+0.5)/100</f>
        <v>0</v>
      </c>
      <c r="O241" s="145">
        <f t="shared" si="35"/>
        <v>811.8420000000001</v>
      </c>
      <c r="P241" s="145">
        <f t="shared" si="36"/>
        <v>0</v>
      </c>
      <c r="Q241" s="159">
        <f>Valores!$C$14*D241</f>
        <v>1855.02</v>
      </c>
      <c r="R241" s="159">
        <f>IF(D241&lt;15,(Valores!$E$4*D241),Valores!$D$4)</f>
        <v>1909.7400000000002</v>
      </c>
      <c r="S241" s="145">
        <v>0</v>
      </c>
      <c r="T241" s="148">
        <f>IF($H$5="NO",IF(Valores!$C$46*D241&gt;Valores!$C$44,Valores!$C$44,Valores!$C$46*D241),IF(Valores!$C$46*D241&gt;Valores!$C$44,Valores!$C$44,Valores!$C$46*D241)/2)</f>
        <v>409.5</v>
      </c>
      <c r="U241" s="159">
        <f>Valores!$C$23*D241</f>
        <v>575.76</v>
      </c>
      <c r="V241" s="145">
        <f t="shared" si="44"/>
        <v>575.76</v>
      </c>
      <c r="W241" s="145">
        <v>0</v>
      </c>
      <c r="X241" s="145">
        <v>0</v>
      </c>
      <c r="Y241" s="165">
        <v>0</v>
      </c>
      <c r="Z241" s="145">
        <f>Y241*Valores!$C$2</f>
        <v>0</v>
      </c>
      <c r="AA241" s="145">
        <v>0</v>
      </c>
      <c r="AB241" s="148">
        <f>IF(Valores!$C$92*D241&gt;Valores!$C$91,Valores!$C$91,Valores!$C$92*D241)</f>
        <v>346.15384615384625</v>
      </c>
      <c r="AC241" s="150">
        <f>IF((Valores!$C$33)*D241&gt;Valores!$F$33,Valores!$F$33,(Valores!$C$33)*D241)</f>
        <v>48.02304</v>
      </c>
      <c r="AD241" s="145">
        <f t="shared" si="38"/>
        <v>0</v>
      </c>
      <c r="AE241" s="145">
        <f>IF(Valores!$C$34*D241&gt;Valores!$F$34,Valores!$F$34,Valores!$C$34*D241)</f>
        <v>39.975936000000004</v>
      </c>
      <c r="AF241" s="149">
        <v>94</v>
      </c>
      <c r="AG241" s="145">
        <f>INT(((AF241*Valores!$C$2)*100)+0.5)/100</f>
        <v>877.93</v>
      </c>
      <c r="AH241" s="145">
        <f>IF($H$5="NO",IF(Valores!$D$59*'Escala Docente'!D241&gt;Valores!$F$59,Valores!$F$59,Valores!$D$59*'Escala Docente'!D241),IF(Valores!$D$59*'Escala Docente'!D241&gt;Valores!$F$59,Valores!$F$59,Valores!$D$59*'Escala Docente'!D241)/2)</f>
        <v>162.6144</v>
      </c>
      <c r="AI241" s="145">
        <f>IF($H$5="NO",IF(Valores!$D$61*D241&gt;Valores!$F$61,Valores!$F$61,Valores!$D$61*D241),IF(Valores!$D$61*D241&gt;Valores!$F$61,Valores!$F$61,Valores!$D$61*D241)/2)</f>
        <v>46.4652</v>
      </c>
      <c r="AJ241" s="151">
        <f t="shared" si="39"/>
        <v>11510.04442215385</v>
      </c>
      <c r="AK241" s="159">
        <f>IF(Valores!$C$37*D241&gt;Valores!$F$37,Valores!$F$37,Valores!$C$37*D241)</f>
        <v>418.74</v>
      </c>
      <c r="AL241" s="148">
        <f>IF(Valores!$C$11*D241&gt;Valores!$F$11,Valores!$F$11,Valores!$C$11*D241)</f>
        <v>0</v>
      </c>
      <c r="AM241" s="148">
        <f>IF(Valores!$C$87*D241&gt;Valores!$C$86,Valores!$C$86,Valores!$C$87*D241)</f>
        <v>682.4999999999999</v>
      </c>
      <c r="AN241" s="148"/>
      <c r="AO241" s="150">
        <f>IF(Valores!$C$58*D241&gt;Valores!$F$58,Valores!$F$58,Valores!$C$58*D241)</f>
        <v>68.13</v>
      </c>
      <c r="AP241" s="152">
        <f t="shared" si="37"/>
        <v>1101.2399999999998</v>
      </c>
      <c r="AQ241" s="154">
        <f>AJ241*-Valores!$C$68</f>
        <v>-1266.1048864369234</v>
      </c>
      <c r="AR241" s="154">
        <f>AJ241*-Valores!$C$69</f>
        <v>0</v>
      </c>
      <c r="AS241" s="147">
        <f>AJ241*-Valores!$C$70</f>
        <v>-517.9519989969232</v>
      </c>
      <c r="AT241" s="147">
        <v>-159.43</v>
      </c>
      <c r="AU241" s="147">
        <f t="shared" si="40"/>
        <v>-53.83</v>
      </c>
      <c r="AV241" s="151">
        <f t="shared" si="41"/>
        <v>10613.967536720002</v>
      </c>
      <c r="AW241" s="155"/>
      <c r="AX241" s="155">
        <f t="shared" si="42"/>
        <v>24</v>
      </c>
      <c r="AY241" s="140" t="s">
        <v>4</v>
      </c>
    </row>
    <row r="242" spans="1:51" s="117" customFormat="1" ht="11.25" customHeight="1">
      <c r="A242" s="157">
        <v>240</v>
      </c>
      <c r="B242" s="157" t="s">
        <v>143</v>
      </c>
      <c r="C242" s="140" t="s">
        <v>501</v>
      </c>
      <c r="D242" s="140">
        <v>7</v>
      </c>
      <c r="E242" s="140">
        <f t="shared" si="34"/>
        <v>33</v>
      </c>
      <c r="F242" s="141" t="str">
        <f>CONCATENATE("Hora Cátedra Enseñanza Media ",D242," hs")</f>
        <v>Hora Cátedra Enseñanza Media 7 hs</v>
      </c>
      <c r="G242" s="142">
        <f t="shared" si="43"/>
        <v>553</v>
      </c>
      <c r="H242" s="143">
        <f>INT((G242*Valores!$C$2*100)+0.49)/100</f>
        <v>5164.85</v>
      </c>
      <c r="I242" s="161">
        <v>0</v>
      </c>
      <c r="J242" s="145">
        <f>INT((I242*Valores!$C$2*100)+0.5)/100</f>
        <v>0</v>
      </c>
      <c r="K242" s="160">
        <v>0</v>
      </c>
      <c r="L242" s="145">
        <f>INT((K242*Valores!$C$2*100)+0.5)/100</f>
        <v>0</v>
      </c>
      <c r="M242" s="158">
        <v>0</v>
      </c>
      <c r="N242" s="145">
        <f>INT((M242*Valores!$C$2*100)+0.5)/100</f>
        <v>0</v>
      </c>
      <c r="O242" s="145">
        <f t="shared" si="35"/>
        <v>947.148</v>
      </c>
      <c r="P242" s="145">
        <f t="shared" si="36"/>
        <v>0</v>
      </c>
      <c r="Q242" s="159">
        <f>Valores!$C$14*D242</f>
        <v>2164.19</v>
      </c>
      <c r="R242" s="159">
        <f>IF(D242&lt;15,(Valores!$E$4*D242),Valores!$D$4)</f>
        <v>2228.03</v>
      </c>
      <c r="S242" s="145">
        <v>0</v>
      </c>
      <c r="T242" s="148">
        <f>IF($H$5="NO",IF(Valores!$C$46*D242&gt;Valores!$C$44,Valores!$C$44,Valores!$C$46*D242),IF(Valores!$C$46*D242&gt;Valores!$C$44,Valores!$C$44,Valores!$C$46*D242)/2)</f>
        <v>477.75</v>
      </c>
      <c r="U242" s="159">
        <f>Valores!$C$23*D242</f>
        <v>671.7199999999999</v>
      </c>
      <c r="V242" s="145">
        <f t="shared" si="44"/>
        <v>671.7199999999999</v>
      </c>
      <c r="W242" s="145">
        <v>0</v>
      </c>
      <c r="X242" s="145">
        <v>0</v>
      </c>
      <c r="Y242" s="165">
        <v>0</v>
      </c>
      <c r="Z242" s="145">
        <f>Y242*Valores!$C$2</f>
        <v>0</v>
      </c>
      <c r="AA242" s="145">
        <v>0</v>
      </c>
      <c r="AB242" s="148">
        <f>IF(Valores!$C$92*D242&gt;Valores!$C$91,Valores!$C$91,Valores!$C$92*D242)</f>
        <v>403.8461538461539</v>
      </c>
      <c r="AC242" s="150">
        <f>IF((Valores!$C$33)*D242&gt;Valores!$F$33,Valores!$F$33,(Valores!$C$33)*D242)</f>
        <v>56.026880000000006</v>
      </c>
      <c r="AD242" s="145">
        <f t="shared" si="38"/>
        <v>0</v>
      </c>
      <c r="AE242" s="145">
        <f>IF(Valores!$C$34*D242&gt;Valores!$F$34,Valores!$F$34,Valores!$C$34*D242)</f>
        <v>46.63859200000001</v>
      </c>
      <c r="AF242" s="149">
        <v>0</v>
      </c>
      <c r="AG242" s="145">
        <f>INT(((AF242*Valores!$C$2)*100)+0.5)/100</f>
        <v>0</v>
      </c>
      <c r="AH242" s="145">
        <f>IF($H$5="NO",IF(Valores!$D$59*'Escala Docente'!D242&gt;Valores!$F$59,Valores!$F$59,Valores!$D$59*'Escala Docente'!D242),IF(Valores!$D$59*'Escala Docente'!D242&gt;Valores!$F$59,Valores!$F$59,Valores!$D$59*'Escala Docente'!D242)/2)</f>
        <v>189.7168</v>
      </c>
      <c r="AI242" s="145">
        <f>IF($H$5="NO",IF(Valores!$D$61*D242&gt;Valores!$F$61,Valores!$F$61,Valores!$D$61*D242),IF(Valores!$D$61*D242&gt;Valores!$F$61,Valores!$F$61,Valores!$D$61*D242)/2)</f>
        <v>54.2094</v>
      </c>
      <c r="AJ242" s="151">
        <f t="shared" si="39"/>
        <v>12404.125825846153</v>
      </c>
      <c r="AK242" s="159">
        <f>IF(Valores!$C$37*D242&gt;Valores!$F$37,Valores!$F$37,Valores!$C$37*D242)</f>
        <v>488.53000000000003</v>
      </c>
      <c r="AL242" s="148">
        <f>IF(Valores!$C$11*D242&gt;Valores!$F$11,Valores!$F$11,Valores!$C$11*D242)</f>
        <v>0</v>
      </c>
      <c r="AM242" s="148">
        <f>IF(Valores!$C$87*D242&gt;Valores!$C$86,Valores!$C$86,Valores!$C$87*D242)</f>
        <v>796.2499999999999</v>
      </c>
      <c r="AN242" s="148"/>
      <c r="AO242" s="150">
        <f>IF(Valores!$C$58*D242&gt;Valores!$F$58,Valores!$F$58,Valores!$C$58*D242)</f>
        <v>79.485</v>
      </c>
      <c r="AP242" s="152">
        <f t="shared" si="37"/>
        <v>1284.78</v>
      </c>
      <c r="AQ242" s="154">
        <f>AJ242*-Valores!$C$68</f>
        <v>-1364.453840843077</v>
      </c>
      <c r="AR242" s="154">
        <f>AJ242*-Valores!$C$69</f>
        <v>0</v>
      </c>
      <c r="AS242" s="147">
        <f>AJ242*-Valores!$C$70</f>
        <v>-558.1856621630768</v>
      </c>
      <c r="AT242" s="147">
        <v>-159.43</v>
      </c>
      <c r="AU242" s="147">
        <f t="shared" si="40"/>
        <v>-53.83</v>
      </c>
      <c r="AV242" s="151">
        <f t="shared" si="41"/>
        <v>11553.00632284</v>
      </c>
      <c r="AW242" s="155"/>
      <c r="AX242" s="155">
        <f t="shared" si="42"/>
        <v>28</v>
      </c>
      <c r="AY242" s="140" t="s">
        <v>4</v>
      </c>
    </row>
    <row r="243" spans="1:51" s="117" customFormat="1" ht="11.25" customHeight="1">
      <c r="A243" s="139">
        <v>241</v>
      </c>
      <c r="B243" s="139"/>
      <c r="C243" s="140" t="s">
        <v>501</v>
      </c>
      <c r="D243" s="140">
        <v>7</v>
      </c>
      <c r="E243" s="140">
        <f t="shared" si="34"/>
        <v>41</v>
      </c>
      <c r="F243" s="141" t="str">
        <f>CONCATENATE("Hora Cátedra Enseñanza Media ",D243," hs Esc Esp")</f>
        <v>Hora Cátedra Enseñanza Media 7 hs Esc Esp</v>
      </c>
      <c r="G243" s="142">
        <f t="shared" si="43"/>
        <v>553</v>
      </c>
      <c r="H243" s="143">
        <f>INT((G243*Valores!$C$2*100)+0.49)/100</f>
        <v>5164.85</v>
      </c>
      <c r="I243" s="161">
        <v>0</v>
      </c>
      <c r="J243" s="145">
        <f>INT((I243*Valores!$C$2*100)+0.5)/100</f>
        <v>0</v>
      </c>
      <c r="K243" s="160">
        <v>0</v>
      </c>
      <c r="L243" s="145">
        <f>INT((K243*Valores!$C$2*100)+0.5)/100</f>
        <v>0</v>
      </c>
      <c r="M243" s="158">
        <v>0</v>
      </c>
      <c r="N243" s="145">
        <f>INT((M243*Valores!$C$2*100)+0.5)/100</f>
        <v>0</v>
      </c>
      <c r="O243" s="145">
        <f t="shared" si="35"/>
        <v>947.148</v>
      </c>
      <c r="P243" s="145">
        <f t="shared" si="36"/>
        <v>0</v>
      </c>
      <c r="Q243" s="159">
        <f>Valores!$C$14*D243</f>
        <v>2164.19</v>
      </c>
      <c r="R243" s="159">
        <f>IF(D243&lt;15,(Valores!$E$4*D243),Valores!$D$4)</f>
        <v>2228.03</v>
      </c>
      <c r="S243" s="145">
        <v>0</v>
      </c>
      <c r="T243" s="148">
        <f>IF($H$5="NO",IF(Valores!$C$46*D243&gt;Valores!$C$44,Valores!$C$44,Valores!$C$46*D243),IF(Valores!$C$46*D243&gt;Valores!$C$44,Valores!$C$44,Valores!$C$46*D243)/2)</f>
        <v>477.75</v>
      </c>
      <c r="U243" s="159">
        <f>Valores!$C$23*D243</f>
        <v>671.7199999999999</v>
      </c>
      <c r="V243" s="145">
        <f t="shared" si="44"/>
        <v>671.7199999999999</v>
      </c>
      <c r="W243" s="145">
        <v>0</v>
      </c>
      <c r="X243" s="145">
        <v>0</v>
      </c>
      <c r="Y243" s="165">
        <v>0</v>
      </c>
      <c r="Z243" s="145">
        <f>Y243*Valores!$C$2</f>
        <v>0</v>
      </c>
      <c r="AA243" s="145">
        <v>0</v>
      </c>
      <c r="AB243" s="148">
        <f>IF(Valores!$C$92*D243&gt;Valores!$C$91,Valores!$C$91,Valores!$C$92*D243)</f>
        <v>403.8461538461539</v>
      </c>
      <c r="AC243" s="150">
        <f>IF((Valores!$C$33)*D243&gt;Valores!$F$33,Valores!$F$33,(Valores!$C$33)*D243)</f>
        <v>56.026880000000006</v>
      </c>
      <c r="AD243" s="145">
        <f t="shared" si="38"/>
        <v>0</v>
      </c>
      <c r="AE243" s="145">
        <f>IF(Valores!$C$34*D243&gt;Valores!$F$34,Valores!$F$34,Valores!$C$34*D243)</f>
        <v>46.63859200000001</v>
      </c>
      <c r="AF243" s="149">
        <v>94</v>
      </c>
      <c r="AG243" s="145">
        <f>INT(((AF243*Valores!$C$2)*100)+0.5)/100</f>
        <v>877.93</v>
      </c>
      <c r="AH243" s="145">
        <f>IF($H$5="NO",IF(Valores!$D$59*'Escala Docente'!D243&gt;Valores!$F$59,Valores!$F$59,Valores!$D$59*'Escala Docente'!D243),IF(Valores!$D$59*'Escala Docente'!D243&gt;Valores!$F$59,Valores!$F$59,Valores!$D$59*'Escala Docente'!D243)/2)</f>
        <v>189.7168</v>
      </c>
      <c r="AI243" s="145">
        <f>IF($H$5="NO",IF(Valores!$D$61*D243&gt;Valores!$F$61,Valores!$F$61,Valores!$D$61*D243),IF(Valores!$D$61*D243&gt;Valores!$F$61,Valores!$F$61,Valores!$D$61*D243)/2)</f>
        <v>54.2094</v>
      </c>
      <c r="AJ243" s="151">
        <f t="shared" si="39"/>
        <v>13282.055825846153</v>
      </c>
      <c r="AK243" s="159">
        <f>IF(Valores!$C$37*D243&gt;Valores!$F$37,Valores!$F$37,Valores!$C$37*D243)</f>
        <v>488.53000000000003</v>
      </c>
      <c r="AL243" s="148">
        <f>IF(Valores!$C$11*D243&gt;Valores!$F$11,Valores!$F$11,Valores!$C$11*D243)</f>
        <v>0</v>
      </c>
      <c r="AM243" s="148">
        <f>IF(Valores!$C$87*D243&gt;Valores!$C$86,Valores!$C$86,Valores!$C$87*D243)</f>
        <v>796.2499999999999</v>
      </c>
      <c r="AN243" s="148"/>
      <c r="AO243" s="150">
        <f>IF(Valores!$C$58*D243&gt;Valores!$F$58,Valores!$F$58,Valores!$C$58*D243)</f>
        <v>79.485</v>
      </c>
      <c r="AP243" s="152">
        <f t="shared" si="37"/>
        <v>1284.78</v>
      </c>
      <c r="AQ243" s="154">
        <f>AJ243*-Valores!$C$68</f>
        <v>-1461.026140843077</v>
      </c>
      <c r="AR243" s="154">
        <f>AJ243*-Valores!$C$69</f>
        <v>0</v>
      </c>
      <c r="AS243" s="147">
        <f>AJ243*-Valores!$C$70</f>
        <v>-597.6925121630769</v>
      </c>
      <c r="AT243" s="147">
        <v>-159.43</v>
      </c>
      <c r="AU243" s="147">
        <f t="shared" si="40"/>
        <v>-53.83</v>
      </c>
      <c r="AV243" s="151">
        <f t="shared" si="41"/>
        <v>12294.85717284</v>
      </c>
      <c r="AW243" s="155"/>
      <c r="AX243" s="155">
        <f t="shared" si="42"/>
        <v>28</v>
      </c>
      <c r="AY243" s="140" t="s">
        <v>4</v>
      </c>
    </row>
    <row r="244" spans="1:51" s="117" customFormat="1" ht="11.25" customHeight="1">
      <c r="A244" s="139">
        <v>242</v>
      </c>
      <c r="B244" s="139"/>
      <c r="C244" s="140" t="s">
        <v>501</v>
      </c>
      <c r="D244" s="140">
        <v>8</v>
      </c>
      <c r="E244" s="140">
        <f t="shared" si="34"/>
        <v>33</v>
      </c>
      <c r="F244" s="141" t="str">
        <f>CONCATENATE("Hora Cátedra Enseñanza Media ",D244," hs")</f>
        <v>Hora Cátedra Enseñanza Media 8 hs</v>
      </c>
      <c r="G244" s="142">
        <f t="shared" si="43"/>
        <v>632</v>
      </c>
      <c r="H244" s="143">
        <f>INT((G244*Valores!$C$2*100)+0.49)/100</f>
        <v>5902.69</v>
      </c>
      <c r="I244" s="161">
        <v>0</v>
      </c>
      <c r="J244" s="145">
        <f>INT((I244*Valores!$C$2*100)+0.5)/100</f>
        <v>0</v>
      </c>
      <c r="K244" s="160">
        <v>0</v>
      </c>
      <c r="L244" s="145">
        <f>INT((K244*Valores!$C$2*100)+0.5)/100</f>
        <v>0</v>
      </c>
      <c r="M244" s="158">
        <v>0</v>
      </c>
      <c r="N244" s="145">
        <f>INT((M244*Valores!$C$2*100)+0.5)/100</f>
        <v>0</v>
      </c>
      <c r="O244" s="145">
        <f t="shared" si="35"/>
        <v>1082.4555</v>
      </c>
      <c r="P244" s="145">
        <f t="shared" si="36"/>
        <v>0</v>
      </c>
      <c r="Q244" s="159">
        <f>Valores!$C$14*D244</f>
        <v>2473.36</v>
      </c>
      <c r="R244" s="159">
        <f>IF(D244&lt;15,(Valores!$E$4*D244),Valores!$D$4)</f>
        <v>2546.32</v>
      </c>
      <c r="S244" s="145">
        <v>0</v>
      </c>
      <c r="T244" s="148">
        <f>IF($H$5="NO",IF(Valores!$C$46*D244&gt;Valores!$C$44,Valores!$C$44,Valores!$C$46*D244),IF(Valores!$C$46*D244&gt;Valores!$C$44,Valores!$C$44,Valores!$C$46*D244)/2)</f>
        <v>546</v>
      </c>
      <c r="U244" s="159">
        <f>Valores!$C$23*D244</f>
        <v>767.68</v>
      </c>
      <c r="V244" s="145">
        <f t="shared" si="44"/>
        <v>767.68</v>
      </c>
      <c r="W244" s="145">
        <v>0</v>
      </c>
      <c r="X244" s="145">
        <v>0</v>
      </c>
      <c r="Y244" s="165">
        <v>0</v>
      </c>
      <c r="Z244" s="145">
        <f>Y244*Valores!$C$2</f>
        <v>0</v>
      </c>
      <c r="AA244" s="145">
        <v>0</v>
      </c>
      <c r="AB244" s="148">
        <f>IF(Valores!$C$92*D244&gt;Valores!$C$91,Valores!$C$91,Valores!$C$92*D244)</f>
        <v>461.53846153846166</v>
      </c>
      <c r="AC244" s="150">
        <f>IF((Valores!$C$33)*D244&gt;Valores!$F$33,Valores!$F$33,(Valores!$C$33)*D244)</f>
        <v>64.03072</v>
      </c>
      <c r="AD244" s="145">
        <f t="shared" si="38"/>
        <v>0</v>
      </c>
      <c r="AE244" s="145">
        <f>IF(Valores!$C$34*D244&gt;Valores!$F$34,Valores!$F$34,Valores!$C$34*D244)</f>
        <v>53.30124800000001</v>
      </c>
      <c r="AF244" s="149">
        <v>0</v>
      </c>
      <c r="AG244" s="145">
        <f>INT(((AF244*Valores!$C$2)*100)+0.5)/100</f>
        <v>0</v>
      </c>
      <c r="AH244" s="145">
        <f>IF($H$5="NO",IF(Valores!$D$59*'Escala Docente'!D244&gt;Valores!$F$59,Valores!$F$59,Valores!$D$59*'Escala Docente'!D244),IF(Valores!$D$59*'Escala Docente'!D244&gt;Valores!$F$59,Valores!$F$59,Valores!$D$59*'Escala Docente'!D244)/2)</f>
        <v>216.8192</v>
      </c>
      <c r="AI244" s="145">
        <f>IF($H$5="NO",IF(Valores!$D$61*D244&gt;Valores!$F$61,Valores!$F$61,Valores!$D$61*D244),IF(Valores!$D$61*D244&gt;Valores!$F$61,Valores!$F$61,Valores!$D$61*D244)/2)</f>
        <v>61.9536</v>
      </c>
      <c r="AJ244" s="151">
        <f t="shared" si="39"/>
        <v>14176.148729538461</v>
      </c>
      <c r="AK244" s="159">
        <f>IF(Valores!$C$37*D244&gt;Valores!$F$37,Valores!$F$37,Valores!$C$37*D244)</f>
        <v>558.32</v>
      </c>
      <c r="AL244" s="148">
        <f>IF(Valores!$C$11*D244&gt;Valores!$F$11,Valores!$F$11,Valores!$C$11*D244)</f>
        <v>0</v>
      </c>
      <c r="AM244" s="148">
        <f>IF(Valores!$C$87*D244&gt;Valores!$C$86,Valores!$C$86,Valores!$C$87*D244)</f>
        <v>909.9999999999999</v>
      </c>
      <c r="AN244" s="148"/>
      <c r="AO244" s="150">
        <f>IF(Valores!$C$58*D244&gt;Valores!$F$58,Valores!$F$58,Valores!$C$58*D244)</f>
        <v>90.84</v>
      </c>
      <c r="AP244" s="152">
        <f t="shared" si="37"/>
        <v>1468.32</v>
      </c>
      <c r="AQ244" s="154">
        <f>AJ244*-Valores!$C$68</f>
        <v>-1559.3763602492309</v>
      </c>
      <c r="AR244" s="154">
        <f>AJ244*-Valores!$C$69</f>
        <v>0</v>
      </c>
      <c r="AS244" s="147">
        <f>AJ244*-Valores!$C$70</f>
        <v>-637.9266928292308</v>
      </c>
      <c r="AT244" s="147">
        <v>-159.43</v>
      </c>
      <c r="AU244" s="147">
        <f t="shared" si="40"/>
        <v>-53.83</v>
      </c>
      <c r="AV244" s="151">
        <f t="shared" si="41"/>
        <v>13233.905676459999</v>
      </c>
      <c r="AW244" s="155"/>
      <c r="AX244" s="155">
        <f t="shared" si="42"/>
        <v>32</v>
      </c>
      <c r="AY244" s="140" t="s">
        <v>4</v>
      </c>
    </row>
    <row r="245" spans="1:51" s="117" customFormat="1" ht="11.25" customHeight="1">
      <c r="A245" s="139">
        <v>243</v>
      </c>
      <c r="B245" s="139"/>
      <c r="C245" s="140" t="s">
        <v>501</v>
      </c>
      <c r="D245" s="140">
        <v>8</v>
      </c>
      <c r="E245" s="140">
        <f t="shared" si="34"/>
        <v>41</v>
      </c>
      <c r="F245" s="141" t="str">
        <f>CONCATENATE("Hora Cátedra Enseñanza Media ",D245," hs Esc Esp")</f>
        <v>Hora Cátedra Enseñanza Media 8 hs Esc Esp</v>
      </c>
      <c r="G245" s="142">
        <f t="shared" si="43"/>
        <v>632</v>
      </c>
      <c r="H245" s="143">
        <f>INT((G245*Valores!$C$2*100)+0.49)/100</f>
        <v>5902.69</v>
      </c>
      <c r="I245" s="161">
        <v>0</v>
      </c>
      <c r="J245" s="145">
        <f>INT((I245*Valores!$C$2*100)+0.5)/100</f>
        <v>0</v>
      </c>
      <c r="K245" s="160">
        <v>0</v>
      </c>
      <c r="L245" s="145">
        <f>INT((K245*Valores!$C$2*100)+0.5)/100</f>
        <v>0</v>
      </c>
      <c r="M245" s="158">
        <v>0</v>
      </c>
      <c r="N245" s="145">
        <f>INT((M245*Valores!$C$2*100)+0.5)/100</f>
        <v>0</v>
      </c>
      <c r="O245" s="145">
        <f t="shared" si="35"/>
        <v>1082.4555</v>
      </c>
      <c r="P245" s="145">
        <f t="shared" si="36"/>
        <v>0</v>
      </c>
      <c r="Q245" s="159">
        <f>Valores!$C$14*D245</f>
        <v>2473.36</v>
      </c>
      <c r="R245" s="159">
        <f>IF(D245&lt;15,(Valores!$E$4*D245),Valores!$D$4)</f>
        <v>2546.32</v>
      </c>
      <c r="S245" s="145">
        <v>0</v>
      </c>
      <c r="T245" s="148">
        <f>IF($H$5="NO",IF(Valores!$C$46*D245&gt;Valores!$C$44,Valores!$C$44,Valores!$C$46*D245),IF(Valores!$C$46*D245&gt;Valores!$C$44,Valores!$C$44,Valores!$C$46*D245)/2)</f>
        <v>546</v>
      </c>
      <c r="U245" s="159">
        <f>Valores!$C$23*D245</f>
        <v>767.68</v>
      </c>
      <c r="V245" s="145">
        <f t="shared" si="44"/>
        <v>767.68</v>
      </c>
      <c r="W245" s="145">
        <v>0</v>
      </c>
      <c r="X245" s="145">
        <v>0</v>
      </c>
      <c r="Y245" s="165">
        <v>0</v>
      </c>
      <c r="Z245" s="145">
        <f>Y245*Valores!$C$2</f>
        <v>0</v>
      </c>
      <c r="AA245" s="145">
        <v>0</v>
      </c>
      <c r="AB245" s="148">
        <f>IF(Valores!$C$92*D245&gt;Valores!$C$91,Valores!$C$91,Valores!$C$92*D245)</f>
        <v>461.53846153846166</v>
      </c>
      <c r="AC245" s="150">
        <f>IF((Valores!$C$33)*D245&gt;Valores!$F$33,Valores!$F$33,(Valores!$C$33)*D245)</f>
        <v>64.03072</v>
      </c>
      <c r="AD245" s="145">
        <f t="shared" si="38"/>
        <v>0</v>
      </c>
      <c r="AE245" s="145">
        <f>IF(Valores!$C$34*D245&gt;Valores!$F$34,Valores!$F$34,Valores!$C$34*D245)</f>
        <v>53.30124800000001</v>
      </c>
      <c r="AF245" s="149">
        <v>94</v>
      </c>
      <c r="AG245" s="145">
        <f>INT(((AF245*Valores!$C$2)*100)+0.5)/100</f>
        <v>877.93</v>
      </c>
      <c r="AH245" s="145">
        <f>IF($H$5="NO",IF(Valores!$D$59*'Escala Docente'!D245&gt;Valores!$F$59,Valores!$F$59,Valores!$D$59*'Escala Docente'!D245),IF(Valores!$D$59*'Escala Docente'!D245&gt;Valores!$F$59,Valores!$F$59,Valores!$D$59*'Escala Docente'!D245)/2)</f>
        <v>216.8192</v>
      </c>
      <c r="AI245" s="145">
        <f>IF($H$5="NO",IF(Valores!$D$61*D245&gt;Valores!$F$61,Valores!$F$61,Valores!$D$61*D245),IF(Valores!$D$61*D245&gt;Valores!$F$61,Valores!$F$61,Valores!$D$61*D245)/2)</f>
        <v>61.9536</v>
      </c>
      <c r="AJ245" s="151">
        <f t="shared" si="39"/>
        <v>15054.078729538462</v>
      </c>
      <c r="AK245" s="159">
        <f>IF(Valores!$C$37*D245&gt;Valores!$F$37,Valores!$F$37,Valores!$C$37*D245)</f>
        <v>558.32</v>
      </c>
      <c r="AL245" s="148">
        <f>IF(Valores!$C$11*D245&gt;Valores!$F$11,Valores!$F$11,Valores!$C$11*D245)</f>
        <v>0</v>
      </c>
      <c r="AM245" s="148">
        <f>IF(Valores!$C$87*D245&gt;Valores!$C$86,Valores!$C$86,Valores!$C$87*D245)</f>
        <v>909.9999999999999</v>
      </c>
      <c r="AN245" s="148"/>
      <c r="AO245" s="150">
        <f>IF(Valores!$C$58*D245&gt;Valores!$F$58,Valores!$F$58,Valores!$C$58*D245)</f>
        <v>90.84</v>
      </c>
      <c r="AP245" s="152">
        <f t="shared" si="37"/>
        <v>1468.32</v>
      </c>
      <c r="AQ245" s="154">
        <f>AJ245*-Valores!$C$68</f>
        <v>-1655.948660249231</v>
      </c>
      <c r="AR245" s="154">
        <f>AJ245*-Valores!$C$69</f>
        <v>0</v>
      </c>
      <c r="AS245" s="147">
        <f>AJ245*-Valores!$C$70</f>
        <v>-677.4335428292308</v>
      </c>
      <c r="AT245" s="147">
        <v>-159.43</v>
      </c>
      <c r="AU245" s="147">
        <f t="shared" si="40"/>
        <v>-53.83</v>
      </c>
      <c r="AV245" s="151">
        <f t="shared" si="41"/>
        <v>13975.75652646</v>
      </c>
      <c r="AW245" s="155"/>
      <c r="AX245" s="155">
        <f t="shared" si="42"/>
        <v>32</v>
      </c>
      <c r="AY245" s="140" t="s">
        <v>4</v>
      </c>
    </row>
    <row r="246" spans="1:51" s="117" customFormat="1" ht="11.25" customHeight="1">
      <c r="A246" s="139">
        <v>244</v>
      </c>
      <c r="B246" s="139"/>
      <c r="C246" s="140" t="s">
        <v>501</v>
      </c>
      <c r="D246" s="140">
        <v>9</v>
      </c>
      <c r="E246" s="140">
        <f t="shared" si="34"/>
        <v>33</v>
      </c>
      <c r="F246" s="141" t="str">
        <f>CONCATENATE("Hora Cátedra Enseñanza Media ",D246," hs")</f>
        <v>Hora Cátedra Enseñanza Media 9 hs</v>
      </c>
      <c r="G246" s="142">
        <f t="shared" si="43"/>
        <v>711</v>
      </c>
      <c r="H246" s="143">
        <f>INT((G246*Valores!$C$2*100)+0.49)/100</f>
        <v>6640.53</v>
      </c>
      <c r="I246" s="161">
        <v>0</v>
      </c>
      <c r="J246" s="145">
        <f>INT((I246*Valores!$C$2*100)+0.5)/100</f>
        <v>0</v>
      </c>
      <c r="K246" s="160">
        <v>0</v>
      </c>
      <c r="L246" s="145">
        <f>INT((K246*Valores!$C$2*100)+0.5)/100</f>
        <v>0</v>
      </c>
      <c r="M246" s="158">
        <v>0</v>
      </c>
      <c r="N246" s="145">
        <f>INT((M246*Valores!$C$2*100)+0.5)/100</f>
        <v>0</v>
      </c>
      <c r="O246" s="145">
        <f t="shared" si="35"/>
        <v>1217.763</v>
      </c>
      <c r="P246" s="145">
        <f t="shared" si="36"/>
        <v>0</v>
      </c>
      <c r="Q246" s="159">
        <f>Valores!$C$14*D246</f>
        <v>2782.53</v>
      </c>
      <c r="R246" s="159">
        <f>IF(D246&lt;15,(Valores!$E$4*D246),Valores!$D$4)</f>
        <v>2864.61</v>
      </c>
      <c r="S246" s="145">
        <v>0</v>
      </c>
      <c r="T246" s="148">
        <f>IF($H$5="NO",IF(Valores!$C$46*D246&gt;Valores!$C$44,Valores!$C$44,Valores!$C$46*D246),IF(Valores!$C$46*D246&gt;Valores!$C$44,Valores!$C$44,Valores!$C$46*D246)/2)</f>
        <v>614.25</v>
      </c>
      <c r="U246" s="159">
        <f>Valores!$C$23*D246</f>
        <v>863.64</v>
      </c>
      <c r="V246" s="145">
        <f t="shared" si="44"/>
        <v>863.64</v>
      </c>
      <c r="W246" s="145">
        <v>0</v>
      </c>
      <c r="X246" s="145">
        <v>0</v>
      </c>
      <c r="Y246" s="165">
        <v>0</v>
      </c>
      <c r="Z246" s="145">
        <f>Y246*Valores!$C$2</f>
        <v>0</v>
      </c>
      <c r="AA246" s="145">
        <v>0</v>
      </c>
      <c r="AB246" s="148">
        <f>IF(Valores!$C$92*D246&gt;Valores!$C$91,Valores!$C$91,Valores!$C$92*D246)</f>
        <v>519.2307692307694</v>
      </c>
      <c r="AC246" s="150">
        <f>IF((Valores!$C$33)*D246&gt;Valores!$F$33,Valores!$F$33,(Valores!$C$33)*D246)</f>
        <v>72.03456</v>
      </c>
      <c r="AD246" s="145">
        <f t="shared" si="38"/>
        <v>0</v>
      </c>
      <c r="AE246" s="145">
        <f>IF(Valores!$C$34*D246&gt;Valores!$F$34,Valores!$F$34,Valores!$C$34*D246)</f>
        <v>59.96390400000001</v>
      </c>
      <c r="AF246" s="149">
        <v>0</v>
      </c>
      <c r="AG246" s="145">
        <f>INT(((AF246*Valores!$C$2)*100)+0.5)/100</f>
        <v>0</v>
      </c>
      <c r="AH246" s="145">
        <f>IF($H$5="NO",IF(Valores!$D$59*'Escala Docente'!D246&gt;Valores!$F$59,Valores!$F$59,Valores!$D$59*'Escala Docente'!D246),IF(Valores!$D$59*'Escala Docente'!D246&gt;Valores!$F$59,Valores!$F$59,Valores!$D$59*'Escala Docente'!D246)/2)</f>
        <v>243.92159999999998</v>
      </c>
      <c r="AI246" s="145">
        <f>IF($H$5="NO",IF(Valores!$D$61*D246&gt;Valores!$F$61,Valores!$F$61,Valores!$D$61*D246),IF(Valores!$D$61*D246&gt;Valores!$F$61,Valores!$F$61,Valores!$D$61*D246)/2)</f>
        <v>69.6978</v>
      </c>
      <c r="AJ246" s="151">
        <f t="shared" si="39"/>
        <v>15948.17163323077</v>
      </c>
      <c r="AK246" s="159">
        <f>IF(Valores!$C$37*D246&gt;Valores!$F$37,Valores!$F$37,Valores!$C$37*D246)</f>
        <v>628.11</v>
      </c>
      <c r="AL246" s="148">
        <f>IF(Valores!$C$11*D246&gt;Valores!$F$11,Valores!$F$11,Valores!$C$11*D246)</f>
        <v>0</v>
      </c>
      <c r="AM246" s="148">
        <f>IF(Valores!$C$87*D246&gt;Valores!$C$86,Valores!$C$86,Valores!$C$87*D246)</f>
        <v>1023.7499999999999</v>
      </c>
      <c r="AN246" s="148"/>
      <c r="AO246" s="150">
        <f>IF(Valores!$C$58*D246&gt;Valores!$F$58,Valores!$F$58,Valores!$C$58*D246)</f>
        <v>102.19500000000001</v>
      </c>
      <c r="AP246" s="152">
        <f t="shared" si="37"/>
        <v>1651.86</v>
      </c>
      <c r="AQ246" s="154">
        <f>AJ246*-Valores!$C$68</f>
        <v>-1754.2988796553848</v>
      </c>
      <c r="AR246" s="154">
        <f>AJ246*-Valores!$C$69</f>
        <v>0</v>
      </c>
      <c r="AS246" s="147">
        <f>AJ246*-Valores!$C$70</f>
        <v>-717.6677234953846</v>
      </c>
      <c r="AT246" s="147">
        <v>-159.43</v>
      </c>
      <c r="AU246" s="147">
        <f t="shared" si="40"/>
        <v>-53.83</v>
      </c>
      <c r="AV246" s="151">
        <f t="shared" si="41"/>
        <v>14914.805030079999</v>
      </c>
      <c r="AW246" s="155"/>
      <c r="AX246" s="155">
        <f t="shared" si="42"/>
        <v>36</v>
      </c>
      <c r="AY246" s="140" t="s">
        <v>4</v>
      </c>
    </row>
    <row r="247" spans="1:51" s="117" customFormat="1" ht="11.25" customHeight="1">
      <c r="A247" s="157">
        <v>245</v>
      </c>
      <c r="B247" s="157" t="s">
        <v>143</v>
      </c>
      <c r="C247" s="140" t="s">
        <v>501</v>
      </c>
      <c r="D247" s="140">
        <v>9</v>
      </c>
      <c r="E247" s="140">
        <f t="shared" si="34"/>
        <v>41</v>
      </c>
      <c r="F247" s="141" t="str">
        <f>CONCATENATE("Hora Cátedra Enseñanza Media ",D247," hs Esc Esp")</f>
        <v>Hora Cátedra Enseñanza Media 9 hs Esc Esp</v>
      </c>
      <c r="G247" s="142">
        <f t="shared" si="43"/>
        <v>711</v>
      </c>
      <c r="H247" s="143">
        <f>INT((G247*Valores!$C$2*100)+0.49)/100</f>
        <v>6640.53</v>
      </c>
      <c r="I247" s="161">
        <v>0</v>
      </c>
      <c r="J247" s="145">
        <f>INT((I247*Valores!$C$2*100)+0.5)/100</f>
        <v>0</v>
      </c>
      <c r="K247" s="160">
        <v>0</v>
      </c>
      <c r="L247" s="145">
        <f>INT((K247*Valores!$C$2*100)+0.5)/100</f>
        <v>0</v>
      </c>
      <c r="M247" s="158">
        <v>0</v>
      </c>
      <c r="N247" s="145">
        <f>INT((M247*Valores!$C$2*100)+0.5)/100</f>
        <v>0</v>
      </c>
      <c r="O247" s="145">
        <f t="shared" si="35"/>
        <v>1217.763</v>
      </c>
      <c r="P247" s="145">
        <f t="shared" si="36"/>
        <v>0</v>
      </c>
      <c r="Q247" s="159">
        <f>Valores!$C$14*D247</f>
        <v>2782.53</v>
      </c>
      <c r="R247" s="159">
        <f>IF(D247&lt;15,(Valores!$E$4*D247),Valores!$D$4)</f>
        <v>2864.61</v>
      </c>
      <c r="S247" s="145">
        <v>0</v>
      </c>
      <c r="T247" s="148">
        <f>IF($H$5="NO",IF(Valores!$C$46*D247&gt;Valores!$C$44,Valores!$C$44,Valores!$C$46*D247),IF(Valores!$C$46*D247&gt;Valores!$C$44,Valores!$C$44,Valores!$C$46*D247)/2)</f>
        <v>614.25</v>
      </c>
      <c r="U247" s="159">
        <f>Valores!$C$23*D247</f>
        <v>863.64</v>
      </c>
      <c r="V247" s="145">
        <f t="shared" si="44"/>
        <v>863.64</v>
      </c>
      <c r="W247" s="145">
        <v>0</v>
      </c>
      <c r="X247" s="145">
        <v>0</v>
      </c>
      <c r="Y247" s="165">
        <v>0</v>
      </c>
      <c r="Z247" s="145">
        <f>Y247*Valores!$C$2</f>
        <v>0</v>
      </c>
      <c r="AA247" s="145">
        <v>0</v>
      </c>
      <c r="AB247" s="148">
        <f>IF(Valores!$C$92*D247&gt;Valores!$C$91,Valores!$C$91,Valores!$C$92*D247)</f>
        <v>519.2307692307694</v>
      </c>
      <c r="AC247" s="150">
        <f>IF((Valores!$C$33)*D247&gt;Valores!$F$33,Valores!$F$33,(Valores!$C$33)*D247)</f>
        <v>72.03456</v>
      </c>
      <c r="AD247" s="145">
        <f t="shared" si="38"/>
        <v>0</v>
      </c>
      <c r="AE247" s="145">
        <f>IF(Valores!$C$34*D247&gt;Valores!$F$34,Valores!$F$34,Valores!$C$34*D247)</f>
        <v>59.96390400000001</v>
      </c>
      <c r="AF247" s="149">
        <v>94</v>
      </c>
      <c r="AG247" s="145">
        <f>INT(((AF247*Valores!$C$2)*100)+0.5)/100</f>
        <v>877.93</v>
      </c>
      <c r="AH247" s="145">
        <f>IF($H$5="NO",IF(Valores!$D$59*'Escala Docente'!D247&gt;Valores!$F$59,Valores!$F$59,Valores!$D$59*'Escala Docente'!D247),IF(Valores!$D$59*'Escala Docente'!D247&gt;Valores!$F$59,Valores!$F$59,Valores!$D$59*'Escala Docente'!D247)/2)</f>
        <v>243.92159999999998</v>
      </c>
      <c r="AI247" s="145">
        <f>IF($H$5="NO",IF(Valores!$D$61*D247&gt;Valores!$F$61,Valores!$F$61,Valores!$D$61*D247),IF(Valores!$D$61*D247&gt;Valores!$F$61,Valores!$F$61,Valores!$D$61*D247)/2)</f>
        <v>69.6978</v>
      </c>
      <c r="AJ247" s="151">
        <f t="shared" si="39"/>
        <v>16826.10163323077</v>
      </c>
      <c r="AK247" s="159">
        <f>IF(Valores!$C$37*D247&gt;Valores!$F$37,Valores!$F$37,Valores!$C$37*D247)</f>
        <v>628.11</v>
      </c>
      <c r="AL247" s="148">
        <f>IF(Valores!$C$11*D247&gt;Valores!$F$11,Valores!$F$11,Valores!$C$11*D247)</f>
        <v>0</v>
      </c>
      <c r="AM247" s="148">
        <f>IF(Valores!$C$87*D247&gt;Valores!$C$86,Valores!$C$86,Valores!$C$87*D247)</f>
        <v>1023.7499999999999</v>
      </c>
      <c r="AN247" s="148"/>
      <c r="AO247" s="150">
        <f>IF(Valores!$C$58*D247&gt;Valores!$F$58,Valores!$F$58,Valores!$C$58*D247)</f>
        <v>102.19500000000001</v>
      </c>
      <c r="AP247" s="152">
        <f t="shared" si="37"/>
        <v>1651.86</v>
      </c>
      <c r="AQ247" s="154">
        <f>AJ247*-Valores!$C$68</f>
        <v>-1850.8711796553846</v>
      </c>
      <c r="AR247" s="154">
        <f>AJ247*-Valores!$C$69</f>
        <v>0</v>
      </c>
      <c r="AS247" s="147">
        <f>AJ247*-Valores!$C$70</f>
        <v>-757.1745734953846</v>
      </c>
      <c r="AT247" s="147">
        <v>-159.43</v>
      </c>
      <c r="AU247" s="147">
        <f t="shared" si="40"/>
        <v>-53.83</v>
      </c>
      <c r="AV247" s="151">
        <f t="shared" si="41"/>
        <v>15656.655880080001</v>
      </c>
      <c r="AW247" s="155"/>
      <c r="AX247" s="155">
        <f t="shared" si="42"/>
        <v>36</v>
      </c>
      <c r="AY247" s="140" t="s">
        <v>4</v>
      </c>
    </row>
    <row r="248" spans="1:51" s="117" customFormat="1" ht="11.25" customHeight="1">
      <c r="A248" s="139">
        <v>246</v>
      </c>
      <c r="B248" s="139"/>
      <c r="C248" s="140" t="s">
        <v>501</v>
      </c>
      <c r="D248" s="140">
        <v>10</v>
      </c>
      <c r="E248" s="140">
        <f t="shared" si="34"/>
        <v>34</v>
      </c>
      <c r="F248" s="141" t="str">
        <f>CONCATENATE("Hora Cátedra Enseñanza Media ",D248," hs")</f>
        <v>Hora Cátedra Enseñanza Media 10 hs</v>
      </c>
      <c r="G248" s="142">
        <f t="shared" si="43"/>
        <v>790</v>
      </c>
      <c r="H248" s="143">
        <f>INT((G248*Valores!$C$2*100)+0.49)/100</f>
        <v>7378.36</v>
      </c>
      <c r="I248" s="161">
        <v>0</v>
      </c>
      <c r="J248" s="145">
        <f>INT((I248*Valores!$C$2*100)+0.5)/100</f>
        <v>0</v>
      </c>
      <c r="K248" s="160">
        <v>0</v>
      </c>
      <c r="L248" s="145">
        <f>INT((K248*Valores!$C$2*100)+0.5)/100</f>
        <v>0</v>
      </c>
      <c r="M248" s="158">
        <v>0</v>
      </c>
      <c r="N248" s="145">
        <f>INT((M248*Valores!$C$2*100)+0.5)/100</f>
        <v>0</v>
      </c>
      <c r="O248" s="145">
        <f t="shared" si="35"/>
        <v>1353.0689999999997</v>
      </c>
      <c r="P248" s="145">
        <f t="shared" si="36"/>
        <v>0</v>
      </c>
      <c r="Q248" s="159">
        <f>Valores!$C$14*D248</f>
        <v>3091.7000000000003</v>
      </c>
      <c r="R248" s="159">
        <f>IF(D248&lt;15,(Valores!$E$4*D248),Valores!$D$4)</f>
        <v>3182.9</v>
      </c>
      <c r="S248" s="145">
        <v>0</v>
      </c>
      <c r="T248" s="148">
        <f>IF($H$5="NO",IF(Valores!$C$46*D248&gt;Valores!$C$44,Valores!$C$44,Valores!$C$46*D248),IF(Valores!$C$46*D248&gt;Valores!$C$44,Valores!$C$44,Valores!$C$46*D248)/2)</f>
        <v>682.5</v>
      </c>
      <c r="U248" s="159">
        <f>Valores!$C$23*D248</f>
        <v>959.5999999999999</v>
      </c>
      <c r="V248" s="145">
        <f t="shared" si="44"/>
        <v>959.5999999999999</v>
      </c>
      <c r="W248" s="145">
        <v>0</v>
      </c>
      <c r="X248" s="145">
        <v>0</v>
      </c>
      <c r="Y248" s="165">
        <v>0</v>
      </c>
      <c r="Z248" s="145">
        <f>Y248*Valores!$C$2</f>
        <v>0</v>
      </c>
      <c r="AA248" s="145">
        <v>0</v>
      </c>
      <c r="AB248" s="148">
        <f>IF(Valores!$C$92*D248&gt;Valores!$C$91,Valores!$C$91,Valores!$C$92*D248)</f>
        <v>576.9230769230771</v>
      </c>
      <c r="AC248" s="150">
        <f>IF((Valores!$C$33)*D248&gt;Valores!$F$33,Valores!$F$33,(Valores!$C$33)*D248)</f>
        <v>80.0384</v>
      </c>
      <c r="AD248" s="145">
        <f t="shared" si="38"/>
        <v>0</v>
      </c>
      <c r="AE248" s="145">
        <f>IF(Valores!$C$34*D248&gt;Valores!$F$34,Valores!$F$34,Valores!$C$34*D248)</f>
        <v>66.62656000000001</v>
      </c>
      <c r="AF248" s="149">
        <v>0</v>
      </c>
      <c r="AG248" s="145">
        <f>INT(((AF248*Valores!$C$2)*100)+0.5)/100</f>
        <v>0</v>
      </c>
      <c r="AH248" s="145">
        <f>IF($H$5="NO",IF(Valores!$D$59*'Escala Docente'!D248&gt;Valores!$F$59,Valores!$F$59,Valores!$D$59*'Escala Docente'!D248),IF(Valores!$D$59*'Escala Docente'!D248&gt;Valores!$F$59,Valores!$F$59,Valores!$D$59*'Escala Docente'!D248)/2)</f>
        <v>271.024</v>
      </c>
      <c r="AI248" s="145">
        <f>IF($H$5="NO",IF(Valores!$D$61*D248&gt;Valores!$F$61,Valores!$F$61,Valores!$D$61*D248),IF(Valores!$D$61*D248&gt;Valores!$F$61,Valores!$F$61,Valores!$D$61*D248)/2)</f>
        <v>77.44200000000001</v>
      </c>
      <c r="AJ248" s="151">
        <f t="shared" si="39"/>
        <v>17720.18303692308</v>
      </c>
      <c r="AK248" s="159">
        <f>IF(Valores!$C$37*D248&gt;Valores!$F$37,Valores!$F$37,Valores!$C$37*D248)</f>
        <v>697.9000000000001</v>
      </c>
      <c r="AL248" s="148">
        <f>IF(Valores!$C$11*D248&gt;Valores!$F$11,Valores!$F$11,Valores!$C$11*D248)</f>
        <v>0</v>
      </c>
      <c r="AM248" s="148">
        <f>IF(Valores!$C$87*D248&gt;Valores!$C$86,Valores!$C$86,Valores!$C$87*D248)</f>
        <v>1137.4999999999998</v>
      </c>
      <c r="AN248" s="148"/>
      <c r="AO248" s="150">
        <f>IF(Valores!$C$58*D248&gt;Valores!$F$58,Valores!$F$58,Valores!$C$58*D248)</f>
        <v>113.55000000000001</v>
      </c>
      <c r="AP248" s="152">
        <f t="shared" si="37"/>
        <v>1835.3999999999999</v>
      </c>
      <c r="AQ248" s="154">
        <f>AJ248*-Valores!$C$68</f>
        <v>-1949.2201340615388</v>
      </c>
      <c r="AR248" s="154">
        <f>AJ248*-Valores!$C$69</f>
        <v>0</v>
      </c>
      <c r="AS248" s="147">
        <f>AJ248*-Valores!$C$70</f>
        <v>-797.4082366615386</v>
      </c>
      <c r="AT248" s="147">
        <v>-159.43</v>
      </c>
      <c r="AU248" s="147">
        <f t="shared" si="40"/>
        <v>-53.83</v>
      </c>
      <c r="AV248" s="151">
        <f t="shared" si="41"/>
        <v>16595.6946662</v>
      </c>
      <c r="AW248" s="155"/>
      <c r="AX248" s="155">
        <f t="shared" si="42"/>
        <v>40</v>
      </c>
      <c r="AY248" s="140" t="s">
        <v>4</v>
      </c>
    </row>
    <row r="249" spans="1:51" s="117" customFormat="1" ht="11.25" customHeight="1">
      <c r="A249" s="139">
        <v>247</v>
      </c>
      <c r="B249" s="139"/>
      <c r="C249" s="140" t="s">
        <v>501</v>
      </c>
      <c r="D249" s="140">
        <v>10</v>
      </c>
      <c r="E249" s="140">
        <f t="shared" si="34"/>
        <v>42</v>
      </c>
      <c r="F249" s="141" t="str">
        <f>CONCATENATE("Hora Cátedra Enseñanza Media ",D249," hs Esc Esp")</f>
        <v>Hora Cátedra Enseñanza Media 10 hs Esc Esp</v>
      </c>
      <c r="G249" s="142">
        <f t="shared" si="43"/>
        <v>790</v>
      </c>
      <c r="H249" s="143">
        <f>INT((G249*Valores!$C$2*100)+0.49)/100</f>
        <v>7378.36</v>
      </c>
      <c r="I249" s="161">
        <v>0</v>
      </c>
      <c r="J249" s="145">
        <f>INT((I249*Valores!$C$2*100)+0.5)/100</f>
        <v>0</v>
      </c>
      <c r="K249" s="160">
        <v>0</v>
      </c>
      <c r="L249" s="145">
        <f>INT((K249*Valores!$C$2*100)+0.5)/100</f>
        <v>0</v>
      </c>
      <c r="M249" s="158">
        <v>0</v>
      </c>
      <c r="N249" s="145">
        <f>INT((M249*Valores!$C$2*100)+0.5)/100</f>
        <v>0</v>
      </c>
      <c r="O249" s="145">
        <f t="shared" si="35"/>
        <v>1353.0689999999997</v>
      </c>
      <c r="P249" s="145">
        <f t="shared" si="36"/>
        <v>0</v>
      </c>
      <c r="Q249" s="159">
        <f>Valores!$C$14*D249</f>
        <v>3091.7000000000003</v>
      </c>
      <c r="R249" s="159">
        <f>IF(D249&lt;15,(Valores!$E$4*D249),Valores!$D$4)</f>
        <v>3182.9</v>
      </c>
      <c r="S249" s="145">
        <v>0</v>
      </c>
      <c r="T249" s="148">
        <f>IF($H$5="NO",IF(Valores!$C$46*D249&gt;Valores!$C$44,Valores!$C$44,Valores!$C$46*D249),IF(Valores!$C$46*D249&gt;Valores!$C$44,Valores!$C$44,Valores!$C$46*D249)/2)</f>
        <v>682.5</v>
      </c>
      <c r="U249" s="159">
        <f>Valores!$C$23*D249</f>
        <v>959.5999999999999</v>
      </c>
      <c r="V249" s="145">
        <f t="shared" si="44"/>
        <v>959.5999999999999</v>
      </c>
      <c r="W249" s="145">
        <v>0</v>
      </c>
      <c r="X249" s="145">
        <v>0</v>
      </c>
      <c r="Y249" s="165">
        <v>0</v>
      </c>
      <c r="Z249" s="145">
        <f>Y249*Valores!$C$2</f>
        <v>0</v>
      </c>
      <c r="AA249" s="145">
        <v>0</v>
      </c>
      <c r="AB249" s="148">
        <f>IF(Valores!$C$92*D249&gt;Valores!$C$91,Valores!$C$91,Valores!$C$92*D249)</f>
        <v>576.9230769230771</v>
      </c>
      <c r="AC249" s="150">
        <f>IF((Valores!$C$33)*D249&gt;Valores!$F$33,Valores!$F$33,(Valores!$C$33)*D249)</f>
        <v>80.0384</v>
      </c>
      <c r="AD249" s="145">
        <f t="shared" si="38"/>
        <v>0</v>
      </c>
      <c r="AE249" s="145">
        <f>IF(Valores!$C$34*D249&gt;Valores!$F$34,Valores!$F$34,Valores!$C$34*D249)</f>
        <v>66.62656000000001</v>
      </c>
      <c r="AF249" s="149">
        <v>94</v>
      </c>
      <c r="AG249" s="145">
        <f>INT(((AF249*Valores!$C$2)*100)+0.5)/100</f>
        <v>877.93</v>
      </c>
      <c r="AH249" s="145">
        <f>IF($H$5="NO",IF(Valores!$D$59*'Escala Docente'!D249&gt;Valores!$F$59,Valores!$F$59,Valores!$D$59*'Escala Docente'!D249),IF(Valores!$D$59*'Escala Docente'!D249&gt;Valores!$F$59,Valores!$F$59,Valores!$D$59*'Escala Docente'!D249)/2)</f>
        <v>271.024</v>
      </c>
      <c r="AI249" s="145">
        <f>IF($H$5="NO",IF(Valores!$D$61*D249&gt;Valores!$F$61,Valores!$F$61,Valores!$D$61*D249),IF(Valores!$D$61*D249&gt;Valores!$F$61,Valores!$F$61,Valores!$D$61*D249)/2)</f>
        <v>77.44200000000001</v>
      </c>
      <c r="AJ249" s="151">
        <f t="shared" si="39"/>
        <v>18598.113036923078</v>
      </c>
      <c r="AK249" s="159">
        <f>IF(Valores!$C$37*D249&gt;Valores!$F$37,Valores!$F$37,Valores!$C$37*D249)</f>
        <v>697.9000000000001</v>
      </c>
      <c r="AL249" s="148">
        <f>IF(Valores!$C$11*D249&gt;Valores!$F$11,Valores!$F$11,Valores!$C$11*D249)</f>
        <v>0</v>
      </c>
      <c r="AM249" s="148">
        <f>IF(Valores!$C$87*D249&gt;Valores!$C$86,Valores!$C$86,Valores!$C$87*D249)</f>
        <v>1137.4999999999998</v>
      </c>
      <c r="AN249" s="148"/>
      <c r="AO249" s="150">
        <f>IF(Valores!$C$58*D249&gt;Valores!$F$58,Valores!$F$58,Valores!$C$58*D249)</f>
        <v>113.55000000000001</v>
      </c>
      <c r="AP249" s="152">
        <f t="shared" si="37"/>
        <v>1835.3999999999999</v>
      </c>
      <c r="AQ249" s="154">
        <f>AJ249*-Valores!$C$68</f>
        <v>-2045.7924340615386</v>
      </c>
      <c r="AR249" s="154">
        <f>AJ249*-Valores!$C$69</f>
        <v>0</v>
      </c>
      <c r="AS249" s="147">
        <f>AJ249*-Valores!$C$70</f>
        <v>-836.9150866615385</v>
      </c>
      <c r="AT249" s="147">
        <v>-159.43</v>
      </c>
      <c r="AU249" s="147">
        <f t="shared" si="40"/>
        <v>-53.83</v>
      </c>
      <c r="AV249" s="151">
        <f t="shared" si="41"/>
        <v>17337.5455162</v>
      </c>
      <c r="AW249" s="155"/>
      <c r="AX249" s="155">
        <f t="shared" si="42"/>
        <v>40</v>
      </c>
      <c r="AY249" s="140" t="s">
        <v>4</v>
      </c>
    </row>
    <row r="250" spans="1:51" s="117" customFormat="1" ht="11.25" customHeight="1">
      <c r="A250" s="139">
        <v>248</v>
      </c>
      <c r="B250" s="139"/>
      <c r="C250" s="140" t="s">
        <v>501</v>
      </c>
      <c r="D250" s="140">
        <v>11</v>
      </c>
      <c r="E250" s="140">
        <f t="shared" si="34"/>
        <v>34</v>
      </c>
      <c r="F250" s="141" t="str">
        <f>CONCATENATE("Hora Cátedra Enseñanza Media ",D250," hs")</f>
        <v>Hora Cátedra Enseñanza Media 11 hs</v>
      </c>
      <c r="G250" s="142">
        <f t="shared" si="43"/>
        <v>869</v>
      </c>
      <c r="H250" s="143">
        <f>INT((G250*Valores!$C$2*100)+0.49)/100</f>
        <v>8116.2</v>
      </c>
      <c r="I250" s="161">
        <v>0</v>
      </c>
      <c r="J250" s="145">
        <f>INT((I250*Valores!$C$2*100)+0.5)/100</f>
        <v>0</v>
      </c>
      <c r="K250" s="160">
        <v>0</v>
      </c>
      <c r="L250" s="145">
        <f>INT((K250*Valores!$C$2*100)+0.5)/100</f>
        <v>0</v>
      </c>
      <c r="M250" s="158">
        <v>0</v>
      </c>
      <c r="N250" s="145">
        <f>INT((M250*Valores!$C$2*100)+0.5)/100</f>
        <v>0</v>
      </c>
      <c r="O250" s="145">
        <f t="shared" si="35"/>
        <v>1488.3765</v>
      </c>
      <c r="P250" s="145">
        <f t="shared" si="36"/>
        <v>0</v>
      </c>
      <c r="Q250" s="159">
        <f>Valores!$C$14*D250</f>
        <v>3400.8700000000003</v>
      </c>
      <c r="R250" s="159">
        <f>IF(D250&lt;15,(Valores!$E$4*D250),Valores!$D$4)</f>
        <v>3501.19</v>
      </c>
      <c r="S250" s="145">
        <v>0</v>
      </c>
      <c r="T250" s="148">
        <f>IF($H$5="NO",IF(Valores!$C$46*D250&gt;Valores!$C$44,Valores!$C$44,Valores!$C$46*D250),IF(Valores!$C$46*D250&gt;Valores!$C$44,Valores!$C$44,Valores!$C$46*D250)/2)</f>
        <v>750.75</v>
      </c>
      <c r="U250" s="159">
        <f>Valores!$C$23*D250</f>
        <v>1055.56</v>
      </c>
      <c r="V250" s="145">
        <f t="shared" si="44"/>
        <v>1055.56</v>
      </c>
      <c r="W250" s="145">
        <v>0</v>
      </c>
      <c r="X250" s="145">
        <v>0</v>
      </c>
      <c r="Y250" s="165">
        <v>0</v>
      </c>
      <c r="Z250" s="145">
        <f>Y250*Valores!$C$2</f>
        <v>0</v>
      </c>
      <c r="AA250" s="145">
        <v>0</v>
      </c>
      <c r="AB250" s="148">
        <f>IF(Valores!$C$92*D250&gt;Valores!$C$91,Valores!$C$91,Valores!$C$92*D250)</f>
        <v>634.6153846153848</v>
      </c>
      <c r="AC250" s="150">
        <f>IF((Valores!$C$33)*D250&gt;Valores!$F$33,Valores!$F$33,(Valores!$C$33)*D250)</f>
        <v>88.04224</v>
      </c>
      <c r="AD250" s="145">
        <f t="shared" si="38"/>
        <v>0</v>
      </c>
      <c r="AE250" s="145">
        <f>IF(Valores!$C$34*D250&gt;Valores!$F$34,Valores!$F$34,Valores!$C$34*D250)</f>
        <v>73.28921600000001</v>
      </c>
      <c r="AF250" s="149">
        <v>0</v>
      </c>
      <c r="AG250" s="145">
        <f>INT(((AF250*Valores!$C$2)*100)+0.5)/100</f>
        <v>0</v>
      </c>
      <c r="AH250" s="145">
        <f>IF($H$5="NO",IF(Valores!$D$59*'Escala Docente'!D250&gt;Valores!$F$59,Valores!$F$59,Valores!$D$59*'Escala Docente'!D250),IF(Valores!$D$59*'Escala Docente'!D250&gt;Valores!$F$59,Valores!$F$59,Valores!$D$59*'Escala Docente'!D250)/2)</f>
        <v>298.1264</v>
      </c>
      <c r="AI250" s="145">
        <f>IF($H$5="NO",IF(Valores!$D$61*D250&gt;Valores!$F$61,Valores!$F$61,Valores!$D$61*D250),IF(Valores!$D$61*D250&gt;Valores!$F$61,Valores!$F$61,Valores!$D$61*D250)/2)</f>
        <v>85.1862</v>
      </c>
      <c r="AJ250" s="151">
        <f t="shared" si="39"/>
        <v>19492.205940615386</v>
      </c>
      <c r="AK250" s="159">
        <f>IF(Valores!$C$37*D250&gt;Valores!$F$37,Valores!$F$37,Valores!$C$37*D250)</f>
        <v>767.69</v>
      </c>
      <c r="AL250" s="148">
        <f>IF(Valores!$C$11*D250&gt;Valores!$F$11,Valores!$F$11,Valores!$C$11*D250)</f>
        <v>0</v>
      </c>
      <c r="AM250" s="148">
        <f>IF(Valores!$C$87*D250&gt;Valores!$C$86,Valores!$C$86,Valores!$C$87*D250)</f>
        <v>1251.2499999999998</v>
      </c>
      <c r="AN250" s="148"/>
      <c r="AO250" s="150">
        <f>IF(Valores!$C$58*D250&gt;Valores!$F$58,Valores!$F$58,Valores!$C$58*D250)</f>
        <v>124.905</v>
      </c>
      <c r="AP250" s="152">
        <f t="shared" si="37"/>
        <v>2018.9399999999998</v>
      </c>
      <c r="AQ250" s="154">
        <f>AJ250*-Valores!$C$68</f>
        <v>-2144.1426534676925</v>
      </c>
      <c r="AR250" s="154">
        <f>AJ250*-Valores!$C$69</f>
        <v>0</v>
      </c>
      <c r="AS250" s="147">
        <f>AJ250*-Valores!$C$70</f>
        <v>-877.1492673276923</v>
      </c>
      <c r="AT250" s="147">
        <v>-159.43</v>
      </c>
      <c r="AU250" s="147">
        <f t="shared" si="40"/>
        <v>-53.83</v>
      </c>
      <c r="AV250" s="151">
        <f t="shared" si="41"/>
        <v>18276.594019819997</v>
      </c>
      <c r="AW250" s="155"/>
      <c r="AX250" s="155">
        <f t="shared" si="42"/>
        <v>44</v>
      </c>
      <c r="AY250" s="140" t="s">
        <v>4</v>
      </c>
    </row>
    <row r="251" spans="1:51" s="117" customFormat="1" ht="11.25" customHeight="1">
      <c r="A251" s="139">
        <v>249</v>
      </c>
      <c r="B251" s="139"/>
      <c r="C251" s="140" t="s">
        <v>501</v>
      </c>
      <c r="D251" s="140">
        <v>11</v>
      </c>
      <c r="E251" s="140">
        <f t="shared" si="34"/>
        <v>42</v>
      </c>
      <c r="F251" s="141" t="str">
        <f>CONCATENATE("Hora Cátedra Enseñanza Media ",D251," hs Esc Esp")</f>
        <v>Hora Cátedra Enseñanza Media 11 hs Esc Esp</v>
      </c>
      <c r="G251" s="142">
        <f t="shared" si="43"/>
        <v>869</v>
      </c>
      <c r="H251" s="143">
        <f>INT((G251*Valores!$C$2*100)+0.49)/100</f>
        <v>8116.2</v>
      </c>
      <c r="I251" s="161">
        <v>0</v>
      </c>
      <c r="J251" s="145">
        <f>INT((I251*Valores!$C$2*100)+0.5)/100</f>
        <v>0</v>
      </c>
      <c r="K251" s="160">
        <v>0</v>
      </c>
      <c r="L251" s="145">
        <f>INT((K251*Valores!$C$2*100)+0.5)/100</f>
        <v>0</v>
      </c>
      <c r="M251" s="158">
        <v>0</v>
      </c>
      <c r="N251" s="145">
        <f>INT((M251*Valores!$C$2*100)+0.5)/100</f>
        <v>0</v>
      </c>
      <c r="O251" s="145">
        <f t="shared" si="35"/>
        <v>1488.3765</v>
      </c>
      <c r="P251" s="145">
        <f t="shared" si="36"/>
        <v>0</v>
      </c>
      <c r="Q251" s="159">
        <f>Valores!$C$14*D251</f>
        <v>3400.8700000000003</v>
      </c>
      <c r="R251" s="159">
        <f>IF(D251&lt;15,(Valores!$E$4*D251),Valores!$D$4)</f>
        <v>3501.19</v>
      </c>
      <c r="S251" s="145">
        <v>0</v>
      </c>
      <c r="T251" s="148">
        <f>IF($H$5="NO",IF(Valores!$C$46*D251&gt;Valores!$C$44,Valores!$C$44,Valores!$C$46*D251),IF(Valores!$C$46*D251&gt;Valores!$C$44,Valores!$C$44,Valores!$C$46*D251)/2)</f>
        <v>750.75</v>
      </c>
      <c r="U251" s="159">
        <f>Valores!$C$23*D251</f>
        <v>1055.56</v>
      </c>
      <c r="V251" s="145">
        <f t="shared" si="44"/>
        <v>1055.56</v>
      </c>
      <c r="W251" s="145">
        <v>0</v>
      </c>
      <c r="X251" s="145">
        <v>0</v>
      </c>
      <c r="Y251" s="165">
        <v>0</v>
      </c>
      <c r="Z251" s="145">
        <f>Y251*Valores!$C$2</f>
        <v>0</v>
      </c>
      <c r="AA251" s="145">
        <v>0</v>
      </c>
      <c r="AB251" s="148">
        <f>IF(Valores!$C$92*D251&gt;Valores!$C$91,Valores!$C$91,Valores!$C$92*D251)</f>
        <v>634.6153846153848</v>
      </c>
      <c r="AC251" s="150">
        <f>IF((Valores!$C$33)*D251&gt;Valores!$F$33,Valores!$F$33,(Valores!$C$33)*D251)</f>
        <v>88.04224</v>
      </c>
      <c r="AD251" s="145">
        <f t="shared" si="38"/>
        <v>0</v>
      </c>
      <c r="AE251" s="145">
        <f>IF(Valores!$C$34*D251&gt;Valores!$F$34,Valores!$F$34,Valores!$C$34*D251)</f>
        <v>73.28921600000001</v>
      </c>
      <c r="AF251" s="149">
        <v>94</v>
      </c>
      <c r="AG251" s="145">
        <f>INT(((AF251*Valores!$C$2)*100)+0.5)/100</f>
        <v>877.93</v>
      </c>
      <c r="AH251" s="145">
        <f>IF($H$5="NO",IF(Valores!$D$59*'Escala Docente'!D251&gt;Valores!$F$59,Valores!$F$59,Valores!$D$59*'Escala Docente'!D251),IF(Valores!$D$59*'Escala Docente'!D251&gt;Valores!$F$59,Valores!$F$59,Valores!$D$59*'Escala Docente'!D251)/2)</f>
        <v>298.1264</v>
      </c>
      <c r="AI251" s="145">
        <f>IF($H$5="NO",IF(Valores!$D$61*D251&gt;Valores!$F$61,Valores!$F$61,Valores!$D$61*D251),IF(Valores!$D$61*D251&gt;Valores!$F$61,Valores!$F$61,Valores!$D$61*D251)/2)</f>
        <v>85.1862</v>
      </c>
      <c r="AJ251" s="151">
        <f t="shared" si="39"/>
        <v>20370.135940615386</v>
      </c>
      <c r="AK251" s="159">
        <f>IF(Valores!$C$37*D251&gt;Valores!$F$37,Valores!$F$37,Valores!$C$37*D251)</f>
        <v>767.69</v>
      </c>
      <c r="AL251" s="148">
        <f>IF(Valores!$C$11*D251&gt;Valores!$F$11,Valores!$F$11,Valores!$C$11*D251)</f>
        <v>0</v>
      </c>
      <c r="AM251" s="148">
        <f>IF(Valores!$C$87*D251&gt;Valores!$C$86,Valores!$C$86,Valores!$C$87*D251)</f>
        <v>1251.2499999999998</v>
      </c>
      <c r="AN251" s="148"/>
      <c r="AO251" s="150">
        <f>IF(Valores!$C$58*D251&gt;Valores!$F$58,Valores!$F$58,Valores!$C$58*D251)</f>
        <v>124.905</v>
      </c>
      <c r="AP251" s="152">
        <f t="shared" si="37"/>
        <v>2018.9399999999998</v>
      </c>
      <c r="AQ251" s="154">
        <f>AJ251*-Valores!$C$68</f>
        <v>-2240.7149534676923</v>
      </c>
      <c r="AR251" s="154">
        <f>AJ251*-Valores!$C$69</f>
        <v>0</v>
      </c>
      <c r="AS251" s="147">
        <f>AJ251*-Valores!$C$70</f>
        <v>-916.6561173276923</v>
      </c>
      <c r="AT251" s="147">
        <v>-159.43</v>
      </c>
      <c r="AU251" s="147">
        <f t="shared" si="40"/>
        <v>-53.83</v>
      </c>
      <c r="AV251" s="151">
        <f t="shared" si="41"/>
        <v>19018.444869819996</v>
      </c>
      <c r="AW251" s="155"/>
      <c r="AX251" s="155">
        <f t="shared" si="42"/>
        <v>44</v>
      </c>
      <c r="AY251" s="140" t="s">
        <v>4</v>
      </c>
    </row>
    <row r="252" spans="1:51" s="117" customFormat="1" ht="11.25" customHeight="1">
      <c r="A252" s="157">
        <v>250</v>
      </c>
      <c r="B252" s="157" t="s">
        <v>143</v>
      </c>
      <c r="C252" s="140" t="s">
        <v>501</v>
      </c>
      <c r="D252" s="140">
        <v>12</v>
      </c>
      <c r="E252" s="140">
        <f t="shared" si="34"/>
        <v>34</v>
      </c>
      <c r="F252" s="141" t="str">
        <f>CONCATENATE("Hora Cátedra Enseñanza Media ",D252," hs")</f>
        <v>Hora Cátedra Enseñanza Media 12 hs</v>
      </c>
      <c r="G252" s="142">
        <f t="shared" si="43"/>
        <v>948</v>
      </c>
      <c r="H252" s="143">
        <f>INT((G252*Valores!$C$2*100)+0.49)/100</f>
        <v>8854.04</v>
      </c>
      <c r="I252" s="161">
        <v>0</v>
      </c>
      <c r="J252" s="145">
        <f>INT((I252*Valores!$C$2*100)+0.5)/100</f>
        <v>0</v>
      </c>
      <c r="K252" s="160">
        <v>0</v>
      </c>
      <c r="L252" s="145">
        <f>INT((K252*Valores!$C$2*100)+0.5)/100</f>
        <v>0</v>
      </c>
      <c r="M252" s="158">
        <v>0</v>
      </c>
      <c r="N252" s="145">
        <f>INT((M252*Valores!$C$2*100)+0.5)/100</f>
        <v>0</v>
      </c>
      <c r="O252" s="145">
        <f t="shared" si="35"/>
        <v>1623.6840000000002</v>
      </c>
      <c r="P252" s="145">
        <f t="shared" si="36"/>
        <v>0</v>
      </c>
      <c r="Q252" s="159">
        <f>Valores!$C$14*D252</f>
        <v>3710.04</v>
      </c>
      <c r="R252" s="159">
        <f>IF(D252&lt;15,(Valores!$E$4*D252),Valores!$D$4)</f>
        <v>3819.4800000000005</v>
      </c>
      <c r="S252" s="145">
        <v>0</v>
      </c>
      <c r="T252" s="148">
        <f>IF($H$5="NO",IF(Valores!$C$46*D252&gt;Valores!$C$44,Valores!$C$44,Valores!$C$46*D252),IF(Valores!$C$46*D252&gt;Valores!$C$44,Valores!$C$44,Valores!$C$46*D252)/2)</f>
        <v>819</v>
      </c>
      <c r="U252" s="159">
        <f>Valores!$C$23*D252</f>
        <v>1151.52</v>
      </c>
      <c r="V252" s="145">
        <f t="shared" si="44"/>
        <v>1151.52</v>
      </c>
      <c r="W252" s="145">
        <v>0</v>
      </c>
      <c r="X252" s="145">
        <v>0</v>
      </c>
      <c r="Y252" s="165">
        <v>0</v>
      </c>
      <c r="Z252" s="145">
        <f>Y252*Valores!$C$2</f>
        <v>0</v>
      </c>
      <c r="AA252" s="145">
        <v>0</v>
      </c>
      <c r="AB252" s="148">
        <f>IF(Valores!$C$92*D252&gt;Valores!$C$91,Valores!$C$91,Valores!$C$92*D252)</f>
        <v>692.3076923076925</v>
      </c>
      <c r="AC252" s="150">
        <f>IF((Valores!$C$33)*D252&gt;Valores!$F$33,Valores!$F$33,(Valores!$C$33)*D252)</f>
        <v>96.04608</v>
      </c>
      <c r="AD252" s="145">
        <f t="shared" si="38"/>
        <v>0</v>
      </c>
      <c r="AE252" s="145">
        <f>IF(Valores!$C$34*D252&gt;Valores!$F$34,Valores!$F$34,Valores!$C$34*D252)</f>
        <v>79.95187200000001</v>
      </c>
      <c r="AF252" s="149">
        <v>0</v>
      </c>
      <c r="AG252" s="145">
        <f>INT(((AF252*Valores!$C$2)*100)+0.5)/100</f>
        <v>0</v>
      </c>
      <c r="AH252" s="145">
        <f>IF($H$5="NO",IF(Valores!$D$59*'Escala Docente'!D252&gt;Valores!$F$59,Valores!$F$59,Valores!$D$59*'Escala Docente'!D252),IF(Valores!$D$59*'Escala Docente'!D252&gt;Valores!$F$59,Valores!$F$59,Valores!$D$59*'Escala Docente'!D252)/2)</f>
        <v>325.2288</v>
      </c>
      <c r="AI252" s="145">
        <f>IF($H$5="NO",IF(Valores!$D$61*D252&gt;Valores!$F$61,Valores!$F$61,Valores!$D$61*D252),IF(Valores!$D$61*D252&gt;Valores!$F$61,Valores!$F$61,Valores!$D$61*D252)/2)</f>
        <v>92.9304</v>
      </c>
      <c r="AJ252" s="151">
        <f t="shared" si="39"/>
        <v>21264.228844307698</v>
      </c>
      <c r="AK252" s="159">
        <f>IF(Valores!$C$37*D252&gt;Valores!$F$37,Valores!$F$37,Valores!$C$37*D252)</f>
        <v>837.48</v>
      </c>
      <c r="AL252" s="148">
        <f>IF(Valores!$C$11*D252&gt;Valores!$F$11,Valores!$F$11,Valores!$C$11*D252)</f>
        <v>0</v>
      </c>
      <c r="AM252" s="148">
        <f>IF(Valores!$C$87*D252&gt;Valores!$C$86,Valores!$C$86,Valores!$C$87*D252)</f>
        <v>1364.9999999999998</v>
      </c>
      <c r="AN252" s="148"/>
      <c r="AO252" s="150">
        <f>IF(Valores!$C$58*D252&gt;Valores!$F$58,Valores!$F$58,Valores!$C$58*D252)</f>
        <v>136.26</v>
      </c>
      <c r="AP252" s="152">
        <f t="shared" si="37"/>
        <v>2202.4799999999996</v>
      </c>
      <c r="AQ252" s="154">
        <f>AJ252*-Valores!$C$68</f>
        <v>-2339.0651728738467</v>
      </c>
      <c r="AR252" s="154">
        <f>AJ252*-Valores!$C$69</f>
        <v>0</v>
      </c>
      <c r="AS252" s="147">
        <f>AJ252*-Valores!$C$70</f>
        <v>-956.8902979938464</v>
      </c>
      <c r="AT252" s="147">
        <v>-159.43</v>
      </c>
      <c r="AU252" s="147">
        <f t="shared" si="40"/>
        <v>-53.83</v>
      </c>
      <c r="AV252" s="151">
        <f t="shared" si="41"/>
        <v>19957.493373440004</v>
      </c>
      <c r="AW252" s="155"/>
      <c r="AX252" s="155">
        <f t="shared" si="42"/>
        <v>48</v>
      </c>
      <c r="AY252" s="140" t="s">
        <v>4</v>
      </c>
    </row>
    <row r="253" spans="1:51" s="117" customFormat="1" ht="11.25" customHeight="1">
      <c r="A253" s="139">
        <v>251</v>
      </c>
      <c r="B253" s="139"/>
      <c r="C253" s="140" t="s">
        <v>501</v>
      </c>
      <c r="D253" s="140">
        <v>12</v>
      </c>
      <c r="E253" s="140">
        <f t="shared" si="34"/>
        <v>42</v>
      </c>
      <c r="F253" s="141" t="str">
        <f>CONCATENATE("Hora Cátedra Enseñanza Media ",D253," hs Esc Esp")</f>
        <v>Hora Cátedra Enseñanza Media 12 hs Esc Esp</v>
      </c>
      <c r="G253" s="142">
        <f t="shared" si="43"/>
        <v>948</v>
      </c>
      <c r="H253" s="143">
        <f>INT((G253*Valores!$C$2*100)+0.49)/100</f>
        <v>8854.04</v>
      </c>
      <c r="I253" s="161">
        <v>0</v>
      </c>
      <c r="J253" s="145">
        <f>INT((I253*Valores!$C$2*100)+0.5)/100</f>
        <v>0</v>
      </c>
      <c r="K253" s="160">
        <v>0</v>
      </c>
      <c r="L253" s="145">
        <f>INT((K253*Valores!$C$2*100)+0.5)/100</f>
        <v>0</v>
      </c>
      <c r="M253" s="158">
        <v>0</v>
      </c>
      <c r="N253" s="145">
        <f>INT((M253*Valores!$C$2*100)+0.5)/100</f>
        <v>0</v>
      </c>
      <c r="O253" s="145">
        <f t="shared" si="35"/>
        <v>1623.6840000000002</v>
      </c>
      <c r="P253" s="145">
        <f t="shared" si="36"/>
        <v>0</v>
      </c>
      <c r="Q253" s="159">
        <f>Valores!$C$14*D253</f>
        <v>3710.04</v>
      </c>
      <c r="R253" s="159">
        <f>IF(D253&lt;15,(Valores!$E$4*D253),Valores!$D$4)</f>
        <v>3819.4800000000005</v>
      </c>
      <c r="S253" s="145">
        <v>0</v>
      </c>
      <c r="T253" s="148">
        <f>IF($H$5="NO",IF(Valores!$C$46*D253&gt;Valores!$C$44,Valores!$C$44,Valores!$C$46*D253),IF(Valores!$C$46*D253&gt;Valores!$C$44,Valores!$C$44,Valores!$C$46*D253)/2)</f>
        <v>819</v>
      </c>
      <c r="U253" s="159">
        <f>Valores!$C$23*D253</f>
        <v>1151.52</v>
      </c>
      <c r="V253" s="145">
        <f t="shared" si="44"/>
        <v>1151.52</v>
      </c>
      <c r="W253" s="145">
        <v>0</v>
      </c>
      <c r="X253" s="145">
        <v>0</v>
      </c>
      <c r="Y253" s="165">
        <v>0</v>
      </c>
      <c r="Z253" s="145">
        <f>Y253*Valores!$C$2</f>
        <v>0</v>
      </c>
      <c r="AA253" s="145">
        <v>0</v>
      </c>
      <c r="AB253" s="148">
        <f>IF(Valores!$C$92*D253&gt;Valores!$C$91,Valores!$C$91,Valores!$C$92*D253)</f>
        <v>692.3076923076925</v>
      </c>
      <c r="AC253" s="150">
        <f>IF((Valores!$C$33)*D253&gt;Valores!$F$33,Valores!$F$33,(Valores!$C$33)*D253)</f>
        <v>96.04608</v>
      </c>
      <c r="AD253" s="145">
        <f t="shared" si="38"/>
        <v>0</v>
      </c>
      <c r="AE253" s="145">
        <f>IF(Valores!$C$34*D253&gt;Valores!$F$34,Valores!$F$34,Valores!$C$34*D253)</f>
        <v>79.95187200000001</v>
      </c>
      <c r="AF253" s="149">
        <v>94</v>
      </c>
      <c r="AG253" s="145">
        <f>INT(((AF253*Valores!$C$2)*100)+0.5)/100</f>
        <v>877.93</v>
      </c>
      <c r="AH253" s="145">
        <f>IF($H$5="NO",IF(Valores!$D$59*'Escala Docente'!D253&gt;Valores!$F$59,Valores!$F$59,Valores!$D$59*'Escala Docente'!D253),IF(Valores!$D$59*'Escala Docente'!D253&gt;Valores!$F$59,Valores!$F$59,Valores!$D$59*'Escala Docente'!D253)/2)</f>
        <v>325.2288</v>
      </c>
      <c r="AI253" s="145">
        <f>IF($H$5="NO",IF(Valores!$D$61*D253&gt;Valores!$F$61,Valores!$F$61,Valores!$D$61*D253),IF(Valores!$D$61*D253&gt;Valores!$F$61,Valores!$F$61,Valores!$D$61*D253)/2)</f>
        <v>92.9304</v>
      </c>
      <c r="AJ253" s="151">
        <f t="shared" si="39"/>
        <v>22142.158844307698</v>
      </c>
      <c r="AK253" s="159">
        <f>IF(Valores!$C$37*D253&gt;Valores!$F$37,Valores!$F$37,Valores!$C$37*D253)</f>
        <v>837.48</v>
      </c>
      <c r="AL253" s="148">
        <f>IF(Valores!$C$11*D253&gt;Valores!$F$11,Valores!$F$11,Valores!$C$11*D253)</f>
        <v>0</v>
      </c>
      <c r="AM253" s="148">
        <f>IF(Valores!$C$87*D253&gt;Valores!$C$86,Valores!$C$86,Valores!$C$87*D253)</f>
        <v>1364.9999999999998</v>
      </c>
      <c r="AN253" s="148"/>
      <c r="AO253" s="150">
        <f>IF(Valores!$C$58*D253&gt;Valores!$F$58,Valores!$F$58,Valores!$C$58*D253)</f>
        <v>136.26</v>
      </c>
      <c r="AP253" s="152">
        <f t="shared" si="37"/>
        <v>2202.4799999999996</v>
      </c>
      <c r="AQ253" s="154">
        <f>AJ253*-Valores!$C$68</f>
        <v>-2435.637472873847</v>
      </c>
      <c r="AR253" s="154">
        <f>AJ253*-Valores!$C$69</f>
        <v>0</v>
      </c>
      <c r="AS253" s="147">
        <f>AJ253*-Valores!$C$70</f>
        <v>-996.3971479938464</v>
      </c>
      <c r="AT253" s="147">
        <v>-159.43</v>
      </c>
      <c r="AU253" s="147">
        <f t="shared" si="40"/>
        <v>-53.83</v>
      </c>
      <c r="AV253" s="151">
        <f t="shared" si="41"/>
        <v>20699.344223440003</v>
      </c>
      <c r="AW253" s="155"/>
      <c r="AX253" s="155">
        <f t="shared" si="42"/>
        <v>48</v>
      </c>
      <c r="AY253" s="140" t="s">
        <v>4</v>
      </c>
    </row>
    <row r="254" spans="1:51" s="117" customFormat="1" ht="11.25" customHeight="1">
      <c r="A254" s="139">
        <v>252</v>
      </c>
      <c r="B254" s="139"/>
      <c r="C254" s="140" t="s">
        <v>501</v>
      </c>
      <c r="D254" s="140">
        <v>13</v>
      </c>
      <c r="E254" s="140">
        <f t="shared" si="34"/>
        <v>34</v>
      </c>
      <c r="F254" s="141" t="str">
        <f>CONCATENATE("Hora Cátedra Enseñanza Media ",D254," hs")</f>
        <v>Hora Cátedra Enseñanza Media 13 hs</v>
      </c>
      <c r="G254" s="142">
        <f t="shared" si="43"/>
        <v>1027</v>
      </c>
      <c r="H254" s="143">
        <f>INT((G254*Valores!$C$2*100)+0.49)/100</f>
        <v>9591.87</v>
      </c>
      <c r="I254" s="161">
        <v>0</v>
      </c>
      <c r="J254" s="145">
        <f>INT((I254*Valores!$C$2*100)+0.5)/100</f>
        <v>0</v>
      </c>
      <c r="K254" s="160">
        <v>0</v>
      </c>
      <c r="L254" s="145">
        <f>INT((K254*Valores!$C$2*100)+0.5)/100</f>
        <v>0</v>
      </c>
      <c r="M254" s="158">
        <v>0</v>
      </c>
      <c r="N254" s="145">
        <f>INT((M254*Valores!$C$2*100)+0.5)/100</f>
        <v>0</v>
      </c>
      <c r="O254" s="145">
        <f t="shared" si="35"/>
        <v>1758.99</v>
      </c>
      <c r="P254" s="145">
        <f t="shared" si="36"/>
        <v>0</v>
      </c>
      <c r="Q254" s="159">
        <f>Valores!$C$14*D254</f>
        <v>4019.21</v>
      </c>
      <c r="R254" s="159">
        <f>IF(D254&lt;15,(Valores!$E$4*D254),Valores!$D$4)</f>
        <v>4137.77</v>
      </c>
      <c r="S254" s="145">
        <v>0</v>
      </c>
      <c r="T254" s="148">
        <f>IF($H$5="NO",IF(Valores!$C$46*D254&gt;Valores!$C$44,Valores!$C$44,Valores!$C$46*D254),IF(Valores!$C$46*D254&gt;Valores!$C$44,Valores!$C$44,Valores!$C$46*D254)/2)</f>
        <v>887.25</v>
      </c>
      <c r="U254" s="159">
        <f>Valores!$C$23*D254</f>
        <v>1247.48</v>
      </c>
      <c r="V254" s="145">
        <f t="shared" si="44"/>
        <v>1247.48</v>
      </c>
      <c r="W254" s="145">
        <v>0</v>
      </c>
      <c r="X254" s="145">
        <v>0</v>
      </c>
      <c r="Y254" s="165">
        <v>0</v>
      </c>
      <c r="Z254" s="145">
        <f>Y254*Valores!$C$2</f>
        <v>0</v>
      </c>
      <c r="AA254" s="145">
        <v>0</v>
      </c>
      <c r="AB254" s="148">
        <f>IF(Valores!$C$92*D254&gt;Valores!$C$91,Valores!$C$91,Valores!$C$92*D254)</f>
        <v>750.0000000000002</v>
      </c>
      <c r="AC254" s="150">
        <f>IF((Valores!$C$33)*D254&gt;Valores!$F$33,Valores!$F$33,(Valores!$C$33)*D254)</f>
        <v>104.04992</v>
      </c>
      <c r="AD254" s="145">
        <f t="shared" si="38"/>
        <v>0</v>
      </c>
      <c r="AE254" s="145">
        <f>IF(Valores!$C$34*D254&gt;Valores!$F$34,Valores!$F$34,Valores!$C$34*D254)</f>
        <v>86.614528</v>
      </c>
      <c r="AF254" s="149">
        <v>0</v>
      </c>
      <c r="AG254" s="145">
        <f>INT(((AF254*Valores!$C$2)*100)+0.5)/100</f>
        <v>0</v>
      </c>
      <c r="AH254" s="145">
        <f>IF($H$5="NO",IF(Valores!$D$59*'Escala Docente'!D254&gt;Valores!$F$59,Valores!$F$59,Valores!$D$59*'Escala Docente'!D254),IF(Valores!$D$59*'Escala Docente'!D254&gt;Valores!$F$59,Valores!$F$59,Valores!$D$59*'Escala Docente'!D254)/2)</f>
        <v>352.33119999999997</v>
      </c>
      <c r="AI254" s="145">
        <f>IF($H$5="NO",IF(Valores!$D$61*D254&gt;Valores!$F$61,Valores!$F$61,Valores!$D$61*D254),IF(Valores!$D$61*D254&gt;Valores!$F$61,Valores!$F$61,Valores!$D$61*D254)/2)</f>
        <v>100.6746</v>
      </c>
      <c r="AJ254" s="151">
        <f t="shared" si="39"/>
        <v>23036.240248</v>
      </c>
      <c r="AK254" s="159">
        <f>IF(Valores!$C$37*D254&gt;Valores!$F$37,Valores!$F$37,Valores!$C$37*D254)</f>
        <v>907.2700000000001</v>
      </c>
      <c r="AL254" s="148">
        <f>IF(Valores!$C$11*D254&gt;Valores!$F$11,Valores!$F$11,Valores!$C$11*D254)</f>
        <v>0</v>
      </c>
      <c r="AM254" s="148">
        <f>IF(Valores!$C$87*D254&gt;Valores!$C$86,Valores!$C$86,Valores!$C$87*D254)</f>
        <v>1478.7499999999998</v>
      </c>
      <c r="AN254" s="148"/>
      <c r="AO254" s="150">
        <f>IF(Valores!$C$58*D254&gt;Valores!$F$58,Valores!$F$58,Valores!$C$58*D254)</f>
        <v>147.615</v>
      </c>
      <c r="AP254" s="152">
        <f t="shared" si="37"/>
        <v>2386.02</v>
      </c>
      <c r="AQ254" s="154">
        <f>AJ254*-Valores!$C$68</f>
        <v>-2533.98642728</v>
      </c>
      <c r="AR254" s="154">
        <f>AJ254*-Valores!$C$69</f>
        <v>0</v>
      </c>
      <c r="AS254" s="147">
        <f>AJ254*-Valores!$C$70</f>
        <v>-1036.63081116</v>
      </c>
      <c r="AT254" s="147">
        <v>-159.43</v>
      </c>
      <c r="AU254" s="147">
        <f t="shared" si="40"/>
        <v>-53.83</v>
      </c>
      <c r="AV254" s="151">
        <f t="shared" si="41"/>
        <v>21638.383009559995</v>
      </c>
      <c r="AW254" s="155"/>
      <c r="AX254" s="155">
        <f t="shared" si="42"/>
        <v>52</v>
      </c>
      <c r="AY254" s="140" t="s">
        <v>4</v>
      </c>
    </row>
    <row r="255" spans="1:51" s="117" customFormat="1" ht="11.25" customHeight="1">
      <c r="A255" s="139">
        <v>253</v>
      </c>
      <c r="B255" s="139"/>
      <c r="C255" s="140" t="s">
        <v>501</v>
      </c>
      <c r="D255" s="140">
        <v>13</v>
      </c>
      <c r="E255" s="140">
        <f t="shared" si="34"/>
        <v>42</v>
      </c>
      <c r="F255" s="141" t="str">
        <f>CONCATENATE("Hora Cátedra Enseñanza Media ",D255," hs Esc Esp")</f>
        <v>Hora Cátedra Enseñanza Media 13 hs Esc Esp</v>
      </c>
      <c r="G255" s="142">
        <f t="shared" si="43"/>
        <v>1027</v>
      </c>
      <c r="H255" s="143">
        <f>INT((G255*Valores!$C$2*100)+0.49)/100</f>
        <v>9591.87</v>
      </c>
      <c r="I255" s="161">
        <v>0</v>
      </c>
      <c r="J255" s="145">
        <f>INT((I255*Valores!$C$2*100)+0.5)/100</f>
        <v>0</v>
      </c>
      <c r="K255" s="160">
        <v>0</v>
      </c>
      <c r="L255" s="145">
        <f>INT((K255*Valores!$C$2*100)+0.5)/100</f>
        <v>0</v>
      </c>
      <c r="M255" s="158">
        <v>0</v>
      </c>
      <c r="N255" s="145">
        <f>INT((M255*Valores!$C$2*100)+0.5)/100</f>
        <v>0</v>
      </c>
      <c r="O255" s="145">
        <f t="shared" si="35"/>
        <v>1758.99</v>
      </c>
      <c r="P255" s="145">
        <f t="shared" si="36"/>
        <v>0</v>
      </c>
      <c r="Q255" s="159">
        <f>Valores!$C$14*D255</f>
        <v>4019.21</v>
      </c>
      <c r="R255" s="159">
        <f>IF(D255&lt;15,(Valores!$E$4*D255),Valores!$D$4)</f>
        <v>4137.77</v>
      </c>
      <c r="S255" s="145">
        <v>0</v>
      </c>
      <c r="T255" s="148">
        <f>IF($H$5="NO",IF(Valores!$C$46*D255&gt;Valores!$C$44,Valores!$C$44,Valores!$C$46*D255),IF(Valores!$C$46*D255&gt;Valores!$C$44,Valores!$C$44,Valores!$C$46*D255)/2)</f>
        <v>887.25</v>
      </c>
      <c r="U255" s="159">
        <f>Valores!$C$23*D255</f>
        <v>1247.48</v>
      </c>
      <c r="V255" s="145">
        <f t="shared" si="44"/>
        <v>1247.48</v>
      </c>
      <c r="W255" s="145">
        <v>0</v>
      </c>
      <c r="X255" s="145">
        <v>0</v>
      </c>
      <c r="Y255" s="165">
        <v>0</v>
      </c>
      <c r="Z255" s="145">
        <f>Y255*Valores!$C$2</f>
        <v>0</v>
      </c>
      <c r="AA255" s="145">
        <v>0</v>
      </c>
      <c r="AB255" s="148">
        <f>IF(Valores!$C$92*D255&gt;Valores!$C$91,Valores!$C$91,Valores!$C$92*D255)</f>
        <v>750.0000000000002</v>
      </c>
      <c r="AC255" s="150">
        <f>IF((Valores!$C$33)*D255&gt;Valores!$F$33,Valores!$F$33,(Valores!$C$33)*D255)</f>
        <v>104.04992</v>
      </c>
      <c r="AD255" s="145">
        <f t="shared" si="38"/>
        <v>0</v>
      </c>
      <c r="AE255" s="145">
        <f>IF(Valores!$C$34*D255&gt;Valores!$F$34,Valores!$F$34,Valores!$C$34*D255)</f>
        <v>86.614528</v>
      </c>
      <c r="AF255" s="149">
        <v>94</v>
      </c>
      <c r="AG255" s="145">
        <f>INT(((AF255*Valores!$C$2)*100)+0.5)/100</f>
        <v>877.93</v>
      </c>
      <c r="AH255" s="145">
        <f>IF($H$5="NO",IF(Valores!$D$59*'Escala Docente'!D255&gt;Valores!$F$59,Valores!$F$59,Valores!$D$59*'Escala Docente'!D255),IF(Valores!$D$59*'Escala Docente'!D255&gt;Valores!$F$59,Valores!$F$59,Valores!$D$59*'Escala Docente'!D255)/2)</f>
        <v>352.33119999999997</v>
      </c>
      <c r="AI255" s="145">
        <f>IF($H$5="NO",IF(Valores!$D$61*D255&gt;Valores!$F$61,Valores!$F$61,Valores!$D$61*D255),IF(Valores!$D$61*D255&gt;Valores!$F$61,Valores!$F$61,Valores!$D$61*D255)/2)</f>
        <v>100.6746</v>
      </c>
      <c r="AJ255" s="151">
        <f t="shared" si="39"/>
        <v>23914.170248</v>
      </c>
      <c r="AK255" s="159">
        <f>IF(Valores!$C$37*D255&gt;Valores!$F$37,Valores!$F$37,Valores!$C$37*D255)</f>
        <v>907.2700000000001</v>
      </c>
      <c r="AL255" s="148">
        <f>IF(Valores!$C$11*D255&gt;Valores!$F$11,Valores!$F$11,Valores!$C$11*D255)</f>
        <v>0</v>
      </c>
      <c r="AM255" s="148">
        <f>IF(Valores!$C$87*D255&gt;Valores!$C$86,Valores!$C$86,Valores!$C$87*D255)</f>
        <v>1478.7499999999998</v>
      </c>
      <c r="AN255" s="148"/>
      <c r="AO255" s="150">
        <f>IF(Valores!$C$58*D255&gt;Valores!$F$58,Valores!$F$58,Valores!$C$58*D255)</f>
        <v>147.615</v>
      </c>
      <c r="AP255" s="152">
        <f t="shared" si="37"/>
        <v>2386.02</v>
      </c>
      <c r="AQ255" s="154">
        <f>AJ255*-Valores!$C$68</f>
        <v>-2630.55872728</v>
      </c>
      <c r="AR255" s="154">
        <f>AJ255*-Valores!$C$69</f>
        <v>0</v>
      </c>
      <c r="AS255" s="147">
        <f>AJ255*-Valores!$C$70</f>
        <v>-1076.1376611599999</v>
      </c>
      <c r="AT255" s="147">
        <v>-159.43</v>
      </c>
      <c r="AU255" s="147">
        <f t="shared" si="40"/>
        <v>-53.83</v>
      </c>
      <c r="AV255" s="151">
        <f t="shared" si="41"/>
        <v>22380.233859559998</v>
      </c>
      <c r="AW255" s="155"/>
      <c r="AX255" s="155">
        <f t="shared" si="42"/>
        <v>52</v>
      </c>
      <c r="AY255" s="140" t="s">
        <v>4</v>
      </c>
    </row>
    <row r="256" spans="1:51" s="117" customFormat="1" ht="11.25" customHeight="1">
      <c r="A256" s="139">
        <v>254</v>
      </c>
      <c r="B256" s="139"/>
      <c r="C256" s="140" t="s">
        <v>501</v>
      </c>
      <c r="D256" s="140">
        <v>14</v>
      </c>
      <c r="E256" s="140">
        <f t="shared" si="34"/>
        <v>34</v>
      </c>
      <c r="F256" s="141" t="str">
        <f>CONCATENATE("Hora Cátedra Enseñanza Media ",D256," hs")</f>
        <v>Hora Cátedra Enseñanza Media 14 hs</v>
      </c>
      <c r="G256" s="142">
        <f t="shared" si="43"/>
        <v>1106</v>
      </c>
      <c r="H256" s="143">
        <f>INT((G256*Valores!$C$2*100)+0.49)/100</f>
        <v>10329.71</v>
      </c>
      <c r="I256" s="161">
        <v>0</v>
      </c>
      <c r="J256" s="145">
        <f>INT((I256*Valores!$C$2*100)+0.5)/100</f>
        <v>0</v>
      </c>
      <c r="K256" s="160">
        <v>0</v>
      </c>
      <c r="L256" s="145">
        <f>INT((K256*Valores!$C$2*100)+0.5)/100</f>
        <v>0</v>
      </c>
      <c r="M256" s="158">
        <v>0</v>
      </c>
      <c r="N256" s="145">
        <f>INT((M256*Valores!$C$2*100)+0.5)/100</f>
        <v>0</v>
      </c>
      <c r="O256" s="145">
        <f t="shared" si="35"/>
        <v>1894.2975</v>
      </c>
      <c r="P256" s="145">
        <f t="shared" si="36"/>
        <v>0</v>
      </c>
      <c r="Q256" s="159">
        <f>Valores!$C$14*D256</f>
        <v>4328.38</v>
      </c>
      <c r="R256" s="159">
        <f>IF(D256&lt;15,(Valores!$E$4*D256),Valores!$D$4)</f>
        <v>4456.06</v>
      </c>
      <c r="S256" s="145">
        <v>0</v>
      </c>
      <c r="T256" s="148">
        <f>IF($H$5="NO",IF(Valores!$C$46*D256&gt;Valores!$C$44,Valores!$C$44,Valores!$C$46*D256),IF(Valores!$C$46*D256&gt;Valores!$C$44,Valores!$C$44,Valores!$C$46*D256)/2)</f>
        <v>955.5</v>
      </c>
      <c r="U256" s="159">
        <f>Valores!$C$23*D256</f>
        <v>1343.4399999999998</v>
      </c>
      <c r="V256" s="145">
        <f t="shared" si="44"/>
        <v>1343.4399999999998</v>
      </c>
      <c r="W256" s="145">
        <v>0</v>
      </c>
      <c r="X256" s="145">
        <v>0</v>
      </c>
      <c r="Y256" s="165">
        <v>0</v>
      </c>
      <c r="Z256" s="145">
        <f>Y256*Valores!$C$2</f>
        <v>0</v>
      </c>
      <c r="AA256" s="145">
        <v>0</v>
      </c>
      <c r="AB256" s="148">
        <f>IF(Valores!$C$92*D256&gt;Valores!$C$91,Valores!$C$91,Valores!$C$92*D256)</f>
        <v>807.6923076923078</v>
      </c>
      <c r="AC256" s="150">
        <f>IF((Valores!$C$33)*D256&gt;Valores!$F$33,Valores!$F$33,(Valores!$C$33)*D256)</f>
        <v>112.05376000000001</v>
      </c>
      <c r="AD256" s="145">
        <f t="shared" si="38"/>
        <v>0</v>
      </c>
      <c r="AE256" s="145">
        <f>IF(Valores!$C$34*D256&gt;Valores!$F$34,Valores!$F$34,Valores!$C$34*D256)</f>
        <v>93.27718400000002</v>
      </c>
      <c r="AF256" s="149">
        <v>0</v>
      </c>
      <c r="AG256" s="145">
        <f>INT(((AF256*Valores!$C$2)*100)+0.5)/100</f>
        <v>0</v>
      </c>
      <c r="AH256" s="145">
        <f>IF($H$5="NO",IF(Valores!$D$59*'Escala Docente'!D256&gt;Valores!$F$59,Valores!$F$59,Valores!$D$59*'Escala Docente'!D256),IF(Valores!$D$59*'Escala Docente'!D256&gt;Valores!$F$59,Valores!$F$59,Valores!$D$59*'Escala Docente'!D256)/2)</f>
        <v>379.4336</v>
      </c>
      <c r="AI256" s="145">
        <f>IF($H$5="NO",IF(Valores!$D$61*D256&gt;Valores!$F$61,Valores!$F$61,Valores!$D$61*D256),IF(Valores!$D$61*D256&gt;Valores!$F$61,Valores!$F$61,Valores!$D$61*D256)/2)</f>
        <v>108.4188</v>
      </c>
      <c r="AJ256" s="151">
        <f t="shared" si="39"/>
        <v>24808.263151692307</v>
      </c>
      <c r="AK256" s="159">
        <f>IF(Valores!$C$37*D256&gt;Valores!$F$37,Valores!$F$37,Valores!$C$37*D256)</f>
        <v>977.0600000000001</v>
      </c>
      <c r="AL256" s="148">
        <f>IF(Valores!$C$11*D256&gt;Valores!$F$11,Valores!$F$11,Valores!$C$11*D256)</f>
        <v>0</v>
      </c>
      <c r="AM256" s="148">
        <f>IF(Valores!$C$87*D256&gt;Valores!$C$86,Valores!$C$86,Valores!$C$87*D256)</f>
        <v>1592.4999999999998</v>
      </c>
      <c r="AN256" s="148"/>
      <c r="AO256" s="150">
        <f>IF(Valores!$C$58*D256&gt;Valores!$F$58,Valores!$F$58,Valores!$C$58*D256)</f>
        <v>158.97</v>
      </c>
      <c r="AP256" s="152">
        <f t="shared" si="37"/>
        <v>2569.56</v>
      </c>
      <c r="AQ256" s="154">
        <f>AJ256*-Valores!$C$68</f>
        <v>-2728.9089466861537</v>
      </c>
      <c r="AR256" s="154">
        <f>AJ256*-Valores!$C$69</f>
        <v>0</v>
      </c>
      <c r="AS256" s="147">
        <f>AJ256*-Valores!$C$70</f>
        <v>-1116.3718418261537</v>
      </c>
      <c r="AT256" s="147">
        <v>-159.43</v>
      </c>
      <c r="AU256" s="147">
        <f t="shared" si="40"/>
        <v>-53.83</v>
      </c>
      <c r="AV256" s="151">
        <f t="shared" si="41"/>
        <v>23319.28236318</v>
      </c>
      <c r="AW256" s="155"/>
      <c r="AX256" s="155">
        <f t="shared" si="42"/>
        <v>56</v>
      </c>
      <c r="AY256" s="140" t="s">
        <v>4</v>
      </c>
    </row>
    <row r="257" spans="1:51" s="117" customFormat="1" ht="11.25" customHeight="1">
      <c r="A257" s="157">
        <v>255</v>
      </c>
      <c r="B257" s="157" t="s">
        <v>143</v>
      </c>
      <c r="C257" s="140" t="s">
        <v>501</v>
      </c>
      <c r="D257" s="140">
        <v>14</v>
      </c>
      <c r="E257" s="140">
        <f t="shared" si="34"/>
        <v>42</v>
      </c>
      <c r="F257" s="141" t="str">
        <f>CONCATENATE("Hora Cátedra Enseñanza Media ",D257," hs Esc Esp")</f>
        <v>Hora Cátedra Enseñanza Media 14 hs Esc Esp</v>
      </c>
      <c r="G257" s="142">
        <f t="shared" si="43"/>
        <v>1106</v>
      </c>
      <c r="H257" s="143">
        <f>INT((G257*Valores!$C$2*100)+0.49)/100</f>
        <v>10329.71</v>
      </c>
      <c r="I257" s="161">
        <v>0</v>
      </c>
      <c r="J257" s="145">
        <f>INT((I257*Valores!$C$2*100)+0.5)/100</f>
        <v>0</v>
      </c>
      <c r="K257" s="160">
        <v>0</v>
      </c>
      <c r="L257" s="145">
        <f>INT((K257*Valores!$C$2*100)+0.5)/100</f>
        <v>0</v>
      </c>
      <c r="M257" s="158">
        <v>0</v>
      </c>
      <c r="N257" s="145">
        <f>INT((M257*Valores!$C$2*100)+0.5)/100</f>
        <v>0</v>
      </c>
      <c r="O257" s="145">
        <f t="shared" si="35"/>
        <v>1894.2975</v>
      </c>
      <c r="P257" s="145">
        <f t="shared" si="36"/>
        <v>0</v>
      </c>
      <c r="Q257" s="159">
        <f>Valores!$C$14*D257</f>
        <v>4328.38</v>
      </c>
      <c r="R257" s="159">
        <f>IF(D257&lt;15,(Valores!$E$4*D257),Valores!$D$4)</f>
        <v>4456.06</v>
      </c>
      <c r="S257" s="145">
        <v>0</v>
      </c>
      <c r="T257" s="148">
        <f>IF($H$5="NO",IF(Valores!$C$46*D257&gt;Valores!$C$44,Valores!$C$44,Valores!$C$46*D257),IF(Valores!$C$46*D257&gt;Valores!$C$44,Valores!$C$44,Valores!$C$46*D257)/2)</f>
        <v>955.5</v>
      </c>
      <c r="U257" s="159">
        <f>Valores!$C$23*D257</f>
        <v>1343.4399999999998</v>
      </c>
      <c r="V257" s="145">
        <f t="shared" si="44"/>
        <v>1343.4399999999998</v>
      </c>
      <c r="W257" s="145">
        <v>0</v>
      </c>
      <c r="X257" s="145">
        <v>0</v>
      </c>
      <c r="Y257" s="165">
        <v>0</v>
      </c>
      <c r="Z257" s="145">
        <f>Y257*Valores!$C$2</f>
        <v>0</v>
      </c>
      <c r="AA257" s="145">
        <v>0</v>
      </c>
      <c r="AB257" s="148">
        <f>IF(Valores!$C$92*D257&gt;Valores!$C$91,Valores!$C$91,Valores!$C$92*D257)</f>
        <v>807.6923076923078</v>
      </c>
      <c r="AC257" s="150">
        <f>IF((Valores!$C$33)*D257&gt;Valores!$F$33,Valores!$F$33,(Valores!$C$33)*D257)</f>
        <v>112.05376000000001</v>
      </c>
      <c r="AD257" s="145">
        <f t="shared" si="38"/>
        <v>0</v>
      </c>
      <c r="AE257" s="145">
        <f>IF(Valores!$C$34*D257&gt;Valores!$F$34,Valores!$F$34,Valores!$C$34*D257)</f>
        <v>93.27718400000002</v>
      </c>
      <c r="AF257" s="149">
        <v>94</v>
      </c>
      <c r="AG257" s="145">
        <f>INT(((AF257*Valores!$C$2)*100)+0.5)/100</f>
        <v>877.93</v>
      </c>
      <c r="AH257" s="145">
        <f>IF($H$5="NO",IF(Valores!$D$59*'Escala Docente'!D257&gt;Valores!$F$59,Valores!$F$59,Valores!$D$59*'Escala Docente'!D257),IF(Valores!$D$59*'Escala Docente'!D257&gt;Valores!$F$59,Valores!$F$59,Valores!$D$59*'Escala Docente'!D257)/2)</f>
        <v>379.4336</v>
      </c>
      <c r="AI257" s="145">
        <f>IF($H$5="NO",IF(Valores!$D$61*D257&gt;Valores!$F$61,Valores!$F$61,Valores!$D$61*D257),IF(Valores!$D$61*D257&gt;Valores!$F$61,Valores!$F$61,Valores!$D$61*D257)/2)</f>
        <v>108.4188</v>
      </c>
      <c r="AJ257" s="151">
        <f t="shared" si="39"/>
        <v>25686.193151692307</v>
      </c>
      <c r="AK257" s="159">
        <f>IF(Valores!$C$37*D257&gt;Valores!$F$37,Valores!$F$37,Valores!$C$37*D257)</f>
        <v>977.0600000000001</v>
      </c>
      <c r="AL257" s="148">
        <f>IF(Valores!$C$11*D257&gt;Valores!$F$11,Valores!$F$11,Valores!$C$11*D257)</f>
        <v>0</v>
      </c>
      <c r="AM257" s="148">
        <f>IF(Valores!$C$87*D257&gt;Valores!$C$86,Valores!$C$86,Valores!$C$87*D257)</f>
        <v>1592.4999999999998</v>
      </c>
      <c r="AN257" s="148"/>
      <c r="AO257" s="150">
        <f>IF(Valores!$C$58*D257&gt;Valores!$F$58,Valores!$F$58,Valores!$C$58*D257)</f>
        <v>158.97</v>
      </c>
      <c r="AP257" s="152">
        <f t="shared" si="37"/>
        <v>2569.56</v>
      </c>
      <c r="AQ257" s="154">
        <f>AJ257*-Valores!$C$68</f>
        <v>-2825.4812466861536</v>
      </c>
      <c r="AR257" s="154">
        <f>AJ257*-Valores!$C$69</f>
        <v>0</v>
      </c>
      <c r="AS257" s="147">
        <f>AJ257*-Valores!$C$70</f>
        <v>-1155.8786918261537</v>
      </c>
      <c r="AT257" s="147">
        <v>-159.43</v>
      </c>
      <c r="AU257" s="147">
        <f t="shared" si="40"/>
        <v>-53.83</v>
      </c>
      <c r="AV257" s="151">
        <f t="shared" si="41"/>
        <v>24061.133213179997</v>
      </c>
      <c r="AW257" s="155"/>
      <c r="AX257" s="155">
        <f t="shared" si="42"/>
        <v>56</v>
      </c>
      <c r="AY257" s="140" t="s">
        <v>4</v>
      </c>
    </row>
    <row r="258" spans="1:51" s="117" customFormat="1" ht="11.25" customHeight="1">
      <c r="A258" s="139">
        <v>256</v>
      </c>
      <c r="B258" s="139"/>
      <c r="C258" s="140" t="s">
        <v>501</v>
      </c>
      <c r="D258" s="140">
        <v>15</v>
      </c>
      <c r="E258" s="140">
        <f t="shared" si="34"/>
        <v>34</v>
      </c>
      <c r="F258" s="141" t="str">
        <f>CONCATENATE("Hora Cátedra Enseñanza Media ",D258," hs")</f>
        <v>Hora Cátedra Enseñanza Media 15 hs</v>
      </c>
      <c r="G258" s="142">
        <f t="shared" si="43"/>
        <v>1185</v>
      </c>
      <c r="H258" s="143">
        <f>INT((G258*Valores!$C$2*100)+0.49)/100</f>
        <v>11067.54</v>
      </c>
      <c r="I258" s="161">
        <v>0</v>
      </c>
      <c r="J258" s="145">
        <f>INT((I258*Valores!$C$2*100)+0.5)/100</f>
        <v>0</v>
      </c>
      <c r="K258" s="160">
        <v>0</v>
      </c>
      <c r="L258" s="145">
        <f>INT((K258*Valores!$C$2*100)+0.5)/100</f>
        <v>0</v>
      </c>
      <c r="M258" s="158">
        <v>0</v>
      </c>
      <c r="N258" s="145">
        <f>INT((M258*Valores!$C$2*100)+0.5)/100</f>
        <v>0</v>
      </c>
      <c r="O258" s="145">
        <f t="shared" si="35"/>
        <v>2029.6035</v>
      </c>
      <c r="P258" s="145">
        <f t="shared" si="36"/>
        <v>0</v>
      </c>
      <c r="Q258" s="159">
        <f>Valores!$C$14*D258</f>
        <v>4637.55</v>
      </c>
      <c r="R258" s="159">
        <f>IF(D258&lt;15,(Valores!$E$4*D258),Valores!$D$4)</f>
        <v>4774.45</v>
      </c>
      <c r="S258" s="145">
        <v>0</v>
      </c>
      <c r="T258" s="148">
        <f>IF($H$5="NO",IF(Valores!$C$46*D258&gt;Valores!$C$44,Valores!$C$44,Valores!$C$46*D258),IF(Valores!$C$46*D258&gt;Valores!$C$44,Valores!$C$44,Valores!$C$46*D258)/2)</f>
        <v>1023.75</v>
      </c>
      <c r="U258" s="159">
        <f>Valores!$C$23*D258</f>
        <v>1439.3999999999999</v>
      </c>
      <c r="V258" s="145">
        <f t="shared" si="44"/>
        <v>1439.3999999999999</v>
      </c>
      <c r="W258" s="145">
        <v>0</v>
      </c>
      <c r="X258" s="145">
        <v>0</v>
      </c>
      <c r="Y258" s="165">
        <v>0</v>
      </c>
      <c r="Z258" s="145">
        <f>Y258*Valores!$C$2</f>
        <v>0</v>
      </c>
      <c r="AA258" s="145">
        <v>0</v>
      </c>
      <c r="AB258" s="148">
        <f>IF(Valores!$C$92*D258&gt;Valores!$C$91,Valores!$C$91,Valores!$C$92*D258)</f>
        <v>865.3846153846156</v>
      </c>
      <c r="AC258" s="150">
        <f>IF((Valores!$C$33)*D258&gt;Valores!$F$33,Valores!$F$33,(Valores!$C$33)*D258)</f>
        <v>120.05760000000001</v>
      </c>
      <c r="AD258" s="145">
        <f t="shared" si="38"/>
        <v>0</v>
      </c>
      <c r="AE258" s="145">
        <f>IF(Valores!$C$34*D258&gt;Valores!$F$34,Valores!$F$34,Valores!$C$34*D258)</f>
        <v>99.93984000000002</v>
      </c>
      <c r="AF258" s="149">
        <v>0</v>
      </c>
      <c r="AG258" s="145">
        <f>INT(((AF258*Valores!$C$2)*100)+0.5)/100</f>
        <v>0</v>
      </c>
      <c r="AH258" s="145">
        <f>IF($H$5="NO",IF(Valores!$D$59*'Escala Docente'!D258&gt;Valores!$F$59,Valores!$F$59,Valores!$D$59*'Escala Docente'!D258),IF(Valores!$D$59*'Escala Docente'!D258&gt;Valores!$F$59,Valores!$F$59,Valores!$D$59*'Escala Docente'!D258)/2)</f>
        <v>406.536</v>
      </c>
      <c r="AI258" s="145">
        <f>IF($H$5="NO",IF(Valores!$D$61*D258&gt;Valores!$F$61,Valores!$F$61,Valores!$D$61*D258),IF(Valores!$D$61*D258&gt;Valores!$F$61,Valores!$F$61,Valores!$D$61*D258)/2)</f>
        <v>116.163</v>
      </c>
      <c r="AJ258" s="151">
        <f t="shared" si="39"/>
        <v>26580.37455538462</v>
      </c>
      <c r="AK258" s="159">
        <f>IF(Valores!$C$37*D258&gt;Valores!$F$37,Valores!$F$37,Valores!$C$37*D258)</f>
        <v>1046.8500000000001</v>
      </c>
      <c r="AL258" s="148">
        <f>IF(Valores!$C$11*D258&gt;Valores!$F$11,Valores!$F$11,Valores!$C$11*D258)</f>
        <v>0</v>
      </c>
      <c r="AM258" s="148">
        <f>IF(Valores!$C$87*D258&gt;Valores!$C$86,Valores!$C$86,Valores!$C$87*D258)</f>
        <v>1706.2499999999998</v>
      </c>
      <c r="AN258" s="148"/>
      <c r="AO258" s="150">
        <f>IF(Valores!$C$58*D258&gt;Valores!$F$58,Valores!$F$58,Valores!$C$58*D258)</f>
        <v>170.32500000000002</v>
      </c>
      <c r="AP258" s="152">
        <f t="shared" si="37"/>
        <v>2753.1</v>
      </c>
      <c r="AQ258" s="154">
        <f>AJ258*-Valores!$C$68</f>
        <v>-2923.8412010923084</v>
      </c>
      <c r="AR258" s="154">
        <f>AJ258*-Valores!$C$69</f>
        <v>0</v>
      </c>
      <c r="AS258" s="147">
        <f>AJ258*-Valores!$C$70</f>
        <v>-1196.116854992308</v>
      </c>
      <c r="AT258" s="147">
        <v>-159.43</v>
      </c>
      <c r="AU258" s="147">
        <f t="shared" si="40"/>
        <v>-53.83</v>
      </c>
      <c r="AV258" s="151">
        <f t="shared" si="41"/>
        <v>25000.256499299998</v>
      </c>
      <c r="AW258" s="155"/>
      <c r="AX258" s="155">
        <f aca="true" t="shared" si="45" ref="AX258:AX289">4*D258</f>
        <v>60</v>
      </c>
      <c r="AY258" s="140" t="s">
        <v>4</v>
      </c>
    </row>
    <row r="259" spans="1:51" s="117" customFormat="1" ht="11.25" customHeight="1">
      <c r="A259" s="139">
        <v>257</v>
      </c>
      <c r="B259" s="139"/>
      <c r="C259" s="140" t="s">
        <v>501</v>
      </c>
      <c r="D259" s="140">
        <v>15</v>
      </c>
      <c r="E259" s="140">
        <f t="shared" si="34"/>
        <v>42</v>
      </c>
      <c r="F259" s="141" t="str">
        <f>CONCATENATE("Hora Cátedra Enseñanza Media ",D259," hs Esc Esp")</f>
        <v>Hora Cátedra Enseñanza Media 15 hs Esc Esp</v>
      </c>
      <c r="G259" s="142">
        <f t="shared" si="43"/>
        <v>1185</v>
      </c>
      <c r="H259" s="143">
        <f>INT((G259*Valores!$C$2*100)+0.49)/100</f>
        <v>11067.54</v>
      </c>
      <c r="I259" s="161">
        <v>0</v>
      </c>
      <c r="J259" s="145">
        <f>INT((I259*Valores!$C$2*100)+0.5)/100</f>
        <v>0</v>
      </c>
      <c r="K259" s="160">
        <v>0</v>
      </c>
      <c r="L259" s="145">
        <f>INT((K259*Valores!$C$2*100)+0.5)/100</f>
        <v>0</v>
      </c>
      <c r="M259" s="158">
        <v>0</v>
      </c>
      <c r="N259" s="145">
        <f>INT((M259*Valores!$C$2*100)+0.5)/100</f>
        <v>0</v>
      </c>
      <c r="O259" s="145">
        <f t="shared" si="35"/>
        <v>2029.6035</v>
      </c>
      <c r="P259" s="145">
        <f t="shared" si="36"/>
        <v>0</v>
      </c>
      <c r="Q259" s="159">
        <f>Valores!$C$14*D259</f>
        <v>4637.55</v>
      </c>
      <c r="R259" s="159">
        <f>IF(D259&lt;15,(Valores!$E$4*D259),Valores!$D$4)</f>
        <v>4774.45</v>
      </c>
      <c r="S259" s="145">
        <v>0</v>
      </c>
      <c r="T259" s="148">
        <f>IF($H$5="NO",IF(Valores!$C$46*D259&gt;Valores!$C$44,Valores!$C$44,Valores!$C$46*D259),IF(Valores!$C$46*D259&gt;Valores!$C$44,Valores!$C$44,Valores!$C$46*D259)/2)</f>
        <v>1023.75</v>
      </c>
      <c r="U259" s="159">
        <f>Valores!$C$23*D259</f>
        <v>1439.3999999999999</v>
      </c>
      <c r="V259" s="145">
        <f t="shared" si="44"/>
        <v>1439.3999999999999</v>
      </c>
      <c r="W259" s="145">
        <v>0</v>
      </c>
      <c r="X259" s="145">
        <v>0</v>
      </c>
      <c r="Y259" s="165">
        <v>0</v>
      </c>
      <c r="Z259" s="145">
        <f>Y259*Valores!$C$2</f>
        <v>0</v>
      </c>
      <c r="AA259" s="145">
        <v>0</v>
      </c>
      <c r="AB259" s="148">
        <f>IF(Valores!$C$92*D259&gt;Valores!$C$91,Valores!$C$91,Valores!$C$92*D259)</f>
        <v>865.3846153846156</v>
      </c>
      <c r="AC259" s="150">
        <f>IF((Valores!$C$33)*D259&gt;Valores!$F$33,Valores!$F$33,(Valores!$C$33)*D259)</f>
        <v>120.05760000000001</v>
      </c>
      <c r="AD259" s="145">
        <f t="shared" si="38"/>
        <v>0</v>
      </c>
      <c r="AE259" s="145">
        <f>IF(Valores!$C$34*D259&gt;Valores!$F$34,Valores!$F$34,Valores!$C$34*D259)</f>
        <v>99.93984000000002</v>
      </c>
      <c r="AF259" s="149">
        <v>94</v>
      </c>
      <c r="AG259" s="145">
        <f>INT(((AF259*Valores!$C$2)*100)+0.5)/100</f>
        <v>877.93</v>
      </c>
      <c r="AH259" s="145">
        <f>IF($H$5="NO",IF(Valores!$D$59*'Escala Docente'!D259&gt;Valores!$F$59,Valores!$F$59,Valores!$D$59*'Escala Docente'!D259),IF(Valores!$D$59*'Escala Docente'!D259&gt;Valores!$F$59,Valores!$F$59,Valores!$D$59*'Escala Docente'!D259)/2)</f>
        <v>406.536</v>
      </c>
      <c r="AI259" s="145">
        <f>IF($H$5="NO",IF(Valores!$D$61*D259&gt;Valores!$F$61,Valores!$F$61,Valores!$D$61*D259),IF(Valores!$D$61*D259&gt;Valores!$F$61,Valores!$F$61,Valores!$D$61*D259)/2)</f>
        <v>116.163</v>
      </c>
      <c r="AJ259" s="151">
        <f t="shared" si="39"/>
        <v>27458.30455538462</v>
      </c>
      <c r="AK259" s="159">
        <f>IF(Valores!$C$37*D259&gt;Valores!$F$37,Valores!$F$37,Valores!$C$37*D259)</f>
        <v>1046.8500000000001</v>
      </c>
      <c r="AL259" s="148">
        <f>IF(Valores!$C$11*D259&gt;Valores!$F$11,Valores!$F$11,Valores!$C$11*D259)</f>
        <v>0</v>
      </c>
      <c r="AM259" s="148">
        <f>IF(Valores!$C$87*D259&gt;Valores!$C$86,Valores!$C$86,Valores!$C$87*D259)</f>
        <v>1706.2499999999998</v>
      </c>
      <c r="AN259" s="148"/>
      <c r="AO259" s="150">
        <f>IF(Valores!$C$58*D259&gt;Valores!$F$58,Valores!$F$58,Valores!$C$58*D259)</f>
        <v>170.32500000000002</v>
      </c>
      <c r="AP259" s="152">
        <f t="shared" si="37"/>
        <v>2753.1</v>
      </c>
      <c r="AQ259" s="154">
        <f>AJ259*-Valores!$C$68</f>
        <v>-3020.4135010923083</v>
      </c>
      <c r="AR259" s="154">
        <f>AJ259*-Valores!$C$69</f>
        <v>0</v>
      </c>
      <c r="AS259" s="147">
        <f>AJ259*-Valores!$C$70</f>
        <v>-1235.623704992308</v>
      </c>
      <c r="AT259" s="147">
        <v>-159.43</v>
      </c>
      <c r="AU259" s="147">
        <f t="shared" si="40"/>
        <v>-53.83</v>
      </c>
      <c r="AV259" s="151">
        <f t="shared" si="41"/>
        <v>25742.1073493</v>
      </c>
      <c r="AW259" s="155"/>
      <c r="AX259" s="155">
        <f t="shared" si="45"/>
        <v>60</v>
      </c>
      <c r="AY259" s="140" t="s">
        <v>4</v>
      </c>
    </row>
    <row r="260" spans="1:51" s="117" customFormat="1" ht="11.25" customHeight="1">
      <c r="A260" s="139">
        <v>258</v>
      </c>
      <c r="B260" s="139"/>
      <c r="C260" s="140" t="s">
        <v>501</v>
      </c>
      <c r="D260" s="140">
        <v>16</v>
      </c>
      <c r="E260" s="140">
        <f t="shared" si="34"/>
        <v>34</v>
      </c>
      <c r="F260" s="141" t="str">
        <f>CONCATENATE("Hora Cátedra Enseñanza Media ",D260," hs")</f>
        <v>Hora Cátedra Enseñanza Media 16 hs</v>
      </c>
      <c r="G260" s="142">
        <f t="shared" si="43"/>
        <v>1264</v>
      </c>
      <c r="H260" s="143">
        <f>INT((G260*Valores!$C$2*100)+0.49)/100</f>
        <v>11805.38</v>
      </c>
      <c r="I260" s="161">
        <v>0</v>
      </c>
      <c r="J260" s="145">
        <f>INT((I260*Valores!$C$2*100)+0.5)/100</f>
        <v>0</v>
      </c>
      <c r="K260" s="160">
        <v>0</v>
      </c>
      <c r="L260" s="145">
        <f>INT((K260*Valores!$C$2*100)+0.5)/100</f>
        <v>0</v>
      </c>
      <c r="M260" s="158">
        <v>0</v>
      </c>
      <c r="N260" s="145">
        <f>INT((M260*Valores!$C$2*100)+0.5)/100</f>
        <v>0</v>
      </c>
      <c r="O260" s="145">
        <f t="shared" si="35"/>
        <v>2164.911</v>
      </c>
      <c r="P260" s="145">
        <f t="shared" si="36"/>
        <v>0</v>
      </c>
      <c r="Q260" s="159">
        <f>Valores!$C$14*D260</f>
        <v>4946.72</v>
      </c>
      <c r="R260" s="159">
        <f>IF(D260&lt;15,(Valores!$E$4*D260),Valores!$D$4)</f>
        <v>4774.45</v>
      </c>
      <c r="S260" s="145">
        <v>0</v>
      </c>
      <c r="T260" s="148">
        <f>IF($H$5="NO",IF(Valores!$C$46*D260&gt;Valores!$C$44,Valores!$C$44,Valores!$C$46*D260),IF(Valores!$C$46*D260&gt;Valores!$C$44,Valores!$C$44,Valores!$C$46*D260)/2)</f>
        <v>1092</v>
      </c>
      <c r="U260" s="159">
        <f>Valores!$C$23*D260</f>
        <v>1535.36</v>
      </c>
      <c r="V260" s="145">
        <f t="shared" si="44"/>
        <v>1535.36</v>
      </c>
      <c r="W260" s="145">
        <v>0</v>
      </c>
      <c r="X260" s="145">
        <v>0</v>
      </c>
      <c r="Y260" s="165">
        <v>0</v>
      </c>
      <c r="Z260" s="145">
        <f>Y260*Valores!$C$2</f>
        <v>0</v>
      </c>
      <c r="AA260" s="145">
        <v>0</v>
      </c>
      <c r="AB260" s="148">
        <f>IF(Valores!$C$92*D260&gt;Valores!$C$91,Valores!$C$91,Valores!$C$92*D260)</f>
        <v>923.0769230769233</v>
      </c>
      <c r="AC260" s="150">
        <f>IF((Valores!$C$33)*D260&gt;Valores!$F$33,Valores!$F$33,(Valores!$C$33)*D260)</f>
        <v>128.06144</v>
      </c>
      <c r="AD260" s="145">
        <f t="shared" si="38"/>
        <v>0</v>
      </c>
      <c r="AE260" s="145">
        <f>IF(Valores!$C$34*D260&gt;Valores!$F$34,Valores!$F$34,Valores!$C$34*D260)</f>
        <v>106.60249600000002</v>
      </c>
      <c r="AF260" s="149">
        <v>0</v>
      </c>
      <c r="AG260" s="145">
        <f>INT(((AF260*Valores!$C$2)*100)+0.5)/100</f>
        <v>0</v>
      </c>
      <c r="AH260" s="145">
        <f>IF($H$5="NO",IF(Valores!$D$59*'Escala Docente'!D260&gt;Valores!$F$59,Valores!$F$59,Valores!$D$59*'Escala Docente'!D260),IF(Valores!$D$59*'Escala Docente'!D260&gt;Valores!$F$59,Valores!$F$59,Valores!$D$59*'Escala Docente'!D260)/2)</f>
        <v>433.6384</v>
      </c>
      <c r="AI260" s="145">
        <f>IF($H$5="NO",IF(Valores!$D$61*D260&gt;Valores!$F$61,Valores!$F$61,Valores!$D$61*D260),IF(Valores!$D$61*D260&gt;Valores!$F$61,Valores!$F$61,Valores!$D$61*D260)/2)</f>
        <v>123.9072</v>
      </c>
      <c r="AJ260" s="151">
        <f t="shared" si="39"/>
        <v>28034.107459076924</v>
      </c>
      <c r="AK260" s="159">
        <f>IF(Valores!$C$37*D260&gt;Valores!$F$37,Valores!$F$37,Valores!$C$37*D260)</f>
        <v>1116.64</v>
      </c>
      <c r="AL260" s="148">
        <f>IF(Valores!$C$11*D260&gt;Valores!$F$11,Valores!$F$11,Valores!$C$11*D260)</f>
        <v>0</v>
      </c>
      <c r="AM260" s="148">
        <f>IF(Valores!$C$87*D260&gt;Valores!$C$86,Valores!$C$86,Valores!$C$87*D260)</f>
        <v>1819.9999999999998</v>
      </c>
      <c r="AN260" s="148"/>
      <c r="AO260" s="150">
        <f>IF(Valores!$C$58*D260&gt;Valores!$F$58,Valores!$F$58,Valores!$C$58*D260)</f>
        <v>181.68</v>
      </c>
      <c r="AP260" s="152">
        <f t="shared" si="37"/>
        <v>2936.64</v>
      </c>
      <c r="AQ260" s="154">
        <f>AJ260*-Valores!$C$68</f>
        <v>-3083.7518204984617</v>
      </c>
      <c r="AR260" s="154">
        <f>AJ260*-Valores!$C$69</f>
        <v>0</v>
      </c>
      <c r="AS260" s="147">
        <f>AJ260*-Valores!$C$70</f>
        <v>-1261.5348356584616</v>
      </c>
      <c r="AT260" s="147">
        <v>-159.43</v>
      </c>
      <c r="AU260" s="147">
        <f t="shared" si="40"/>
        <v>-53.83</v>
      </c>
      <c r="AV260" s="151">
        <f t="shared" si="41"/>
        <v>26412.200802919997</v>
      </c>
      <c r="AW260" s="155"/>
      <c r="AX260" s="155">
        <f t="shared" si="45"/>
        <v>64</v>
      </c>
      <c r="AY260" s="140" t="s">
        <v>4</v>
      </c>
    </row>
    <row r="261" spans="1:51" s="117" customFormat="1" ht="11.25" customHeight="1">
      <c r="A261" s="139">
        <v>259</v>
      </c>
      <c r="B261" s="139"/>
      <c r="C261" s="140" t="s">
        <v>501</v>
      </c>
      <c r="D261" s="140">
        <v>16</v>
      </c>
      <c r="E261" s="140">
        <f t="shared" si="34"/>
        <v>42</v>
      </c>
      <c r="F261" s="141" t="str">
        <f>CONCATENATE("Hora Cátedra Enseñanza Media ",D261," hs Esc Esp")</f>
        <v>Hora Cátedra Enseñanza Media 16 hs Esc Esp</v>
      </c>
      <c r="G261" s="142">
        <f t="shared" si="43"/>
        <v>1264</v>
      </c>
      <c r="H261" s="143">
        <f>INT((G261*Valores!$C$2*100)+0.49)/100</f>
        <v>11805.38</v>
      </c>
      <c r="I261" s="161">
        <v>0</v>
      </c>
      <c r="J261" s="145">
        <f>INT((I261*Valores!$C$2*100)+0.5)/100</f>
        <v>0</v>
      </c>
      <c r="K261" s="160">
        <v>0</v>
      </c>
      <c r="L261" s="145">
        <f>INT((K261*Valores!$C$2*100)+0.5)/100</f>
        <v>0</v>
      </c>
      <c r="M261" s="158">
        <v>0</v>
      </c>
      <c r="N261" s="145">
        <f>INT((M261*Valores!$C$2*100)+0.5)/100</f>
        <v>0</v>
      </c>
      <c r="O261" s="145">
        <f t="shared" si="35"/>
        <v>2164.911</v>
      </c>
      <c r="P261" s="145">
        <f t="shared" si="36"/>
        <v>0</v>
      </c>
      <c r="Q261" s="159">
        <f>Valores!$C$14*D261</f>
        <v>4946.72</v>
      </c>
      <c r="R261" s="159">
        <f>IF(D261&lt;15,(Valores!$E$4*D261),Valores!$D$4)</f>
        <v>4774.45</v>
      </c>
      <c r="S261" s="145">
        <v>0</v>
      </c>
      <c r="T261" s="148">
        <f>IF($H$5="NO",IF(Valores!$C$46*D261&gt;Valores!$C$44,Valores!$C$44,Valores!$C$46*D261),IF(Valores!$C$46*D261&gt;Valores!$C$44,Valores!$C$44,Valores!$C$46*D261)/2)</f>
        <v>1092</v>
      </c>
      <c r="U261" s="159">
        <f>Valores!$C$23*D261</f>
        <v>1535.36</v>
      </c>
      <c r="V261" s="145">
        <f t="shared" si="44"/>
        <v>1535.36</v>
      </c>
      <c r="W261" s="145">
        <v>0</v>
      </c>
      <c r="X261" s="145">
        <v>0</v>
      </c>
      <c r="Y261" s="165">
        <v>0</v>
      </c>
      <c r="Z261" s="145">
        <f>Y261*Valores!$C$2</f>
        <v>0</v>
      </c>
      <c r="AA261" s="145">
        <v>0</v>
      </c>
      <c r="AB261" s="148">
        <f>IF(Valores!$C$92*D261&gt;Valores!$C$91,Valores!$C$91,Valores!$C$92*D261)</f>
        <v>923.0769230769233</v>
      </c>
      <c r="AC261" s="150">
        <f>IF((Valores!$C$33)*D261&gt;Valores!$F$33,Valores!$F$33,(Valores!$C$33)*D261)</f>
        <v>128.06144</v>
      </c>
      <c r="AD261" s="145">
        <f t="shared" si="38"/>
        <v>0</v>
      </c>
      <c r="AE261" s="145">
        <f>IF(Valores!$C$34*D261&gt;Valores!$F$34,Valores!$F$34,Valores!$C$34*D261)</f>
        <v>106.60249600000002</v>
      </c>
      <c r="AF261" s="149">
        <v>94</v>
      </c>
      <c r="AG261" s="145">
        <f>INT(((AF261*Valores!$C$2)*100)+0.5)/100</f>
        <v>877.93</v>
      </c>
      <c r="AH261" s="145">
        <f>IF($H$5="NO",IF(Valores!$D$59*'Escala Docente'!D261&gt;Valores!$F$59,Valores!$F$59,Valores!$D$59*'Escala Docente'!D261),IF(Valores!$D$59*'Escala Docente'!D261&gt;Valores!$F$59,Valores!$F$59,Valores!$D$59*'Escala Docente'!D261)/2)</f>
        <v>433.6384</v>
      </c>
      <c r="AI261" s="145">
        <f>IF($H$5="NO",IF(Valores!$D$61*D261&gt;Valores!$F$61,Valores!$F$61,Valores!$D$61*D261),IF(Valores!$D$61*D261&gt;Valores!$F$61,Valores!$F$61,Valores!$D$61*D261)/2)</f>
        <v>123.9072</v>
      </c>
      <c r="AJ261" s="151">
        <f t="shared" si="39"/>
        <v>28912.037459076924</v>
      </c>
      <c r="AK261" s="159">
        <f>IF(Valores!$C$37*D261&gt;Valores!$F$37,Valores!$F$37,Valores!$C$37*D261)</f>
        <v>1116.64</v>
      </c>
      <c r="AL261" s="148">
        <f>IF(Valores!$C$11*D261&gt;Valores!$F$11,Valores!$F$11,Valores!$C$11*D261)</f>
        <v>0</v>
      </c>
      <c r="AM261" s="148">
        <f>IF(Valores!$C$87*D261&gt;Valores!$C$86,Valores!$C$86,Valores!$C$87*D261)</f>
        <v>1819.9999999999998</v>
      </c>
      <c r="AN261" s="148"/>
      <c r="AO261" s="150">
        <f>IF(Valores!$C$58*D261&gt;Valores!$F$58,Valores!$F$58,Valores!$C$58*D261)</f>
        <v>181.68</v>
      </c>
      <c r="AP261" s="152">
        <f t="shared" si="37"/>
        <v>2936.64</v>
      </c>
      <c r="AQ261" s="154">
        <f>AJ261*-Valores!$C$68</f>
        <v>-3180.3241204984615</v>
      </c>
      <c r="AR261" s="154">
        <f>AJ261*-Valores!$C$69</f>
        <v>0</v>
      </c>
      <c r="AS261" s="147">
        <f>AJ261*-Valores!$C$70</f>
        <v>-1301.0416856584616</v>
      </c>
      <c r="AT261" s="147">
        <v>-159.43</v>
      </c>
      <c r="AU261" s="147">
        <f t="shared" si="40"/>
        <v>-53.83</v>
      </c>
      <c r="AV261" s="151">
        <f t="shared" si="41"/>
        <v>27154.05165292</v>
      </c>
      <c r="AW261" s="155"/>
      <c r="AX261" s="155">
        <f t="shared" si="45"/>
        <v>64</v>
      </c>
      <c r="AY261" s="140" t="s">
        <v>4</v>
      </c>
    </row>
    <row r="262" spans="1:51" s="117" customFormat="1" ht="11.25" customHeight="1">
      <c r="A262" s="157">
        <v>260</v>
      </c>
      <c r="B262" s="157" t="s">
        <v>143</v>
      </c>
      <c r="C262" s="140" t="s">
        <v>501</v>
      </c>
      <c r="D262" s="140">
        <v>17</v>
      </c>
      <c r="E262" s="140">
        <f t="shared" si="34"/>
        <v>34</v>
      </c>
      <c r="F262" s="141" t="str">
        <f>CONCATENATE("Hora Cátedra Enseñanza Media ",D262," hs")</f>
        <v>Hora Cátedra Enseñanza Media 17 hs</v>
      </c>
      <c r="G262" s="142">
        <f aca="true" t="shared" si="46" ref="G262:G293">79*D262</f>
        <v>1343</v>
      </c>
      <c r="H262" s="143">
        <f>INT((G262*Valores!$C$2*100)+0.49)/100</f>
        <v>12543.22</v>
      </c>
      <c r="I262" s="161">
        <v>0</v>
      </c>
      <c r="J262" s="145">
        <f>INT((I262*Valores!$C$2*100)+0.5)/100</f>
        <v>0</v>
      </c>
      <c r="K262" s="160">
        <v>0</v>
      </c>
      <c r="L262" s="145">
        <f>INT((K262*Valores!$C$2*100)+0.5)/100</f>
        <v>0</v>
      </c>
      <c r="M262" s="158">
        <v>0</v>
      </c>
      <c r="N262" s="145">
        <f>INT((M262*Valores!$C$2*100)+0.5)/100</f>
        <v>0</v>
      </c>
      <c r="O262" s="145">
        <f t="shared" si="35"/>
        <v>2300.2185</v>
      </c>
      <c r="P262" s="145">
        <f t="shared" si="36"/>
        <v>0</v>
      </c>
      <c r="Q262" s="159">
        <f>Valores!$C$14*D262</f>
        <v>5255.89</v>
      </c>
      <c r="R262" s="159">
        <f>IF(D262&lt;15,(Valores!$E$4*D262),Valores!$D$4)</f>
        <v>4774.45</v>
      </c>
      <c r="S262" s="145">
        <v>0</v>
      </c>
      <c r="T262" s="148">
        <f>IF($H$5="NO",IF(Valores!$C$46*D262&gt;Valores!$C$44,Valores!$C$44,Valores!$C$46*D262),IF(Valores!$C$46*D262&gt;Valores!$C$44,Valores!$C$44,Valores!$C$46*D262)/2)</f>
        <v>1160.25</v>
      </c>
      <c r="U262" s="159">
        <f>Valores!$C$23*D262</f>
        <v>1631.32</v>
      </c>
      <c r="V262" s="145">
        <f t="shared" si="44"/>
        <v>1631.32</v>
      </c>
      <c r="W262" s="145">
        <v>0</v>
      </c>
      <c r="X262" s="145">
        <v>0</v>
      </c>
      <c r="Y262" s="165">
        <v>0</v>
      </c>
      <c r="Z262" s="145">
        <f>Y262*Valores!$C$2</f>
        <v>0</v>
      </c>
      <c r="AA262" s="145">
        <v>0</v>
      </c>
      <c r="AB262" s="148">
        <f>IF(Valores!$C$92*D262&gt;Valores!$C$91,Valores!$C$91,Valores!$C$92*D262)</f>
        <v>980.7692307692311</v>
      </c>
      <c r="AC262" s="150">
        <f>IF((Valores!$C$33)*D262&gt;Valores!$F$33,Valores!$F$33,(Valores!$C$33)*D262)</f>
        <v>136.06528</v>
      </c>
      <c r="AD262" s="145">
        <f t="shared" si="38"/>
        <v>0</v>
      </c>
      <c r="AE262" s="145">
        <f>IF(Valores!$C$34*D262&gt;Valores!$F$34,Valores!$F$34,Valores!$C$34*D262)</f>
        <v>113.26515200000001</v>
      </c>
      <c r="AF262" s="149">
        <v>0</v>
      </c>
      <c r="AG262" s="145">
        <f>INT(((AF262*Valores!$C$2)*100)+0.5)/100</f>
        <v>0</v>
      </c>
      <c r="AH262" s="145">
        <f>IF($H$5="NO",IF(Valores!$D$59*'Escala Docente'!D262&gt;Valores!$F$59,Valores!$F$59,Valores!$D$59*'Escala Docente'!D262),IF(Valores!$D$59*'Escala Docente'!D262&gt;Valores!$F$59,Valores!$F$59,Valores!$D$59*'Escala Docente'!D262)/2)</f>
        <v>460.7408</v>
      </c>
      <c r="AI262" s="145">
        <f>IF($H$5="NO",IF(Valores!$D$61*D262&gt;Valores!$F$61,Valores!$F$61,Valores!$D$61*D262),IF(Valores!$D$61*D262&gt;Valores!$F$61,Valores!$F$61,Valores!$D$61*D262)/2)</f>
        <v>131.6514</v>
      </c>
      <c r="AJ262" s="151">
        <f t="shared" si="39"/>
        <v>29487.840362769228</v>
      </c>
      <c r="AK262" s="159">
        <f>IF(Valores!$C$37*D262&gt;Valores!$F$37,Valores!$F$37,Valores!$C$37*D262)</f>
        <v>1186.43</v>
      </c>
      <c r="AL262" s="148">
        <f>IF(Valores!$C$11*D262&gt;Valores!$F$11,Valores!$F$11,Valores!$C$11*D262)</f>
        <v>0</v>
      </c>
      <c r="AM262" s="148">
        <f>IF(Valores!$C$87*D262&gt;Valores!$C$86,Valores!$C$86,Valores!$C$87*D262)</f>
        <v>1933.7499999999998</v>
      </c>
      <c r="AN262" s="148"/>
      <c r="AO262" s="150">
        <f>IF(Valores!$C$58*D262&gt;Valores!$F$58,Valores!$F$58,Valores!$C$58*D262)</f>
        <v>193.035</v>
      </c>
      <c r="AP262" s="152">
        <f t="shared" si="37"/>
        <v>3120.18</v>
      </c>
      <c r="AQ262" s="154">
        <f>AJ262*-Valores!$C$68</f>
        <v>-3243.662439904615</v>
      </c>
      <c r="AR262" s="154">
        <f>AJ262*-Valores!$C$69</f>
        <v>0</v>
      </c>
      <c r="AS262" s="147">
        <f>AJ262*-Valores!$C$70</f>
        <v>-1326.9528163246152</v>
      </c>
      <c r="AT262" s="147">
        <v>-159.43</v>
      </c>
      <c r="AU262" s="147">
        <f t="shared" si="40"/>
        <v>-53.83</v>
      </c>
      <c r="AV262" s="151">
        <f t="shared" si="41"/>
        <v>27824.145106539996</v>
      </c>
      <c r="AW262" s="155"/>
      <c r="AX262" s="155">
        <f t="shared" si="45"/>
        <v>68</v>
      </c>
      <c r="AY262" s="140" t="s">
        <v>4</v>
      </c>
    </row>
    <row r="263" spans="1:51" s="117" customFormat="1" ht="11.25" customHeight="1">
      <c r="A263" s="139">
        <v>261</v>
      </c>
      <c r="B263" s="139"/>
      <c r="C263" s="140" t="s">
        <v>501</v>
      </c>
      <c r="D263" s="140">
        <v>17</v>
      </c>
      <c r="E263" s="140">
        <f t="shared" si="34"/>
        <v>42</v>
      </c>
      <c r="F263" s="141" t="str">
        <f>CONCATENATE("Hora Cátedra Enseñanza Media ",D263," hs Esc Esp")</f>
        <v>Hora Cátedra Enseñanza Media 17 hs Esc Esp</v>
      </c>
      <c r="G263" s="142">
        <f t="shared" si="46"/>
        <v>1343</v>
      </c>
      <c r="H263" s="143">
        <f>INT((G263*Valores!$C$2*100)+0.49)/100</f>
        <v>12543.22</v>
      </c>
      <c r="I263" s="161">
        <v>0</v>
      </c>
      <c r="J263" s="145">
        <f>INT((I263*Valores!$C$2*100)+0.5)/100</f>
        <v>0</v>
      </c>
      <c r="K263" s="160">
        <v>0</v>
      </c>
      <c r="L263" s="145">
        <f>INT((K263*Valores!$C$2*100)+0.5)/100</f>
        <v>0</v>
      </c>
      <c r="M263" s="158">
        <v>0</v>
      </c>
      <c r="N263" s="145">
        <f>INT((M263*Valores!$C$2*100)+0.5)/100</f>
        <v>0</v>
      </c>
      <c r="O263" s="145">
        <f t="shared" si="35"/>
        <v>2300.2185</v>
      </c>
      <c r="P263" s="145">
        <f t="shared" si="36"/>
        <v>0</v>
      </c>
      <c r="Q263" s="159">
        <f>Valores!$C$14*D263</f>
        <v>5255.89</v>
      </c>
      <c r="R263" s="159">
        <f>IF(D263&lt;15,(Valores!$E$4*D263),Valores!$D$4)</f>
        <v>4774.45</v>
      </c>
      <c r="S263" s="145">
        <v>0</v>
      </c>
      <c r="T263" s="148">
        <f>IF($H$5="NO",IF(Valores!$C$46*D263&gt;Valores!$C$44,Valores!$C$44,Valores!$C$46*D263),IF(Valores!$C$46*D263&gt;Valores!$C$44,Valores!$C$44,Valores!$C$46*D263)/2)</f>
        <v>1160.25</v>
      </c>
      <c r="U263" s="159">
        <f>Valores!$C$23*D263</f>
        <v>1631.32</v>
      </c>
      <c r="V263" s="145">
        <f t="shared" si="44"/>
        <v>1631.32</v>
      </c>
      <c r="W263" s="145">
        <v>0</v>
      </c>
      <c r="X263" s="145">
        <v>0</v>
      </c>
      <c r="Y263" s="165">
        <v>0</v>
      </c>
      <c r="Z263" s="145">
        <f>Y263*Valores!$C$2</f>
        <v>0</v>
      </c>
      <c r="AA263" s="145">
        <v>0</v>
      </c>
      <c r="AB263" s="148">
        <f>IF(Valores!$C$92*D263&gt;Valores!$C$91,Valores!$C$91,Valores!$C$92*D263)</f>
        <v>980.7692307692311</v>
      </c>
      <c r="AC263" s="150">
        <f>IF((Valores!$C$33)*D263&gt;Valores!$F$33,Valores!$F$33,(Valores!$C$33)*D263)</f>
        <v>136.06528</v>
      </c>
      <c r="AD263" s="145">
        <f t="shared" si="38"/>
        <v>0</v>
      </c>
      <c r="AE263" s="145">
        <f>IF(Valores!$C$34*D263&gt;Valores!$F$34,Valores!$F$34,Valores!$C$34*D263)</f>
        <v>113.26515200000001</v>
      </c>
      <c r="AF263" s="149">
        <v>94</v>
      </c>
      <c r="AG263" s="145">
        <f>INT(((AF263*Valores!$C$2)*100)+0.5)/100</f>
        <v>877.93</v>
      </c>
      <c r="AH263" s="145">
        <f>IF($H$5="NO",IF(Valores!$D$59*'Escala Docente'!D263&gt;Valores!$F$59,Valores!$F$59,Valores!$D$59*'Escala Docente'!D263),IF(Valores!$D$59*'Escala Docente'!D263&gt;Valores!$F$59,Valores!$F$59,Valores!$D$59*'Escala Docente'!D263)/2)</f>
        <v>460.7408</v>
      </c>
      <c r="AI263" s="145">
        <f>IF($H$5="NO",IF(Valores!$D$61*D263&gt;Valores!$F$61,Valores!$F$61,Valores!$D$61*D263),IF(Valores!$D$61*D263&gt;Valores!$F$61,Valores!$F$61,Valores!$D$61*D263)/2)</f>
        <v>131.6514</v>
      </c>
      <c r="AJ263" s="151">
        <f t="shared" si="39"/>
        <v>30365.770362769228</v>
      </c>
      <c r="AK263" s="159">
        <f>IF(Valores!$C$37*D263&gt;Valores!$F$37,Valores!$F$37,Valores!$C$37*D263)</f>
        <v>1186.43</v>
      </c>
      <c r="AL263" s="148">
        <f>IF(Valores!$C$11*D263&gt;Valores!$F$11,Valores!$F$11,Valores!$C$11*D263)</f>
        <v>0</v>
      </c>
      <c r="AM263" s="148">
        <f>IF(Valores!$C$87*D263&gt;Valores!$C$86,Valores!$C$86,Valores!$C$87*D263)</f>
        <v>1933.7499999999998</v>
      </c>
      <c r="AN263" s="148"/>
      <c r="AO263" s="150">
        <f>IF(Valores!$C$58*D263&gt;Valores!$F$58,Valores!$F$58,Valores!$C$58*D263)</f>
        <v>193.035</v>
      </c>
      <c r="AP263" s="152">
        <f t="shared" si="37"/>
        <v>3120.18</v>
      </c>
      <c r="AQ263" s="154">
        <f>AJ263*-Valores!$C$68</f>
        <v>-3340.2347399046153</v>
      </c>
      <c r="AR263" s="154">
        <f>AJ263*-Valores!$C$69</f>
        <v>0</v>
      </c>
      <c r="AS263" s="147">
        <f>AJ263*-Valores!$C$70</f>
        <v>-1366.4596663246152</v>
      </c>
      <c r="AT263" s="147">
        <v>-159.43</v>
      </c>
      <c r="AU263" s="147">
        <f t="shared" si="40"/>
        <v>-53.83</v>
      </c>
      <c r="AV263" s="151">
        <f t="shared" si="41"/>
        <v>28565.99595653999</v>
      </c>
      <c r="AW263" s="155"/>
      <c r="AX263" s="155">
        <f t="shared" si="45"/>
        <v>68</v>
      </c>
      <c r="AY263" s="140" t="s">
        <v>4</v>
      </c>
    </row>
    <row r="264" spans="1:51" s="117" customFormat="1" ht="11.25" customHeight="1">
      <c r="A264" s="139">
        <v>262</v>
      </c>
      <c r="B264" s="139"/>
      <c r="C264" s="140" t="s">
        <v>501</v>
      </c>
      <c r="D264" s="140">
        <v>18</v>
      </c>
      <c r="E264" s="140">
        <f aca="true" t="shared" si="47" ref="E264:E327">LEN(F264)</f>
        <v>34</v>
      </c>
      <c r="F264" s="141" t="str">
        <f>CONCATENATE("Hora Cátedra Enseñanza Media ",D264," hs")</f>
        <v>Hora Cátedra Enseñanza Media 18 hs</v>
      </c>
      <c r="G264" s="142">
        <f t="shared" si="46"/>
        <v>1422</v>
      </c>
      <c r="H264" s="143">
        <f>INT((G264*Valores!$C$2*100)+0.49)/100</f>
        <v>13281.05</v>
      </c>
      <c r="I264" s="161">
        <v>0</v>
      </c>
      <c r="J264" s="145">
        <f>INT((I264*Valores!$C$2*100)+0.5)/100</f>
        <v>0</v>
      </c>
      <c r="K264" s="160">
        <v>0</v>
      </c>
      <c r="L264" s="145">
        <f>INT((K264*Valores!$C$2*100)+0.5)/100</f>
        <v>0</v>
      </c>
      <c r="M264" s="158">
        <v>0</v>
      </c>
      <c r="N264" s="145">
        <f>INT((M264*Valores!$C$2*100)+0.5)/100</f>
        <v>0</v>
      </c>
      <c r="O264" s="145">
        <f aca="true" t="shared" si="48" ref="O264:O327">IF($J$2=0,IF(C264&lt;&gt;"13-930",(SUM(H264,J264,L264,N264,Z264,U264,T264)*$O$2),0),0)</f>
        <v>2435.5245</v>
      </c>
      <c r="P264" s="145">
        <f aca="true" t="shared" si="49" ref="P264:P328">SUM(H264,J264,L264,N264,Z264,T264)*$J$2</f>
        <v>0</v>
      </c>
      <c r="Q264" s="159">
        <f>Valores!$C$14*D264</f>
        <v>5565.06</v>
      </c>
      <c r="R264" s="159">
        <f>IF(D264&lt;15,(Valores!$E$4*D264),Valores!$D$4)</f>
        <v>4774.45</v>
      </c>
      <c r="S264" s="145">
        <v>0</v>
      </c>
      <c r="T264" s="148">
        <f>IF($H$5="NO",IF(Valores!$C$46*D264&gt;Valores!$C$44,Valores!$C$44,Valores!$C$46*D264),IF(Valores!$C$46*D264&gt;Valores!$C$44,Valores!$C$44,Valores!$C$46*D264)/2)</f>
        <v>1228.5</v>
      </c>
      <c r="U264" s="159">
        <f>Valores!$C$23*D264</f>
        <v>1727.28</v>
      </c>
      <c r="V264" s="145">
        <f t="shared" si="44"/>
        <v>1727.28</v>
      </c>
      <c r="W264" s="145">
        <v>0</v>
      </c>
      <c r="X264" s="145">
        <v>0</v>
      </c>
      <c r="Y264" s="165">
        <v>0</v>
      </c>
      <c r="Z264" s="145">
        <f>Y264*Valores!$C$2</f>
        <v>0</v>
      </c>
      <c r="AA264" s="145">
        <v>0</v>
      </c>
      <c r="AB264" s="148">
        <f>IF(Valores!$C$92*D264&gt;Valores!$C$91,Valores!$C$91,Valores!$C$92*D264)</f>
        <v>1038.4615384615388</v>
      </c>
      <c r="AC264" s="150">
        <f>IF((Valores!$C$33)*D264&gt;Valores!$F$33,Valores!$F$33,(Valores!$C$33)*D264)</f>
        <v>144.06912</v>
      </c>
      <c r="AD264" s="145">
        <f t="shared" si="38"/>
        <v>0</v>
      </c>
      <c r="AE264" s="145">
        <f>IF(Valores!$C$34*D264&gt;Valores!$F$34,Valores!$F$34,Valores!$C$34*D264)</f>
        <v>119.92780800000001</v>
      </c>
      <c r="AF264" s="149">
        <v>0</v>
      </c>
      <c r="AG264" s="145">
        <f>INT(((AF264*Valores!$C$2)*100)+0.5)/100</f>
        <v>0</v>
      </c>
      <c r="AH264" s="145">
        <f>IF($H$5="NO",IF(Valores!$D$59*'Escala Docente'!D264&gt;Valores!$F$59,Valores!$F$59,Valores!$D$59*'Escala Docente'!D264),IF(Valores!$D$59*'Escala Docente'!D264&gt;Valores!$F$59,Valores!$F$59,Valores!$D$59*'Escala Docente'!D264)/2)</f>
        <v>487.84319999999997</v>
      </c>
      <c r="AI264" s="145">
        <f>IF($H$5="NO",IF(Valores!$D$61*D264&gt;Valores!$F$61,Valores!$F$61,Valores!$D$61*D264),IF(Valores!$D$61*D264&gt;Valores!$F$61,Valores!$F$61,Valores!$D$61*D264)/2)</f>
        <v>139.3956</v>
      </c>
      <c r="AJ264" s="151">
        <f t="shared" si="39"/>
        <v>30941.56176646154</v>
      </c>
      <c r="AK264" s="159">
        <f>IF(Valores!$C$37*D264&gt;Valores!$F$37,Valores!$F$37,Valores!$C$37*D264)</f>
        <v>1256.22</v>
      </c>
      <c r="AL264" s="148">
        <f>IF(Valores!$C$11*D264&gt;Valores!$F$11,Valores!$F$11,Valores!$C$11*D264)</f>
        <v>0</v>
      </c>
      <c r="AM264" s="148">
        <f>IF(Valores!$C$87*D264&gt;Valores!$C$86,Valores!$C$86,Valores!$C$87*D264)</f>
        <v>2047.4999999999998</v>
      </c>
      <c r="AN264" s="148"/>
      <c r="AO264" s="150">
        <f>IF(Valores!$C$58*D264&gt;Valores!$F$58,Valores!$F$58,Valores!$C$58*D264)</f>
        <v>204.39000000000001</v>
      </c>
      <c r="AP264" s="152">
        <f aca="true" t="shared" si="50" ref="AP264:AP327">IF($H$4="SI",SUM(AK264:AO264),SUM(AK264:AM264))</f>
        <v>3303.72</v>
      </c>
      <c r="AQ264" s="154">
        <f>AJ264*-Valores!$C$68</f>
        <v>-3403.5717943107693</v>
      </c>
      <c r="AR264" s="154">
        <f>AJ264*-Valores!$C$69</f>
        <v>0</v>
      </c>
      <c r="AS264" s="147">
        <f>AJ264*-Valores!$C$70</f>
        <v>-1392.3702794907692</v>
      </c>
      <c r="AT264" s="147">
        <v>-159.43</v>
      </c>
      <c r="AU264" s="147">
        <f t="shared" si="40"/>
        <v>-53.83</v>
      </c>
      <c r="AV264" s="151">
        <f t="shared" si="41"/>
        <v>29236.079692659998</v>
      </c>
      <c r="AW264" s="155"/>
      <c r="AX264" s="155">
        <f t="shared" si="45"/>
        <v>72</v>
      </c>
      <c r="AY264" s="140" t="s">
        <v>4</v>
      </c>
    </row>
    <row r="265" spans="1:51" s="117" customFormat="1" ht="11.25" customHeight="1">
      <c r="A265" s="139">
        <v>263</v>
      </c>
      <c r="B265" s="139"/>
      <c r="C265" s="140" t="s">
        <v>501</v>
      </c>
      <c r="D265" s="140">
        <v>18</v>
      </c>
      <c r="E265" s="140">
        <f t="shared" si="47"/>
        <v>42</v>
      </c>
      <c r="F265" s="141" t="str">
        <f>CONCATENATE("Hora Cátedra Enseñanza Media ",D265," hs Esc Esp")</f>
        <v>Hora Cátedra Enseñanza Media 18 hs Esc Esp</v>
      </c>
      <c r="G265" s="142">
        <f t="shared" si="46"/>
        <v>1422</v>
      </c>
      <c r="H265" s="143">
        <f>INT((G265*Valores!$C$2*100)+0.49)/100</f>
        <v>13281.05</v>
      </c>
      <c r="I265" s="161">
        <v>0</v>
      </c>
      <c r="J265" s="145">
        <f>INT((I265*Valores!$C$2*100)+0.5)/100</f>
        <v>0</v>
      </c>
      <c r="K265" s="160">
        <v>0</v>
      </c>
      <c r="L265" s="145">
        <f>INT((K265*Valores!$C$2*100)+0.5)/100</f>
        <v>0</v>
      </c>
      <c r="M265" s="158">
        <v>0</v>
      </c>
      <c r="N265" s="145">
        <f>INT((M265*Valores!$C$2*100)+0.5)/100</f>
        <v>0</v>
      </c>
      <c r="O265" s="145">
        <f t="shared" si="48"/>
        <v>2435.5245</v>
      </c>
      <c r="P265" s="145">
        <f t="shared" si="49"/>
        <v>0</v>
      </c>
      <c r="Q265" s="159">
        <f>Valores!$C$14*D265</f>
        <v>5565.06</v>
      </c>
      <c r="R265" s="159">
        <f>IF(D265&lt;15,(Valores!$E$4*D265),Valores!$D$4)</f>
        <v>4774.45</v>
      </c>
      <c r="S265" s="145">
        <v>0</v>
      </c>
      <c r="T265" s="148">
        <f>IF($H$5="NO",IF(Valores!$C$46*D265&gt;Valores!$C$44,Valores!$C$44,Valores!$C$46*D265),IF(Valores!$C$46*D265&gt;Valores!$C$44,Valores!$C$44,Valores!$C$46*D265)/2)</f>
        <v>1228.5</v>
      </c>
      <c r="U265" s="159">
        <f>Valores!$C$23*D265</f>
        <v>1727.28</v>
      </c>
      <c r="V265" s="145">
        <f t="shared" si="44"/>
        <v>1727.28</v>
      </c>
      <c r="W265" s="145">
        <v>0</v>
      </c>
      <c r="X265" s="145">
        <v>0</v>
      </c>
      <c r="Y265" s="165">
        <v>0</v>
      </c>
      <c r="Z265" s="145">
        <f>Y265*Valores!$C$2</f>
        <v>0</v>
      </c>
      <c r="AA265" s="145">
        <v>0</v>
      </c>
      <c r="AB265" s="148">
        <f>IF(Valores!$C$92*D265&gt;Valores!$C$91,Valores!$C$91,Valores!$C$92*D265)</f>
        <v>1038.4615384615388</v>
      </c>
      <c r="AC265" s="150">
        <f>IF((Valores!$C$33)*D265&gt;Valores!$F$33,Valores!$F$33,(Valores!$C$33)*D265)</f>
        <v>144.06912</v>
      </c>
      <c r="AD265" s="145">
        <f aca="true" t="shared" si="51" ref="AD265:AD328">SUM(H265,J265,L265,Z265,T265)*$H$3/100</f>
        <v>0</v>
      </c>
      <c r="AE265" s="145">
        <f>IF(Valores!$C$34*D265&gt;Valores!$F$34,Valores!$F$34,Valores!$C$34*D265)</f>
        <v>119.92780800000001</v>
      </c>
      <c r="AF265" s="149">
        <v>94</v>
      </c>
      <c r="AG265" s="145">
        <f>INT(((AF265*Valores!$C$2)*100)+0.5)/100</f>
        <v>877.93</v>
      </c>
      <c r="AH265" s="145">
        <f>IF($H$5="NO",IF(Valores!$D$59*'Escala Docente'!D265&gt;Valores!$F$59,Valores!$F$59,Valores!$D$59*'Escala Docente'!D265),IF(Valores!$D$59*'Escala Docente'!D265&gt;Valores!$F$59,Valores!$F$59,Valores!$D$59*'Escala Docente'!D265)/2)</f>
        <v>487.84319999999997</v>
      </c>
      <c r="AI265" s="145">
        <f>IF($H$5="NO",IF(Valores!$D$61*D265&gt;Valores!$F$61,Valores!$F$61,Valores!$D$61*D265),IF(Valores!$D$61*D265&gt;Valores!$F$61,Valores!$F$61,Valores!$D$61*D265)/2)</f>
        <v>139.3956</v>
      </c>
      <c r="AJ265" s="151">
        <f aca="true" t="shared" si="52" ref="AJ265:AJ328">SUM(H265,J265,L265,N265,O265,P265,Q265,R265,S265,V265,W265,X265,Z265,AA265,AC265,AD265,AE265,AG265,T265,AH265,AI265,AB265)</f>
        <v>31819.49176646154</v>
      </c>
      <c r="AK265" s="159">
        <f>IF(Valores!$C$37*D265&gt;Valores!$F$37,Valores!$F$37,Valores!$C$37*D265)</f>
        <v>1256.22</v>
      </c>
      <c r="AL265" s="148">
        <f>IF(Valores!$C$11*D265&gt;Valores!$F$11,Valores!$F$11,Valores!$C$11*D265)</f>
        <v>0</v>
      </c>
      <c r="AM265" s="148">
        <f>IF(Valores!$C$87*D265&gt;Valores!$C$86,Valores!$C$86,Valores!$C$87*D265)</f>
        <v>2047.4999999999998</v>
      </c>
      <c r="AN265" s="148"/>
      <c r="AO265" s="150">
        <f>IF(Valores!$C$58*D265&gt;Valores!$F$58,Valores!$F$58,Valores!$C$58*D265)</f>
        <v>204.39000000000001</v>
      </c>
      <c r="AP265" s="152">
        <f t="shared" si="50"/>
        <v>3303.72</v>
      </c>
      <c r="AQ265" s="154">
        <f>AJ265*-Valores!$C$68</f>
        <v>-3500.144094310769</v>
      </c>
      <c r="AR265" s="154">
        <f>AJ265*-Valores!$C$69</f>
        <v>0</v>
      </c>
      <c r="AS265" s="147">
        <f>AJ265*-Valores!$C$70</f>
        <v>-1431.8771294907692</v>
      </c>
      <c r="AT265" s="147">
        <v>-159.43</v>
      </c>
      <c r="AU265" s="147">
        <f aca="true" t="shared" si="53" ref="AU265:AU328">IF($H$6=0,-53.83,(-53.83+$H$6*(-53.83)))</f>
        <v>-53.83</v>
      </c>
      <c r="AV265" s="151">
        <f aca="true" t="shared" si="54" ref="AV265:AV328">AJ265+AP265+AR265+AS265+AQ265+AT265+AU265</f>
        <v>29977.930542659993</v>
      </c>
      <c r="AW265" s="155"/>
      <c r="AX265" s="155">
        <f t="shared" si="45"/>
        <v>72</v>
      </c>
      <c r="AY265" s="140" t="s">
        <v>4</v>
      </c>
    </row>
    <row r="266" spans="1:51" s="117" customFormat="1" ht="11.25" customHeight="1">
      <c r="A266" s="139">
        <v>264</v>
      </c>
      <c r="B266" s="139"/>
      <c r="C266" s="140" t="s">
        <v>501</v>
      </c>
      <c r="D266" s="140">
        <v>19</v>
      </c>
      <c r="E266" s="140">
        <f t="shared" si="47"/>
        <v>34</v>
      </c>
      <c r="F266" s="141" t="str">
        <f>CONCATENATE("Hora Cátedra Enseñanza Media ",D266," hs")</f>
        <v>Hora Cátedra Enseñanza Media 19 hs</v>
      </c>
      <c r="G266" s="142">
        <f t="shared" si="46"/>
        <v>1501</v>
      </c>
      <c r="H266" s="143">
        <f>INT((G266*Valores!$C$2*100)+0.49)/100</f>
        <v>14018.89</v>
      </c>
      <c r="I266" s="161">
        <v>0</v>
      </c>
      <c r="J266" s="145">
        <f>INT((I266*Valores!$C$2*100)+0.5)/100</f>
        <v>0</v>
      </c>
      <c r="K266" s="160">
        <v>0</v>
      </c>
      <c r="L266" s="145">
        <f>INT((K266*Valores!$C$2*100)+0.5)/100</f>
        <v>0</v>
      </c>
      <c r="M266" s="158">
        <v>0</v>
      </c>
      <c r="N266" s="145">
        <f>INT((M266*Valores!$C$2*100)+0.5)/100</f>
        <v>0</v>
      </c>
      <c r="O266" s="145">
        <f t="shared" si="48"/>
        <v>2570.8319999999994</v>
      </c>
      <c r="P266" s="145">
        <f t="shared" si="49"/>
        <v>0</v>
      </c>
      <c r="Q266" s="159">
        <f>Valores!$C$14*D266</f>
        <v>5874.2300000000005</v>
      </c>
      <c r="R266" s="159">
        <f>IF(D266&lt;15,(Valores!$E$4*D266),Valores!$D$4)</f>
        <v>4774.45</v>
      </c>
      <c r="S266" s="145">
        <v>0</v>
      </c>
      <c r="T266" s="148">
        <f>IF($H$5="NO",IF(Valores!$C$46*D266&gt;Valores!$C$44,Valores!$C$44,Valores!$C$46*D266),IF(Valores!$C$46*D266&gt;Valores!$C$44,Valores!$C$44,Valores!$C$46*D266)/2)</f>
        <v>1296.75</v>
      </c>
      <c r="U266" s="159">
        <f>Valores!$C$23*D266</f>
        <v>1823.2399999999998</v>
      </c>
      <c r="V266" s="145">
        <f t="shared" si="44"/>
        <v>1823.2399999999998</v>
      </c>
      <c r="W266" s="145">
        <v>0</v>
      </c>
      <c r="X266" s="145">
        <v>0</v>
      </c>
      <c r="Y266" s="165">
        <v>0</v>
      </c>
      <c r="Z266" s="145">
        <f>Y266*Valores!$C$2</f>
        <v>0</v>
      </c>
      <c r="AA266" s="145">
        <v>0</v>
      </c>
      <c r="AB266" s="148">
        <f>IF(Valores!$C$92*D266&gt;Valores!$C$91,Valores!$C$91,Valores!$C$92*D266)</f>
        <v>1096.1538461538464</v>
      </c>
      <c r="AC266" s="150">
        <f>IF((Valores!$C$33)*D266&gt;Valores!$F$33,Valores!$F$33,(Valores!$C$33)*D266)</f>
        <v>152.07296</v>
      </c>
      <c r="AD266" s="145">
        <f t="shared" si="51"/>
        <v>0</v>
      </c>
      <c r="AE266" s="145">
        <f>IF(Valores!$C$34*D266&gt;Valores!$F$34,Valores!$F$34,Valores!$C$34*D266)</f>
        <v>126.59046400000003</v>
      </c>
      <c r="AF266" s="149">
        <v>0</v>
      </c>
      <c r="AG266" s="145">
        <f>INT(((AF266*Valores!$C$2)*100)+0.5)/100</f>
        <v>0</v>
      </c>
      <c r="AH266" s="145">
        <f>IF($H$5="NO",IF(Valores!$D$59*'Escala Docente'!D266&gt;Valores!$F$59,Valores!$F$59,Valores!$D$59*'Escala Docente'!D266),IF(Valores!$D$59*'Escala Docente'!D266&gt;Valores!$F$59,Valores!$F$59,Valores!$D$59*'Escala Docente'!D266)/2)</f>
        <v>514.9456</v>
      </c>
      <c r="AI266" s="145">
        <f>IF($H$5="NO",IF(Valores!$D$61*D266&gt;Valores!$F$61,Valores!$F$61,Valores!$D$61*D266),IF(Valores!$D$61*D266&gt;Valores!$F$61,Valores!$F$61,Valores!$D$61*D266)/2)</f>
        <v>147.1398</v>
      </c>
      <c r="AJ266" s="151">
        <f t="shared" si="52"/>
        <v>32395.29467015385</v>
      </c>
      <c r="AK266" s="159">
        <f>IF(Valores!$C$37*D266&gt;Valores!$F$37,Valores!$F$37,Valores!$C$37*D266)</f>
        <v>1326.0100000000002</v>
      </c>
      <c r="AL266" s="148">
        <f>IF(Valores!$C$11*D266&gt;Valores!$F$11,Valores!$F$11,Valores!$C$11*D266)</f>
        <v>0</v>
      </c>
      <c r="AM266" s="148">
        <f>IF(Valores!$C$87*D266&gt;Valores!$C$86,Valores!$C$86,Valores!$C$87*D266)</f>
        <v>2161.2499999999995</v>
      </c>
      <c r="AN266" s="148"/>
      <c r="AO266" s="150">
        <f>IF(Valores!$C$58*D266&gt;Valores!$F$58,Valores!$F$58,Valores!$C$58*D266)</f>
        <v>215.745</v>
      </c>
      <c r="AP266" s="152">
        <f t="shared" si="50"/>
        <v>3487.2599999999998</v>
      </c>
      <c r="AQ266" s="154">
        <f>AJ266*-Valores!$C$68</f>
        <v>-3563.4824137169235</v>
      </c>
      <c r="AR266" s="154">
        <f>AJ266*-Valores!$C$69</f>
        <v>0</v>
      </c>
      <c r="AS266" s="147">
        <f>AJ266*-Valores!$C$70</f>
        <v>-1457.7882601569231</v>
      </c>
      <c r="AT266" s="147">
        <v>-159.43</v>
      </c>
      <c r="AU266" s="147">
        <f t="shared" si="53"/>
        <v>-53.83</v>
      </c>
      <c r="AV266" s="151">
        <f t="shared" si="54"/>
        <v>30648.02399628</v>
      </c>
      <c r="AW266" s="155"/>
      <c r="AX266" s="155">
        <f t="shared" si="45"/>
        <v>76</v>
      </c>
      <c r="AY266" s="140" t="s">
        <v>4</v>
      </c>
    </row>
    <row r="267" spans="1:51" s="117" customFormat="1" ht="11.25" customHeight="1">
      <c r="A267" s="157">
        <v>265</v>
      </c>
      <c r="B267" s="157" t="s">
        <v>143</v>
      </c>
      <c r="C267" s="140" t="s">
        <v>501</v>
      </c>
      <c r="D267" s="140">
        <v>19</v>
      </c>
      <c r="E267" s="140">
        <f t="shared" si="47"/>
        <v>42</v>
      </c>
      <c r="F267" s="141" t="str">
        <f>CONCATENATE("Hora Cátedra Enseñanza Media ",D267," hs Esc Esp")</f>
        <v>Hora Cátedra Enseñanza Media 19 hs Esc Esp</v>
      </c>
      <c r="G267" s="142">
        <f t="shared" si="46"/>
        <v>1501</v>
      </c>
      <c r="H267" s="143">
        <f>INT((G267*Valores!$C$2*100)+0.49)/100</f>
        <v>14018.89</v>
      </c>
      <c r="I267" s="161">
        <v>0</v>
      </c>
      <c r="J267" s="145">
        <f>INT((I267*Valores!$C$2*100)+0.5)/100</f>
        <v>0</v>
      </c>
      <c r="K267" s="160">
        <v>0</v>
      </c>
      <c r="L267" s="145">
        <f>INT((K267*Valores!$C$2*100)+0.5)/100</f>
        <v>0</v>
      </c>
      <c r="M267" s="158">
        <v>0</v>
      </c>
      <c r="N267" s="145">
        <f>INT((M267*Valores!$C$2*100)+0.5)/100</f>
        <v>0</v>
      </c>
      <c r="O267" s="145">
        <f t="shared" si="48"/>
        <v>2570.8319999999994</v>
      </c>
      <c r="P267" s="145">
        <f t="shared" si="49"/>
        <v>0</v>
      </c>
      <c r="Q267" s="159">
        <f>Valores!$C$14*D267</f>
        <v>5874.2300000000005</v>
      </c>
      <c r="R267" s="159">
        <f>IF(D267&lt;15,(Valores!$E$4*D267),Valores!$D$4)</f>
        <v>4774.45</v>
      </c>
      <c r="S267" s="145">
        <v>0</v>
      </c>
      <c r="T267" s="148">
        <f>IF($H$5="NO",IF(Valores!$C$46*D267&gt;Valores!$C$44,Valores!$C$44,Valores!$C$46*D267),IF(Valores!$C$46*D267&gt;Valores!$C$44,Valores!$C$44,Valores!$C$46*D267)/2)</f>
        <v>1296.75</v>
      </c>
      <c r="U267" s="159">
        <f>Valores!$C$23*D267</f>
        <v>1823.2399999999998</v>
      </c>
      <c r="V267" s="145">
        <f t="shared" si="44"/>
        <v>1823.2399999999998</v>
      </c>
      <c r="W267" s="145">
        <v>0</v>
      </c>
      <c r="X267" s="145">
        <v>0</v>
      </c>
      <c r="Y267" s="165">
        <v>0</v>
      </c>
      <c r="Z267" s="145">
        <f>Y267*Valores!$C$2</f>
        <v>0</v>
      </c>
      <c r="AA267" s="145">
        <v>0</v>
      </c>
      <c r="AB267" s="148">
        <f>IF(Valores!$C$92*D267&gt;Valores!$C$91,Valores!$C$91,Valores!$C$92*D267)</f>
        <v>1096.1538461538464</v>
      </c>
      <c r="AC267" s="150">
        <f>IF((Valores!$C$33)*D267&gt;Valores!$F$33,Valores!$F$33,(Valores!$C$33)*D267)</f>
        <v>152.07296</v>
      </c>
      <c r="AD267" s="145">
        <f t="shared" si="51"/>
        <v>0</v>
      </c>
      <c r="AE267" s="145">
        <f>IF(Valores!$C$34*D267&gt;Valores!$F$34,Valores!$F$34,Valores!$C$34*D267)</f>
        <v>126.59046400000003</v>
      </c>
      <c r="AF267" s="149">
        <v>94</v>
      </c>
      <c r="AG267" s="145">
        <f>INT(((AF267*Valores!$C$2)*100)+0.5)/100</f>
        <v>877.93</v>
      </c>
      <c r="AH267" s="145">
        <f>IF($H$5="NO",IF(Valores!$D$59*'Escala Docente'!D267&gt;Valores!$F$59,Valores!$F$59,Valores!$D$59*'Escala Docente'!D267),IF(Valores!$D$59*'Escala Docente'!D267&gt;Valores!$F$59,Valores!$F$59,Valores!$D$59*'Escala Docente'!D267)/2)</f>
        <v>514.9456</v>
      </c>
      <c r="AI267" s="145">
        <f>IF($H$5="NO",IF(Valores!$D$61*D267&gt;Valores!$F$61,Valores!$F$61,Valores!$D$61*D267),IF(Valores!$D$61*D267&gt;Valores!$F$61,Valores!$F$61,Valores!$D$61*D267)/2)</f>
        <v>147.1398</v>
      </c>
      <c r="AJ267" s="151">
        <f t="shared" si="52"/>
        <v>33273.224670153846</v>
      </c>
      <c r="AK267" s="159">
        <f>IF(Valores!$C$37*D267&gt;Valores!$F$37,Valores!$F$37,Valores!$C$37*D267)</f>
        <v>1326.0100000000002</v>
      </c>
      <c r="AL267" s="148">
        <f>IF(Valores!$C$11*D267&gt;Valores!$F$11,Valores!$F$11,Valores!$C$11*D267)</f>
        <v>0</v>
      </c>
      <c r="AM267" s="148">
        <f>IF(Valores!$C$87*D267&gt;Valores!$C$86,Valores!$C$86,Valores!$C$87*D267)</f>
        <v>2161.2499999999995</v>
      </c>
      <c r="AN267" s="148"/>
      <c r="AO267" s="150">
        <f>IF(Valores!$C$58*D267&gt;Valores!$F$58,Valores!$F$58,Valores!$C$58*D267)</f>
        <v>215.745</v>
      </c>
      <c r="AP267" s="152">
        <f t="shared" si="50"/>
        <v>3487.2599999999998</v>
      </c>
      <c r="AQ267" s="154">
        <f>AJ267*-Valores!$C$68</f>
        <v>-3660.0547137169233</v>
      </c>
      <c r="AR267" s="154">
        <f>AJ267*-Valores!$C$69</f>
        <v>0</v>
      </c>
      <c r="AS267" s="147">
        <f>AJ267*-Valores!$C$70</f>
        <v>-1497.295110156923</v>
      </c>
      <c r="AT267" s="147">
        <v>-159.43</v>
      </c>
      <c r="AU267" s="147">
        <f t="shared" si="53"/>
        <v>-53.83</v>
      </c>
      <c r="AV267" s="151">
        <f t="shared" si="54"/>
        <v>31389.874846280003</v>
      </c>
      <c r="AW267" s="155"/>
      <c r="AX267" s="155">
        <f t="shared" si="45"/>
        <v>76</v>
      </c>
      <c r="AY267" s="140" t="s">
        <v>4</v>
      </c>
    </row>
    <row r="268" spans="1:51" s="117" customFormat="1" ht="11.25" customHeight="1">
      <c r="A268" s="139">
        <v>266</v>
      </c>
      <c r="B268" s="139"/>
      <c r="C268" s="140" t="s">
        <v>501</v>
      </c>
      <c r="D268" s="140">
        <v>20</v>
      </c>
      <c r="E268" s="140">
        <f t="shared" si="47"/>
        <v>34</v>
      </c>
      <c r="F268" s="141" t="str">
        <f>CONCATENATE("Hora Cátedra Enseñanza Media ",D268," hs")</f>
        <v>Hora Cátedra Enseñanza Media 20 hs</v>
      </c>
      <c r="G268" s="142">
        <f t="shared" si="46"/>
        <v>1580</v>
      </c>
      <c r="H268" s="143">
        <f>INT((G268*Valores!$C$2*100)+0.49)/100</f>
        <v>14756.73</v>
      </c>
      <c r="I268" s="161">
        <v>0</v>
      </c>
      <c r="J268" s="145">
        <f>INT((I268*Valores!$C$2*100)+0.5)/100</f>
        <v>0</v>
      </c>
      <c r="K268" s="160">
        <v>0</v>
      </c>
      <c r="L268" s="145">
        <f>INT((K268*Valores!$C$2*100)+0.5)/100</f>
        <v>0</v>
      </c>
      <c r="M268" s="158">
        <v>0</v>
      </c>
      <c r="N268" s="145">
        <f>INT((M268*Valores!$C$2*100)+0.5)/100</f>
        <v>0</v>
      </c>
      <c r="O268" s="145">
        <f t="shared" si="48"/>
        <v>2706.1394999999998</v>
      </c>
      <c r="P268" s="145">
        <f t="shared" si="49"/>
        <v>0</v>
      </c>
      <c r="Q268" s="159">
        <f>Valores!$C$14*D268</f>
        <v>6183.400000000001</v>
      </c>
      <c r="R268" s="159">
        <f>IF(D268&lt;15,(Valores!$E$4*D268),Valores!$D$4)</f>
        <v>4774.45</v>
      </c>
      <c r="S268" s="145">
        <v>0</v>
      </c>
      <c r="T268" s="148">
        <f>IF($H$5="NO",IF(Valores!$C$46*D268&gt;Valores!$C$44,Valores!$C$44,Valores!$C$46*D268),IF(Valores!$C$46*D268&gt;Valores!$C$44,Valores!$C$44,Valores!$C$46*D268)/2)</f>
        <v>1365</v>
      </c>
      <c r="U268" s="159">
        <f>Valores!$C$23*D268</f>
        <v>1919.1999999999998</v>
      </c>
      <c r="V268" s="145">
        <f t="shared" si="44"/>
        <v>1919.1999999999998</v>
      </c>
      <c r="W268" s="145">
        <v>0</v>
      </c>
      <c r="X268" s="145">
        <v>0</v>
      </c>
      <c r="Y268" s="165">
        <v>0</v>
      </c>
      <c r="Z268" s="145">
        <f>Y268*Valores!$C$2</f>
        <v>0</v>
      </c>
      <c r="AA268" s="145">
        <v>0</v>
      </c>
      <c r="AB268" s="148">
        <f>IF(Valores!$C$92*D268&gt;Valores!$C$91,Valores!$C$91,Valores!$C$92*D268)</f>
        <v>1153.8461538461543</v>
      </c>
      <c r="AC268" s="150">
        <f>IF((Valores!$C$33)*D268&gt;Valores!$F$33,Valores!$F$33,(Valores!$C$33)*D268)</f>
        <v>160.0768</v>
      </c>
      <c r="AD268" s="145">
        <f t="shared" si="51"/>
        <v>0</v>
      </c>
      <c r="AE268" s="145">
        <f>IF(Valores!$C$34*D268&gt;Valores!$F$34,Valores!$F$34,Valores!$C$34*D268)</f>
        <v>133.25312000000002</v>
      </c>
      <c r="AF268" s="149">
        <v>0</v>
      </c>
      <c r="AG268" s="145">
        <f>INT(((AF268*Valores!$C$2)*100)+0.5)/100</f>
        <v>0</v>
      </c>
      <c r="AH268" s="145">
        <f>IF($H$5="NO",IF(Valores!$D$59*'Escala Docente'!D268&gt;Valores!$F$59,Valores!$F$59,Valores!$D$59*'Escala Docente'!D268),IF(Valores!$D$59*'Escala Docente'!D268&gt;Valores!$F$59,Valores!$F$59,Valores!$D$59*'Escala Docente'!D268)/2)</f>
        <v>542.048</v>
      </c>
      <c r="AI268" s="145">
        <f>IF($H$5="NO",IF(Valores!$D$61*D268&gt;Valores!$F$61,Valores!$F$61,Valores!$D$61*D268),IF(Valores!$D$61*D268&gt;Valores!$F$61,Valores!$F$61,Valores!$D$61*D268)/2)</f>
        <v>154.88400000000001</v>
      </c>
      <c r="AJ268" s="151">
        <f t="shared" si="52"/>
        <v>33849.02757384616</v>
      </c>
      <c r="AK268" s="159">
        <f>IF(Valores!$C$37*D268&gt;Valores!$F$37,Valores!$F$37,Valores!$C$37*D268)</f>
        <v>1395.8000000000002</v>
      </c>
      <c r="AL268" s="148">
        <f>IF(Valores!$C$11*D268&gt;Valores!$F$11,Valores!$F$11,Valores!$C$11*D268)</f>
        <v>0</v>
      </c>
      <c r="AM268" s="148">
        <f>IF(Valores!$C$87*D268&gt;Valores!$C$86,Valores!$C$86,Valores!$C$87*D268)</f>
        <v>2274.9999999999995</v>
      </c>
      <c r="AN268" s="148"/>
      <c r="AO268" s="150">
        <f>IF(Valores!$C$58*D268&gt;Valores!$F$58,Valores!$F$58,Valores!$C$58*D268)</f>
        <v>227.10000000000002</v>
      </c>
      <c r="AP268" s="152">
        <f t="shared" si="50"/>
        <v>3670.7999999999997</v>
      </c>
      <c r="AQ268" s="154">
        <f>AJ268*-Valores!$C$68</f>
        <v>-3723.393033123077</v>
      </c>
      <c r="AR268" s="154">
        <f>AJ268*-Valores!$C$69</f>
        <v>0</v>
      </c>
      <c r="AS268" s="147">
        <f>AJ268*-Valores!$C$70</f>
        <v>-1523.206240823077</v>
      </c>
      <c r="AT268" s="147">
        <v>-159.43</v>
      </c>
      <c r="AU268" s="147">
        <f t="shared" si="53"/>
        <v>-53.83</v>
      </c>
      <c r="AV268" s="151">
        <f t="shared" si="54"/>
        <v>32059.968299900003</v>
      </c>
      <c r="AW268" s="155"/>
      <c r="AX268" s="155">
        <f t="shared" si="45"/>
        <v>80</v>
      </c>
      <c r="AY268" s="140" t="s">
        <v>4</v>
      </c>
    </row>
    <row r="269" spans="1:51" s="117" customFormat="1" ht="11.25" customHeight="1">
      <c r="A269" s="139">
        <v>267</v>
      </c>
      <c r="B269" s="139"/>
      <c r="C269" s="140" t="s">
        <v>501</v>
      </c>
      <c r="D269" s="140">
        <v>20</v>
      </c>
      <c r="E269" s="140">
        <f t="shared" si="47"/>
        <v>42</v>
      </c>
      <c r="F269" s="141" t="str">
        <f>CONCATENATE("Hora Cátedra Enseñanza Media ",D269," hs Esc Esp")</f>
        <v>Hora Cátedra Enseñanza Media 20 hs Esc Esp</v>
      </c>
      <c r="G269" s="142">
        <f t="shared" si="46"/>
        <v>1580</v>
      </c>
      <c r="H269" s="143">
        <f>INT((G269*Valores!$C$2*100)+0.49)/100</f>
        <v>14756.73</v>
      </c>
      <c r="I269" s="161">
        <v>0</v>
      </c>
      <c r="J269" s="145">
        <f>INT((I269*Valores!$C$2*100)+0.5)/100</f>
        <v>0</v>
      </c>
      <c r="K269" s="160">
        <v>0</v>
      </c>
      <c r="L269" s="145">
        <f>INT((K269*Valores!$C$2*100)+0.5)/100</f>
        <v>0</v>
      </c>
      <c r="M269" s="158">
        <v>0</v>
      </c>
      <c r="N269" s="145">
        <f>INT((M269*Valores!$C$2*100)+0.5)/100</f>
        <v>0</v>
      </c>
      <c r="O269" s="145">
        <f t="shared" si="48"/>
        <v>2706.1394999999998</v>
      </c>
      <c r="P269" s="145">
        <f t="shared" si="49"/>
        <v>0</v>
      </c>
      <c r="Q269" s="159">
        <f>Valores!$C$14*D269</f>
        <v>6183.400000000001</v>
      </c>
      <c r="R269" s="159">
        <f>IF(D269&lt;15,(Valores!$E$4*D269),Valores!$D$4)</f>
        <v>4774.45</v>
      </c>
      <c r="S269" s="145">
        <v>0</v>
      </c>
      <c r="T269" s="148">
        <f>IF($H$5="NO",IF(Valores!$C$46*D269&gt;Valores!$C$44,Valores!$C$44,Valores!$C$46*D269),IF(Valores!$C$46*D269&gt;Valores!$C$44,Valores!$C$44,Valores!$C$46*D269)/2)</f>
        <v>1365</v>
      </c>
      <c r="U269" s="159">
        <f>Valores!$C$23*D269</f>
        <v>1919.1999999999998</v>
      </c>
      <c r="V269" s="145">
        <f t="shared" si="44"/>
        <v>1919.1999999999998</v>
      </c>
      <c r="W269" s="145">
        <v>0</v>
      </c>
      <c r="X269" s="145">
        <v>0</v>
      </c>
      <c r="Y269" s="165">
        <v>0</v>
      </c>
      <c r="Z269" s="145">
        <f>Y269*Valores!$C$2</f>
        <v>0</v>
      </c>
      <c r="AA269" s="145">
        <v>0</v>
      </c>
      <c r="AB269" s="148">
        <f>IF(Valores!$C$92*D269&gt;Valores!$C$91,Valores!$C$91,Valores!$C$92*D269)</f>
        <v>1153.8461538461543</v>
      </c>
      <c r="AC269" s="150">
        <f>IF((Valores!$C$33)*D269&gt;Valores!$F$33,Valores!$F$33,(Valores!$C$33)*D269)</f>
        <v>160.0768</v>
      </c>
      <c r="AD269" s="145">
        <f t="shared" si="51"/>
        <v>0</v>
      </c>
      <c r="AE269" s="145">
        <f>IF(Valores!$C$34*D269&gt;Valores!$F$34,Valores!$F$34,Valores!$C$34*D269)</f>
        <v>133.25312000000002</v>
      </c>
      <c r="AF269" s="149">
        <v>94</v>
      </c>
      <c r="AG269" s="145">
        <f>INT(((AF269*Valores!$C$2)*100)+0.5)/100</f>
        <v>877.93</v>
      </c>
      <c r="AH269" s="145">
        <f>IF($H$5="NO",IF(Valores!$D$59*'Escala Docente'!D269&gt;Valores!$F$59,Valores!$F$59,Valores!$D$59*'Escala Docente'!D269),IF(Valores!$D$59*'Escala Docente'!D269&gt;Valores!$F$59,Valores!$F$59,Valores!$D$59*'Escala Docente'!D269)/2)</f>
        <v>542.048</v>
      </c>
      <c r="AI269" s="145">
        <f>IF($H$5="NO",IF(Valores!$D$61*D269&gt;Valores!$F$61,Valores!$F$61,Valores!$D$61*D269),IF(Valores!$D$61*D269&gt;Valores!$F$61,Valores!$F$61,Valores!$D$61*D269)/2)</f>
        <v>154.88400000000001</v>
      </c>
      <c r="AJ269" s="151">
        <f t="shared" si="52"/>
        <v>34726.95757384616</v>
      </c>
      <c r="AK269" s="159">
        <f>IF(Valores!$C$37*D269&gt;Valores!$F$37,Valores!$F$37,Valores!$C$37*D269)</f>
        <v>1395.8000000000002</v>
      </c>
      <c r="AL269" s="148">
        <f>IF(Valores!$C$11*D269&gt;Valores!$F$11,Valores!$F$11,Valores!$C$11*D269)</f>
        <v>0</v>
      </c>
      <c r="AM269" s="148">
        <f>IF(Valores!$C$87*D269&gt;Valores!$C$86,Valores!$C$86,Valores!$C$87*D269)</f>
        <v>2274.9999999999995</v>
      </c>
      <c r="AN269" s="148"/>
      <c r="AO269" s="150">
        <f>IF(Valores!$C$58*D269&gt;Valores!$F$58,Valores!$F$58,Valores!$C$58*D269)</f>
        <v>227.10000000000002</v>
      </c>
      <c r="AP269" s="152">
        <f t="shared" si="50"/>
        <v>3670.7999999999997</v>
      </c>
      <c r="AQ269" s="154">
        <f>AJ269*-Valores!$C$68</f>
        <v>-3819.9653331230775</v>
      </c>
      <c r="AR269" s="154">
        <f>AJ269*-Valores!$C$69</f>
        <v>0</v>
      </c>
      <c r="AS269" s="147">
        <f>AJ269*-Valores!$C$70</f>
        <v>-1562.713090823077</v>
      </c>
      <c r="AT269" s="147">
        <v>-159.43</v>
      </c>
      <c r="AU269" s="147">
        <f t="shared" si="53"/>
        <v>-53.83</v>
      </c>
      <c r="AV269" s="151">
        <f t="shared" si="54"/>
        <v>32801.8191499</v>
      </c>
      <c r="AW269" s="155"/>
      <c r="AX269" s="155">
        <f t="shared" si="45"/>
        <v>80</v>
      </c>
      <c r="AY269" s="140" t="s">
        <v>4</v>
      </c>
    </row>
    <row r="270" spans="1:51" s="117" customFormat="1" ht="11.25" customHeight="1">
      <c r="A270" s="139">
        <v>268</v>
      </c>
      <c r="B270" s="139"/>
      <c r="C270" s="140" t="s">
        <v>501</v>
      </c>
      <c r="D270" s="140">
        <v>21</v>
      </c>
      <c r="E270" s="140">
        <f t="shared" si="47"/>
        <v>34</v>
      </c>
      <c r="F270" s="141" t="str">
        <f>CONCATENATE("Hora Cátedra Enseñanza Media ",D270," hs")</f>
        <v>Hora Cátedra Enseñanza Media 21 hs</v>
      </c>
      <c r="G270" s="142">
        <f t="shared" si="46"/>
        <v>1659</v>
      </c>
      <c r="H270" s="143">
        <f>INT((G270*Valores!$C$2*100)+0.49)/100</f>
        <v>15494.56</v>
      </c>
      <c r="I270" s="161">
        <v>0</v>
      </c>
      <c r="J270" s="145">
        <f>INT((I270*Valores!$C$2*100)+0.5)/100</f>
        <v>0</v>
      </c>
      <c r="K270" s="160">
        <v>0</v>
      </c>
      <c r="L270" s="145">
        <f>INT((K270*Valores!$C$2*100)+0.5)/100</f>
        <v>0</v>
      </c>
      <c r="M270" s="158">
        <v>0</v>
      </c>
      <c r="N270" s="145">
        <f>INT((M270*Valores!$C$2*100)+0.5)/100</f>
        <v>0</v>
      </c>
      <c r="O270" s="145">
        <f t="shared" si="48"/>
        <v>2841.4455000000003</v>
      </c>
      <c r="P270" s="145">
        <f t="shared" si="49"/>
        <v>0</v>
      </c>
      <c r="Q270" s="159">
        <f>Valores!$C$14*D270</f>
        <v>6492.570000000001</v>
      </c>
      <c r="R270" s="159">
        <f>IF(D270&lt;15,(Valores!$E$4*D270),Valores!$D$4)</f>
        <v>4774.45</v>
      </c>
      <c r="S270" s="145">
        <v>0</v>
      </c>
      <c r="T270" s="148">
        <f>IF($H$5="NO",IF(Valores!$C$46*D270&gt;Valores!$C$44,Valores!$C$44,Valores!$C$46*D270),IF(Valores!$C$46*D270&gt;Valores!$C$44,Valores!$C$44,Valores!$C$46*D270)/2)</f>
        <v>1433.25</v>
      </c>
      <c r="U270" s="159">
        <f>Valores!$C$23*D270</f>
        <v>2015.1599999999999</v>
      </c>
      <c r="V270" s="145">
        <f t="shared" si="44"/>
        <v>2015.1599999999999</v>
      </c>
      <c r="W270" s="145">
        <v>0</v>
      </c>
      <c r="X270" s="145">
        <v>0</v>
      </c>
      <c r="Y270" s="165">
        <v>0</v>
      </c>
      <c r="Z270" s="145">
        <f>Y270*Valores!$C$2</f>
        <v>0</v>
      </c>
      <c r="AA270" s="145">
        <v>0</v>
      </c>
      <c r="AB270" s="148">
        <f>IF(Valores!$C$92*D270&gt;Valores!$C$91,Valores!$C$91,Valores!$C$92*D270)</f>
        <v>1211.538461538462</v>
      </c>
      <c r="AC270" s="150">
        <f>IF((Valores!$C$33)*D270&gt;Valores!$F$33,Valores!$F$33,(Valores!$C$33)*D270)</f>
        <v>168.08064000000002</v>
      </c>
      <c r="AD270" s="145">
        <f t="shared" si="51"/>
        <v>0</v>
      </c>
      <c r="AE270" s="145">
        <f>IF(Valores!$C$34*D270&gt;Valores!$F$34,Valores!$F$34,Valores!$C$34*D270)</f>
        <v>139.91577600000002</v>
      </c>
      <c r="AF270" s="149">
        <v>0</v>
      </c>
      <c r="AG270" s="145">
        <f>INT(((AF270*Valores!$C$2)*100)+0.5)/100</f>
        <v>0</v>
      </c>
      <c r="AH270" s="145">
        <f>IF($H$5="NO",IF(Valores!$D$59*'Escala Docente'!D270&gt;Valores!$F$59,Valores!$F$59,Valores!$D$59*'Escala Docente'!D270),IF(Valores!$D$59*'Escala Docente'!D270&gt;Valores!$F$59,Valores!$F$59,Valores!$D$59*'Escala Docente'!D270)/2)</f>
        <v>569.1504</v>
      </c>
      <c r="AI270" s="145">
        <f>IF($H$5="NO",IF(Valores!$D$61*D270&gt;Valores!$F$61,Valores!$F$61,Valores!$D$61*D270),IF(Valores!$D$61*D270&gt;Valores!$F$61,Valores!$F$61,Valores!$D$61*D270)/2)</f>
        <v>162.6282</v>
      </c>
      <c r="AJ270" s="151">
        <f t="shared" si="52"/>
        <v>35302.74897753846</v>
      </c>
      <c r="AK270" s="159">
        <f>IF(Valores!$C$37*D270&gt;Valores!$F$37,Valores!$F$37,Valores!$C$37*D270)</f>
        <v>1465.5900000000001</v>
      </c>
      <c r="AL270" s="148">
        <f>IF(Valores!$C$11*D270&gt;Valores!$F$11,Valores!$F$11,Valores!$C$11*D270)</f>
        <v>0</v>
      </c>
      <c r="AM270" s="148">
        <f>IF(Valores!$C$87*D270&gt;Valores!$C$86,Valores!$C$86,Valores!$C$87*D270)</f>
        <v>2388.7499999999995</v>
      </c>
      <c r="AN270" s="148"/>
      <c r="AO270" s="150">
        <f>IF(Valores!$C$58*D270&gt;Valores!$F$58,Valores!$F$58,Valores!$C$58*D270)</f>
        <v>238.455</v>
      </c>
      <c r="AP270" s="152">
        <f t="shared" si="50"/>
        <v>3854.3399999999997</v>
      </c>
      <c r="AQ270" s="154">
        <f>AJ270*-Valores!$C$68</f>
        <v>-3883.3023875292306</v>
      </c>
      <c r="AR270" s="154">
        <f>AJ270*-Valores!$C$69</f>
        <v>0</v>
      </c>
      <c r="AS270" s="147">
        <f>AJ270*-Valores!$C$70</f>
        <v>-1588.6237039892308</v>
      </c>
      <c r="AT270" s="147">
        <v>-159.43</v>
      </c>
      <c r="AU270" s="147">
        <f t="shared" si="53"/>
        <v>-53.83</v>
      </c>
      <c r="AV270" s="151">
        <f t="shared" si="54"/>
        <v>33471.90288602</v>
      </c>
      <c r="AW270" s="155"/>
      <c r="AX270" s="155">
        <f t="shared" si="45"/>
        <v>84</v>
      </c>
      <c r="AY270" s="140" t="s">
        <v>4</v>
      </c>
    </row>
    <row r="271" spans="1:51" s="117" customFormat="1" ht="11.25" customHeight="1">
      <c r="A271" s="139">
        <v>269</v>
      </c>
      <c r="B271" s="139"/>
      <c r="C271" s="140" t="s">
        <v>501</v>
      </c>
      <c r="D271" s="140">
        <v>21</v>
      </c>
      <c r="E271" s="140">
        <f t="shared" si="47"/>
        <v>42</v>
      </c>
      <c r="F271" s="141" t="str">
        <f>CONCATENATE("Hora Cátedra Enseñanza Media ",D271," hs Esc Esp")</f>
        <v>Hora Cátedra Enseñanza Media 21 hs Esc Esp</v>
      </c>
      <c r="G271" s="142">
        <f t="shared" si="46"/>
        <v>1659</v>
      </c>
      <c r="H271" s="143">
        <f>INT((G271*Valores!$C$2*100)+0.49)/100</f>
        <v>15494.56</v>
      </c>
      <c r="I271" s="161">
        <v>0</v>
      </c>
      <c r="J271" s="145">
        <f>INT((I271*Valores!$C$2*100)+0.5)/100</f>
        <v>0</v>
      </c>
      <c r="K271" s="160">
        <v>0</v>
      </c>
      <c r="L271" s="145">
        <f>INT((K271*Valores!$C$2*100)+0.5)/100</f>
        <v>0</v>
      </c>
      <c r="M271" s="158">
        <v>0</v>
      </c>
      <c r="N271" s="145">
        <f>INT((M271*Valores!$C$2*100)+0.5)/100</f>
        <v>0</v>
      </c>
      <c r="O271" s="145">
        <f t="shared" si="48"/>
        <v>2841.4455000000003</v>
      </c>
      <c r="P271" s="145">
        <f t="shared" si="49"/>
        <v>0</v>
      </c>
      <c r="Q271" s="159">
        <f>Valores!$C$14*D271</f>
        <v>6492.570000000001</v>
      </c>
      <c r="R271" s="159">
        <f>IF(D271&lt;15,(Valores!$E$4*D271),Valores!$D$4)</f>
        <v>4774.45</v>
      </c>
      <c r="S271" s="145">
        <v>0</v>
      </c>
      <c r="T271" s="148">
        <f>IF($H$5="NO",IF(Valores!$C$46*D271&gt;Valores!$C$44,Valores!$C$44,Valores!$C$46*D271),IF(Valores!$C$46*D271&gt;Valores!$C$44,Valores!$C$44,Valores!$C$46*D271)/2)</f>
        <v>1433.25</v>
      </c>
      <c r="U271" s="159">
        <f>Valores!$C$23*D271</f>
        <v>2015.1599999999999</v>
      </c>
      <c r="V271" s="145">
        <f t="shared" si="44"/>
        <v>2015.1599999999999</v>
      </c>
      <c r="W271" s="145">
        <v>0</v>
      </c>
      <c r="X271" s="145">
        <v>0</v>
      </c>
      <c r="Y271" s="165">
        <v>0</v>
      </c>
      <c r="Z271" s="145">
        <f>Y271*Valores!$C$2</f>
        <v>0</v>
      </c>
      <c r="AA271" s="145">
        <v>0</v>
      </c>
      <c r="AB271" s="148">
        <f>IF(Valores!$C$92*D271&gt;Valores!$C$91,Valores!$C$91,Valores!$C$92*D271)</f>
        <v>1211.538461538462</v>
      </c>
      <c r="AC271" s="150">
        <f>IF((Valores!$C$33)*D271&gt;Valores!$F$33,Valores!$F$33,(Valores!$C$33)*D271)</f>
        <v>168.08064000000002</v>
      </c>
      <c r="AD271" s="145">
        <f t="shared" si="51"/>
        <v>0</v>
      </c>
      <c r="AE271" s="145">
        <f>IF(Valores!$C$34*D271&gt;Valores!$F$34,Valores!$F$34,Valores!$C$34*D271)</f>
        <v>139.91577600000002</v>
      </c>
      <c r="AF271" s="149">
        <v>94</v>
      </c>
      <c r="AG271" s="145">
        <f>INT(((AF271*Valores!$C$2)*100)+0.5)/100</f>
        <v>877.93</v>
      </c>
      <c r="AH271" s="145">
        <f>IF($H$5="NO",IF(Valores!$D$59*'Escala Docente'!D271&gt;Valores!$F$59,Valores!$F$59,Valores!$D$59*'Escala Docente'!D271),IF(Valores!$D$59*'Escala Docente'!D271&gt;Valores!$F$59,Valores!$F$59,Valores!$D$59*'Escala Docente'!D271)/2)</f>
        <v>569.1504</v>
      </c>
      <c r="AI271" s="145">
        <f>IF($H$5="NO",IF(Valores!$D$61*D271&gt;Valores!$F$61,Valores!$F$61,Valores!$D$61*D271),IF(Valores!$D$61*D271&gt;Valores!$F$61,Valores!$F$61,Valores!$D$61*D271)/2)</f>
        <v>162.6282</v>
      </c>
      <c r="AJ271" s="151">
        <f t="shared" si="52"/>
        <v>36180.67897753846</v>
      </c>
      <c r="AK271" s="159">
        <f>IF(Valores!$C$37*D271&gt;Valores!$F$37,Valores!$F$37,Valores!$C$37*D271)</f>
        <v>1465.5900000000001</v>
      </c>
      <c r="AL271" s="148">
        <f>IF(Valores!$C$11*D271&gt;Valores!$F$11,Valores!$F$11,Valores!$C$11*D271)</f>
        <v>0</v>
      </c>
      <c r="AM271" s="148">
        <f>IF(Valores!$C$87*D271&gt;Valores!$C$86,Valores!$C$86,Valores!$C$87*D271)</f>
        <v>2388.7499999999995</v>
      </c>
      <c r="AN271" s="148"/>
      <c r="AO271" s="150">
        <f>IF(Valores!$C$58*D271&gt;Valores!$F$58,Valores!$F$58,Valores!$C$58*D271)</f>
        <v>238.455</v>
      </c>
      <c r="AP271" s="152">
        <f t="shared" si="50"/>
        <v>3854.3399999999997</v>
      </c>
      <c r="AQ271" s="154">
        <f>AJ271*-Valores!$C$68</f>
        <v>-3979.874687529231</v>
      </c>
      <c r="AR271" s="154">
        <f>AJ271*-Valores!$C$69</f>
        <v>0</v>
      </c>
      <c r="AS271" s="147">
        <f>AJ271*-Valores!$C$70</f>
        <v>-1628.1305539892307</v>
      </c>
      <c r="AT271" s="147">
        <v>-159.43</v>
      </c>
      <c r="AU271" s="147">
        <f t="shared" si="53"/>
        <v>-53.83</v>
      </c>
      <c r="AV271" s="151">
        <f t="shared" si="54"/>
        <v>34213.75373602</v>
      </c>
      <c r="AW271" s="155"/>
      <c r="AX271" s="155">
        <f t="shared" si="45"/>
        <v>84</v>
      </c>
      <c r="AY271" s="140" t="s">
        <v>4</v>
      </c>
    </row>
    <row r="272" spans="1:51" s="117" customFormat="1" ht="11.25" customHeight="1">
      <c r="A272" s="157">
        <v>270</v>
      </c>
      <c r="B272" s="157" t="s">
        <v>143</v>
      </c>
      <c r="C272" s="140" t="s">
        <v>501</v>
      </c>
      <c r="D272" s="140">
        <v>22</v>
      </c>
      <c r="E272" s="140">
        <f t="shared" si="47"/>
        <v>34</v>
      </c>
      <c r="F272" s="141" t="str">
        <f>CONCATENATE("Hora Cátedra Enseñanza Media ",D272," hs")</f>
        <v>Hora Cátedra Enseñanza Media 22 hs</v>
      </c>
      <c r="G272" s="142">
        <f t="shared" si="46"/>
        <v>1738</v>
      </c>
      <c r="H272" s="143">
        <f>INT((G272*Valores!$C$2*100)+0.49)/100</f>
        <v>16232.4</v>
      </c>
      <c r="I272" s="161">
        <v>0</v>
      </c>
      <c r="J272" s="145">
        <f>INT((I272*Valores!$C$2*100)+0.5)/100</f>
        <v>0</v>
      </c>
      <c r="K272" s="160">
        <v>0</v>
      </c>
      <c r="L272" s="145">
        <f>INT((K272*Valores!$C$2*100)+0.5)/100</f>
        <v>0</v>
      </c>
      <c r="M272" s="158">
        <v>0</v>
      </c>
      <c r="N272" s="145">
        <f>INT((M272*Valores!$C$2*100)+0.5)/100</f>
        <v>0</v>
      </c>
      <c r="O272" s="145">
        <f t="shared" si="48"/>
        <v>2976.753</v>
      </c>
      <c r="P272" s="145">
        <f t="shared" si="49"/>
        <v>0</v>
      </c>
      <c r="Q272" s="159">
        <f>Valores!$C$14*D272</f>
        <v>6801.740000000001</v>
      </c>
      <c r="R272" s="159">
        <f>IF(D272&lt;15,(Valores!$E$4*D272),Valores!$D$4)</f>
        <v>4774.45</v>
      </c>
      <c r="S272" s="145">
        <v>0</v>
      </c>
      <c r="T272" s="148">
        <f>IF($H$5="NO",IF(Valores!$C$46*D272&gt;Valores!$C$44,Valores!$C$44,Valores!$C$46*D272),IF(Valores!$C$46*D272&gt;Valores!$C$44,Valores!$C$44,Valores!$C$46*D272)/2)</f>
        <v>1501.5</v>
      </c>
      <c r="U272" s="159">
        <f>Valores!$C$23*D272</f>
        <v>2111.12</v>
      </c>
      <c r="V272" s="145">
        <f t="shared" si="44"/>
        <v>2111.12</v>
      </c>
      <c r="W272" s="145">
        <v>0</v>
      </c>
      <c r="X272" s="145">
        <v>0</v>
      </c>
      <c r="Y272" s="165">
        <v>0</v>
      </c>
      <c r="Z272" s="145">
        <f>Y272*Valores!$C$2</f>
        <v>0</v>
      </c>
      <c r="AA272" s="145">
        <v>0</v>
      </c>
      <c r="AB272" s="148">
        <f>IF(Valores!$C$92*D272&gt;Valores!$C$91,Valores!$C$91,Valores!$C$92*D272)</f>
        <v>1269.2307692307695</v>
      </c>
      <c r="AC272" s="150">
        <f>IF((Valores!$C$33)*D272&gt;Valores!$F$33,Valores!$F$33,(Valores!$C$33)*D272)</f>
        <v>176.08448</v>
      </c>
      <c r="AD272" s="145">
        <f t="shared" si="51"/>
        <v>0</v>
      </c>
      <c r="AE272" s="145">
        <f>IF(Valores!$C$34*D272&gt;Valores!$F$34,Valores!$F$34,Valores!$C$34*D272)</f>
        <v>146.57843200000002</v>
      </c>
      <c r="AF272" s="149">
        <v>0</v>
      </c>
      <c r="AG272" s="145">
        <f>INT(((AF272*Valores!$C$2)*100)+0.5)/100</f>
        <v>0</v>
      </c>
      <c r="AH272" s="145">
        <f>IF($H$5="NO",IF(Valores!$D$59*'Escala Docente'!D272&gt;Valores!$F$59,Valores!$F$59,Valores!$D$59*'Escala Docente'!D272),IF(Valores!$D$59*'Escala Docente'!D272&gt;Valores!$F$59,Valores!$F$59,Valores!$D$59*'Escala Docente'!D272)/2)</f>
        <v>596.2528</v>
      </c>
      <c r="AI272" s="145">
        <f>IF($H$5="NO",IF(Valores!$D$61*D272&gt;Valores!$F$61,Valores!$F$61,Valores!$D$61*D272),IF(Valores!$D$61*D272&gt;Valores!$F$61,Valores!$F$61,Valores!$D$61*D272)/2)</f>
        <v>170.3724</v>
      </c>
      <c r="AJ272" s="151">
        <f t="shared" si="52"/>
        <v>36756.48188123078</v>
      </c>
      <c r="AK272" s="159">
        <f>IF(Valores!$C$37*D272&gt;Valores!$F$37,Valores!$F$37,Valores!$C$37*D272)</f>
        <v>1535.38</v>
      </c>
      <c r="AL272" s="148">
        <f>IF(Valores!$C$11*D272&gt;Valores!$F$11,Valores!$F$11,Valores!$C$11*D272)</f>
        <v>0</v>
      </c>
      <c r="AM272" s="148">
        <f>IF(Valores!$C$87*D272&gt;Valores!$C$86,Valores!$C$86,Valores!$C$87*D272)</f>
        <v>2502.4999999999995</v>
      </c>
      <c r="AN272" s="148"/>
      <c r="AO272" s="150">
        <f>IF(Valores!$C$58*D272&gt;Valores!$F$58,Valores!$F$58,Valores!$C$58*D272)</f>
        <v>249.81</v>
      </c>
      <c r="AP272" s="152">
        <f t="shared" si="50"/>
        <v>4037.8799999999997</v>
      </c>
      <c r="AQ272" s="154">
        <f>AJ272*-Valores!$C$68</f>
        <v>-4043.2130069353857</v>
      </c>
      <c r="AR272" s="154">
        <f>AJ272*-Valores!$C$69</f>
        <v>0</v>
      </c>
      <c r="AS272" s="147">
        <f>AJ272*-Valores!$C$70</f>
        <v>-1654.0416846553849</v>
      </c>
      <c r="AT272" s="147">
        <v>-159.43</v>
      </c>
      <c r="AU272" s="147">
        <f t="shared" si="53"/>
        <v>-53.83</v>
      </c>
      <c r="AV272" s="151">
        <f t="shared" si="54"/>
        <v>34883.84718964</v>
      </c>
      <c r="AW272" s="155"/>
      <c r="AX272" s="155">
        <f t="shared" si="45"/>
        <v>88</v>
      </c>
      <c r="AY272" s="140" t="s">
        <v>4</v>
      </c>
    </row>
    <row r="273" spans="1:51" s="117" customFormat="1" ht="11.25" customHeight="1">
      <c r="A273" s="139">
        <v>271</v>
      </c>
      <c r="B273" s="139"/>
      <c r="C273" s="140" t="s">
        <v>501</v>
      </c>
      <c r="D273" s="140">
        <v>22</v>
      </c>
      <c r="E273" s="140">
        <f t="shared" si="47"/>
        <v>42</v>
      </c>
      <c r="F273" s="141" t="str">
        <f>CONCATENATE("Hora Cátedra Enseñanza Media ",D273," hs Esc Esp")</f>
        <v>Hora Cátedra Enseñanza Media 22 hs Esc Esp</v>
      </c>
      <c r="G273" s="142">
        <f t="shared" si="46"/>
        <v>1738</v>
      </c>
      <c r="H273" s="143">
        <f>INT((G273*Valores!$C$2*100)+0.49)/100</f>
        <v>16232.4</v>
      </c>
      <c r="I273" s="161">
        <v>0</v>
      </c>
      <c r="J273" s="145">
        <f>INT((I273*Valores!$C$2*100)+0.5)/100</f>
        <v>0</v>
      </c>
      <c r="K273" s="160">
        <v>0</v>
      </c>
      <c r="L273" s="145">
        <f>INT((K273*Valores!$C$2*100)+0.5)/100</f>
        <v>0</v>
      </c>
      <c r="M273" s="158">
        <v>0</v>
      </c>
      <c r="N273" s="145">
        <f>INT((M273*Valores!$C$2*100)+0.5)/100</f>
        <v>0</v>
      </c>
      <c r="O273" s="145">
        <f t="shared" si="48"/>
        <v>2976.753</v>
      </c>
      <c r="P273" s="145">
        <f t="shared" si="49"/>
        <v>0</v>
      </c>
      <c r="Q273" s="159">
        <f>Valores!$C$14*D273</f>
        <v>6801.740000000001</v>
      </c>
      <c r="R273" s="159">
        <f>IF(D273&lt;15,(Valores!$E$4*D273),Valores!$D$4)</f>
        <v>4774.45</v>
      </c>
      <c r="S273" s="145">
        <v>0</v>
      </c>
      <c r="T273" s="148">
        <f>IF($H$5="NO",IF(Valores!$C$46*D273&gt;Valores!$C$44,Valores!$C$44,Valores!$C$46*D273),IF(Valores!$C$46*D273&gt;Valores!$C$44,Valores!$C$44,Valores!$C$46*D273)/2)</f>
        <v>1501.5</v>
      </c>
      <c r="U273" s="159">
        <f>Valores!$C$23*D273</f>
        <v>2111.12</v>
      </c>
      <c r="V273" s="145">
        <f t="shared" si="44"/>
        <v>2111.12</v>
      </c>
      <c r="W273" s="145">
        <v>0</v>
      </c>
      <c r="X273" s="145">
        <v>0</v>
      </c>
      <c r="Y273" s="165">
        <v>0</v>
      </c>
      <c r="Z273" s="145">
        <f>Y273*Valores!$C$2</f>
        <v>0</v>
      </c>
      <c r="AA273" s="145">
        <v>0</v>
      </c>
      <c r="AB273" s="148">
        <f>IF(Valores!$C$92*D273&gt;Valores!$C$91,Valores!$C$91,Valores!$C$92*D273)</f>
        <v>1269.2307692307695</v>
      </c>
      <c r="AC273" s="150">
        <f>IF((Valores!$C$33)*D273&gt;Valores!$F$33,Valores!$F$33,(Valores!$C$33)*D273)</f>
        <v>176.08448</v>
      </c>
      <c r="AD273" s="145">
        <f t="shared" si="51"/>
        <v>0</v>
      </c>
      <c r="AE273" s="145">
        <f>IF(Valores!$C$34*D273&gt;Valores!$F$34,Valores!$F$34,Valores!$C$34*D273)</f>
        <v>146.57843200000002</v>
      </c>
      <c r="AF273" s="149">
        <v>94</v>
      </c>
      <c r="AG273" s="145">
        <f>INT(((AF273*Valores!$C$2)*100)+0.5)/100</f>
        <v>877.93</v>
      </c>
      <c r="AH273" s="145">
        <f>IF($H$5="NO",IF(Valores!$D$59*'Escala Docente'!D273&gt;Valores!$F$59,Valores!$F$59,Valores!$D$59*'Escala Docente'!D273),IF(Valores!$D$59*'Escala Docente'!D273&gt;Valores!$F$59,Valores!$F$59,Valores!$D$59*'Escala Docente'!D273)/2)</f>
        <v>596.2528</v>
      </c>
      <c r="AI273" s="145">
        <f>IF($H$5="NO",IF(Valores!$D$61*D273&gt;Valores!$F$61,Valores!$F$61,Valores!$D$61*D273),IF(Valores!$D$61*D273&gt;Valores!$F$61,Valores!$F$61,Valores!$D$61*D273)/2)</f>
        <v>170.3724</v>
      </c>
      <c r="AJ273" s="151">
        <f t="shared" si="52"/>
        <v>37634.41188123077</v>
      </c>
      <c r="AK273" s="159">
        <f>IF(Valores!$C$37*D273&gt;Valores!$F$37,Valores!$F$37,Valores!$C$37*D273)</f>
        <v>1535.38</v>
      </c>
      <c r="AL273" s="148">
        <f>IF(Valores!$C$11*D273&gt;Valores!$F$11,Valores!$F$11,Valores!$C$11*D273)</f>
        <v>0</v>
      </c>
      <c r="AM273" s="148">
        <f>IF(Valores!$C$87*D273&gt;Valores!$C$86,Valores!$C$86,Valores!$C$87*D273)</f>
        <v>2502.4999999999995</v>
      </c>
      <c r="AN273" s="148"/>
      <c r="AO273" s="150">
        <f>IF(Valores!$C$58*D273&gt;Valores!$F$58,Valores!$F$58,Valores!$C$58*D273)</f>
        <v>249.81</v>
      </c>
      <c r="AP273" s="152">
        <f t="shared" si="50"/>
        <v>4037.8799999999997</v>
      </c>
      <c r="AQ273" s="154">
        <f>AJ273*-Valores!$C$68</f>
        <v>-4139.785306935385</v>
      </c>
      <c r="AR273" s="154">
        <f>AJ273*-Valores!$C$69</f>
        <v>0</v>
      </c>
      <c r="AS273" s="147">
        <f>AJ273*-Valores!$C$70</f>
        <v>-1693.5485346553846</v>
      </c>
      <c r="AT273" s="147">
        <v>-159.43</v>
      </c>
      <c r="AU273" s="147">
        <f t="shared" si="53"/>
        <v>-53.83</v>
      </c>
      <c r="AV273" s="151">
        <f t="shared" si="54"/>
        <v>35625.698039639996</v>
      </c>
      <c r="AW273" s="155"/>
      <c r="AX273" s="155">
        <f t="shared" si="45"/>
        <v>88</v>
      </c>
      <c r="AY273" s="140" t="s">
        <v>4</v>
      </c>
    </row>
    <row r="274" spans="1:51" s="117" customFormat="1" ht="11.25" customHeight="1">
      <c r="A274" s="139">
        <v>272</v>
      </c>
      <c r="B274" s="139"/>
      <c r="C274" s="140" t="s">
        <v>501</v>
      </c>
      <c r="D274" s="140">
        <v>23</v>
      </c>
      <c r="E274" s="140">
        <f t="shared" si="47"/>
        <v>34</v>
      </c>
      <c r="F274" s="141" t="str">
        <f>CONCATENATE("Hora Cátedra Enseñanza Media ",D274," hs")</f>
        <v>Hora Cátedra Enseñanza Media 23 hs</v>
      </c>
      <c r="G274" s="142">
        <f t="shared" si="46"/>
        <v>1817</v>
      </c>
      <c r="H274" s="143">
        <f>INT((G274*Valores!$C$2*100)+0.49)/100</f>
        <v>16970.23</v>
      </c>
      <c r="I274" s="161">
        <v>0</v>
      </c>
      <c r="J274" s="145">
        <f>INT((I274*Valores!$C$2*100)+0.5)/100</f>
        <v>0</v>
      </c>
      <c r="K274" s="160">
        <v>0</v>
      </c>
      <c r="L274" s="145">
        <f>INT((K274*Valores!$C$2*100)+0.5)/100</f>
        <v>0</v>
      </c>
      <c r="M274" s="158">
        <v>0</v>
      </c>
      <c r="N274" s="145">
        <f>INT((M274*Valores!$C$2*100)+0.5)/100</f>
        <v>0</v>
      </c>
      <c r="O274" s="145">
        <f t="shared" si="48"/>
        <v>3112.0589999999997</v>
      </c>
      <c r="P274" s="145">
        <f t="shared" si="49"/>
        <v>0</v>
      </c>
      <c r="Q274" s="159">
        <f>Valores!$C$14*D274</f>
        <v>7110.910000000001</v>
      </c>
      <c r="R274" s="159">
        <f>IF(D274&lt;15,(Valores!$E$4*D274),Valores!$D$4)</f>
        <v>4774.45</v>
      </c>
      <c r="S274" s="145">
        <v>0</v>
      </c>
      <c r="T274" s="148">
        <f>IF($H$5="NO",IF(Valores!$C$46*D274&gt;Valores!$C$44,Valores!$C$44,Valores!$C$46*D274),IF(Valores!$C$46*D274&gt;Valores!$C$44,Valores!$C$44,Valores!$C$46*D274)/2)</f>
        <v>1569.75</v>
      </c>
      <c r="U274" s="159">
        <f>Valores!$C$23*D274</f>
        <v>2207.08</v>
      </c>
      <c r="V274" s="145">
        <f t="shared" si="44"/>
        <v>2207.08</v>
      </c>
      <c r="W274" s="145">
        <v>0</v>
      </c>
      <c r="X274" s="145">
        <v>0</v>
      </c>
      <c r="Y274" s="165">
        <v>0</v>
      </c>
      <c r="Z274" s="145">
        <f>Y274*Valores!$C$2</f>
        <v>0</v>
      </c>
      <c r="AA274" s="145">
        <v>0</v>
      </c>
      <c r="AB274" s="148">
        <f>IF(Valores!$C$92*D274&gt;Valores!$C$91,Valores!$C$91,Valores!$C$92*D274)</f>
        <v>1326.9230769230774</v>
      </c>
      <c r="AC274" s="150">
        <f>IF((Valores!$C$33)*D274&gt;Valores!$F$33,Valores!$F$33,(Valores!$C$33)*D274)</f>
        <v>184.08832</v>
      </c>
      <c r="AD274" s="145">
        <f t="shared" si="51"/>
        <v>0</v>
      </c>
      <c r="AE274" s="145">
        <f>IF(Valores!$C$34*D274&gt;Valores!$F$34,Valores!$F$34,Valores!$C$34*D274)</f>
        <v>153.24108800000002</v>
      </c>
      <c r="AF274" s="149">
        <v>0</v>
      </c>
      <c r="AG274" s="145">
        <f>INT(((AF274*Valores!$C$2)*100)+0.5)/100</f>
        <v>0</v>
      </c>
      <c r="AH274" s="145">
        <f>IF($H$5="NO",IF(Valores!$D$59*'Escala Docente'!D274&gt;Valores!$F$59,Valores!$F$59,Valores!$D$59*'Escala Docente'!D274),IF(Valores!$D$59*'Escala Docente'!D274&gt;Valores!$F$59,Valores!$F$59,Valores!$D$59*'Escala Docente'!D274)/2)</f>
        <v>623.3552</v>
      </c>
      <c r="AI274" s="145">
        <f>IF($H$5="NO",IF(Valores!$D$61*D274&gt;Valores!$F$61,Valores!$F$61,Valores!$D$61*D274),IF(Valores!$D$61*D274&gt;Valores!$F$61,Valores!$F$61,Valores!$D$61*D274)/2)</f>
        <v>178.1166</v>
      </c>
      <c r="AJ274" s="151">
        <f t="shared" si="52"/>
        <v>38210.20328492308</v>
      </c>
      <c r="AK274" s="159">
        <f>IF(Valores!$C$37*D274&gt;Valores!$F$37,Valores!$F$37,Valores!$C$37*D274)</f>
        <v>1605.17</v>
      </c>
      <c r="AL274" s="148">
        <f>IF(Valores!$C$11*D274&gt;Valores!$F$11,Valores!$F$11,Valores!$C$11*D274)</f>
        <v>0</v>
      </c>
      <c r="AM274" s="148">
        <f>IF(Valores!$C$87*D274&gt;Valores!$C$86,Valores!$C$86,Valores!$C$87*D274)</f>
        <v>2616.2499999999995</v>
      </c>
      <c r="AN274" s="148"/>
      <c r="AO274" s="150">
        <f>IF(Valores!$C$58*D274&gt;Valores!$F$58,Valores!$F$58,Valores!$C$58*D274)</f>
        <v>261.165</v>
      </c>
      <c r="AP274" s="152">
        <f t="shared" si="50"/>
        <v>4221.42</v>
      </c>
      <c r="AQ274" s="154">
        <f>AJ274*-Valores!$C$68</f>
        <v>-4203.122361341539</v>
      </c>
      <c r="AR274" s="154">
        <f>AJ274*-Valores!$C$69</f>
        <v>0</v>
      </c>
      <c r="AS274" s="147">
        <f>AJ274*-Valores!$C$70</f>
        <v>-1719.4591478215386</v>
      </c>
      <c r="AT274" s="147">
        <v>-159.43</v>
      </c>
      <c r="AU274" s="147">
        <f t="shared" si="53"/>
        <v>-53.83</v>
      </c>
      <c r="AV274" s="151">
        <f t="shared" si="54"/>
        <v>36295.781775760006</v>
      </c>
      <c r="AW274" s="155"/>
      <c r="AX274" s="155">
        <f t="shared" si="45"/>
        <v>92</v>
      </c>
      <c r="AY274" s="140" t="s">
        <v>8</v>
      </c>
    </row>
    <row r="275" spans="1:51" s="117" customFormat="1" ht="11.25" customHeight="1">
      <c r="A275" s="139">
        <v>273</v>
      </c>
      <c r="B275" s="139"/>
      <c r="C275" s="140" t="s">
        <v>501</v>
      </c>
      <c r="D275" s="140">
        <v>23</v>
      </c>
      <c r="E275" s="140">
        <f t="shared" si="47"/>
        <v>42</v>
      </c>
      <c r="F275" s="141" t="str">
        <f>CONCATENATE("Hora Cátedra Enseñanza Media ",D275," hs Esc Esp")</f>
        <v>Hora Cátedra Enseñanza Media 23 hs Esc Esp</v>
      </c>
      <c r="G275" s="142">
        <f t="shared" si="46"/>
        <v>1817</v>
      </c>
      <c r="H275" s="143">
        <f>INT((G275*Valores!$C$2*100)+0.49)/100</f>
        <v>16970.23</v>
      </c>
      <c r="I275" s="161">
        <v>0</v>
      </c>
      <c r="J275" s="145">
        <f>INT((I275*Valores!$C$2*100)+0.5)/100</f>
        <v>0</v>
      </c>
      <c r="K275" s="160">
        <v>0</v>
      </c>
      <c r="L275" s="145">
        <f>INT((K275*Valores!$C$2*100)+0.5)/100</f>
        <v>0</v>
      </c>
      <c r="M275" s="158">
        <v>0</v>
      </c>
      <c r="N275" s="145">
        <f>INT((M275*Valores!$C$2*100)+0.5)/100</f>
        <v>0</v>
      </c>
      <c r="O275" s="145">
        <f t="shared" si="48"/>
        <v>3112.0589999999997</v>
      </c>
      <c r="P275" s="145">
        <f t="shared" si="49"/>
        <v>0</v>
      </c>
      <c r="Q275" s="159">
        <f>Valores!$C$14*D275</f>
        <v>7110.910000000001</v>
      </c>
      <c r="R275" s="159">
        <f>IF(D275&lt;15,(Valores!$E$4*D275),Valores!$D$4)</f>
        <v>4774.45</v>
      </c>
      <c r="S275" s="145">
        <v>0</v>
      </c>
      <c r="T275" s="148">
        <f>IF($H$5="NO",IF(Valores!$C$46*D275&gt;Valores!$C$44,Valores!$C$44,Valores!$C$46*D275),IF(Valores!$C$46*D275&gt;Valores!$C$44,Valores!$C$44,Valores!$C$46*D275)/2)</f>
        <v>1569.75</v>
      </c>
      <c r="U275" s="159">
        <f>Valores!$C$23*D275</f>
        <v>2207.08</v>
      </c>
      <c r="V275" s="145">
        <f t="shared" si="44"/>
        <v>2207.08</v>
      </c>
      <c r="W275" s="145">
        <v>0</v>
      </c>
      <c r="X275" s="145">
        <v>0</v>
      </c>
      <c r="Y275" s="165">
        <v>0</v>
      </c>
      <c r="Z275" s="145">
        <f>Y275*Valores!$C$2</f>
        <v>0</v>
      </c>
      <c r="AA275" s="145">
        <v>0</v>
      </c>
      <c r="AB275" s="148">
        <f>IF(Valores!$C$92*D275&gt;Valores!$C$91,Valores!$C$91,Valores!$C$92*D275)</f>
        <v>1326.9230769230774</v>
      </c>
      <c r="AC275" s="150">
        <f>IF((Valores!$C$33)*D275&gt;Valores!$F$33,Valores!$F$33,(Valores!$C$33)*D275)</f>
        <v>184.08832</v>
      </c>
      <c r="AD275" s="145">
        <f t="shared" si="51"/>
        <v>0</v>
      </c>
      <c r="AE275" s="145">
        <f>IF(Valores!$C$34*D275&gt;Valores!$F$34,Valores!$F$34,Valores!$C$34*D275)</f>
        <v>153.24108800000002</v>
      </c>
      <c r="AF275" s="149">
        <v>94</v>
      </c>
      <c r="AG275" s="145">
        <f>INT(((AF275*Valores!$C$2)*100)+0.5)/100</f>
        <v>877.93</v>
      </c>
      <c r="AH275" s="145">
        <f>IF($H$5="NO",IF(Valores!$D$59*'Escala Docente'!D275&gt;Valores!$F$59,Valores!$F$59,Valores!$D$59*'Escala Docente'!D275),IF(Valores!$D$59*'Escala Docente'!D275&gt;Valores!$F$59,Valores!$F$59,Valores!$D$59*'Escala Docente'!D275)/2)</f>
        <v>623.3552</v>
      </c>
      <c r="AI275" s="145">
        <f>IF($H$5="NO",IF(Valores!$D$61*D275&gt;Valores!$F$61,Valores!$F$61,Valores!$D$61*D275),IF(Valores!$D$61*D275&gt;Valores!$F$61,Valores!$F$61,Valores!$D$61*D275)/2)</f>
        <v>178.1166</v>
      </c>
      <c r="AJ275" s="151">
        <f t="shared" si="52"/>
        <v>39088.13328492308</v>
      </c>
      <c r="AK275" s="159">
        <f>IF(Valores!$C$37*D275&gt;Valores!$F$37,Valores!$F$37,Valores!$C$37*D275)</f>
        <v>1605.17</v>
      </c>
      <c r="AL275" s="148">
        <f>IF(Valores!$C$11*D275&gt;Valores!$F$11,Valores!$F$11,Valores!$C$11*D275)</f>
        <v>0</v>
      </c>
      <c r="AM275" s="148">
        <f>IF(Valores!$C$87*D275&gt;Valores!$C$86,Valores!$C$86,Valores!$C$87*D275)</f>
        <v>2616.2499999999995</v>
      </c>
      <c r="AN275" s="148"/>
      <c r="AO275" s="150">
        <f>IF(Valores!$C$58*D275&gt;Valores!$F$58,Valores!$F$58,Valores!$C$58*D275)</f>
        <v>261.165</v>
      </c>
      <c r="AP275" s="152">
        <f t="shared" si="50"/>
        <v>4221.42</v>
      </c>
      <c r="AQ275" s="154">
        <f>AJ275*-Valores!$C$68</f>
        <v>-4299.694661341539</v>
      </c>
      <c r="AR275" s="154">
        <f>AJ275*-Valores!$C$69</f>
        <v>0</v>
      </c>
      <c r="AS275" s="147">
        <f>AJ275*-Valores!$C$70</f>
        <v>-1758.9659978215386</v>
      </c>
      <c r="AT275" s="147">
        <v>-159.43</v>
      </c>
      <c r="AU275" s="147">
        <f t="shared" si="53"/>
        <v>-53.83</v>
      </c>
      <c r="AV275" s="151">
        <f t="shared" si="54"/>
        <v>37037.63262576</v>
      </c>
      <c r="AW275" s="155"/>
      <c r="AX275" s="155">
        <f t="shared" si="45"/>
        <v>92</v>
      </c>
      <c r="AY275" s="140" t="s">
        <v>8</v>
      </c>
    </row>
    <row r="276" spans="1:51" s="117" customFormat="1" ht="11.25" customHeight="1">
      <c r="A276" s="139">
        <v>274</v>
      </c>
      <c r="B276" s="139"/>
      <c r="C276" s="140" t="s">
        <v>501</v>
      </c>
      <c r="D276" s="140">
        <v>24</v>
      </c>
      <c r="E276" s="140">
        <f t="shared" si="47"/>
        <v>34</v>
      </c>
      <c r="F276" s="141" t="str">
        <f>CONCATENATE("Hora Cátedra Enseñanza Media ",D276," hs")</f>
        <v>Hora Cátedra Enseñanza Media 24 hs</v>
      </c>
      <c r="G276" s="142">
        <f t="shared" si="46"/>
        <v>1896</v>
      </c>
      <c r="H276" s="143">
        <f>INT((G276*Valores!$C$2*100)+0.49)/100</f>
        <v>17708.07</v>
      </c>
      <c r="I276" s="161">
        <v>0</v>
      </c>
      <c r="J276" s="145">
        <f>INT((I276*Valores!$C$2*100)+0.5)/100</f>
        <v>0</v>
      </c>
      <c r="K276" s="160">
        <v>0</v>
      </c>
      <c r="L276" s="145">
        <f>INT((K276*Valores!$C$2*100)+0.5)/100</f>
        <v>0</v>
      </c>
      <c r="M276" s="158">
        <v>0</v>
      </c>
      <c r="N276" s="145">
        <f>INT((M276*Valores!$C$2*100)+0.5)/100</f>
        <v>0</v>
      </c>
      <c r="O276" s="145">
        <f t="shared" si="48"/>
        <v>3247.3665</v>
      </c>
      <c r="P276" s="145">
        <f t="shared" si="49"/>
        <v>0</v>
      </c>
      <c r="Q276" s="159">
        <f>Valores!$C$14*D276</f>
        <v>7420.08</v>
      </c>
      <c r="R276" s="159">
        <f>IF(D276&lt;15,(Valores!$E$4*D276),Valores!$D$4)</f>
        <v>4774.45</v>
      </c>
      <c r="S276" s="145">
        <v>0</v>
      </c>
      <c r="T276" s="148">
        <f>IF($H$5="NO",IF(Valores!$C$46*D276&gt;Valores!$C$44,Valores!$C$44,Valores!$C$46*D276),IF(Valores!$C$46*D276&gt;Valores!$C$44,Valores!$C$44,Valores!$C$46*D276)/2)</f>
        <v>1638</v>
      </c>
      <c r="U276" s="159">
        <f>Valores!$C$23*D276</f>
        <v>2303.04</v>
      </c>
      <c r="V276" s="145">
        <f t="shared" si="44"/>
        <v>2303.04</v>
      </c>
      <c r="W276" s="145">
        <v>0</v>
      </c>
      <c r="X276" s="145">
        <v>0</v>
      </c>
      <c r="Y276" s="165">
        <v>0</v>
      </c>
      <c r="Z276" s="145">
        <f>Y276*Valores!$C$2</f>
        <v>0</v>
      </c>
      <c r="AA276" s="145">
        <v>0</v>
      </c>
      <c r="AB276" s="148">
        <f>IF(Valores!$C$92*D276&gt;Valores!$C$91,Valores!$C$91,Valores!$C$92*D276)</f>
        <v>1384.615384615385</v>
      </c>
      <c r="AC276" s="150">
        <f>IF((Valores!$C$33)*D276&gt;Valores!$F$33,Valores!$F$33,(Valores!$C$33)*D276)</f>
        <v>192.09216</v>
      </c>
      <c r="AD276" s="145">
        <f t="shared" si="51"/>
        <v>0</v>
      </c>
      <c r="AE276" s="145">
        <f>IF(Valores!$C$34*D276&gt;Valores!$F$34,Valores!$F$34,Valores!$C$34*D276)</f>
        <v>159.90374400000002</v>
      </c>
      <c r="AF276" s="149">
        <v>0</v>
      </c>
      <c r="AG276" s="145">
        <f>INT(((AF276*Valores!$C$2)*100)+0.5)/100</f>
        <v>0</v>
      </c>
      <c r="AH276" s="145">
        <f>IF($H$5="NO",IF(Valores!$D$59*'Escala Docente'!D276&gt;Valores!$F$59,Valores!$F$59,Valores!$D$59*'Escala Docente'!D276),IF(Valores!$D$59*'Escala Docente'!D276&gt;Valores!$F$59,Valores!$F$59,Valores!$D$59*'Escala Docente'!D276)/2)</f>
        <v>650.4576</v>
      </c>
      <c r="AI276" s="145">
        <f>IF($H$5="NO",IF(Valores!$D$61*D276&gt;Valores!$F$61,Valores!$F$61,Valores!$D$61*D276),IF(Valores!$D$61*D276&gt;Valores!$F$61,Valores!$F$61,Valores!$D$61*D276)/2)</f>
        <v>185.8608</v>
      </c>
      <c r="AJ276" s="151">
        <f t="shared" si="52"/>
        <v>39663.936188615386</v>
      </c>
      <c r="AK276" s="159">
        <f>IF(Valores!$C$37*D276&gt;Valores!$F$37,Valores!$F$37,Valores!$C$37*D276)</f>
        <v>1674.96</v>
      </c>
      <c r="AL276" s="148">
        <f>IF(Valores!$C$11*D276&gt;Valores!$F$11,Valores!$F$11,Valores!$C$11*D276)</f>
        <v>0</v>
      </c>
      <c r="AM276" s="148">
        <f>IF(Valores!$C$87*D276&gt;Valores!$C$86,Valores!$C$86,Valores!$C$87*D276)</f>
        <v>2729.9999999999995</v>
      </c>
      <c r="AN276" s="148"/>
      <c r="AO276" s="150">
        <f>IF(Valores!$C$58*D276&gt;Valores!$F$58,Valores!$F$58,Valores!$C$58*D276)</f>
        <v>272.52</v>
      </c>
      <c r="AP276" s="152">
        <f t="shared" si="50"/>
        <v>4404.959999999999</v>
      </c>
      <c r="AQ276" s="154">
        <f>AJ276*-Valores!$C$68</f>
        <v>-4363.032980747693</v>
      </c>
      <c r="AR276" s="154">
        <f>AJ276*-Valores!$C$69</f>
        <v>0</v>
      </c>
      <c r="AS276" s="147">
        <f>AJ276*-Valores!$C$70</f>
        <v>-1784.8771284876923</v>
      </c>
      <c r="AT276" s="147">
        <v>-159.43</v>
      </c>
      <c r="AU276" s="147">
        <f t="shared" si="53"/>
        <v>-53.83</v>
      </c>
      <c r="AV276" s="151">
        <f t="shared" si="54"/>
        <v>37707.726079379994</v>
      </c>
      <c r="AW276" s="155"/>
      <c r="AX276" s="155">
        <f t="shared" si="45"/>
        <v>96</v>
      </c>
      <c r="AY276" s="140" t="s">
        <v>8</v>
      </c>
    </row>
    <row r="277" spans="1:51" s="117" customFormat="1" ht="11.25" customHeight="1">
      <c r="A277" s="157">
        <v>275</v>
      </c>
      <c r="B277" s="157" t="s">
        <v>143</v>
      </c>
      <c r="C277" s="140" t="s">
        <v>501</v>
      </c>
      <c r="D277" s="140">
        <v>24</v>
      </c>
      <c r="E277" s="140">
        <f t="shared" si="47"/>
        <v>42</v>
      </c>
      <c r="F277" s="141" t="str">
        <f>CONCATENATE("Hora Cátedra Enseñanza Media ",D277," hs Esc Esp")</f>
        <v>Hora Cátedra Enseñanza Media 24 hs Esc Esp</v>
      </c>
      <c r="G277" s="142">
        <f t="shared" si="46"/>
        <v>1896</v>
      </c>
      <c r="H277" s="143">
        <f>INT((G277*Valores!$C$2*100)+0.49)/100</f>
        <v>17708.07</v>
      </c>
      <c r="I277" s="161">
        <v>0</v>
      </c>
      <c r="J277" s="145">
        <f>INT((I277*Valores!$C$2*100)+0.5)/100</f>
        <v>0</v>
      </c>
      <c r="K277" s="160">
        <v>0</v>
      </c>
      <c r="L277" s="145">
        <f>INT((K277*Valores!$C$2*100)+0.5)/100</f>
        <v>0</v>
      </c>
      <c r="M277" s="158">
        <v>0</v>
      </c>
      <c r="N277" s="145">
        <f>INT((M277*Valores!$C$2*100)+0.5)/100</f>
        <v>0</v>
      </c>
      <c r="O277" s="145">
        <f t="shared" si="48"/>
        <v>3247.3665</v>
      </c>
      <c r="P277" s="145">
        <f t="shared" si="49"/>
        <v>0</v>
      </c>
      <c r="Q277" s="159">
        <f>Valores!$C$14*D277</f>
        <v>7420.08</v>
      </c>
      <c r="R277" s="159">
        <f>IF(D277&lt;15,(Valores!$E$4*D277),Valores!$D$4)</f>
        <v>4774.45</v>
      </c>
      <c r="S277" s="145">
        <v>0</v>
      </c>
      <c r="T277" s="148">
        <f>IF($H$5="NO",IF(Valores!$C$46*D277&gt;Valores!$C$44,Valores!$C$44,Valores!$C$46*D277),IF(Valores!$C$46*D277&gt;Valores!$C$44,Valores!$C$44,Valores!$C$46*D277)/2)</f>
        <v>1638</v>
      </c>
      <c r="U277" s="159">
        <f>Valores!$C$23*D277</f>
        <v>2303.04</v>
      </c>
      <c r="V277" s="145">
        <f t="shared" si="44"/>
        <v>2303.04</v>
      </c>
      <c r="W277" s="145">
        <v>0</v>
      </c>
      <c r="X277" s="145">
        <v>0</v>
      </c>
      <c r="Y277" s="165">
        <v>0</v>
      </c>
      <c r="Z277" s="145">
        <f>Y277*Valores!$C$2</f>
        <v>0</v>
      </c>
      <c r="AA277" s="145">
        <v>0</v>
      </c>
      <c r="AB277" s="148">
        <f>IF(Valores!$C$92*D277&gt;Valores!$C$91,Valores!$C$91,Valores!$C$92*D277)</f>
        <v>1384.615384615385</v>
      </c>
      <c r="AC277" s="150">
        <f>IF((Valores!$C$33)*D277&gt;Valores!$F$33,Valores!$F$33,(Valores!$C$33)*D277)</f>
        <v>192.09216</v>
      </c>
      <c r="AD277" s="145">
        <f t="shared" si="51"/>
        <v>0</v>
      </c>
      <c r="AE277" s="145">
        <f>IF(Valores!$C$34*D277&gt;Valores!$F$34,Valores!$F$34,Valores!$C$34*D277)</f>
        <v>159.90374400000002</v>
      </c>
      <c r="AF277" s="149">
        <v>94</v>
      </c>
      <c r="AG277" s="145">
        <f>INT(((AF277*Valores!$C$2)*100)+0.5)/100</f>
        <v>877.93</v>
      </c>
      <c r="AH277" s="145">
        <f>IF($H$5="NO",IF(Valores!$D$59*'Escala Docente'!D277&gt;Valores!$F$59,Valores!$F$59,Valores!$D$59*'Escala Docente'!D277),IF(Valores!$D$59*'Escala Docente'!D277&gt;Valores!$F$59,Valores!$F$59,Valores!$D$59*'Escala Docente'!D277)/2)</f>
        <v>650.4576</v>
      </c>
      <c r="AI277" s="145">
        <f>IF($H$5="NO",IF(Valores!$D$61*D277&gt;Valores!$F$61,Valores!$F$61,Valores!$D$61*D277),IF(Valores!$D$61*D277&gt;Valores!$F$61,Valores!$F$61,Valores!$D$61*D277)/2)</f>
        <v>185.8608</v>
      </c>
      <c r="AJ277" s="151">
        <f t="shared" si="52"/>
        <v>40541.866188615386</v>
      </c>
      <c r="AK277" s="159">
        <f>IF(Valores!$C$37*D277&gt;Valores!$F$37,Valores!$F$37,Valores!$C$37*D277)</f>
        <v>1674.96</v>
      </c>
      <c r="AL277" s="148">
        <f>IF(Valores!$C$11*D277&gt;Valores!$F$11,Valores!$F$11,Valores!$C$11*D277)</f>
        <v>0</v>
      </c>
      <c r="AM277" s="148">
        <f>IF(Valores!$C$87*D277&gt;Valores!$C$86,Valores!$C$86,Valores!$C$87*D277)</f>
        <v>2729.9999999999995</v>
      </c>
      <c r="AN277" s="148"/>
      <c r="AO277" s="150">
        <f>IF(Valores!$C$58*D277&gt;Valores!$F$58,Valores!$F$58,Valores!$C$58*D277)</f>
        <v>272.52</v>
      </c>
      <c r="AP277" s="152">
        <f t="shared" si="50"/>
        <v>4404.959999999999</v>
      </c>
      <c r="AQ277" s="154">
        <f>AJ277*-Valores!$C$68</f>
        <v>-4459.605280747693</v>
      </c>
      <c r="AR277" s="154">
        <f>AJ277*-Valores!$C$69</f>
        <v>0</v>
      </c>
      <c r="AS277" s="147">
        <f>AJ277*-Valores!$C$70</f>
        <v>-1824.3839784876923</v>
      </c>
      <c r="AT277" s="147">
        <v>-159.43</v>
      </c>
      <c r="AU277" s="147">
        <f t="shared" si="53"/>
        <v>-53.83</v>
      </c>
      <c r="AV277" s="151">
        <f t="shared" si="54"/>
        <v>38449.57692938</v>
      </c>
      <c r="AW277" s="155"/>
      <c r="AX277" s="155">
        <f t="shared" si="45"/>
        <v>96</v>
      </c>
      <c r="AY277" s="140" t="s">
        <v>8</v>
      </c>
    </row>
    <row r="278" spans="1:51" s="117" customFormat="1" ht="11.25" customHeight="1">
      <c r="A278" s="139">
        <v>276</v>
      </c>
      <c r="B278" s="139"/>
      <c r="C278" s="140" t="s">
        <v>501</v>
      </c>
      <c r="D278" s="140">
        <v>25</v>
      </c>
      <c r="E278" s="140">
        <f t="shared" si="47"/>
        <v>34</v>
      </c>
      <c r="F278" s="141" t="str">
        <f>CONCATENATE("Hora Cátedra Enseñanza Media ",D278," hs")</f>
        <v>Hora Cátedra Enseñanza Media 25 hs</v>
      </c>
      <c r="G278" s="142">
        <f t="shared" si="46"/>
        <v>1975</v>
      </c>
      <c r="H278" s="143">
        <f>INT((G278*Valores!$C$2*100)+0.49)/100</f>
        <v>18445.91</v>
      </c>
      <c r="I278" s="161">
        <v>0</v>
      </c>
      <c r="J278" s="145">
        <f>INT((I278*Valores!$C$2*100)+0.5)/100</f>
        <v>0</v>
      </c>
      <c r="K278" s="160">
        <v>0</v>
      </c>
      <c r="L278" s="145">
        <f>INT((K278*Valores!$C$2*100)+0.5)/100</f>
        <v>0</v>
      </c>
      <c r="M278" s="158">
        <v>0</v>
      </c>
      <c r="N278" s="145">
        <f>INT((M278*Valores!$C$2*100)+0.5)/100</f>
        <v>0</v>
      </c>
      <c r="O278" s="145">
        <f t="shared" si="48"/>
        <v>3382.674</v>
      </c>
      <c r="P278" s="145">
        <f t="shared" si="49"/>
        <v>0</v>
      </c>
      <c r="Q278" s="159">
        <f>Valores!$C$14*D278</f>
        <v>7729.25</v>
      </c>
      <c r="R278" s="159">
        <f>IF(D278&lt;15,(Valores!$E$4*D278),Valores!$D$4)</f>
        <v>4774.45</v>
      </c>
      <c r="S278" s="145">
        <v>0</v>
      </c>
      <c r="T278" s="148">
        <f>IF($H$5="NO",IF(Valores!$C$46*D278&gt;Valores!$C$44,Valores!$C$44,Valores!$C$46*D278),IF(Valores!$C$46*D278&gt;Valores!$C$44,Valores!$C$44,Valores!$C$46*D278)/2)</f>
        <v>1706.25</v>
      </c>
      <c r="U278" s="159">
        <f>Valores!$C$23*D278</f>
        <v>2399</v>
      </c>
      <c r="V278" s="145">
        <f t="shared" si="44"/>
        <v>2399</v>
      </c>
      <c r="W278" s="145">
        <v>0</v>
      </c>
      <c r="X278" s="145">
        <v>0</v>
      </c>
      <c r="Y278" s="165">
        <v>0</v>
      </c>
      <c r="Z278" s="145">
        <f>Y278*Valores!$C$2</f>
        <v>0</v>
      </c>
      <c r="AA278" s="145">
        <v>0</v>
      </c>
      <c r="AB278" s="148">
        <f>IF(Valores!$C$92*D278&gt;Valores!$C$91,Valores!$C$91,Valores!$C$92*D278)</f>
        <v>1442.3076923076926</v>
      </c>
      <c r="AC278" s="150">
        <f>IF((Valores!$C$33)*D278&gt;Valores!$F$33,Valores!$F$33,(Valores!$C$33)*D278)</f>
        <v>200.096</v>
      </c>
      <c r="AD278" s="145">
        <f t="shared" si="51"/>
        <v>0</v>
      </c>
      <c r="AE278" s="145">
        <f>IF(Valores!$C$34*D278&gt;Valores!$F$34,Valores!$F$34,Valores!$C$34*D278)</f>
        <v>166.56640000000002</v>
      </c>
      <c r="AF278" s="149">
        <v>0</v>
      </c>
      <c r="AG278" s="145">
        <f>INT(((AF278*Valores!$C$2)*100)+0.5)/100</f>
        <v>0</v>
      </c>
      <c r="AH278" s="145">
        <f>IF($H$5="NO",IF(Valores!$D$59*'Escala Docente'!D278&gt;Valores!$F$59,Valores!$F$59,Valores!$D$59*'Escala Docente'!D278),IF(Valores!$D$59*'Escala Docente'!D278&gt;Valores!$F$59,Valores!$F$59,Valores!$D$59*'Escala Docente'!D278)/2)</f>
        <v>677.56</v>
      </c>
      <c r="AI278" s="145">
        <f>IF($H$5="NO",IF(Valores!$D$61*D278&gt;Valores!$F$61,Valores!$F$61,Valores!$D$61*D278),IF(Valores!$D$61*D278&gt;Valores!$F$61,Valores!$F$61,Valores!$D$61*D278)/2)</f>
        <v>193.60500000000002</v>
      </c>
      <c r="AJ278" s="151">
        <f t="shared" si="52"/>
        <v>41117.6690923077</v>
      </c>
      <c r="AK278" s="159">
        <f>IF(Valores!$C$37*D278&gt;Valores!$F$37,Valores!$F$37,Valores!$C$37*D278)</f>
        <v>1744.7500000000002</v>
      </c>
      <c r="AL278" s="148">
        <f>IF(Valores!$C$11*D278&gt;Valores!$F$11,Valores!$F$11,Valores!$C$11*D278)</f>
        <v>0</v>
      </c>
      <c r="AM278" s="148">
        <f>IF(Valores!$C$87*D278&gt;Valores!$C$86,Valores!$C$86,Valores!$C$87*D278)</f>
        <v>2843.7499999999995</v>
      </c>
      <c r="AN278" s="148"/>
      <c r="AO278" s="150">
        <f>IF(Valores!$C$58*D278&gt;Valores!$F$58,Valores!$F$58,Valores!$C$58*D278)</f>
        <v>283.875</v>
      </c>
      <c r="AP278" s="152">
        <f t="shared" si="50"/>
        <v>4588.5</v>
      </c>
      <c r="AQ278" s="154">
        <f>AJ278*-Valores!$C$68</f>
        <v>-4522.943600153847</v>
      </c>
      <c r="AR278" s="154">
        <f>AJ278*-Valores!$C$69</f>
        <v>0</v>
      </c>
      <c r="AS278" s="147">
        <f>AJ278*-Valores!$C$70</f>
        <v>-1850.2951091538462</v>
      </c>
      <c r="AT278" s="147">
        <v>-159.43</v>
      </c>
      <c r="AU278" s="147">
        <f t="shared" si="53"/>
        <v>-53.83</v>
      </c>
      <c r="AV278" s="151">
        <f t="shared" si="54"/>
        <v>39119.670383</v>
      </c>
      <c r="AW278" s="155"/>
      <c r="AX278" s="155">
        <f t="shared" si="45"/>
        <v>100</v>
      </c>
      <c r="AY278" s="140" t="s">
        <v>4</v>
      </c>
    </row>
    <row r="279" spans="1:51" s="117" customFormat="1" ht="11.25" customHeight="1">
      <c r="A279" s="139">
        <v>277</v>
      </c>
      <c r="B279" s="139"/>
      <c r="C279" s="140" t="s">
        <v>501</v>
      </c>
      <c r="D279" s="140">
        <v>25</v>
      </c>
      <c r="E279" s="140">
        <f t="shared" si="47"/>
        <v>42</v>
      </c>
      <c r="F279" s="141" t="str">
        <f>CONCATENATE("Hora Cátedra Enseñanza Media ",D279," hs Esc Esp")</f>
        <v>Hora Cátedra Enseñanza Media 25 hs Esc Esp</v>
      </c>
      <c r="G279" s="142">
        <f t="shared" si="46"/>
        <v>1975</v>
      </c>
      <c r="H279" s="143">
        <f>INT((G279*Valores!$C$2*100)+0.49)/100</f>
        <v>18445.91</v>
      </c>
      <c r="I279" s="161">
        <v>0</v>
      </c>
      <c r="J279" s="145">
        <f>INT((I279*Valores!$C$2*100)+0.5)/100</f>
        <v>0</v>
      </c>
      <c r="K279" s="160">
        <v>0</v>
      </c>
      <c r="L279" s="145">
        <f>INT((K279*Valores!$C$2*100)+0.5)/100</f>
        <v>0</v>
      </c>
      <c r="M279" s="158">
        <v>0</v>
      </c>
      <c r="N279" s="145">
        <f>INT((M279*Valores!$C$2*100)+0.5)/100</f>
        <v>0</v>
      </c>
      <c r="O279" s="145">
        <f t="shared" si="48"/>
        <v>3382.674</v>
      </c>
      <c r="P279" s="145">
        <f t="shared" si="49"/>
        <v>0</v>
      </c>
      <c r="Q279" s="159">
        <f>Valores!$C$14*D279</f>
        <v>7729.25</v>
      </c>
      <c r="R279" s="159">
        <f>IF(D279&lt;15,(Valores!$E$4*D279),Valores!$D$4)</f>
        <v>4774.45</v>
      </c>
      <c r="S279" s="145">
        <v>0</v>
      </c>
      <c r="T279" s="148">
        <f>IF($H$5="NO",IF(Valores!$C$46*D279&gt;Valores!$C$44,Valores!$C$44,Valores!$C$46*D279),IF(Valores!$C$46*D279&gt;Valores!$C$44,Valores!$C$44,Valores!$C$46*D279)/2)</f>
        <v>1706.25</v>
      </c>
      <c r="U279" s="159">
        <f>Valores!$C$23*D279</f>
        <v>2399</v>
      </c>
      <c r="V279" s="145">
        <f t="shared" si="44"/>
        <v>2399</v>
      </c>
      <c r="W279" s="145">
        <v>0</v>
      </c>
      <c r="X279" s="145">
        <v>0</v>
      </c>
      <c r="Y279" s="165">
        <v>0</v>
      </c>
      <c r="Z279" s="145">
        <f>Y279*Valores!$C$2</f>
        <v>0</v>
      </c>
      <c r="AA279" s="145">
        <v>0</v>
      </c>
      <c r="AB279" s="148">
        <f>IF(Valores!$C$92*D279&gt;Valores!$C$91,Valores!$C$91,Valores!$C$92*D279)</f>
        <v>1442.3076923076926</v>
      </c>
      <c r="AC279" s="150">
        <f>IF((Valores!$C$33)*D279&gt;Valores!$F$33,Valores!$F$33,(Valores!$C$33)*D279)</f>
        <v>200.096</v>
      </c>
      <c r="AD279" s="145">
        <f t="shared" si="51"/>
        <v>0</v>
      </c>
      <c r="AE279" s="145">
        <f>IF(Valores!$C$34*D279&gt;Valores!$F$34,Valores!$F$34,Valores!$C$34*D279)</f>
        <v>166.56640000000002</v>
      </c>
      <c r="AF279" s="149">
        <v>94</v>
      </c>
      <c r="AG279" s="145">
        <f>INT(((AF279*Valores!$C$2)*100)+0.5)/100</f>
        <v>877.93</v>
      </c>
      <c r="AH279" s="145">
        <f>IF($H$5="NO",IF(Valores!$D$59*'Escala Docente'!D279&gt;Valores!$F$59,Valores!$F$59,Valores!$D$59*'Escala Docente'!D279),IF(Valores!$D$59*'Escala Docente'!D279&gt;Valores!$F$59,Valores!$F$59,Valores!$D$59*'Escala Docente'!D279)/2)</f>
        <v>677.56</v>
      </c>
      <c r="AI279" s="145">
        <f>IF($H$5="NO",IF(Valores!$D$61*D279&gt;Valores!$F$61,Valores!$F$61,Valores!$D$61*D279),IF(Valores!$D$61*D279&gt;Valores!$F$61,Valores!$F$61,Valores!$D$61*D279)/2)</f>
        <v>193.60500000000002</v>
      </c>
      <c r="AJ279" s="151">
        <f t="shared" si="52"/>
        <v>41995.5990923077</v>
      </c>
      <c r="AK279" s="159">
        <f>IF(Valores!$C$37*D279&gt;Valores!$F$37,Valores!$F$37,Valores!$C$37*D279)</f>
        <v>1744.7500000000002</v>
      </c>
      <c r="AL279" s="148">
        <f>IF(Valores!$C$11*D279&gt;Valores!$F$11,Valores!$F$11,Valores!$C$11*D279)</f>
        <v>0</v>
      </c>
      <c r="AM279" s="148">
        <f>IF(Valores!$C$87*D279&gt;Valores!$C$86,Valores!$C$86,Valores!$C$87*D279)</f>
        <v>2843.7499999999995</v>
      </c>
      <c r="AN279" s="148"/>
      <c r="AO279" s="150">
        <f>IF(Valores!$C$58*D279&gt;Valores!$F$58,Valores!$F$58,Valores!$C$58*D279)</f>
        <v>283.875</v>
      </c>
      <c r="AP279" s="152">
        <f t="shared" si="50"/>
        <v>4588.5</v>
      </c>
      <c r="AQ279" s="154">
        <f>AJ279*-Valores!$C$68</f>
        <v>-4619.515900153847</v>
      </c>
      <c r="AR279" s="154">
        <f>AJ279*-Valores!$C$69</f>
        <v>0</v>
      </c>
      <c r="AS279" s="147">
        <f>AJ279*-Valores!$C$70</f>
        <v>-1889.8019591538464</v>
      </c>
      <c r="AT279" s="147">
        <v>-159.43</v>
      </c>
      <c r="AU279" s="147">
        <f t="shared" si="53"/>
        <v>-53.83</v>
      </c>
      <c r="AV279" s="151">
        <f t="shared" si="54"/>
        <v>39861.521233</v>
      </c>
      <c r="AW279" s="155"/>
      <c r="AX279" s="155">
        <f t="shared" si="45"/>
        <v>100</v>
      </c>
      <c r="AY279" s="140" t="s">
        <v>4</v>
      </c>
    </row>
    <row r="280" spans="1:51" s="117" customFormat="1" ht="11.25" customHeight="1">
      <c r="A280" s="139">
        <v>278</v>
      </c>
      <c r="B280" s="139"/>
      <c r="C280" s="140" t="s">
        <v>501</v>
      </c>
      <c r="D280" s="140">
        <v>26</v>
      </c>
      <c r="E280" s="140">
        <f t="shared" si="47"/>
        <v>34</v>
      </c>
      <c r="F280" s="141" t="str">
        <f>CONCATENATE("Hora Cátedra Enseñanza Media ",D280," hs")</f>
        <v>Hora Cátedra Enseñanza Media 26 hs</v>
      </c>
      <c r="G280" s="142">
        <f t="shared" si="46"/>
        <v>2054</v>
      </c>
      <c r="H280" s="143">
        <f>INT((G280*Valores!$C$2*100)+0.49)/100</f>
        <v>19183.74</v>
      </c>
      <c r="I280" s="161">
        <v>0</v>
      </c>
      <c r="J280" s="145">
        <f>INT((I280*Valores!$C$2*100)+0.5)/100</f>
        <v>0</v>
      </c>
      <c r="K280" s="160">
        <v>0</v>
      </c>
      <c r="L280" s="145">
        <f>INT((K280*Valores!$C$2*100)+0.5)/100</f>
        <v>0</v>
      </c>
      <c r="M280" s="158">
        <v>0</v>
      </c>
      <c r="N280" s="145">
        <f>INT((M280*Valores!$C$2*100)+0.5)/100</f>
        <v>0</v>
      </c>
      <c r="O280" s="145">
        <f t="shared" si="48"/>
        <v>3517.98</v>
      </c>
      <c r="P280" s="145">
        <f t="shared" si="49"/>
        <v>0</v>
      </c>
      <c r="Q280" s="159">
        <f>Valores!$C$14*D280</f>
        <v>8038.42</v>
      </c>
      <c r="R280" s="159">
        <f>IF(D280&lt;15,(Valores!$E$4*D280),Valores!$D$4)</f>
        <v>4774.45</v>
      </c>
      <c r="S280" s="145">
        <v>0</v>
      </c>
      <c r="T280" s="148">
        <f>IF($H$5="NO",IF(Valores!$C$46*D280&gt;Valores!$C$44,Valores!$C$44,Valores!$C$46*D280),IF(Valores!$C$46*D280&gt;Valores!$C$44,Valores!$C$44,Valores!$C$46*D280)/2)</f>
        <v>1774.5</v>
      </c>
      <c r="U280" s="159">
        <f>Valores!$C$23*D280</f>
        <v>2494.96</v>
      </c>
      <c r="V280" s="145">
        <f t="shared" si="44"/>
        <v>2494.96</v>
      </c>
      <c r="W280" s="145">
        <v>0</v>
      </c>
      <c r="X280" s="145">
        <v>0</v>
      </c>
      <c r="Y280" s="165">
        <v>0</v>
      </c>
      <c r="Z280" s="145">
        <f>Y280*Valores!$C$2</f>
        <v>0</v>
      </c>
      <c r="AA280" s="145">
        <v>0</v>
      </c>
      <c r="AB280" s="148">
        <f>IF(Valores!$C$92*D280&gt;Valores!$C$91,Valores!$C$91,Valores!$C$92*D280)</f>
        <v>1500.0000000000005</v>
      </c>
      <c r="AC280" s="150">
        <f>IF((Valores!$C$33)*D280&gt;Valores!$F$33,Valores!$F$33,(Valores!$C$33)*D280)</f>
        <v>208.09984</v>
      </c>
      <c r="AD280" s="145">
        <f t="shared" si="51"/>
        <v>0</v>
      </c>
      <c r="AE280" s="145">
        <f>IF(Valores!$C$34*D280&gt;Valores!$F$34,Valores!$F$34,Valores!$C$34*D280)</f>
        <v>173.229056</v>
      </c>
      <c r="AF280" s="149">
        <v>0</v>
      </c>
      <c r="AG280" s="145">
        <f>INT(((AF280*Valores!$C$2)*100)+0.5)/100</f>
        <v>0</v>
      </c>
      <c r="AH280" s="145">
        <f>IF($H$5="NO",IF(Valores!$D$59*'Escala Docente'!D280&gt;Valores!$F$59,Valores!$F$59,Valores!$D$59*'Escala Docente'!D280),IF(Valores!$D$59*'Escala Docente'!D280&gt;Valores!$F$59,Valores!$F$59,Valores!$D$59*'Escala Docente'!D280)/2)</f>
        <v>704.6623999999999</v>
      </c>
      <c r="AI280" s="145">
        <f>IF($H$5="NO",IF(Valores!$D$61*D280&gt;Valores!$F$61,Valores!$F$61,Valores!$D$61*D280),IF(Valores!$D$61*D280&gt;Valores!$F$61,Valores!$F$61,Valores!$D$61*D280)/2)</f>
        <v>201.3492</v>
      </c>
      <c r="AJ280" s="151">
        <f t="shared" si="52"/>
        <v>42571.39049599999</v>
      </c>
      <c r="AK280" s="159">
        <f>IF(Valores!$C$37*D280&gt;Valores!$F$37,Valores!$F$37,Valores!$C$37*D280)</f>
        <v>1814.5400000000002</v>
      </c>
      <c r="AL280" s="148">
        <f>IF(Valores!$C$11*D280&gt;Valores!$F$11,Valores!$F$11,Valores!$C$11*D280)</f>
        <v>0</v>
      </c>
      <c r="AM280" s="148">
        <f>IF(Valores!$C$87*D280&gt;Valores!$C$86,Valores!$C$86,Valores!$C$87*D280)</f>
        <v>2957.4999999999995</v>
      </c>
      <c r="AN280" s="148"/>
      <c r="AO280" s="150">
        <f>IF(Valores!$C$58*D280&gt;Valores!$F$58,Valores!$F$58,Valores!$C$58*D280)</f>
        <v>295.23</v>
      </c>
      <c r="AP280" s="152">
        <f t="shared" si="50"/>
        <v>4772.04</v>
      </c>
      <c r="AQ280" s="154">
        <f>AJ280*-Valores!$C$68</f>
        <v>-4682.8529545599995</v>
      </c>
      <c r="AR280" s="154">
        <f>AJ280*-Valores!$C$69</f>
        <v>0</v>
      </c>
      <c r="AS280" s="147">
        <f>AJ280*-Valores!$C$70</f>
        <v>-1915.7125723199997</v>
      </c>
      <c r="AT280" s="147">
        <v>-159.43</v>
      </c>
      <c r="AU280" s="147">
        <f t="shared" si="53"/>
        <v>-53.83</v>
      </c>
      <c r="AV280" s="151">
        <f t="shared" si="54"/>
        <v>40531.604969119995</v>
      </c>
      <c r="AW280" s="155"/>
      <c r="AX280" s="155">
        <f t="shared" si="45"/>
        <v>104</v>
      </c>
      <c r="AY280" s="140" t="s">
        <v>4</v>
      </c>
    </row>
    <row r="281" spans="1:51" s="117" customFormat="1" ht="11.25" customHeight="1">
      <c r="A281" s="139">
        <v>279</v>
      </c>
      <c r="B281" s="139"/>
      <c r="C281" s="140" t="s">
        <v>501</v>
      </c>
      <c r="D281" s="140">
        <v>26</v>
      </c>
      <c r="E281" s="140">
        <f t="shared" si="47"/>
        <v>42</v>
      </c>
      <c r="F281" s="141" t="str">
        <f>CONCATENATE("Hora Cátedra Enseñanza Media ",D281," hs Esc Esp")</f>
        <v>Hora Cátedra Enseñanza Media 26 hs Esc Esp</v>
      </c>
      <c r="G281" s="142">
        <f t="shared" si="46"/>
        <v>2054</v>
      </c>
      <c r="H281" s="143">
        <f>INT((G281*Valores!$C$2*100)+0.49)/100</f>
        <v>19183.74</v>
      </c>
      <c r="I281" s="161">
        <v>0</v>
      </c>
      <c r="J281" s="145">
        <f>INT((I281*Valores!$C$2*100)+0.5)/100</f>
        <v>0</v>
      </c>
      <c r="K281" s="160">
        <v>0</v>
      </c>
      <c r="L281" s="145">
        <f>INT((K281*Valores!$C$2*100)+0.5)/100</f>
        <v>0</v>
      </c>
      <c r="M281" s="158">
        <v>0</v>
      </c>
      <c r="N281" s="145">
        <f>INT((M281*Valores!$C$2*100)+0.5)/100</f>
        <v>0</v>
      </c>
      <c r="O281" s="145">
        <f t="shared" si="48"/>
        <v>3517.98</v>
      </c>
      <c r="P281" s="145">
        <f t="shared" si="49"/>
        <v>0</v>
      </c>
      <c r="Q281" s="159">
        <f>Valores!$C$14*D281</f>
        <v>8038.42</v>
      </c>
      <c r="R281" s="159">
        <f>IF(D281&lt;15,(Valores!$E$4*D281),Valores!$D$4)</f>
        <v>4774.45</v>
      </c>
      <c r="S281" s="145">
        <v>0</v>
      </c>
      <c r="T281" s="148">
        <f>IF($H$5="NO",IF(Valores!$C$46*D281&gt;Valores!$C$44,Valores!$C$44,Valores!$C$46*D281),IF(Valores!$C$46*D281&gt;Valores!$C$44,Valores!$C$44,Valores!$C$46*D281)/2)</f>
        <v>1774.5</v>
      </c>
      <c r="U281" s="159">
        <f>Valores!$C$23*D281</f>
        <v>2494.96</v>
      </c>
      <c r="V281" s="145">
        <f t="shared" si="44"/>
        <v>2494.96</v>
      </c>
      <c r="W281" s="145">
        <v>0</v>
      </c>
      <c r="X281" s="145">
        <v>0</v>
      </c>
      <c r="Y281" s="165">
        <v>0</v>
      </c>
      <c r="Z281" s="145">
        <f>Y281*Valores!$C$2</f>
        <v>0</v>
      </c>
      <c r="AA281" s="145">
        <v>0</v>
      </c>
      <c r="AB281" s="148">
        <f>IF(Valores!$C$92*D281&gt;Valores!$C$91,Valores!$C$91,Valores!$C$92*D281)</f>
        <v>1500.0000000000005</v>
      </c>
      <c r="AC281" s="150">
        <f>IF((Valores!$C$33)*D281&gt;Valores!$F$33,Valores!$F$33,(Valores!$C$33)*D281)</f>
        <v>208.09984</v>
      </c>
      <c r="AD281" s="145">
        <f t="shared" si="51"/>
        <v>0</v>
      </c>
      <c r="AE281" s="145">
        <f>IF(Valores!$C$34*D281&gt;Valores!$F$34,Valores!$F$34,Valores!$C$34*D281)</f>
        <v>173.229056</v>
      </c>
      <c r="AF281" s="149">
        <v>94</v>
      </c>
      <c r="AG281" s="145">
        <f>INT(((AF281*Valores!$C$2)*100)+0.5)/100</f>
        <v>877.93</v>
      </c>
      <c r="AH281" s="145">
        <f>IF($H$5="NO",IF(Valores!$D$59*'Escala Docente'!D281&gt;Valores!$F$59,Valores!$F$59,Valores!$D$59*'Escala Docente'!D281),IF(Valores!$D$59*'Escala Docente'!D281&gt;Valores!$F$59,Valores!$F$59,Valores!$D$59*'Escala Docente'!D281)/2)</f>
        <v>704.6623999999999</v>
      </c>
      <c r="AI281" s="145">
        <f>IF($H$5="NO",IF(Valores!$D$61*D281&gt;Valores!$F$61,Valores!$F$61,Valores!$D$61*D281),IF(Valores!$D$61*D281&gt;Valores!$F$61,Valores!$F$61,Valores!$D$61*D281)/2)</f>
        <v>201.3492</v>
      </c>
      <c r="AJ281" s="151">
        <f t="shared" si="52"/>
        <v>43449.32049599999</v>
      </c>
      <c r="AK281" s="159">
        <f>IF(Valores!$C$37*D281&gt;Valores!$F$37,Valores!$F$37,Valores!$C$37*D281)</f>
        <v>1814.5400000000002</v>
      </c>
      <c r="AL281" s="148">
        <f>IF(Valores!$C$11*D281&gt;Valores!$F$11,Valores!$F$11,Valores!$C$11*D281)</f>
        <v>0</v>
      </c>
      <c r="AM281" s="148">
        <f>IF(Valores!$C$87*D281&gt;Valores!$C$86,Valores!$C$86,Valores!$C$87*D281)</f>
        <v>2957.4999999999995</v>
      </c>
      <c r="AN281" s="148"/>
      <c r="AO281" s="150">
        <f>IF(Valores!$C$58*D281&gt;Valores!$F$58,Valores!$F$58,Valores!$C$58*D281)</f>
        <v>295.23</v>
      </c>
      <c r="AP281" s="152">
        <f t="shared" si="50"/>
        <v>4772.04</v>
      </c>
      <c r="AQ281" s="154">
        <f>AJ281*-Valores!$C$68</f>
        <v>-4779.425254559999</v>
      </c>
      <c r="AR281" s="154">
        <f>AJ281*-Valores!$C$69</f>
        <v>0</v>
      </c>
      <c r="AS281" s="147">
        <f>AJ281*-Valores!$C$70</f>
        <v>-1955.2194223199997</v>
      </c>
      <c r="AT281" s="147">
        <v>-159.43</v>
      </c>
      <c r="AU281" s="147">
        <f t="shared" si="53"/>
        <v>-53.83</v>
      </c>
      <c r="AV281" s="151">
        <f t="shared" si="54"/>
        <v>41273.45581912</v>
      </c>
      <c r="AW281" s="155"/>
      <c r="AX281" s="155">
        <f t="shared" si="45"/>
        <v>104</v>
      </c>
      <c r="AY281" s="140" t="s">
        <v>4</v>
      </c>
    </row>
    <row r="282" spans="1:51" s="117" customFormat="1" ht="11.25" customHeight="1">
      <c r="A282" s="157">
        <v>280</v>
      </c>
      <c r="B282" s="157" t="s">
        <v>143</v>
      </c>
      <c r="C282" s="140" t="s">
        <v>501</v>
      </c>
      <c r="D282" s="140">
        <v>27</v>
      </c>
      <c r="E282" s="140">
        <f t="shared" si="47"/>
        <v>34</v>
      </c>
      <c r="F282" s="141" t="str">
        <f>CONCATENATE("Hora Cátedra Enseñanza Media ",D282," hs")</f>
        <v>Hora Cátedra Enseñanza Media 27 hs</v>
      </c>
      <c r="G282" s="142">
        <f t="shared" si="46"/>
        <v>2133</v>
      </c>
      <c r="H282" s="143">
        <f>INT((G282*Valores!$C$2*100)+0.49)/100</f>
        <v>19921.58</v>
      </c>
      <c r="I282" s="161">
        <v>0</v>
      </c>
      <c r="J282" s="145">
        <f>INT((I282*Valores!$C$2*100)+0.5)/100</f>
        <v>0</v>
      </c>
      <c r="K282" s="160">
        <v>0</v>
      </c>
      <c r="L282" s="145">
        <f>INT((K282*Valores!$C$2*100)+0.5)/100</f>
        <v>0</v>
      </c>
      <c r="M282" s="158">
        <v>0</v>
      </c>
      <c r="N282" s="145">
        <f>INT((M282*Valores!$C$2*100)+0.5)/100</f>
        <v>0</v>
      </c>
      <c r="O282" s="145">
        <f t="shared" si="48"/>
        <v>3653.2875</v>
      </c>
      <c r="P282" s="145">
        <f t="shared" si="49"/>
        <v>0</v>
      </c>
      <c r="Q282" s="159">
        <f>Valores!$C$14*D282</f>
        <v>8347.59</v>
      </c>
      <c r="R282" s="159">
        <f>IF(D282&lt;15,(Valores!$E$4*D282),Valores!$D$4)</f>
        <v>4774.45</v>
      </c>
      <c r="S282" s="145">
        <v>0</v>
      </c>
      <c r="T282" s="148">
        <f>IF($H$5="NO",IF(Valores!$C$46*D282&gt;Valores!$C$44,Valores!$C$44,Valores!$C$46*D282),IF(Valores!$C$46*D282&gt;Valores!$C$44,Valores!$C$44,Valores!$C$46*D282)/2)</f>
        <v>1842.75</v>
      </c>
      <c r="U282" s="159">
        <f>Valores!$C$23*D282</f>
        <v>2590.9199999999996</v>
      </c>
      <c r="V282" s="145">
        <f t="shared" si="44"/>
        <v>2590.9199999999996</v>
      </c>
      <c r="W282" s="145">
        <v>0</v>
      </c>
      <c r="X282" s="145">
        <v>0</v>
      </c>
      <c r="Y282" s="165">
        <v>0</v>
      </c>
      <c r="Z282" s="145">
        <f>Y282*Valores!$C$2</f>
        <v>0</v>
      </c>
      <c r="AA282" s="145">
        <v>0</v>
      </c>
      <c r="AB282" s="148">
        <f>IF(Valores!$C$92*D282&gt;Valores!$C$91,Valores!$C$91,Valores!$C$92*D282)</f>
        <v>1557.692307692308</v>
      </c>
      <c r="AC282" s="150">
        <f>IF((Valores!$C$33)*D282&gt;Valores!$F$33,Valores!$F$33,(Valores!$C$33)*D282)</f>
        <v>216.10368</v>
      </c>
      <c r="AD282" s="145">
        <f t="shared" si="51"/>
        <v>0</v>
      </c>
      <c r="AE282" s="145">
        <f>IF(Valores!$C$34*D282&gt;Valores!$F$34,Valores!$F$34,Valores!$C$34*D282)</f>
        <v>179.89171200000004</v>
      </c>
      <c r="AF282" s="149">
        <v>0</v>
      </c>
      <c r="AG282" s="145">
        <f>INT(((AF282*Valores!$C$2)*100)+0.5)/100</f>
        <v>0</v>
      </c>
      <c r="AH282" s="145">
        <f>IF($H$5="NO",IF(Valores!$D$59*'Escala Docente'!D282&gt;Valores!$F$59,Valores!$F$59,Valores!$D$59*'Escala Docente'!D282),IF(Valores!$D$59*'Escala Docente'!D282&gt;Valores!$F$59,Valores!$F$59,Valores!$D$59*'Escala Docente'!D282)/2)</f>
        <v>731.7648</v>
      </c>
      <c r="AI282" s="145">
        <f>IF($H$5="NO",IF(Valores!$D$61*D282&gt;Valores!$F$61,Valores!$F$61,Valores!$D$61*D282),IF(Valores!$D$61*D282&gt;Valores!$F$61,Valores!$F$61,Valores!$D$61*D282)/2)</f>
        <v>209.0934</v>
      </c>
      <c r="AJ282" s="151">
        <f t="shared" si="52"/>
        <v>44025.1233996923</v>
      </c>
      <c r="AK282" s="159">
        <f>IF(Valores!$C$37*D282&gt;Valores!$F$37,Valores!$F$37,Valores!$C$37*D282)</f>
        <v>1884.3300000000002</v>
      </c>
      <c r="AL282" s="148">
        <f>IF(Valores!$C$11*D282&gt;Valores!$F$11,Valores!$F$11,Valores!$C$11*D282)</f>
        <v>0</v>
      </c>
      <c r="AM282" s="148">
        <f>IF(Valores!$C$87*D282&gt;Valores!$C$86,Valores!$C$86,Valores!$C$87*D282)</f>
        <v>3071.2499999999995</v>
      </c>
      <c r="AN282" s="148"/>
      <c r="AO282" s="150">
        <f>IF(Valores!$C$58*D282&gt;Valores!$F$58,Valores!$F$58,Valores!$C$58*D282)</f>
        <v>306.58500000000004</v>
      </c>
      <c r="AP282" s="152">
        <f t="shared" si="50"/>
        <v>4955.58</v>
      </c>
      <c r="AQ282" s="154">
        <f>AJ282*-Valores!$C$68</f>
        <v>-4842.763573966153</v>
      </c>
      <c r="AR282" s="154">
        <f>AJ282*-Valores!$C$69</f>
        <v>0</v>
      </c>
      <c r="AS282" s="147">
        <f>AJ282*-Valores!$C$70</f>
        <v>-1981.1305529861534</v>
      </c>
      <c r="AT282" s="147">
        <v>-159.43</v>
      </c>
      <c r="AU282" s="147">
        <f t="shared" si="53"/>
        <v>-53.83</v>
      </c>
      <c r="AV282" s="151">
        <f t="shared" si="54"/>
        <v>41943.54927273999</v>
      </c>
      <c r="AW282" s="155"/>
      <c r="AX282" s="155">
        <f t="shared" si="45"/>
        <v>108</v>
      </c>
      <c r="AY282" s="140" t="s">
        <v>8</v>
      </c>
    </row>
    <row r="283" spans="1:51" s="117" customFormat="1" ht="11.25" customHeight="1">
      <c r="A283" s="139">
        <v>281</v>
      </c>
      <c r="B283" s="139"/>
      <c r="C283" s="140" t="s">
        <v>501</v>
      </c>
      <c r="D283" s="140">
        <v>27</v>
      </c>
      <c r="E283" s="140">
        <f t="shared" si="47"/>
        <v>42</v>
      </c>
      <c r="F283" s="141" t="str">
        <f>CONCATENATE("Hora Cátedra Enseñanza Media ",D283," hs Esc Esp")</f>
        <v>Hora Cátedra Enseñanza Media 27 hs Esc Esp</v>
      </c>
      <c r="G283" s="142">
        <f t="shared" si="46"/>
        <v>2133</v>
      </c>
      <c r="H283" s="143">
        <f>INT((G283*Valores!$C$2*100)+0.49)/100</f>
        <v>19921.58</v>
      </c>
      <c r="I283" s="161">
        <v>0</v>
      </c>
      <c r="J283" s="145">
        <f>INT((I283*Valores!$C$2*100)+0.5)/100</f>
        <v>0</v>
      </c>
      <c r="K283" s="160">
        <v>0</v>
      </c>
      <c r="L283" s="145">
        <f>INT((K283*Valores!$C$2*100)+0.5)/100</f>
        <v>0</v>
      </c>
      <c r="M283" s="158">
        <v>0</v>
      </c>
      <c r="N283" s="145">
        <f>INT((M283*Valores!$C$2*100)+0.5)/100</f>
        <v>0</v>
      </c>
      <c r="O283" s="145">
        <f t="shared" si="48"/>
        <v>3653.2875</v>
      </c>
      <c r="P283" s="145">
        <f t="shared" si="49"/>
        <v>0</v>
      </c>
      <c r="Q283" s="159">
        <f>Valores!$C$14*D283</f>
        <v>8347.59</v>
      </c>
      <c r="R283" s="159">
        <f>IF(D283&lt;15,(Valores!$E$4*D283),Valores!$D$4)</f>
        <v>4774.45</v>
      </c>
      <c r="S283" s="145">
        <v>0</v>
      </c>
      <c r="T283" s="148">
        <f>IF($H$5="NO",IF(Valores!$C$46*D283&gt;Valores!$C$44,Valores!$C$44,Valores!$C$46*D283),IF(Valores!$C$46*D283&gt;Valores!$C$44,Valores!$C$44,Valores!$C$46*D283)/2)</f>
        <v>1842.75</v>
      </c>
      <c r="U283" s="159">
        <f>Valores!$C$23*D283</f>
        <v>2590.9199999999996</v>
      </c>
      <c r="V283" s="145">
        <f t="shared" si="44"/>
        <v>2590.9199999999996</v>
      </c>
      <c r="W283" s="145">
        <v>0</v>
      </c>
      <c r="X283" s="145">
        <v>0</v>
      </c>
      <c r="Y283" s="165">
        <v>0</v>
      </c>
      <c r="Z283" s="145">
        <f>Y283*Valores!$C$2</f>
        <v>0</v>
      </c>
      <c r="AA283" s="145">
        <v>0</v>
      </c>
      <c r="AB283" s="148">
        <f>IF(Valores!$C$92*D283&gt;Valores!$C$91,Valores!$C$91,Valores!$C$92*D283)</f>
        <v>1557.692307692308</v>
      </c>
      <c r="AC283" s="150">
        <f>IF((Valores!$C$33)*D283&gt;Valores!$F$33,Valores!$F$33,(Valores!$C$33)*D283)</f>
        <v>216.10368</v>
      </c>
      <c r="AD283" s="145">
        <f t="shared" si="51"/>
        <v>0</v>
      </c>
      <c r="AE283" s="145">
        <f>IF(Valores!$C$34*D283&gt;Valores!$F$34,Valores!$F$34,Valores!$C$34*D283)</f>
        <v>179.89171200000004</v>
      </c>
      <c r="AF283" s="149">
        <v>94</v>
      </c>
      <c r="AG283" s="145">
        <f>INT(((AF283*Valores!$C$2)*100)+0.5)/100</f>
        <v>877.93</v>
      </c>
      <c r="AH283" s="145">
        <f>IF($H$5="NO",IF(Valores!$D$59*'Escala Docente'!D283&gt;Valores!$F$59,Valores!$F$59,Valores!$D$59*'Escala Docente'!D283),IF(Valores!$D$59*'Escala Docente'!D283&gt;Valores!$F$59,Valores!$F$59,Valores!$D$59*'Escala Docente'!D283)/2)</f>
        <v>731.7648</v>
      </c>
      <c r="AI283" s="145">
        <f>IF($H$5="NO",IF(Valores!$D$61*D283&gt;Valores!$F$61,Valores!$F$61,Valores!$D$61*D283),IF(Valores!$D$61*D283&gt;Valores!$F$61,Valores!$F$61,Valores!$D$61*D283)/2)</f>
        <v>209.0934</v>
      </c>
      <c r="AJ283" s="151">
        <f t="shared" si="52"/>
        <v>44903.0533996923</v>
      </c>
      <c r="AK283" s="159">
        <f>IF(Valores!$C$37*D283&gt;Valores!$F$37,Valores!$F$37,Valores!$C$37*D283)</f>
        <v>1884.3300000000002</v>
      </c>
      <c r="AL283" s="148">
        <f>IF(Valores!$C$11*D283&gt;Valores!$F$11,Valores!$F$11,Valores!$C$11*D283)</f>
        <v>0</v>
      </c>
      <c r="AM283" s="148">
        <f>IF(Valores!$C$87*D283&gt;Valores!$C$86,Valores!$C$86,Valores!$C$87*D283)</f>
        <v>3071.2499999999995</v>
      </c>
      <c r="AN283" s="148"/>
      <c r="AO283" s="150">
        <f>IF(Valores!$C$58*D283&gt;Valores!$F$58,Valores!$F$58,Valores!$C$58*D283)</f>
        <v>306.58500000000004</v>
      </c>
      <c r="AP283" s="152">
        <f t="shared" si="50"/>
        <v>4955.58</v>
      </c>
      <c r="AQ283" s="154">
        <f>AJ283*-Valores!$C$68</f>
        <v>-4939.335873966153</v>
      </c>
      <c r="AR283" s="154">
        <f>AJ283*-Valores!$C$69</f>
        <v>0</v>
      </c>
      <c r="AS283" s="147">
        <f>AJ283*-Valores!$C$70</f>
        <v>-2020.6374029861533</v>
      </c>
      <c r="AT283" s="147">
        <v>-159.43</v>
      </c>
      <c r="AU283" s="147">
        <f t="shared" si="53"/>
        <v>-53.83</v>
      </c>
      <c r="AV283" s="151">
        <f t="shared" si="54"/>
        <v>42685.40012273999</v>
      </c>
      <c r="AW283" s="155"/>
      <c r="AX283" s="155">
        <f t="shared" si="45"/>
        <v>108</v>
      </c>
      <c r="AY283" s="140" t="s">
        <v>8</v>
      </c>
    </row>
    <row r="284" spans="1:51" s="117" customFormat="1" ht="11.25" customHeight="1">
      <c r="A284" s="139">
        <v>282</v>
      </c>
      <c r="B284" s="139"/>
      <c r="C284" s="140" t="s">
        <v>501</v>
      </c>
      <c r="D284" s="140">
        <v>28</v>
      </c>
      <c r="E284" s="140">
        <f t="shared" si="47"/>
        <v>34</v>
      </c>
      <c r="F284" s="141" t="str">
        <f>CONCATENATE("Hora Cátedra Enseñanza Media ",D284," hs")</f>
        <v>Hora Cátedra Enseñanza Media 28 hs</v>
      </c>
      <c r="G284" s="142">
        <f t="shared" si="46"/>
        <v>2212</v>
      </c>
      <c r="H284" s="143">
        <f>INT((G284*Valores!$C$2*100)+0.49)/100</f>
        <v>20659.42</v>
      </c>
      <c r="I284" s="161">
        <v>0</v>
      </c>
      <c r="J284" s="145">
        <f>INT((I284*Valores!$C$2*100)+0.5)/100</f>
        <v>0</v>
      </c>
      <c r="K284" s="160">
        <v>0</v>
      </c>
      <c r="L284" s="145">
        <f>INT((K284*Valores!$C$2*100)+0.5)/100</f>
        <v>0</v>
      </c>
      <c r="M284" s="158">
        <v>0</v>
      </c>
      <c r="N284" s="145">
        <f>INT((M284*Valores!$C$2*100)+0.5)/100</f>
        <v>0</v>
      </c>
      <c r="O284" s="145">
        <f t="shared" si="48"/>
        <v>3788.595</v>
      </c>
      <c r="P284" s="145">
        <f t="shared" si="49"/>
        <v>0</v>
      </c>
      <c r="Q284" s="159">
        <f>Valores!$C$14*D284</f>
        <v>8656.76</v>
      </c>
      <c r="R284" s="159">
        <f>IF(D284&lt;15,(Valores!$E$4*D284),Valores!$D$4)</f>
        <v>4774.45</v>
      </c>
      <c r="S284" s="145">
        <v>0</v>
      </c>
      <c r="T284" s="148">
        <f>IF($H$5="NO",IF(Valores!$C$46*D284&gt;Valores!$C$44,Valores!$C$44,Valores!$C$46*D284),IF(Valores!$C$46*D284&gt;Valores!$C$44,Valores!$C$44,Valores!$C$46*D284)/2)</f>
        <v>1911</v>
      </c>
      <c r="U284" s="159">
        <f>Valores!$C$23*D284</f>
        <v>2686.8799999999997</v>
      </c>
      <c r="V284" s="145">
        <f t="shared" si="44"/>
        <v>2686.8799999999997</v>
      </c>
      <c r="W284" s="145">
        <v>0</v>
      </c>
      <c r="X284" s="145">
        <v>0</v>
      </c>
      <c r="Y284" s="165">
        <v>0</v>
      </c>
      <c r="Z284" s="145">
        <f>Y284*Valores!$C$2</f>
        <v>0</v>
      </c>
      <c r="AA284" s="145">
        <v>0</v>
      </c>
      <c r="AB284" s="148">
        <f>IF(Valores!$C$92*D284&gt;Valores!$C$91,Valores!$C$91,Valores!$C$92*D284)</f>
        <v>1615.3846153846157</v>
      </c>
      <c r="AC284" s="150">
        <f>IF((Valores!$C$33)*D284&gt;Valores!$F$33,Valores!$F$33,(Valores!$C$33)*D284)</f>
        <v>224.10752000000002</v>
      </c>
      <c r="AD284" s="145">
        <f t="shared" si="51"/>
        <v>0</v>
      </c>
      <c r="AE284" s="145">
        <f>IF(Valores!$C$34*D284&gt;Valores!$F$34,Valores!$F$34,Valores!$C$34*D284)</f>
        <v>186.55436800000004</v>
      </c>
      <c r="AF284" s="149">
        <v>0</v>
      </c>
      <c r="AG284" s="145">
        <f>INT(((AF284*Valores!$C$2)*100)+0.5)/100</f>
        <v>0</v>
      </c>
      <c r="AH284" s="145">
        <f>IF($H$5="NO",IF(Valores!$D$59*'Escala Docente'!D284&gt;Valores!$F$59,Valores!$F$59,Valores!$D$59*'Escala Docente'!D284),IF(Valores!$D$59*'Escala Docente'!D284&gt;Valores!$F$59,Valores!$F$59,Valores!$D$59*'Escala Docente'!D284)/2)</f>
        <v>758.8672</v>
      </c>
      <c r="AI284" s="145">
        <f>IF($H$5="NO",IF(Valores!$D$61*D284&gt;Valores!$F$61,Valores!$F$61,Valores!$D$61*D284),IF(Valores!$D$61*D284&gt;Valores!$F$61,Valores!$F$61,Valores!$D$61*D284)/2)</f>
        <v>216.8376</v>
      </c>
      <c r="AJ284" s="151">
        <f t="shared" si="52"/>
        <v>45478.85630338461</v>
      </c>
      <c r="AK284" s="159">
        <f>IF(Valores!$C$37*D284&gt;Valores!$F$37,Valores!$F$37,Valores!$C$37*D284)</f>
        <v>1954.1200000000001</v>
      </c>
      <c r="AL284" s="148">
        <f>IF(Valores!$C$11*D284&gt;Valores!$F$11,Valores!$F$11,Valores!$C$11*D284)</f>
        <v>0</v>
      </c>
      <c r="AM284" s="148">
        <f>IF(Valores!$C$87*D284&gt;Valores!$C$86,Valores!$C$86,Valores!$C$87*D284)</f>
        <v>3184.9999999999995</v>
      </c>
      <c r="AN284" s="148"/>
      <c r="AO284" s="150">
        <f>IF(Valores!$C$58*D284&gt;Valores!$F$58,Valores!$F$58,Valores!$C$58*D284)</f>
        <v>317.94</v>
      </c>
      <c r="AP284" s="152">
        <f t="shared" si="50"/>
        <v>5139.12</v>
      </c>
      <c r="AQ284" s="154">
        <f>AJ284*-Valores!$C$68</f>
        <v>-5002.674193372307</v>
      </c>
      <c r="AR284" s="154">
        <f>AJ284*-Valores!$C$69</f>
        <v>0</v>
      </c>
      <c r="AS284" s="147">
        <f>AJ284*-Valores!$C$70</f>
        <v>-2046.5485336523072</v>
      </c>
      <c r="AT284" s="147">
        <v>-159.43</v>
      </c>
      <c r="AU284" s="147">
        <f t="shared" si="53"/>
        <v>-53.83</v>
      </c>
      <c r="AV284" s="151">
        <f t="shared" si="54"/>
        <v>43355.49357635999</v>
      </c>
      <c r="AW284" s="155"/>
      <c r="AX284" s="155">
        <f t="shared" si="45"/>
        <v>112</v>
      </c>
      <c r="AY284" s="140" t="s">
        <v>4</v>
      </c>
    </row>
    <row r="285" spans="1:51" s="117" customFormat="1" ht="11.25" customHeight="1">
      <c r="A285" s="139">
        <v>283</v>
      </c>
      <c r="B285" s="139"/>
      <c r="C285" s="140" t="s">
        <v>501</v>
      </c>
      <c r="D285" s="140">
        <v>28</v>
      </c>
      <c r="E285" s="140">
        <f t="shared" si="47"/>
        <v>42</v>
      </c>
      <c r="F285" s="141" t="str">
        <f>CONCATENATE("Hora Cátedra Enseñanza Media ",D285," hs Esc Esp")</f>
        <v>Hora Cátedra Enseñanza Media 28 hs Esc Esp</v>
      </c>
      <c r="G285" s="142">
        <f t="shared" si="46"/>
        <v>2212</v>
      </c>
      <c r="H285" s="143">
        <f>INT((G285*Valores!$C$2*100)+0.49)/100</f>
        <v>20659.42</v>
      </c>
      <c r="I285" s="161">
        <v>0</v>
      </c>
      <c r="J285" s="145">
        <f>INT((I285*Valores!$C$2*100)+0.5)/100</f>
        <v>0</v>
      </c>
      <c r="K285" s="160">
        <v>0</v>
      </c>
      <c r="L285" s="145">
        <f>INT((K285*Valores!$C$2*100)+0.5)/100</f>
        <v>0</v>
      </c>
      <c r="M285" s="158">
        <v>0</v>
      </c>
      <c r="N285" s="145">
        <f>INT((M285*Valores!$C$2*100)+0.5)/100</f>
        <v>0</v>
      </c>
      <c r="O285" s="145">
        <f t="shared" si="48"/>
        <v>3788.595</v>
      </c>
      <c r="P285" s="145">
        <f t="shared" si="49"/>
        <v>0</v>
      </c>
      <c r="Q285" s="159">
        <f>Valores!$C$14*D285</f>
        <v>8656.76</v>
      </c>
      <c r="R285" s="159">
        <f>IF(D285&lt;15,(Valores!$E$4*D285),Valores!$D$4)</f>
        <v>4774.45</v>
      </c>
      <c r="S285" s="145">
        <v>0</v>
      </c>
      <c r="T285" s="148">
        <f>IF($H$5="NO",IF(Valores!$C$46*D285&gt;Valores!$C$44,Valores!$C$44,Valores!$C$46*D285),IF(Valores!$C$46*D285&gt;Valores!$C$44,Valores!$C$44,Valores!$C$46*D285)/2)</f>
        <v>1911</v>
      </c>
      <c r="U285" s="159">
        <f>Valores!$C$23*D285</f>
        <v>2686.8799999999997</v>
      </c>
      <c r="V285" s="145">
        <f t="shared" si="44"/>
        <v>2686.8799999999997</v>
      </c>
      <c r="W285" s="145">
        <v>0</v>
      </c>
      <c r="X285" s="145">
        <v>0</v>
      </c>
      <c r="Y285" s="165">
        <v>0</v>
      </c>
      <c r="Z285" s="145">
        <f>Y285*Valores!$C$2</f>
        <v>0</v>
      </c>
      <c r="AA285" s="145">
        <v>0</v>
      </c>
      <c r="AB285" s="148">
        <f>IF(Valores!$C$92*D285&gt;Valores!$C$91,Valores!$C$91,Valores!$C$92*D285)</f>
        <v>1615.3846153846157</v>
      </c>
      <c r="AC285" s="150">
        <f>IF((Valores!$C$33)*D285&gt;Valores!$F$33,Valores!$F$33,(Valores!$C$33)*D285)</f>
        <v>224.10752000000002</v>
      </c>
      <c r="AD285" s="145">
        <f t="shared" si="51"/>
        <v>0</v>
      </c>
      <c r="AE285" s="145">
        <f>IF(Valores!$C$34*D285&gt;Valores!$F$34,Valores!$F$34,Valores!$C$34*D285)</f>
        <v>186.55436800000004</v>
      </c>
      <c r="AF285" s="149">
        <v>94</v>
      </c>
      <c r="AG285" s="145">
        <f>INT(((AF285*Valores!$C$2)*100)+0.5)/100</f>
        <v>877.93</v>
      </c>
      <c r="AH285" s="145">
        <f>IF($H$5="NO",IF(Valores!$D$59*'Escala Docente'!D285&gt;Valores!$F$59,Valores!$F$59,Valores!$D$59*'Escala Docente'!D285),IF(Valores!$D$59*'Escala Docente'!D285&gt;Valores!$F$59,Valores!$F$59,Valores!$D$59*'Escala Docente'!D285)/2)</f>
        <v>758.8672</v>
      </c>
      <c r="AI285" s="145">
        <f>IF($H$5="NO",IF(Valores!$D$61*D285&gt;Valores!$F$61,Valores!$F$61,Valores!$D$61*D285),IF(Valores!$D$61*D285&gt;Valores!$F$61,Valores!$F$61,Valores!$D$61*D285)/2)</f>
        <v>216.8376</v>
      </c>
      <c r="AJ285" s="151">
        <f t="shared" si="52"/>
        <v>46356.78630338461</v>
      </c>
      <c r="AK285" s="159">
        <f>IF(Valores!$C$37*D285&gt;Valores!$F$37,Valores!$F$37,Valores!$C$37*D285)</f>
        <v>1954.1200000000001</v>
      </c>
      <c r="AL285" s="148">
        <f>IF(Valores!$C$11*D285&gt;Valores!$F$11,Valores!$F$11,Valores!$C$11*D285)</f>
        <v>0</v>
      </c>
      <c r="AM285" s="148">
        <f>IF(Valores!$C$87*D285&gt;Valores!$C$86,Valores!$C$86,Valores!$C$87*D285)</f>
        <v>3184.9999999999995</v>
      </c>
      <c r="AN285" s="148"/>
      <c r="AO285" s="150">
        <f>IF(Valores!$C$58*D285&gt;Valores!$F$58,Valores!$F$58,Valores!$C$58*D285)</f>
        <v>317.94</v>
      </c>
      <c r="AP285" s="152">
        <f t="shared" si="50"/>
        <v>5139.12</v>
      </c>
      <c r="AQ285" s="154">
        <f>AJ285*-Valores!$C$68</f>
        <v>-5099.246493372307</v>
      </c>
      <c r="AR285" s="154">
        <f>AJ285*-Valores!$C$69</f>
        <v>0</v>
      </c>
      <c r="AS285" s="147">
        <f>AJ285*-Valores!$C$70</f>
        <v>-2086.0553836523072</v>
      </c>
      <c r="AT285" s="147">
        <v>-159.43</v>
      </c>
      <c r="AU285" s="147">
        <f t="shared" si="53"/>
        <v>-53.83</v>
      </c>
      <c r="AV285" s="151">
        <f t="shared" si="54"/>
        <v>44097.34442635999</v>
      </c>
      <c r="AW285" s="155"/>
      <c r="AX285" s="155">
        <f t="shared" si="45"/>
        <v>112</v>
      </c>
      <c r="AY285" s="140" t="s">
        <v>4</v>
      </c>
    </row>
    <row r="286" spans="1:51" s="117" customFormat="1" ht="11.25" customHeight="1">
      <c r="A286" s="139">
        <v>284</v>
      </c>
      <c r="B286" s="139"/>
      <c r="C286" s="140" t="s">
        <v>501</v>
      </c>
      <c r="D286" s="140">
        <v>29</v>
      </c>
      <c r="E286" s="140">
        <f t="shared" si="47"/>
        <v>34</v>
      </c>
      <c r="F286" s="141" t="str">
        <f>CONCATENATE("Hora Cátedra Enseñanza Media ",D286," hs")</f>
        <v>Hora Cátedra Enseñanza Media 29 hs</v>
      </c>
      <c r="G286" s="142">
        <f t="shared" si="46"/>
        <v>2291</v>
      </c>
      <c r="H286" s="143">
        <f>INT((G286*Valores!$C$2*100)+0.49)/100</f>
        <v>21397.25</v>
      </c>
      <c r="I286" s="161">
        <v>0</v>
      </c>
      <c r="J286" s="145">
        <f>INT((I286*Valores!$C$2*100)+0.5)/100</f>
        <v>0</v>
      </c>
      <c r="K286" s="160">
        <v>0</v>
      </c>
      <c r="L286" s="145">
        <f>INT((K286*Valores!$C$2*100)+0.5)/100</f>
        <v>0</v>
      </c>
      <c r="M286" s="158">
        <v>0</v>
      </c>
      <c r="N286" s="145">
        <f>INT((M286*Valores!$C$2*100)+0.5)/100</f>
        <v>0</v>
      </c>
      <c r="O286" s="145">
        <f t="shared" si="48"/>
        <v>3923.901</v>
      </c>
      <c r="P286" s="145">
        <f t="shared" si="49"/>
        <v>0</v>
      </c>
      <c r="Q286" s="159">
        <f>Valores!$C$14*D286</f>
        <v>8965.93</v>
      </c>
      <c r="R286" s="159">
        <f>IF(D286&lt;15,(Valores!$E$4*D286),Valores!$D$4)</f>
        <v>4774.45</v>
      </c>
      <c r="S286" s="145">
        <v>0</v>
      </c>
      <c r="T286" s="148">
        <f>IF($H$5="NO",IF(Valores!$C$46*D286&gt;Valores!$C$44,Valores!$C$44,Valores!$C$46*D286),IF(Valores!$C$46*D286&gt;Valores!$C$44,Valores!$C$44,Valores!$C$46*D286)/2)</f>
        <v>1979.25</v>
      </c>
      <c r="U286" s="159">
        <f>Valores!$C$23*D286</f>
        <v>2782.8399999999997</v>
      </c>
      <c r="V286" s="145">
        <f t="shared" si="44"/>
        <v>2782.8399999999997</v>
      </c>
      <c r="W286" s="145">
        <v>0</v>
      </c>
      <c r="X286" s="145">
        <v>0</v>
      </c>
      <c r="Y286" s="165">
        <v>0</v>
      </c>
      <c r="Z286" s="145">
        <f>Y286*Valores!$C$2</f>
        <v>0</v>
      </c>
      <c r="AA286" s="145">
        <v>0</v>
      </c>
      <c r="AB286" s="148">
        <f>IF(Valores!$C$92*D286&gt;Valores!$C$91,Valores!$C$91,Valores!$C$92*D286)</f>
        <v>1673.0769230769235</v>
      </c>
      <c r="AC286" s="150">
        <f>IF((Valores!$C$33)*D286&gt;Valores!$F$33,Valores!$F$33,(Valores!$C$33)*D286)</f>
        <v>232.11136000000002</v>
      </c>
      <c r="AD286" s="145">
        <f t="shared" si="51"/>
        <v>0</v>
      </c>
      <c r="AE286" s="145">
        <f>IF(Valores!$C$34*D286&gt;Valores!$F$34,Valores!$F$34,Valores!$C$34*D286)</f>
        <v>193.21702400000004</v>
      </c>
      <c r="AF286" s="149">
        <v>0</v>
      </c>
      <c r="AG286" s="145">
        <f>INT(((AF286*Valores!$C$2)*100)+0.5)/100</f>
        <v>0</v>
      </c>
      <c r="AH286" s="145">
        <f>IF($H$5="NO",IF(Valores!$D$59*'Escala Docente'!D286&gt;Valores!$F$59,Valores!$F$59,Valores!$D$59*'Escala Docente'!D286),IF(Valores!$D$59*'Escala Docente'!D286&gt;Valores!$F$59,Valores!$F$59,Valores!$D$59*'Escala Docente'!D286)/2)</f>
        <v>785.9696</v>
      </c>
      <c r="AI286" s="145">
        <f>IF($H$5="NO",IF(Valores!$D$61*D286&gt;Valores!$F$61,Valores!$F$61,Valores!$D$61*D286),IF(Valores!$D$61*D286&gt;Valores!$F$61,Valores!$F$61,Valores!$D$61*D286)/2)</f>
        <v>224.58180000000002</v>
      </c>
      <c r="AJ286" s="151">
        <f t="shared" si="52"/>
        <v>46932.57770707691</v>
      </c>
      <c r="AK286" s="159">
        <f>IF(Valores!$C$37*D286&gt;Valores!$F$37,Valores!$F$37,Valores!$C$37*D286)</f>
        <v>2023.91</v>
      </c>
      <c r="AL286" s="148">
        <f>IF(Valores!$C$11*D286&gt;Valores!$F$11,Valores!$F$11,Valores!$C$11*D286)</f>
        <v>0</v>
      </c>
      <c r="AM286" s="148">
        <f>IF(Valores!$C$87*D286&gt;Valores!$C$86,Valores!$C$86,Valores!$C$87*D286)</f>
        <v>3298.7499999999995</v>
      </c>
      <c r="AN286" s="148"/>
      <c r="AO286" s="150">
        <f>IF(Valores!$C$58*D286&gt;Valores!$F$58,Valores!$F$58,Valores!$C$58*D286)</f>
        <v>327.6</v>
      </c>
      <c r="AP286" s="152">
        <f t="shared" si="50"/>
        <v>5322.66</v>
      </c>
      <c r="AQ286" s="154">
        <f>AJ286*-Valores!$C$68</f>
        <v>-5162.58354777846</v>
      </c>
      <c r="AR286" s="154">
        <f>AJ286*-Valores!$C$69</f>
        <v>0</v>
      </c>
      <c r="AS286" s="147">
        <f>AJ286*-Valores!$C$70</f>
        <v>-2111.965996818461</v>
      </c>
      <c r="AT286" s="147">
        <v>-159.43</v>
      </c>
      <c r="AU286" s="147">
        <f t="shared" si="53"/>
        <v>-53.83</v>
      </c>
      <c r="AV286" s="151">
        <f t="shared" si="54"/>
        <v>44767.428162479984</v>
      </c>
      <c r="AW286" s="155"/>
      <c r="AX286" s="155">
        <f t="shared" si="45"/>
        <v>116</v>
      </c>
      <c r="AY286" s="140" t="s">
        <v>8</v>
      </c>
    </row>
    <row r="287" spans="1:51" s="117" customFormat="1" ht="11.25" customHeight="1">
      <c r="A287" s="157">
        <v>285</v>
      </c>
      <c r="B287" s="157" t="s">
        <v>143</v>
      </c>
      <c r="C287" s="140" t="s">
        <v>501</v>
      </c>
      <c r="D287" s="140">
        <v>29</v>
      </c>
      <c r="E287" s="140">
        <f t="shared" si="47"/>
        <v>42</v>
      </c>
      <c r="F287" s="141" t="str">
        <f>CONCATENATE("Hora Cátedra Enseñanza Media ",D287," hs Esc Esp")</f>
        <v>Hora Cátedra Enseñanza Media 29 hs Esc Esp</v>
      </c>
      <c r="G287" s="142">
        <f t="shared" si="46"/>
        <v>2291</v>
      </c>
      <c r="H287" s="143">
        <f>INT((G287*Valores!$C$2*100)+0.49)/100</f>
        <v>21397.25</v>
      </c>
      <c r="I287" s="161">
        <v>0</v>
      </c>
      <c r="J287" s="145">
        <f>INT((I287*Valores!$C$2*100)+0.5)/100</f>
        <v>0</v>
      </c>
      <c r="K287" s="160">
        <v>0</v>
      </c>
      <c r="L287" s="145">
        <f>INT((K287*Valores!$C$2*100)+0.5)/100</f>
        <v>0</v>
      </c>
      <c r="M287" s="158">
        <v>0</v>
      </c>
      <c r="N287" s="145">
        <f>INT((M287*Valores!$C$2*100)+0.5)/100</f>
        <v>0</v>
      </c>
      <c r="O287" s="145">
        <f t="shared" si="48"/>
        <v>3923.901</v>
      </c>
      <c r="P287" s="145">
        <f t="shared" si="49"/>
        <v>0</v>
      </c>
      <c r="Q287" s="159">
        <f>Valores!$C$14*D287</f>
        <v>8965.93</v>
      </c>
      <c r="R287" s="159">
        <f>IF(D287&lt;15,(Valores!$E$4*D287),Valores!$D$4)</f>
        <v>4774.45</v>
      </c>
      <c r="S287" s="145">
        <v>0</v>
      </c>
      <c r="T287" s="148">
        <f>IF($H$5="NO",IF(Valores!$C$46*D287&gt;Valores!$C$44,Valores!$C$44,Valores!$C$46*D287),IF(Valores!$C$46*D287&gt;Valores!$C$44,Valores!$C$44,Valores!$C$46*D287)/2)</f>
        <v>1979.25</v>
      </c>
      <c r="U287" s="159">
        <f>Valores!$C$23*D287</f>
        <v>2782.8399999999997</v>
      </c>
      <c r="V287" s="145">
        <f t="shared" si="44"/>
        <v>2782.8399999999997</v>
      </c>
      <c r="W287" s="145">
        <v>0</v>
      </c>
      <c r="X287" s="145">
        <v>0</v>
      </c>
      <c r="Y287" s="165">
        <v>0</v>
      </c>
      <c r="Z287" s="145">
        <f>Y287*Valores!$C$2</f>
        <v>0</v>
      </c>
      <c r="AA287" s="145">
        <v>0</v>
      </c>
      <c r="AB287" s="148">
        <f>IF(Valores!$C$92*D287&gt;Valores!$C$91,Valores!$C$91,Valores!$C$92*D287)</f>
        <v>1673.0769230769235</v>
      </c>
      <c r="AC287" s="150">
        <f>IF((Valores!$C$33)*D287&gt;Valores!$F$33,Valores!$F$33,(Valores!$C$33)*D287)</f>
        <v>232.11136000000002</v>
      </c>
      <c r="AD287" s="145">
        <f t="shared" si="51"/>
        <v>0</v>
      </c>
      <c r="AE287" s="145">
        <f>IF(Valores!$C$34*D287&gt;Valores!$F$34,Valores!$F$34,Valores!$C$34*D287)</f>
        <v>193.21702400000004</v>
      </c>
      <c r="AF287" s="149">
        <v>94</v>
      </c>
      <c r="AG287" s="145">
        <f>INT(((AF287*Valores!$C$2)*100)+0.5)/100</f>
        <v>877.93</v>
      </c>
      <c r="AH287" s="145">
        <f>IF($H$5="NO",IF(Valores!$D$59*'Escala Docente'!D287&gt;Valores!$F$59,Valores!$F$59,Valores!$D$59*'Escala Docente'!D287),IF(Valores!$D$59*'Escala Docente'!D287&gt;Valores!$F$59,Valores!$F$59,Valores!$D$59*'Escala Docente'!D287)/2)</f>
        <v>785.9696</v>
      </c>
      <c r="AI287" s="145">
        <f>IF($H$5="NO",IF(Valores!$D$61*D287&gt;Valores!$F$61,Valores!$F$61,Valores!$D$61*D287),IF(Valores!$D$61*D287&gt;Valores!$F$61,Valores!$F$61,Valores!$D$61*D287)/2)</f>
        <v>224.58180000000002</v>
      </c>
      <c r="AJ287" s="151">
        <f t="shared" si="52"/>
        <v>47810.50770707691</v>
      </c>
      <c r="AK287" s="159">
        <f>IF(Valores!$C$37*D287&gt;Valores!$F$37,Valores!$F$37,Valores!$C$37*D287)</f>
        <v>2023.91</v>
      </c>
      <c r="AL287" s="148">
        <f>IF(Valores!$C$11*D287&gt;Valores!$F$11,Valores!$F$11,Valores!$C$11*D287)</f>
        <v>0</v>
      </c>
      <c r="AM287" s="148">
        <f>IF(Valores!$C$87*D287&gt;Valores!$C$86,Valores!$C$86,Valores!$C$87*D287)</f>
        <v>3298.7499999999995</v>
      </c>
      <c r="AN287" s="148"/>
      <c r="AO287" s="150">
        <f>IF(Valores!$C$58*D287&gt;Valores!$F$58,Valores!$F$58,Valores!$C$58*D287)</f>
        <v>327.6</v>
      </c>
      <c r="AP287" s="152">
        <f t="shared" si="50"/>
        <v>5322.66</v>
      </c>
      <c r="AQ287" s="154">
        <f>AJ287*-Valores!$C$68</f>
        <v>-5259.15584777846</v>
      </c>
      <c r="AR287" s="154">
        <f>AJ287*-Valores!$C$69</f>
        <v>0</v>
      </c>
      <c r="AS287" s="147">
        <f>AJ287*-Valores!$C$70</f>
        <v>-2151.4728468184608</v>
      </c>
      <c r="AT287" s="147">
        <v>-159.43</v>
      </c>
      <c r="AU287" s="147">
        <f t="shared" si="53"/>
        <v>-53.83</v>
      </c>
      <c r="AV287" s="151">
        <f t="shared" si="54"/>
        <v>45509.27901247999</v>
      </c>
      <c r="AW287" s="155"/>
      <c r="AX287" s="155">
        <f t="shared" si="45"/>
        <v>116</v>
      </c>
      <c r="AY287" s="140" t="s">
        <v>8</v>
      </c>
    </row>
    <row r="288" spans="1:51" s="117" customFormat="1" ht="11.25" customHeight="1">
      <c r="A288" s="139">
        <v>286</v>
      </c>
      <c r="B288" s="139"/>
      <c r="C288" s="140" t="s">
        <v>501</v>
      </c>
      <c r="D288" s="140">
        <v>30</v>
      </c>
      <c r="E288" s="140">
        <f t="shared" si="47"/>
        <v>34</v>
      </c>
      <c r="F288" s="141" t="str">
        <f>CONCATENATE("Hora Cátedra Enseñanza Media ",D288," hs")</f>
        <v>Hora Cátedra Enseñanza Media 30 hs</v>
      </c>
      <c r="G288" s="142">
        <f t="shared" si="46"/>
        <v>2370</v>
      </c>
      <c r="H288" s="143">
        <f>INT((G288*Valores!$C$2*100)+0.49)/100</f>
        <v>22135.09</v>
      </c>
      <c r="I288" s="161">
        <v>0</v>
      </c>
      <c r="J288" s="145">
        <f>INT((I288*Valores!$C$2*100)+0.5)/100</f>
        <v>0</v>
      </c>
      <c r="K288" s="160">
        <v>0</v>
      </c>
      <c r="L288" s="145">
        <f>INT((K288*Valores!$C$2*100)+0.5)/100</f>
        <v>0</v>
      </c>
      <c r="M288" s="158">
        <v>0</v>
      </c>
      <c r="N288" s="145">
        <f>INT((M288*Valores!$C$2*100)+0.5)/100</f>
        <v>0</v>
      </c>
      <c r="O288" s="145">
        <f t="shared" si="48"/>
        <v>4059.2084999999997</v>
      </c>
      <c r="P288" s="145">
        <f t="shared" si="49"/>
        <v>0</v>
      </c>
      <c r="Q288" s="159">
        <f>Valores!$C$14*D288</f>
        <v>9275.1</v>
      </c>
      <c r="R288" s="159">
        <f>IF(D288&lt;15,(Valores!$E$4*D288),Valores!$D$4)</f>
        <v>4774.45</v>
      </c>
      <c r="S288" s="145">
        <v>0</v>
      </c>
      <c r="T288" s="148">
        <f>IF($H$5="NO",IF(Valores!$C$46*D288&gt;Valores!$C$44,Valores!$C$44,Valores!$C$46*D288),IF(Valores!$C$46*D288&gt;Valores!$C$44,Valores!$C$44,Valores!$C$46*D288)/2)</f>
        <v>2047.5</v>
      </c>
      <c r="U288" s="159">
        <f>Valores!$C$23*D288</f>
        <v>2878.7999999999997</v>
      </c>
      <c r="V288" s="145">
        <f t="shared" si="44"/>
        <v>2878.7999999999997</v>
      </c>
      <c r="W288" s="145">
        <v>0</v>
      </c>
      <c r="X288" s="145">
        <v>0</v>
      </c>
      <c r="Y288" s="165">
        <v>0</v>
      </c>
      <c r="Z288" s="145">
        <f>Y288*Valores!$C$2</f>
        <v>0</v>
      </c>
      <c r="AA288" s="145">
        <v>0</v>
      </c>
      <c r="AB288" s="148">
        <f>IF(Valores!$C$92*D288&gt;Valores!$C$91,Valores!$C$91,Valores!$C$92*D288)</f>
        <v>1730.7692307692312</v>
      </c>
      <c r="AC288" s="150">
        <f>IF((Valores!$C$33)*D288&gt;Valores!$F$33,Valores!$F$33,(Valores!$C$33)*D288)</f>
        <v>240.11520000000002</v>
      </c>
      <c r="AD288" s="145">
        <f t="shared" si="51"/>
        <v>0</v>
      </c>
      <c r="AE288" s="145">
        <f>IF(Valores!$C$34*D288&gt;Valores!$F$34,Valores!$F$34,Valores!$C$34*D288)</f>
        <v>199.86</v>
      </c>
      <c r="AF288" s="149">
        <v>0</v>
      </c>
      <c r="AG288" s="145">
        <f>INT(((AF288*Valores!$C$2)*100)+0.5)/100</f>
        <v>0</v>
      </c>
      <c r="AH288" s="145">
        <f>IF($H$5="NO",IF(Valores!$D$59*'Escala Docente'!D288&gt;Valores!$F$59,Valores!$F$59,Valores!$D$59*'Escala Docente'!D288),IF(Valores!$D$59*'Escala Docente'!D288&gt;Valores!$F$59,Valores!$F$59,Valores!$D$59*'Escala Docente'!D288)/2)</f>
        <v>813.06</v>
      </c>
      <c r="AI288" s="145">
        <f>IF($H$5="NO",IF(Valores!$D$61*D288&gt;Valores!$F$61,Valores!$F$61,Valores!$D$61*D288),IF(Valores!$D$61*D288&gt;Valores!$F$61,Valores!$F$61,Valores!$D$61*D288)/2)</f>
        <v>232.3</v>
      </c>
      <c r="AJ288" s="151">
        <f t="shared" si="52"/>
        <v>48386.25293076924</v>
      </c>
      <c r="AK288" s="159">
        <f>IF(Valores!$C$37*D288&gt;Valores!$F$37,Valores!$F$37,Valores!$C$37*D288)</f>
        <v>2093.66</v>
      </c>
      <c r="AL288" s="148">
        <f>IF(Valores!$C$11*D288&gt;Valores!$F$11,Valores!$F$11,Valores!$C$11*D288)</f>
        <v>0</v>
      </c>
      <c r="AM288" s="148">
        <f>IF(Valores!$C$87*D288&gt;Valores!$C$86,Valores!$C$86,Valores!$C$87*D288)</f>
        <v>3412.4999999999995</v>
      </c>
      <c r="AN288" s="148"/>
      <c r="AO288" s="150">
        <f>IF(Valores!$C$58*D288&gt;Valores!$F$58,Valores!$F$58,Valores!$C$58*D288)</f>
        <v>327.6</v>
      </c>
      <c r="AP288" s="152">
        <f t="shared" si="50"/>
        <v>5506.16</v>
      </c>
      <c r="AQ288" s="154">
        <f>AJ288*-Valores!$C$68</f>
        <v>-5322.487822384616</v>
      </c>
      <c r="AR288" s="154">
        <f>AJ288*-Valores!$C$69</f>
        <v>0</v>
      </c>
      <c r="AS288" s="147">
        <f>AJ288*-Valores!$C$70</f>
        <v>-2177.3813818846156</v>
      </c>
      <c r="AT288" s="147">
        <v>-159.43</v>
      </c>
      <c r="AU288" s="147">
        <f t="shared" si="53"/>
        <v>-53.83</v>
      </c>
      <c r="AV288" s="151">
        <f t="shared" si="54"/>
        <v>46179.2837265</v>
      </c>
      <c r="AW288" s="155"/>
      <c r="AX288" s="155">
        <f t="shared" si="45"/>
        <v>120</v>
      </c>
      <c r="AY288" s="140" t="s">
        <v>4</v>
      </c>
    </row>
    <row r="289" spans="1:51" s="117" customFormat="1" ht="11.25" customHeight="1">
      <c r="A289" s="139">
        <v>287</v>
      </c>
      <c r="B289" s="139"/>
      <c r="C289" s="140" t="s">
        <v>501</v>
      </c>
      <c r="D289" s="140">
        <v>30</v>
      </c>
      <c r="E289" s="140">
        <f t="shared" si="47"/>
        <v>42</v>
      </c>
      <c r="F289" s="141" t="str">
        <f>CONCATENATE("Hora Cátedra Enseñanza Media ",D289," hs Esc Esp")</f>
        <v>Hora Cátedra Enseñanza Media 30 hs Esc Esp</v>
      </c>
      <c r="G289" s="142">
        <f t="shared" si="46"/>
        <v>2370</v>
      </c>
      <c r="H289" s="143">
        <f>INT((G289*Valores!$C$2*100)+0.49)/100</f>
        <v>22135.09</v>
      </c>
      <c r="I289" s="161">
        <v>0</v>
      </c>
      <c r="J289" s="145">
        <f>INT((I289*Valores!$C$2*100)+0.5)/100</f>
        <v>0</v>
      </c>
      <c r="K289" s="160">
        <v>0</v>
      </c>
      <c r="L289" s="145">
        <f>INT((K289*Valores!$C$2*100)+0.5)/100</f>
        <v>0</v>
      </c>
      <c r="M289" s="158">
        <v>0</v>
      </c>
      <c r="N289" s="145">
        <f>INT((M289*Valores!$C$2*100)+0.5)/100</f>
        <v>0</v>
      </c>
      <c r="O289" s="145">
        <f t="shared" si="48"/>
        <v>4059.2084999999997</v>
      </c>
      <c r="P289" s="145">
        <f t="shared" si="49"/>
        <v>0</v>
      </c>
      <c r="Q289" s="159">
        <f>Valores!$C$14*D289</f>
        <v>9275.1</v>
      </c>
      <c r="R289" s="159">
        <f>IF(D289&lt;15,(Valores!$E$4*D289),Valores!$D$4)</f>
        <v>4774.45</v>
      </c>
      <c r="S289" s="145">
        <v>0</v>
      </c>
      <c r="T289" s="148">
        <f>IF($H$5="NO",IF(Valores!$C$46*D289&gt;Valores!$C$44,Valores!$C$44,Valores!$C$46*D289),IF(Valores!$C$46*D289&gt;Valores!$C$44,Valores!$C$44,Valores!$C$46*D289)/2)</f>
        <v>2047.5</v>
      </c>
      <c r="U289" s="159">
        <f>Valores!$C$23*D289</f>
        <v>2878.7999999999997</v>
      </c>
      <c r="V289" s="145">
        <f t="shared" si="44"/>
        <v>2878.7999999999997</v>
      </c>
      <c r="W289" s="145">
        <v>0</v>
      </c>
      <c r="X289" s="145">
        <v>0</v>
      </c>
      <c r="Y289" s="165">
        <v>0</v>
      </c>
      <c r="Z289" s="145">
        <f>Y289*Valores!$C$2</f>
        <v>0</v>
      </c>
      <c r="AA289" s="145">
        <v>0</v>
      </c>
      <c r="AB289" s="148">
        <f>IF(Valores!$C$92*D289&gt;Valores!$C$91,Valores!$C$91,Valores!$C$92*D289)</f>
        <v>1730.7692307692312</v>
      </c>
      <c r="AC289" s="150">
        <f>IF((Valores!$C$33)*D289&gt;Valores!$F$33,Valores!$F$33,(Valores!$C$33)*D289)</f>
        <v>240.11520000000002</v>
      </c>
      <c r="AD289" s="145">
        <f t="shared" si="51"/>
        <v>0</v>
      </c>
      <c r="AE289" s="145">
        <f>IF(Valores!$C$34*D289&gt;Valores!$F$34,Valores!$F$34,Valores!$C$34*D289)</f>
        <v>199.86</v>
      </c>
      <c r="AF289" s="149">
        <v>94</v>
      </c>
      <c r="AG289" s="145">
        <f>INT(((AF289*Valores!$C$2)*100)+0.5)/100</f>
        <v>877.93</v>
      </c>
      <c r="AH289" s="145">
        <f>IF($H$5="NO",IF(Valores!$D$59*'Escala Docente'!D289&gt;Valores!$F$59,Valores!$F$59,Valores!$D$59*'Escala Docente'!D289),IF(Valores!$D$59*'Escala Docente'!D289&gt;Valores!$F$59,Valores!$F$59,Valores!$D$59*'Escala Docente'!D289)/2)</f>
        <v>813.06</v>
      </c>
      <c r="AI289" s="145">
        <f>IF($H$5="NO",IF(Valores!$D$61*D289&gt;Valores!$F$61,Valores!$F$61,Valores!$D$61*D289),IF(Valores!$D$61*D289&gt;Valores!$F$61,Valores!$F$61,Valores!$D$61*D289)/2)</f>
        <v>232.3</v>
      </c>
      <c r="AJ289" s="151">
        <f t="shared" si="52"/>
        <v>49264.18293076924</v>
      </c>
      <c r="AK289" s="159">
        <f>IF(Valores!$C$37*D289&gt;Valores!$F$37,Valores!$F$37,Valores!$C$37*D289)</f>
        <v>2093.66</v>
      </c>
      <c r="AL289" s="148">
        <f>IF(Valores!$C$11*D289&gt;Valores!$F$11,Valores!$F$11,Valores!$C$11*D289)</f>
        <v>0</v>
      </c>
      <c r="AM289" s="148">
        <f>IF(Valores!$C$87*D289&gt;Valores!$C$86,Valores!$C$86,Valores!$C$87*D289)</f>
        <v>3412.4999999999995</v>
      </c>
      <c r="AN289" s="148"/>
      <c r="AO289" s="150">
        <f>IF(Valores!$C$58*D289&gt;Valores!$F$58,Valores!$F$58,Valores!$C$58*D289)</f>
        <v>327.6</v>
      </c>
      <c r="AP289" s="152">
        <f t="shared" si="50"/>
        <v>5506.16</v>
      </c>
      <c r="AQ289" s="154">
        <f>AJ289*-Valores!$C$68</f>
        <v>-5419.060122384616</v>
      </c>
      <c r="AR289" s="154">
        <f>AJ289*-Valores!$C$69</f>
        <v>0</v>
      </c>
      <c r="AS289" s="147">
        <f>AJ289*-Valores!$C$70</f>
        <v>-2216.888231884616</v>
      </c>
      <c r="AT289" s="147">
        <v>-159.43</v>
      </c>
      <c r="AU289" s="147">
        <f t="shared" si="53"/>
        <v>-53.83</v>
      </c>
      <c r="AV289" s="151">
        <f t="shared" si="54"/>
        <v>46921.13457650001</v>
      </c>
      <c r="AW289" s="155"/>
      <c r="AX289" s="155">
        <f t="shared" si="45"/>
        <v>120</v>
      </c>
      <c r="AY289" s="140" t="s">
        <v>4</v>
      </c>
    </row>
    <row r="290" spans="1:51" s="117" customFormat="1" ht="11.25" customHeight="1">
      <c r="A290" s="139">
        <v>288</v>
      </c>
      <c r="B290" s="139"/>
      <c r="C290" s="140" t="s">
        <v>501</v>
      </c>
      <c r="D290" s="140">
        <v>31</v>
      </c>
      <c r="E290" s="140">
        <f t="shared" si="47"/>
        <v>34</v>
      </c>
      <c r="F290" s="141" t="str">
        <f>CONCATENATE("Hora Cátedra Enseñanza Media ",D290," hs")</f>
        <v>Hora Cátedra Enseñanza Media 31 hs</v>
      </c>
      <c r="G290" s="142">
        <f t="shared" si="46"/>
        <v>2449</v>
      </c>
      <c r="H290" s="143">
        <f>INT((G290*Valores!$C$2*100)+0.49)/100</f>
        <v>22872.93</v>
      </c>
      <c r="I290" s="161">
        <v>0</v>
      </c>
      <c r="J290" s="145">
        <f>INT((I290*Valores!$C$2*100)+0.5)/100</f>
        <v>0</v>
      </c>
      <c r="K290" s="160">
        <v>0</v>
      </c>
      <c r="L290" s="145">
        <f>INT((K290*Valores!$C$2*100)+0.5)/100</f>
        <v>0</v>
      </c>
      <c r="M290" s="158">
        <v>0</v>
      </c>
      <c r="N290" s="145">
        <f>INT((M290*Valores!$C$2*100)+0.5)/100</f>
        <v>0</v>
      </c>
      <c r="O290" s="145">
        <f t="shared" si="48"/>
        <v>4194.516</v>
      </c>
      <c r="P290" s="145">
        <f t="shared" si="49"/>
        <v>0</v>
      </c>
      <c r="Q290" s="159">
        <f>Valores!$C$14*D290</f>
        <v>9584.27</v>
      </c>
      <c r="R290" s="159">
        <f>IF(D290&lt;15,(Valores!$E$4*D290),Valores!$D$4)</f>
        <v>4774.45</v>
      </c>
      <c r="S290" s="145">
        <v>0</v>
      </c>
      <c r="T290" s="148">
        <f>IF($H$5="NO",IF(Valores!$C$46*D290&gt;Valores!$C$44,Valores!$C$44,Valores!$C$46*D290),IF(Valores!$C$46*D290&gt;Valores!$C$44,Valores!$C$44,Valores!$C$46*D290)/2)</f>
        <v>2115.75</v>
      </c>
      <c r="U290" s="159">
        <f>Valores!$C$23*D290</f>
        <v>2974.7599999999998</v>
      </c>
      <c r="V290" s="145">
        <f t="shared" si="44"/>
        <v>2974.7599999999998</v>
      </c>
      <c r="W290" s="145">
        <v>0</v>
      </c>
      <c r="X290" s="145">
        <v>0</v>
      </c>
      <c r="Y290" s="165">
        <v>0</v>
      </c>
      <c r="Z290" s="145">
        <f>Y290*Valores!$C$2</f>
        <v>0</v>
      </c>
      <c r="AA290" s="145">
        <v>0</v>
      </c>
      <c r="AB290" s="148">
        <f>IF(Valores!$C$92*D290&gt;Valores!$C$91,Valores!$C$91,Valores!$C$92*D290)</f>
        <v>1788.461538461539</v>
      </c>
      <c r="AC290" s="150">
        <f>IF((Valores!$C$33)*D290&gt;Valores!$F$33,Valores!$F$33,(Valores!$C$33)*D290)</f>
        <v>248.11904</v>
      </c>
      <c r="AD290" s="145">
        <f t="shared" si="51"/>
        <v>0</v>
      </c>
      <c r="AE290" s="145">
        <f>IF(Valores!$C$34*D290&gt;Valores!$F$34,Valores!$F$34,Valores!$C$34*D290)</f>
        <v>199.86</v>
      </c>
      <c r="AF290" s="149">
        <v>0</v>
      </c>
      <c r="AG290" s="145">
        <f>INT(((AF290*Valores!$C$2)*100)+0.5)/100</f>
        <v>0</v>
      </c>
      <c r="AH290" s="145">
        <f>IF($H$5="NO",IF(Valores!$D$59*'Escala Docente'!D290&gt;Valores!$F$59,Valores!$F$59,Valores!$D$59*'Escala Docente'!D290),IF(Valores!$D$59*'Escala Docente'!D290&gt;Valores!$F$59,Valores!$F$59,Valores!$D$59*'Escala Docente'!D290)/2)</f>
        <v>813.06</v>
      </c>
      <c r="AI290" s="145">
        <f>IF($H$5="NO",IF(Valores!$D$61*D290&gt;Valores!$F$61,Valores!$F$61,Valores!$D$61*D290),IF(Valores!$D$61*D290&gt;Valores!$F$61,Valores!$F$61,Valores!$D$61*D290)/2)</f>
        <v>232.3</v>
      </c>
      <c r="AJ290" s="151">
        <f t="shared" si="52"/>
        <v>49798.47657846154</v>
      </c>
      <c r="AK290" s="159">
        <f>IF(Valores!$C$37*D290&gt;Valores!$F$37,Valores!$F$37,Valores!$C$37*D290)</f>
        <v>2093.66</v>
      </c>
      <c r="AL290" s="148">
        <f>IF(Valores!$C$11*D290&gt;Valores!$F$11,Valores!$F$11,Valores!$C$11*D290)</f>
        <v>0</v>
      </c>
      <c r="AM290" s="148">
        <f>IF(Valores!$C$87*D290&gt;Valores!$C$86,Valores!$C$86,Valores!$C$87*D290)</f>
        <v>3526.2499999999995</v>
      </c>
      <c r="AN290" s="148"/>
      <c r="AO290" s="150">
        <f>IF(Valores!$C$58*D290&gt;Valores!$F$58,Valores!$F$58,Valores!$C$58*D290)</f>
        <v>327.6</v>
      </c>
      <c r="AP290" s="152">
        <f t="shared" si="50"/>
        <v>5619.91</v>
      </c>
      <c r="AQ290" s="154">
        <f>AJ290*-Valores!$C$68</f>
        <v>-5477.832423630769</v>
      </c>
      <c r="AR290" s="154">
        <f>AJ290*-Valores!$C$69</f>
        <v>0</v>
      </c>
      <c r="AS290" s="147">
        <f>AJ290*-Valores!$C$70</f>
        <v>-2240.931446030769</v>
      </c>
      <c r="AT290" s="147">
        <v>-159.43</v>
      </c>
      <c r="AU290" s="147">
        <f t="shared" si="53"/>
        <v>-53.83</v>
      </c>
      <c r="AV290" s="151">
        <f t="shared" si="54"/>
        <v>47486.36270879999</v>
      </c>
      <c r="AW290" s="155"/>
      <c r="AX290" s="155">
        <f aca="true" t="shared" si="55" ref="AX290:AX302">4*D290</f>
        <v>124</v>
      </c>
      <c r="AY290" s="140" t="s">
        <v>8</v>
      </c>
    </row>
    <row r="291" spans="1:51" s="117" customFormat="1" ht="11.25" customHeight="1">
      <c r="A291" s="139">
        <v>289</v>
      </c>
      <c r="B291" s="139"/>
      <c r="C291" s="140" t="s">
        <v>501</v>
      </c>
      <c r="D291" s="140">
        <v>31</v>
      </c>
      <c r="E291" s="140">
        <f t="shared" si="47"/>
        <v>42</v>
      </c>
      <c r="F291" s="141" t="str">
        <f>CONCATENATE("Hora Cátedra Enseñanza Media ",D291," hs Esc Esp")</f>
        <v>Hora Cátedra Enseñanza Media 31 hs Esc Esp</v>
      </c>
      <c r="G291" s="142">
        <f t="shared" si="46"/>
        <v>2449</v>
      </c>
      <c r="H291" s="143">
        <f>INT((G291*Valores!$C$2*100)+0.49)/100</f>
        <v>22872.93</v>
      </c>
      <c r="I291" s="161">
        <v>0</v>
      </c>
      <c r="J291" s="145">
        <f>INT((I291*Valores!$C$2*100)+0.5)/100</f>
        <v>0</v>
      </c>
      <c r="K291" s="160">
        <v>0</v>
      </c>
      <c r="L291" s="145">
        <f>INT((K291*Valores!$C$2*100)+0.5)/100</f>
        <v>0</v>
      </c>
      <c r="M291" s="158">
        <v>0</v>
      </c>
      <c r="N291" s="145">
        <f>INT((M291*Valores!$C$2*100)+0.5)/100</f>
        <v>0</v>
      </c>
      <c r="O291" s="145">
        <f t="shared" si="48"/>
        <v>4194.516</v>
      </c>
      <c r="P291" s="145">
        <f t="shared" si="49"/>
        <v>0</v>
      </c>
      <c r="Q291" s="159">
        <f>Valores!$C$14*D291</f>
        <v>9584.27</v>
      </c>
      <c r="R291" s="159">
        <f>IF(D291&lt;15,(Valores!$E$4*D291),Valores!$D$4)</f>
        <v>4774.45</v>
      </c>
      <c r="S291" s="145">
        <v>0</v>
      </c>
      <c r="T291" s="148">
        <f>IF($H$5="NO",IF(Valores!$C$46*D291&gt;Valores!$C$44,Valores!$C$44,Valores!$C$46*D291),IF(Valores!$C$46*D291&gt;Valores!$C$44,Valores!$C$44,Valores!$C$46*D291)/2)</f>
        <v>2115.75</v>
      </c>
      <c r="U291" s="159">
        <f>Valores!$C$23*D291</f>
        <v>2974.7599999999998</v>
      </c>
      <c r="V291" s="145">
        <f t="shared" si="44"/>
        <v>2974.7599999999998</v>
      </c>
      <c r="W291" s="145">
        <v>0</v>
      </c>
      <c r="X291" s="145">
        <v>0</v>
      </c>
      <c r="Y291" s="165">
        <v>0</v>
      </c>
      <c r="Z291" s="145">
        <f>Y291*Valores!$C$2</f>
        <v>0</v>
      </c>
      <c r="AA291" s="145">
        <v>0</v>
      </c>
      <c r="AB291" s="148">
        <f>IF(Valores!$C$92*D291&gt;Valores!$C$91,Valores!$C$91,Valores!$C$92*D291)</f>
        <v>1788.461538461539</v>
      </c>
      <c r="AC291" s="150">
        <f>IF((Valores!$C$33)*D291&gt;Valores!$F$33,Valores!$F$33,(Valores!$C$33)*D291)</f>
        <v>248.11904</v>
      </c>
      <c r="AD291" s="145">
        <f t="shared" si="51"/>
        <v>0</v>
      </c>
      <c r="AE291" s="145">
        <f>IF(Valores!$C$34*D291&gt;Valores!$F$34,Valores!$F$34,Valores!$C$34*D291)</f>
        <v>199.86</v>
      </c>
      <c r="AF291" s="149">
        <v>94</v>
      </c>
      <c r="AG291" s="145">
        <f>INT(((AF291*Valores!$C$2)*100)+0.5)/100</f>
        <v>877.93</v>
      </c>
      <c r="AH291" s="145">
        <f>IF($H$5="NO",IF(Valores!$D$59*'Escala Docente'!D291&gt;Valores!$F$59,Valores!$F$59,Valores!$D$59*'Escala Docente'!D291),IF(Valores!$D$59*'Escala Docente'!D291&gt;Valores!$F$59,Valores!$F$59,Valores!$D$59*'Escala Docente'!D291)/2)</f>
        <v>813.06</v>
      </c>
      <c r="AI291" s="145">
        <f>IF($H$5="NO",IF(Valores!$D$61*D291&gt;Valores!$F$61,Valores!$F$61,Valores!$D$61*D291),IF(Valores!$D$61*D291&gt;Valores!$F$61,Valores!$F$61,Valores!$D$61*D291)/2)</f>
        <v>232.3</v>
      </c>
      <c r="AJ291" s="151">
        <f t="shared" si="52"/>
        <v>50676.40657846154</v>
      </c>
      <c r="AK291" s="159">
        <f>IF(Valores!$C$37*D291&gt;Valores!$F$37,Valores!$F$37,Valores!$C$37*D291)</f>
        <v>2093.66</v>
      </c>
      <c r="AL291" s="148">
        <f>IF(Valores!$C$11*D291&gt;Valores!$F$11,Valores!$F$11,Valores!$C$11*D291)</f>
        <v>0</v>
      </c>
      <c r="AM291" s="148">
        <f>IF(Valores!$C$87*D291&gt;Valores!$C$86,Valores!$C$86,Valores!$C$87*D291)</f>
        <v>3526.2499999999995</v>
      </c>
      <c r="AN291" s="148"/>
      <c r="AO291" s="150">
        <f>IF(Valores!$C$58*D291&gt;Valores!$F$58,Valores!$F$58,Valores!$C$58*D291)</f>
        <v>327.6</v>
      </c>
      <c r="AP291" s="152">
        <f t="shared" si="50"/>
        <v>5619.91</v>
      </c>
      <c r="AQ291" s="154">
        <f>AJ291*-Valores!$C$68</f>
        <v>-5574.404723630769</v>
      </c>
      <c r="AR291" s="154">
        <f>AJ291*-Valores!$C$69</f>
        <v>0</v>
      </c>
      <c r="AS291" s="147">
        <f>AJ291*-Valores!$C$70</f>
        <v>-2280.438296030769</v>
      </c>
      <c r="AT291" s="147">
        <v>-159.43</v>
      </c>
      <c r="AU291" s="147">
        <f t="shared" si="53"/>
        <v>-53.83</v>
      </c>
      <c r="AV291" s="151">
        <f t="shared" si="54"/>
        <v>48228.2135588</v>
      </c>
      <c r="AW291" s="155"/>
      <c r="AX291" s="155">
        <f t="shared" si="55"/>
        <v>124</v>
      </c>
      <c r="AY291" s="140" t="s">
        <v>8</v>
      </c>
    </row>
    <row r="292" spans="1:51" s="117" customFormat="1" ht="11.25" customHeight="1">
      <c r="A292" s="157">
        <v>290</v>
      </c>
      <c r="B292" s="157" t="s">
        <v>143</v>
      </c>
      <c r="C292" s="140" t="s">
        <v>501</v>
      </c>
      <c r="D292" s="140">
        <v>32</v>
      </c>
      <c r="E292" s="140">
        <f t="shared" si="47"/>
        <v>34</v>
      </c>
      <c r="F292" s="141" t="str">
        <f>CONCATENATE("Hora Cátedra Enseñanza Media ",D292," hs")</f>
        <v>Hora Cátedra Enseñanza Media 32 hs</v>
      </c>
      <c r="G292" s="142">
        <f t="shared" si="46"/>
        <v>2528</v>
      </c>
      <c r="H292" s="143">
        <f>INT((G292*Valores!$C$2*100)+0.49)/100</f>
        <v>23610.76</v>
      </c>
      <c r="I292" s="161">
        <v>0</v>
      </c>
      <c r="J292" s="145">
        <f>INT((I292*Valores!$C$2*100)+0.5)/100</f>
        <v>0</v>
      </c>
      <c r="K292" s="160">
        <v>0</v>
      </c>
      <c r="L292" s="145">
        <f>INT((K292*Valores!$C$2*100)+0.5)/100</f>
        <v>0</v>
      </c>
      <c r="M292" s="158">
        <v>0</v>
      </c>
      <c r="N292" s="145">
        <f>INT((M292*Valores!$C$2*100)+0.5)/100</f>
        <v>0</v>
      </c>
      <c r="O292" s="145">
        <f t="shared" si="48"/>
        <v>4329.822</v>
      </c>
      <c r="P292" s="145">
        <f t="shared" si="49"/>
        <v>0</v>
      </c>
      <c r="Q292" s="159">
        <f>Valores!$C$14*D292</f>
        <v>9893.44</v>
      </c>
      <c r="R292" s="159">
        <f>IF(D292&lt;15,(Valores!$E$4*D292),Valores!$D$4)</f>
        <v>4774.45</v>
      </c>
      <c r="S292" s="145">
        <v>0</v>
      </c>
      <c r="T292" s="148">
        <f>IF($H$5="NO",IF(Valores!$C$46*D292&gt;Valores!$C$44,Valores!$C$44,Valores!$C$46*D292),IF(Valores!$C$46*D292&gt;Valores!$C$44,Valores!$C$44,Valores!$C$46*D292)/2)</f>
        <v>2184</v>
      </c>
      <c r="U292" s="159">
        <f>Valores!$C$23*D292</f>
        <v>3070.72</v>
      </c>
      <c r="V292" s="145">
        <f t="shared" si="44"/>
        <v>3070.72</v>
      </c>
      <c r="W292" s="145">
        <v>0</v>
      </c>
      <c r="X292" s="145">
        <v>0</v>
      </c>
      <c r="Y292" s="165">
        <v>0</v>
      </c>
      <c r="Z292" s="145">
        <f>Y292*Valores!$C$2</f>
        <v>0</v>
      </c>
      <c r="AA292" s="145">
        <v>0</v>
      </c>
      <c r="AB292" s="148">
        <f>IF(Valores!$C$92*D292&gt;Valores!$C$91,Valores!$C$91,Valores!$C$92*D292)</f>
        <v>1846.1538461538466</v>
      </c>
      <c r="AC292" s="150">
        <f>IF((Valores!$C$33)*D292&gt;Valores!$F$33,Valores!$F$33,(Valores!$C$33)*D292)</f>
        <v>256.12288</v>
      </c>
      <c r="AD292" s="145">
        <f t="shared" si="51"/>
        <v>0</v>
      </c>
      <c r="AE292" s="145">
        <f>IF(Valores!$C$34*D292&gt;Valores!$F$34,Valores!$F$34,Valores!$C$34*D292)</f>
        <v>199.86</v>
      </c>
      <c r="AF292" s="149">
        <v>0</v>
      </c>
      <c r="AG292" s="145">
        <f>INT(((AF292*Valores!$C$2)*100)+0.5)/100</f>
        <v>0</v>
      </c>
      <c r="AH292" s="145">
        <f>IF($H$5="NO",IF(Valores!$D$59*'Escala Docente'!D292&gt;Valores!$F$59,Valores!$F$59,Valores!$D$59*'Escala Docente'!D292),IF(Valores!$D$59*'Escala Docente'!D292&gt;Valores!$F$59,Valores!$F$59,Valores!$D$59*'Escala Docente'!D292)/2)</f>
        <v>813.06</v>
      </c>
      <c r="AI292" s="145">
        <f>IF($H$5="NO",IF(Valores!$D$61*D292&gt;Valores!$F$61,Valores!$F$61,Valores!$D$61*D292),IF(Valores!$D$61*D292&gt;Valores!$F$61,Valores!$F$61,Valores!$D$61*D292)/2)</f>
        <v>232.3</v>
      </c>
      <c r="AJ292" s="151">
        <f>SUM(H292,J292,L292,N292,O292,P292,Q292,R292,S292,V292,W292,X292,Z292,AA292,AC292,AD292,AE292,AG292,T292,AH292,AI292,AB292)</f>
        <v>51210.68872615384</v>
      </c>
      <c r="AK292" s="159">
        <f>IF(Valores!$C$37*D292&gt;Valores!$F$37,Valores!$F$37,Valores!$C$37*D292)</f>
        <v>2093.66</v>
      </c>
      <c r="AL292" s="148">
        <f>IF(Valores!$C$11*D292&gt;Valores!$F$11,Valores!$F$11,Valores!$C$11*D292)</f>
        <v>0</v>
      </c>
      <c r="AM292" s="148">
        <f>IF(Valores!$C$87*D292&gt;Valores!$C$86,Valores!$C$86,Valores!$C$87*D292)</f>
        <v>3639.9999999999995</v>
      </c>
      <c r="AN292" s="148"/>
      <c r="AO292" s="150">
        <f>IF(Valores!$C$58*D292&gt;Valores!$F$58,Valores!$F$58,Valores!$C$58*D292)</f>
        <v>327.6</v>
      </c>
      <c r="AP292" s="152">
        <f t="shared" si="50"/>
        <v>5733.66</v>
      </c>
      <c r="AQ292" s="154">
        <f>AJ292*-Valores!$C$68</f>
        <v>-5633.175759876923</v>
      </c>
      <c r="AR292" s="154">
        <f>AJ292*-Valores!$C$69</f>
        <v>0</v>
      </c>
      <c r="AS292" s="147">
        <f>AJ292*-Valores!$C$70</f>
        <v>-2304.480992676923</v>
      </c>
      <c r="AT292" s="147">
        <v>-159.43</v>
      </c>
      <c r="AU292" s="147">
        <f t="shared" si="53"/>
        <v>-53.83</v>
      </c>
      <c r="AV292" s="151">
        <f t="shared" si="54"/>
        <v>48793.43197359999</v>
      </c>
      <c r="AW292" s="155"/>
      <c r="AX292" s="155">
        <f t="shared" si="55"/>
        <v>128</v>
      </c>
      <c r="AY292" s="140" t="s">
        <v>8</v>
      </c>
    </row>
    <row r="293" spans="1:51" s="117" customFormat="1" ht="11.25" customHeight="1">
      <c r="A293" s="139">
        <v>291</v>
      </c>
      <c r="B293" s="139"/>
      <c r="C293" s="140" t="s">
        <v>501</v>
      </c>
      <c r="D293" s="140">
        <v>32</v>
      </c>
      <c r="E293" s="140">
        <f t="shared" si="47"/>
        <v>42</v>
      </c>
      <c r="F293" s="141" t="str">
        <f>CONCATENATE("Hora Cátedra Enseñanza Media ",D293," hs Esc Esp")</f>
        <v>Hora Cátedra Enseñanza Media 32 hs Esc Esp</v>
      </c>
      <c r="G293" s="142">
        <f t="shared" si="46"/>
        <v>2528</v>
      </c>
      <c r="H293" s="143">
        <f>INT((G293*Valores!$C$2*100)+0.49)/100</f>
        <v>23610.76</v>
      </c>
      <c r="I293" s="161">
        <v>0</v>
      </c>
      <c r="J293" s="145">
        <f>INT((I293*Valores!$C$2*100)+0.5)/100</f>
        <v>0</v>
      </c>
      <c r="K293" s="160">
        <v>0</v>
      </c>
      <c r="L293" s="145">
        <f>INT((K293*Valores!$C$2*100)+0.5)/100</f>
        <v>0</v>
      </c>
      <c r="M293" s="158">
        <v>0</v>
      </c>
      <c r="N293" s="145">
        <f>INT((M293*Valores!$C$2*100)+0.5)/100</f>
        <v>0</v>
      </c>
      <c r="O293" s="145">
        <f t="shared" si="48"/>
        <v>4329.822</v>
      </c>
      <c r="P293" s="145">
        <f t="shared" si="49"/>
        <v>0</v>
      </c>
      <c r="Q293" s="159">
        <f>Valores!$C$14*D293</f>
        <v>9893.44</v>
      </c>
      <c r="R293" s="159">
        <f>IF(D293&lt;15,(Valores!$E$4*D293),Valores!$D$4)</f>
        <v>4774.45</v>
      </c>
      <c r="S293" s="145">
        <v>0</v>
      </c>
      <c r="T293" s="148">
        <f>IF($H$5="NO",IF(Valores!$C$46*D293&gt;Valores!$C$44,Valores!$C$44,Valores!$C$46*D293),IF(Valores!$C$46*D293&gt;Valores!$C$44,Valores!$C$44,Valores!$C$46*D293)/2)</f>
        <v>2184</v>
      </c>
      <c r="U293" s="159">
        <f>Valores!$C$23*D293</f>
        <v>3070.72</v>
      </c>
      <c r="V293" s="145">
        <f t="shared" si="44"/>
        <v>3070.72</v>
      </c>
      <c r="W293" s="145">
        <v>0</v>
      </c>
      <c r="X293" s="145">
        <v>0</v>
      </c>
      <c r="Y293" s="165">
        <v>0</v>
      </c>
      <c r="Z293" s="145">
        <f>Y293*Valores!$C$2</f>
        <v>0</v>
      </c>
      <c r="AA293" s="145">
        <v>0</v>
      </c>
      <c r="AB293" s="148">
        <f>IF(Valores!$C$92*D293&gt;Valores!$C$91,Valores!$C$91,Valores!$C$92*D293)</f>
        <v>1846.1538461538466</v>
      </c>
      <c r="AC293" s="150">
        <f>IF((Valores!$C$33)*D293&gt;Valores!$F$33,Valores!$F$33,(Valores!$C$33)*D293)</f>
        <v>256.12288</v>
      </c>
      <c r="AD293" s="145">
        <f t="shared" si="51"/>
        <v>0</v>
      </c>
      <c r="AE293" s="145">
        <f>IF(Valores!$C$34*D293&gt;Valores!$F$34,Valores!$F$34,Valores!$C$34*D293)</f>
        <v>199.86</v>
      </c>
      <c r="AF293" s="149">
        <v>94</v>
      </c>
      <c r="AG293" s="145">
        <f>INT(((AF293*Valores!$C$2)*100)+0.5)/100</f>
        <v>877.93</v>
      </c>
      <c r="AH293" s="145">
        <f>IF($H$5="NO",IF(Valores!$D$59*'Escala Docente'!D293&gt;Valores!$F$59,Valores!$F$59,Valores!$D$59*'Escala Docente'!D293),IF(Valores!$D$59*'Escala Docente'!D293&gt;Valores!$F$59,Valores!$F$59,Valores!$D$59*'Escala Docente'!D293)/2)</f>
        <v>813.06</v>
      </c>
      <c r="AI293" s="145">
        <f>IF($H$5="NO",IF(Valores!$D$61*D293&gt;Valores!$F$61,Valores!$F$61,Valores!$D$61*D293),IF(Valores!$D$61*D293&gt;Valores!$F$61,Valores!$F$61,Valores!$D$61*D293)/2)</f>
        <v>232.3</v>
      </c>
      <c r="AJ293" s="151">
        <f t="shared" si="52"/>
        <v>52088.61872615384</v>
      </c>
      <c r="AK293" s="159">
        <f>IF(Valores!$C$37*D293&gt;Valores!$F$37,Valores!$F$37,Valores!$C$37*D293)</f>
        <v>2093.66</v>
      </c>
      <c r="AL293" s="148">
        <f>IF(Valores!$C$11*D293&gt;Valores!$F$11,Valores!$F$11,Valores!$C$11*D293)</f>
        <v>0</v>
      </c>
      <c r="AM293" s="148">
        <f>IF(Valores!$C$87*D293&gt;Valores!$C$86,Valores!$C$86,Valores!$C$87*D293)</f>
        <v>3639.9999999999995</v>
      </c>
      <c r="AN293" s="148"/>
      <c r="AO293" s="150">
        <f>IF(Valores!$C$58*D293&gt;Valores!$F$58,Valores!$F$58,Valores!$C$58*D293)</f>
        <v>327.6</v>
      </c>
      <c r="AP293" s="152">
        <f t="shared" si="50"/>
        <v>5733.66</v>
      </c>
      <c r="AQ293" s="154">
        <f>AJ293*-Valores!$C$68</f>
        <v>-5729.7480598769225</v>
      </c>
      <c r="AR293" s="154">
        <f>AJ293*-Valores!$C$69</f>
        <v>0</v>
      </c>
      <c r="AS293" s="147">
        <f>AJ293*-Valores!$C$70</f>
        <v>-2343.987842676923</v>
      </c>
      <c r="AT293" s="147">
        <v>-159.43</v>
      </c>
      <c r="AU293" s="147">
        <f t="shared" si="53"/>
        <v>-53.83</v>
      </c>
      <c r="AV293" s="151">
        <f t="shared" si="54"/>
        <v>49535.2828236</v>
      </c>
      <c r="AW293" s="155"/>
      <c r="AX293" s="155">
        <f t="shared" si="55"/>
        <v>128</v>
      </c>
      <c r="AY293" s="140" t="s">
        <v>8</v>
      </c>
    </row>
    <row r="294" spans="1:51" s="117" customFormat="1" ht="11.25" customHeight="1">
      <c r="A294" s="139">
        <v>292</v>
      </c>
      <c r="B294" s="139"/>
      <c r="C294" s="140" t="s">
        <v>501</v>
      </c>
      <c r="D294" s="140">
        <v>33</v>
      </c>
      <c r="E294" s="140">
        <f t="shared" si="47"/>
        <v>34</v>
      </c>
      <c r="F294" s="141" t="str">
        <f>CONCATENATE("Hora Cátedra Enseñanza Media ",D294," hs")</f>
        <v>Hora Cátedra Enseñanza Media 33 hs</v>
      </c>
      <c r="G294" s="142">
        <f aca="true" t="shared" si="56" ref="G294:G301">79*D294</f>
        <v>2607</v>
      </c>
      <c r="H294" s="143">
        <f>INT((G294*Valores!$C$2*100)+0.49)/100</f>
        <v>24348.6</v>
      </c>
      <c r="I294" s="161">
        <v>0</v>
      </c>
      <c r="J294" s="145">
        <f>INT((I294*Valores!$C$2*100)+0.5)/100</f>
        <v>0</v>
      </c>
      <c r="K294" s="160">
        <v>0</v>
      </c>
      <c r="L294" s="145">
        <f>INT((K294*Valores!$C$2*100)+0.5)/100</f>
        <v>0</v>
      </c>
      <c r="M294" s="158">
        <v>0</v>
      </c>
      <c r="N294" s="145">
        <f>INT((M294*Valores!$C$2*100)+0.5)/100</f>
        <v>0</v>
      </c>
      <c r="O294" s="145">
        <f t="shared" si="48"/>
        <v>4465.1295</v>
      </c>
      <c r="P294" s="145">
        <f t="shared" si="49"/>
        <v>0</v>
      </c>
      <c r="Q294" s="159">
        <f>Valores!$C$14*D294</f>
        <v>10202.61</v>
      </c>
      <c r="R294" s="159">
        <f>IF(D294&lt;15,(Valores!$E$4*D294),Valores!$D$4)</f>
        <v>4774.45</v>
      </c>
      <c r="S294" s="145">
        <v>0</v>
      </c>
      <c r="T294" s="148">
        <f>IF($H$5="NO",IF(Valores!$C$46*D294&gt;Valores!$C$44,Valores!$C$44,Valores!$C$46*D294),IF(Valores!$C$46*D294&gt;Valores!$C$44,Valores!$C$44,Valores!$C$46*D294)/2)</f>
        <v>2252.25</v>
      </c>
      <c r="U294" s="159">
        <f>Valores!$C$23*D294</f>
        <v>3166.68</v>
      </c>
      <c r="V294" s="145">
        <f t="shared" si="44"/>
        <v>3166.68</v>
      </c>
      <c r="W294" s="145">
        <v>0</v>
      </c>
      <c r="X294" s="145">
        <v>0</v>
      </c>
      <c r="Y294" s="165">
        <v>0</v>
      </c>
      <c r="Z294" s="145">
        <f>Y294*Valores!$C$2</f>
        <v>0</v>
      </c>
      <c r="AA294" s="145">
        <v>0</v>
      </c>
      <c r="AB294" s="148">
        <f>IF(Valores!$C$92*D294&gt;Valores!$C$91,Valores!$C$91,Valores!$C$92*D294)</f>
        <v>1903.8461538461543</v>
      </c>
      <c r="AC294" s="150">
        <f>IF((Valores!$C$33)*D294&gt;Valores!$F$33,Valores!$F$33,(Valores!$C$33)*D294)</f>
        <v>264.12672000000003</v>
      </c>
      <c r="AD294" s="145">
        <f t="shared" si="51"/>
        <v>0</v>
      </c>
      <c r="AE294" s="145">
        <f>IF(Valores!$C$34*D294&gt;Valores!$F$34,Valores!$F$34,Valores!$C$34*D294)</f>
        <v>199.86</v>
      </c>
      <c r="AF294" s="149">
        <v>0</v>
      </c>
      <c r="AG294" s="145">
        <f>INT(((AF294*Valores!$C$2)*100)+0.5)/100</f>
        <v>0</v>
      </c>
      <c r="AH294" s="145">
        <f>IF($H$5="NO",IF(Valores!$D$59*'Escala Docente'!D294&gt;Valores!$F$59,Valores!$F$59,Valores!$D$59*'Escala Docente'!D294),IF(Valores!$D$59*'Escala Docente'!D294&gt;Valores!$F$59,Valores!$F$59,Valores!$D$59*'Escala Docente'!D294)/2)</f>
        <v>813.06</v>
      </c>
      <c r="AI294" s="145">
        <f>IF($H$5="NO",IF(Valores!$D$61*D294&gt;Valores!$F$61,Valores!$F$61,Valores!$D$61*D294),IF(Valores!$D$61*D294&gt;Valores!$F$61,Valores!$F$61,Valores!$D$61*D294)/2)</f>
        <v>232.3</v>
      </c>
      <c r="AJ294" s="151">
        <f t="shared" si="52"/>
        <v>52622.91237384616</v>
      </c>
      <c r="AK294" s="159">
        <f>IF(Valores!$C$37*D294&gt;Valores!$F$37,Valores!$F$37,Valores!$C$37*D294)</f>
        <v>2093.66</v>
      </c>
      <c r="AL294" s="148">
        <f>IF(Valores!$C$11*D294&gt;Valores!$F$11,Valores!$F$11,Valores!$C$11*D294)</f>
        <v>0</v>
      </c>
      <c r="AM294" s="148">
        <f>IF(Valores!$C$87*D294&gt;Valores!$C$86,Valores!$C$86,Valores!$C$87*D294)</f>
        <v>3753.7499999999995</v>
      </c>
      <c r="AN294" s="148"/>
      <c r="AO294" s="150">
        <f>IF(Valores!$C$58*D294&gt;Valores!$F$58,Valores!$F$58,Valores!$C$58*D294)</f>
        <v>327.6</v>
      </c>
      <c r="AP294" s="152">
        <f t="shared" si="50"/>
        <v>5847.41</v>
      </c>
      <c r="AQ294" s="154">
        <f>AJ294*-Valores!$C$68</f>
        <v>-5788.520361123077</v>
      </c>
      <c r="AR294" s="154">
        <f>AJ294*-Valores!$C$69</f>
        <v>0</v>
      </c>
      <c r="AS294" s="147">
        <f>AJ294*-Valores!$C$70</f>
        <v>-2368.031056823077</v>
      </c>
      <c r="AT294" s="147">
        <v>-159.43</v>
      </c>
      <c r="AU294" s="147">
        <f t="shared" si="53"/>
        <v>-53.83</v>
      </c>
      <c r="AV294" s="151">
        <f t="shared" si="54"/>
        <v>50100.5109559</v>
      </c>
      <c r="AW294" s="155"/>
      <c r="AX294" s="155">
        <f t="shared" si="55"/>
        <v>132</v>
      </c>
      <c r="AY294" s="140" t="s">
        <v>8</v>
      </c>
    </row>
    <row r="295" spans="1:51" s="117" customFormat="1" ht="11.25" customHeight="1">
      <c r="A295" s="139">
        <v>293</v>
      </c>
      <c r="B295" s="139"/>
      <c r="C295" s="140" t="s">
        <v>501</v>
      </c>
      <c r="D295" s="140">
        <v>33</v>
      </c>
      <c r="E295" s="140">
        <f t="shared" si="47"/>
        <v>42</v>
      </c>
      <c r="F295" s="140" t="str">
        <f>CONCATENATE("Hora Cátedra Enseñanza Media ",D295," hs Esc Esp")</f>
        <v>Hora Cátedra Enseñanza Media 33 hs Esc Esp</v>
      </c>
      <c r="G295" s="166">
        <f t="shared" si="56"/>
        <v>2607</v>
      </c>
      <c r="H295" s="154">
        <f>INT((G295*Valores!$C$2*100)+0.49)/100</f>
        <v>24348.6</v>
      </c>
      <c r="I295" s="167">
        <v>0</v>
      </c>
      <c r="J295" s="159">
        <f>INT((I295*Valores!$C$2*100)+0.5)/100</f>
        <v>0</v>
      </c>
      <c r="K295" s="168">
        <v>0</v>
      </c>
      <c r="L295" s="159">
        <f>INT((K295*Valores!$C$2*100)+0.5)/100</f>
        <v>0</v>
      </c>
      <c r="M295" s="169">
        <v>0</v>
      </c>
      <c r="N295" s="159">
        <f>INT((M295*Valores!$C$2*100)+0.5)/100</f>
        <v>0</v>
      </c>
      <c r="O295" s="159">
        <f t="shared" si="48"/>
        <v>4465.1295</v>
      </c>
      <c r="P295" s="159">
        <f t="shared" si="49"/>
        <v>0</v>
      </c>
      <c r="Q295" s="159">
        <f>Valores!$C$14*D295</f>
        <v>10202.61</v>
      </c>
      <c r="R295" s="159">
        <f>IF(D295&lt;15,(Valores!$E$4*D295),Valores!$D$4)</f>
        <v>4774.45</v>
      </c>
      <c r="S295" s="159">
        <v>0</v>
      </c>
      <c r="T295" s="148">
        <f>IF($H$5="NO",IF(Valores!$C$46*D295&gt;Valores!$C$44,Valores!$C$44,Valores!$C$46*D295),IF(Valores!$C$46*D295&gt;Valores!$C$44,Valores!$C$44,Valores!$C$46*D295)/2)</f>
        <v>2252.25</v>
      </c>
      <c r="U295" s="159">
        <f>Valores!$C$23*D295</f>
        <v>3166.68</v>
      </c>
      <c r="V295" s="159">
        <f t="shared" si="44"/>
        <v>3166.68</v>
      </c>
      <c r="W295" s="159">
        <v>0</v>
      </c>
      <c r="X295" s="159">
        <v>0</v>
      </c>
      <c r="Y295" s="159">
        <v>0</v>
      </c>
      <c r="Z295" s="159">
        <f>Y295*Valores!$C$2</f>
        <v>0</v>
      </c>
      <c r="AA295" s="159">
        <v>0</v>
      </c>
      <c r="AB295" s="148">
        <f>IF(Valores!$C$92*D295&gt;Valores!$C$91,Valores!$C$91,Valores!$C$92*D295)</f>
        <v>1903.8461538461543</v>
      </c>
      <c r="AC295" s="159">
        <f>IF((Valores!$C$33)*D295&gt;Valores!$F$33,Valores!$F$33,(Valores!$C$33)*D295)</f>
        <v>264.12672000000003</v>
      </c>
      <c r="AD295" s="159">
        <f t="shared" si="51"/>
        <v>0</v>
      </c>
      <c r="AE295" s="159">
        <f>IF(Valores!$C$34*D295&gt;Valores!$F$34,Valores!$F$34,Valores!$C$34*D295)</f>
        <v>199.86</v>
      </c>
      <c r="AF295" s="170">
        <v>94</v>
      </c>
      <c r="AG295" s="159">
        <f>INT(((AF295*Valores!$C$2)*100)+0.5)/100</f>
        <v>877.93</v>
      </c>
      <c r="AH295" s="145">
        <f>IF($H$5="NO",IF(Valores!$D$59*'Escala Docente'!D295&gt;Valores!$F$59,Valores!$F$59,Valores!$D$59*'Escala Docente'!D295),IF(Valores!$D$59*'Escala Docente'!D295&gt;Valores!$F$59,Valores!$F$59,Valores!$D$59*'Escala Docente'!D295)/2)</f>
        <v>813.06</v>
      </c>
      <c r="AI295" s="145">
        <f>IF($H$5="NO",IF(Valores!$D$61*D295&gt;Valores!$F$61,Valores!$F$61,Valores!$D$61*D295),IF(Valores!$D$61*D295&gt;Valores!$F$61,Valores!$F$61,Valores!$D$61*D295)/2)</f>
        <v>232.3</v>
      </c>
      <c r="AJ295" s="151">
        <f t="shared" si="52"/>
        <v>53500.84237384616</v>
      </c>
      <c r="AK295" s="154">
        <f>IF(Valores!$C$37*D295&gt;Valores!$F$37,Valores!$F$37,Valores!$C$37*D295)</f>
        <v>2093.66</v>
      </c>
      <c r="AL295" s="148">
        <f>IF(Valores!$C$11*D295&gt;Valores!$F$11,Valores!$F$11,Valores!$C$11*D295)</f>
        <v>0</v>
      </c>
      <c r="AM295" s="148">
        <f>IF(Valores!$C$87*D295&gt;Valores!$C$86,Valores!$C$86,Valores!$C$87*D295)</f>
        <v>3753.7499999999995</v>
      </c>
      <c r="AN295" s="148"/>
      <c r="AO295" s="150">
        <f>IF(Valores!$C$58*D295&gt;Valores!$F$58,Valores!$F$58,Valores!$C$58*D295)</f>
        <v>327.6</v>
      </c>
      <c r="AP295" s="152">
        <f t="shared" si="50"/>
        <v>5847.41</v>
      </c>
      <c r="AQ295" s="154">
        <f>AJ295*-Valores!$C$68</f>
        <v>-5885.092661123077</v>
      </c>
      <c r="AR295" s="154">
        <f>AJ295*-Valores!$C$69</f>
        <v>0</v>
      </c>
      <c r="AS295" s="159">
        <f>AJ295*-Valores!$C$70</f>
        <v>-2407.537906823077</v>
      </c>
      <c r="AT295" s="159">
        <v>-159.43</v>
      </c>
      <c r="AU295" s="147">
        <f t="shared" si="53"/>
        <v>-53.83</v>
      </c>
      <c r="AV295" s="151">
        <f t="shared" si="54"/>
        <v>50842.36180590001</v>
      </c>
      <c r="AW295" s="140"/>
      <c r="AX295" s="140">
        <f t="shared" si="55"/>
        <v>132</v>
      </c>
      <c r="AY295" s="140" t="s">
        <v>8</v>
      </c>
    </row>
    <row r="296" spans="1:51" s="117" customFormat="1" ht="11.25" customHeight="1">
      <c r="A296" s="139">
        <v>294</v>
      </c>
      <c r="B296" s="139"/>
      <c r="C296" s="140" t="s">
        <v>501</v>
      </c>
      <c r="D296" s="140">
        <v>34</v>
      </c>
      <c r="E296" s="140">
        <f t="shared" si="47"/>
        <v>34</v>
      </c>
      <c r="F296" s="141" t="str">
        <f>CONCATENATE("Hora Cátedra Enseñanza Media ",D296," hs")</f>
        <v>Hora Cátedra Enseñanza Media 34 hs</v>
      </c>
      <c r="G296" s="142">
        <f t="shared" si="56"/>
        <v>2686</v>
      </c>
      <c r="H296" s="143">
        <f>INT((G296*Valores!$C$2*100)+0.49)/100</f>
        <v>25086.43</v>
      </c>
      <c r="I296" s="161">
        <v>0</v>
      </c>
      <c r="J296" s="145">
        <f>INT((I296*Valores!$C$2*100)+0.5)/100</f>
        <v>0</v>
      </c>
      <c r="K296" s="160">
        <v>0</v>
      </c>
      <c r="L296" s="145">
        <f>INT((K296*Valores!$C$2*100)+0.5)/100</f>
        <v>0</v>
      </c>
      <c r="M296" s="158">
        <v>0</v>
      </c>
      <c r="N296" s="145">
        <f>INT((M296*Valores!$C$2*100)+0.5)/100</f>
        <v>0</v>
      </c>
      <c r="O296" s="145">
        <f t="shared" si="48"/>
        <v>4600.4355</v>
      </c>
      <c r="P296" s="145">
        <f t="shared" si="49"/>
        <v>0</v>
      </c>
      <c r="Q296" s="159">
        <f>Valores!$C$14*D296</f>
        <v>10511.78</v>
      </c>
      <c r="R296" s="159">
        <f>IF(D296&lt;15,(Valores!$E$4*D296),Valores!$D$4)</f>
        <v>4774.45</v>
      </c>
      <c r="S296" s="145">
        <v>0</v>
      </c>
      <c r="T296" s="148">
        <f>IF($H$5="NO",IF(Valores!$C$46*D296&gt;Valores!$C$44,Valores!$C$44,Valores!$C$46*D296),IF(Valores!$C$46*D296&gt;Valores!$C$44,Valores!$C$44,Valores!$C$46*D296)/2)</f>
        <v>2320.5</v>
      </c>
      <c r="U296" s="159">
        <f>Valores!$C$23*D296</f>
        <v>3262.64</v>
      </c>
      <c r="V296" s="145">
        <f t="shared" si="44"/>
        <v>3262.64</v>
      </c>
      <c r="W296" s="145">
        <v>0</v>
      </c>
      <c r="X296" s="145">
        <v>0</v>
      </c>
      <c r="Y296" s="165">
        <v>0</v>
      </c>
      <c r="Z296" s="145">
        <f>Y296*Valores!$C$2</f>
        <v>0</v>
      </c>
      <c r="AA296" s="145">
        <v>0</v>
      </c>
      <c r="AB296" s="148">
        <f>IF(Valores!$C$92*D296&gt;Valores!$C$91,Valores!$C$91,Valores!$C$92*D296)</f>
        <v>1961.5384615384621</v>
      </c>
      <c r="AC296" s="150">
        <f>IF((Valores!$C$33)*D296&gt;Valores!$F$33,Valores!$F$33,(Valores!$C$33)*D296)</f>
        <v>272.13056</v>
      </c>
      <c r="AD296" s="145">
        <f t="shared" si="51"/>
        <v>0</v>
      </c>
      <c r="AE296" s="145">
        <f>IF(Valores!$C$34*D296&gt;Valores!$F$34,Valores!$F$34,Valores!$C$34*D296)</f>
        <v>199.86</v>
      </c>
      <c r="AF296" s="149">
        <v>0</v>
      </c>
      <c r="AG296" s="145">
        <f>INT(((AF296*Valores!$C$2)*100)+0.5)/100</f>
        <v>0</v>
      </c>
      <c r="AH296" s="145">
        <f>IF($H$5="NO",IF(Valores!$D$59*'Escala Docente'!D296&gt;Valores!$F$59,Valores!$F$59,Valores!$D$59*'Escala Docente'!D296),IF(Valores!$D$59*'Escala Docente'!D296&gt;Valores!$F$59,Valores!$F$59,Valores!$D$59*'Escala Docente'!D296)/2)</f>
        <v>813.06</v>
      </c>
      <c r="AI296" s="145">
        <f>IF($H$5="NO",IF(Valores!$D$61*D296&gt;Valores!$F$61,Valores!$F$61,Valores!$D$61*D296),IF(Valores!$D$61*D296&gt;Valores!$F$61,Valores!$F$61,Valores!$D$61*D296)/2)</f>
        <v>232.3</v>
      </c>
      <c r="AJ296" s="151">
        <f t="shared" si="52"/>
        <v>54035.124521538455</v>
      </c>
      <c r="AK296" s="159">
        <f>IF(Valores!$C$37*D296&gt;Valores!$F$37,Valores!$F$37,Valores!$C$37*D296)</f>
        <v>2093.66</v>
      </c>
      <c r="AL296" s="148">
        <f>IF(Valores!$C$11*D296&gt;Valores!$F$11,Valores!$F$11,Valores!$C$11*D296)</f>
        <v>0</v>
      </c>
      <c r="AM296" s="148">
        <f>IF(Valores!$C$87*D296&gt;Valores!$C$86,Valores!$C$86,Valores!$C$87*D296)</f>
        <v>3867.4999999999995</v>
      </c>
      <c r="AN296" s="148"/>
      <c r="AO296" s="150">
        <f>IF(Valores!$C$58*D296&gt;Valores!$F$58,Valores!$F$58,Valores!$C$58*D296)</f>
        <v>327.6</v>
      </c>
      <c r="AP296" s="152">
        <f t="shared" si="50"/>
        <v>5961.16</v>
      </c>
      <c r="AQ296" s="154">
        <f>AJ296*-Valores!$C$68</f>
        <v>-5943.86369736923</v>
      </c>
      <c r="AR296" s="154">
        <f>AJ296*-Valores!$C$69</f>
        <v>0</v>
      </c>
      <c r="AS296" s="147">
        <f>AJ296*-Valores!$C$70</f>
        <v>-2431.5806034692305</v>
      </c>
      <c r="AT296" s="147">
        <v>-159.43</v>
      </c>
      <c r="AU296" s="147">
        <f t="shared" si="53"/>
        <v>-53.83</v>
      </c>
      <c r="AV296" s="151">
        <f t="shared" si="54"/>
        <v>51407.5802207</v>
      </c>
      <c r="AW296" s="155"/>
      <c r="AX296" s="155">
        <f t="shared" si="55"/>
        <v>136</v>
      </c>
      <c r="AY296" s="140" t="s">
        <v>8</v>
      </c>
    </row>
    <row r="297" spans="1:51" s="117" customFormat="1" ht="11.25" customHeight="1">
      <c r="A297" s="157">
        <v>295</v>
      </c>
      <c r="B297" s="157" t="s">
        <v>143</v>
      </c>
      <c r="C297" s="140" t="s">
        <v>501</v>
      </c>
      <c r="D297" s="140">
        <v>34</v>
      </c>
      <c r="E297" s="140">
        <f t="shared" si="47"/>
        <v>42</v>
      </c>
      <c r="F297" s="141" t="str">
        <f>CONCATENATE("Hora Cátedra Enseñanza Media ",D297," hs Esc Esp")</f>
        <v>Hora Cátedra Enseñanza Media 34 hs Esc Esp</v>
      </c>
      <c r="G297" s="142">
        <f t="shared" si="56"/>
        <v>2686</v>
      </c>
      <c r="H297" s="143">
        <f>INT((G297*Valores!$C$2*100)+0.49)/100</f>
        <v>25086.43</v>
      </c>
      <c r="I297" s="161">
        <v>0</v>
      </c>
      <c r="J297" s="145">
        <f>INT((I297*Valores!$C$2*100)+0.5)/100</f>
        <v>0</v>
      </c>
      <c r="K297" s="160">
        <v>0</v>
      </c>
      <c r="L297" s="145">
        <f>INT((K297*Valores!$C$2*100)+0.5)/100</f>
        <v>0</v>
      </c>
      <c r="M297" s="158">
        <v>0</v>
      </c>
      <c r="N297" s="145">
        <f>INT((M297*Valores!$C$2*100)+0.5)/100</f>
        <v>0</v>
      </c>
      <c r="O297" s="145">
        <f t="shared" si="48"/>
        <v>4600.4355</v>
      </c>
      <c r="P297" s="145">
        <f t="shared" si="49"/>
        <v>0</v>
      </c>
      <c r="Q297" s="159">
        <f>Valores!$C$14*D297</f>
        <v>10511.78</v>
      </c>
      <c r="R297" s="159">
        <f>IF(D297&lt;15,(Valores!$E$4*D297),Valores!$D$4)</f>
        <v>4774.45</v>
      </c>
      <c r="S297" s="145">
        <v>0</v>
      </c>
      <c r="T297" s="148">
        <f>IF($H$5="NO",IF(Valores!$C$46*D297&gt;Valores!$C$44,Valores!$C$44,Valores!$C$46*D297),IF(Valores!$C$46*D297&gt;Valores!$C$44,Valores!$C$44,Valores!$C$46*D297)/2)</f>
        <v>2320.5</v>
      </c>
      <c r="U297" s="159">
        <f>Valores!$C$23*D297</f>
        <v>3262.64</v>
      </c>
      <c r="V297" s="145">
        <f t="shared" si="44"/>
        <v>3262.64</v>
      </c>
      <c r="W297" s="145">
        <v>0</v>
      </c>
      <c r="X297" s="145">
        <v>0</v>
      </c>
      <c r="Y297" s="165">
        <v>0</v>
      </c>
      <c r="Z297" s="145">
        <f>Y297*Valores!$C$2</f>
        <v>0</v>
      </c>
      <c r="AA297" s="145">
        <v>0</v>
      </c>
      <c r="AB297" s="148">
        <f>IF(Valores!$C$92*D297&gt;Valores!$C$91,Valores!$C$91,Valores!$C$92*D297)</f>
        <v>1961.5384615384621</v>
      </c>
      <c r="AC297" s="150">
        <f>IF((Valores!$C$33)*D297&gt;Valores!$F$33,Valores!$F$33,(Valores!$C$33)*D297)</f>
        <v>272.13056</v>
      </c>
      <c r="AD297" s="145">
        <f t="shared" si="51"/>
        <v>0</v>
      </c>
      <c r="AE297" s="145">
        <f>IF(Valores!$C$34*D297&gt;Valores!$F$34,Valores!$F$34,Valores!$C$34*D297)</f>
        <v>199.86</v>
      </c>
      <c r="AF297" s="149">
        <v>94</v>
      </c>
      <c r="AG297" s="145">
        <f>INT(((AF297*Valores!$C$2)*100)+0.5)/100</f>
        <v>877.93</v>
      </c>
      <c r="AH297" s="145">
        <f>IF($H$5="NO",IF(Valores!$D$59*'Escala Docente'!D297&gt;Valores!$F$59,Valores!$F$59,Valores!$D$59*'Escala Docente'!D297),IF(Valores!$D$59*'Escala Docente'!D297&gt;Valores!$F$59,Valores!$F$59,Valores!$D$59*'Escala Docente'!D297)/2)</f>
        <v>813.06</v>
      </c>
      <c r="AI297" s="145">
        <f>IF($H$5="NO",IF(Valores!$D$61*D297&gt;Valores!$F$61,Valores!$F$61,Valores!$D$61*D297),IF(Valores!$D$61*D297&gt;Valores!$F$61,Valores!$F$61,Valores!$D$61*D297)/2)</f>
        <v>232.3</v>
      </c>
      <c r="AJ297" s="151">
        <f t="shared" si="52"/>
        <v>54913.054521538455</v>
      </c>
      <c r="AK297" s="159">
        <f>IF(Valores!$C$37*D297&gt;Valores!$F$37,Valores!$F$37,Valores!$C$37*D297)</f>
        <v>2093.66</v>
      </c>
      <c r="AL297" s="148">
        <f>IF(Valores!$C$11*D297&gt;Valores!$F$11,Valores!$F$11,Valores!$C$11*D297)</f>
        <v>0</v>
      </c>
      <c r="AM297" s="148">
        <f>IF(Valores!$C$87*D297&gt;Valores!$C$86,Valores!$C$86,Valores!$C$87*D297)</f>
        <v>3867.4999999999995</v>
      </c>
      <c r="AN297" s="148"/>
      <c r="AO297" s="150">
        <f>IF(Valores!$C$58*D297&gt;Valores!$F$58,Valores!$F$58,Valores!$C$58*D297)</f>
        <v>327.6</v>
      </c>
      <c r="AP297" s="152">
        <f t="shared" si="50"/>
        <v>5961.16</v>
      </c>
      <c r="AQ297" s="154">
        <f>AJ297*-Valores!$C$68</f>
        <v>-6040.43599736923</v>
      </c>
      <c r="AR297" s="154">
        <f>AJ297*-Valores!$C$69</f>
        <v>0</v>
      </c>
      <c r="AS297" s="147">
        <f>AJ297*-Valores!$C$70</f>
        <v>-2471.0874534692302</v>
      </c>
      <c r="AT297" s="147">
        <v>-159.43</v>
      </c>
      <c r="AU297" s="147">
        <f t="shared" si="53"/>
        <v>-53.83</v>
      </c>
      <c r="AV297" s="151">
        <f t="shared" si="54"/>
        <v>52149.43107069999</v>
      </c>
      <c r="AW297" s="155"/>
      <c r="AX297" s="155">
        <f t="shared" si="55"/>
        <v>136</v>
      </c>
      <c r="AY297" s="140" t="s">
        <v>8</v>
      </c>
    </row>
    <row r="298" spans="1:51" s="117" customFormat="1" ht="11.25" customHeight="1">
      <c r="A298" s="139">
        <v>296</v>
      </c>
      <c r="B298" s="139"/>
      <c r="C298" s="140" t="s">
        <v>501</v>
      </c>
      <c r="D298" s="140">
        <v>35</v>
      </c>
      <c r="E298" s="140">
        <f t="shared" si="47"/>
        <v>34</v>
      </c>
      <c r="F298" s="141" t="str">
        <f>CONCATENATE("Hora Cátedra Enseñanza Media ",D298," hs")</f>
        <v>Hora Cátedra Enseñanza Media 35 hs</v>
      </c>
      <c r="G298" s="142">
        <f t="shared" si="56"/>
        <v>2765</v>
      </c>
      <c r="H298" s="143">
        <f>INT((G298*Valores!$C$2*100)+0.49)/100</f>
        <v>25824.27</v>
      </c>
      <c r="I298" s="161">
        <v>0</v>
      </c>
      <c r="J298" s="145">
        <f>INT((I298*Valores!$C$2*100)+0.5)/100</f>
        <v>0</v>
      </c>
      <c r="K298" s="160">
        <v>0</v>
      </c>
      <c r="L298" s="145">
        <f>INT((K298*Valores!$C$2*100)+0.5)/100</f>
        <v>0</v>
      </c>
      <c r="M298" s="158">
        <v>0</v>
      </c>
      <c r="N298" s="145">
        <f>INT((M298*Valores!$C$2*100)+0.5)/100</f>
        <v>0</v>
      </c>
      <c r="O298" s="145">
        <f t="shared" si="48"/>
        <v>4735.133999999999</v>
      </c>
      <c r="P298" s="145">
        <f t="shared" si="49"/>
        <v>0</v>
      </c>
      <c r="Q298" s="159">
        <f>Valores!$C$14*D298</f>
        <v>10820.95</v>
      </c>
      <c r="R298" s="159">
        <f>IF(D298&lt;15,(Valores!$E$4*D298),Valores!$D$4)</f>
        <v>4774.45</v>
      </c>
      <c r="S298" s="145">
        <v>0</v>
      </c>
      <c r="T298" s="148">
        <f>IF($H$5="NO",IF(Valores!$C$46*D298&gt;Valores!$C$44,Valores!$C$44,Valores!$C$46*D298),IF(Valores!$C$46*D298&gt;Valores!$C$44,Valores!$C$44,Valores!$C$46*D298)/2)</f>
        <v>2384.69</v>
      </c>
      <c r="U298" s="159">
        <f>Valores!$C$23*D298</f>
        <v>3358.6</v>
      </c>
      <c r="V298" s="145">
        <f t="shared" si="44"/>
        <v>3358.6</v>
      </c>
      <c r="W298" s="145">
        <v>0</v>
      </c>
      <c r="X298" s="145">
        <v>0</v>
      </c>
      <c r="Y298" s="165">
        <v>0</v>
      </c>
      <c r="Z298" s="145">
        <f>Y298*Valores!$C$2</f>
        <v>0</v>
      </c>
      <c r="AA298" s="145">
        <v>0</v>
      </c>
      <c r="AB298" s="148">
        <f>IF(Valores!$C$92*D298&gt;Valores!$C$91,Valores!$C$91,Valores!$C$92*D298)</f>
        <v>2019.2307692307697</v>
      </c>
      <c r="AC298" s="150">
        <f>IF((Valores!$C$33)*D298&gt;Valores!$F$33,Valores!$F$33,(Valores!$C$33)*D298)</f>
        <v>280.1344</v>
      </c>
      <c r="AD298" s="145">
        <f t="shared" si="51"/>
        <v>0</v>
      </c>
      <c r="AE298" s="145">
        <f>IF(Valores!$C$34*D298&gt;Valores!$F$34,Valores!$F$34,Valores!$C$34*D298)</f>
        <v>199.86</v>
      </c>
      <c r="AF298" s="149">
        <v>0</v>
      </c>
      <c r="AG298" s="145">
        <f>INT(((AF298*Valores!$C$2)*100)+0.5)/100</f>
        <v>0</v>
      </c>
      <c r="AH298" s="145">
        <f>IF($H$5="NO",IF(Valores!$D$59*'Escala Docente'!D298&gt;Valores!$F$59,Valores!$F$59,Valores!$D$59*'Escala Docente'!D298),IF(Valores!$D$59*'Escala Docente'!D298&gt;Valores!$F$59,Valores!$F$59,Valores!$D$59*'Escala Docente'!D298)/2)</f>
        <v>813.06</v>
      </c>
      <c r="AI298" s="145">
        <f>IF($H$5="NO",IF(Valores!$D$61*D298&gt;Valores!$F$61,Valores!$F$61,Valores!$D$61*D298),IF(Valores!$D$61*D298&gt;Valores!$F$61,Valores!$F$61,Valores!$D$61*D298)/2)</f>
        <v>232.3</v>
      </c>
      <c r="AJ298" s="151">
        <f t="shared" si="52"/>
        <v>55442.679169230774</v>
      </c>
      <c r="AK298" s="159">
        <f>IF(Valores!$C$37*D298&gt;Valores!$F$37,Valores!$F$37,Valores!$C$37*D298)</f>
        <v>2093.66</v>
      </c>
      <c r="AL298" s="148">
        <f>IF(Valores!$C$11*D298&gt;Valores!$F$11,Valores!$F$11,Valores!$C$11*D298)</f>
        <v>0</v>
      </c>
      <c r="AM298" s="148">
        <f>IF(Valores!$C$87*D298&gt;Valores!$C$86,Valores!$C$86,Valores!$C$87*D298)</f>
        <v>3981.2499999999995</v>
      </c>
      <c r="AN298" s="148"/>
      <c r="AO298" s="150">
        <f>IF(Valores!$C$58*D298&gt;Valores!$F$58,Valores!$F$58,Valores!$C$58*D298)</f>
        <v>327.6</v>
      </c>
      <c r="AP298" s="152">
        <f t="shared" si="50"/>
        <v>6074.91</v>
      </c>
      <c r="AQ298" s="154">
        <f>AJ298*-Valores!$C$68</f>
        <v>-6098.694708615385</v>
      </c>
      <c r="AR298" s="154">
        <f>AJ298*-Valores!$C$69</f>
        <v>0</v>
      </c>
      <c r="AS298" s="147">
        <f>AJ298*-Valores!$C$70</f>
        <v>-2494.920562615385</v>
      </c>
      <c r="AT298" s="147">
        <v>-159.43</v>
      </c>
      <c r="AU298" s="147">
        <f t="shared" si="53"/>
        <v>-53.83</v>
      </c>
      <c r="AV298" s="151">
        <f t="shared" si="54"/>
        <v>52710.71389800001</v>
      </c>
      <c r="AW298" s="155"/>
      <c r="AX298" s="155">
        <f t="shared" si="55"/>
        <v>140</v>
      </c>
      <c r="AY298" s="140" t="s">
        <v>8</v>
      </c>
    </row>
    <row r="299" spans="1:51" s="117" customFormat="1" ht="11.25" customHeight="1">
      <c r="A299" s="139">
        <v>297</v>
      </c>
      <c r="B299" s="139"/>
      <c r="C299" s="140" t="s">
        <v>501</v>
      </c>
      <c r="D299" s="140">
        <v>35</v>
      </c>
      <c r="E299" s="140">
        <f t="shared" si="47"/>
        <v>42</v>
      </c>
      <c r="F299" s="141" t="str">
        <f>CONCATENATE("Hora Cátedra Enseñanza Media ",D299," hs Esc Esp")</f>
        <v>Hora Cátedra Enseñanza Media 35 hs Esc Esp</v>
      </c>
      <c r="G299" s="142">
        <f t="shared" si="56"/>
        <v>2765</v>
      </c>
      <c r="H299" s="143">
        <f>INT((G299*Valores!$C$2*100)+0.49)/100</f>
        <v>25824.27</v>
      </c>
      <c r="I299" s="161">
        <v>0</v>
      </c>
      <c r="J299" s="145">
        <f>INT((I299*Valores!$C$2*100)+0.5)/100</f>
        <v>0</v>
      </c>
      <c r="K299" s="160">
        <v>0</v>
      </c>
      <c r="L299" s="145">
        <f>INT((K299*Valores!$C$2*100)+0.5)/100</f>
        <v>0</v>
      </c>
      <c r="M299" s="158">
        <v>0</v>
      </c>
      <c r="N299" s="145">
        <f>INT((M299*Valores!$C$2*100)+0.5)/100</f>
        <v>0</v>
      </c>
      <c r="O299" s="145">
        <f t="shared" si="48"/>
        <v>4735.133999999999</v>
      </c>
      <c r="P299" s="145">
        <f t="shared" si="49"/>
        <v>0</v>
      </c>
      <c r="Q299" s="159">
        <f>Valores!$C$14*D299</f>
        <v>10820.95</v>
      </c>
      <c r="R299" s="159">
        <f>IF(D299&lt;15,(Valores!$E$4*D299),Valores!$D$4)</f>
        <v>4774.45</v>
      </c>
      <c r="S299" s="145">
        <v>0</v>
      </c>
      <c r="T299" s="148">
        <f>IF($H$5="NO",IF(Valores!$C$46*D299&gt;Valores!$C$44,Valores!$C$44,Valores!$C$46*D299),IF(Valores!$C$46*D299&gt;Valores!$C$44,Valores!$C$44,Valores!$C$46*D299)/2)</f>
        <v>2384.69</v>
      </c>
      <c r="U299" s="159">
        <f>Valores!$C$23*D299</f>
        <v>3358.6</v>
      </c>
      <c r="V299" s="145">
        <f t="shared" si="44"/>
        <v>3358.6</v>
      </c>
      <c r="W299" s="145">
        <v>0</v>
      </c>
      <c r="X299" s="145">
        <v>0</v>
      </c>
      <c r="Y299" s="165">
        <v>0</v>
      </c>
      <c r="Z299" s="145">
        <f>Y299*Valores!$C$2</f>
        <v>0</v>
      </c>
      <c r="AA299" s="145">
        <v>0</v>
      </c>
      <c r="AB299" s="148">
        <f>IF(Valores!$C$92*D299&gt;Valores!$C$91,Valores!$C$91,Valores!$C$92*D299)</f>
        <v>2019.2307692307697</v>
      </c>
      <c r="AC299" s="150">
        <f>IF((Valores!$C$33)*D299&gt;Valores!$F$33,Valores!$F$33,(Valores!$C$33)*D299)</f>
        <v>280.1344</v>
      </c>
      <c r="AD299" s="145">
        <f t="shared" si="51"/>
        <v>0</v>
      </c>
      <c r="AE299" s="145">
        <f>IF(Valores!$C$34*D299&gt;Valores!$F$34,Valores!$F$34,Valores!$C$34*D299)</f>
        <v>199.86</v>
      </c>
      <c r="AF299" s="149">
        <v>94</v>
      </c>
      <c r="AG299" s="145">
        <f>INT(((AF299*Valores!$C$2)*100)+0.5)/100</f>
        <v>877.93</v>
      </c>
      <c r="AH299" s="145">
        <f>IF($H$5="NO",IF(Valores!$D$59*'Escala Docente'!D299&gt;Valores!$F$59,Valores!$F$59,Valores!$D$59*'Escala Docente'!D299),IF(Valores!$D$59*'Escala Docente'!D299&gt;Valores!$F$59,Valores!$F$59,Valores!$D$59*'Escala Docente'!D299)/2)</f>
        <v>813.06</v>
      </c>
      <c r="AI299" s="145">
        <f>IF($H$5="NO",IF(Valores!$D$61*D299&gt;Valores!$F$61,Valores!$F$61,Valores!$D$61*D299),IF(Valores!$D$61*D299&gt;Valores!$F$61,Valores!$F$61,Valores!$D$61*D299)/2)</f>
        <v>232.3</v>
      </c>
      <c r="AJ299" s="151">
        <f t="shared" si="52"/>
        <v>56320.609169230775</v>
      </c>
      <c r="AK299" s="159">
        <f>IF(Valores!$C$37*D299&gt;Valores!$F$37,Valores!$F$37,Valores!$C$37*D299)</f>
        <v>2093.66</v>
      </c>
      <c r="AL299" s="148">
        <f>IF(Valores!$C$11*D299&gt;Valores!$F$11,Valores!$F$11,Valores!$C$11*D299)</f>
        <v>0</v>
      </c>
      <c r="AM299" s="148">
        <f>IF(Valores!$C$87*D299&gt;Valores!$C$86,Valores!$C$86,Valores!$C$87*D299)</f>
        <v>3981.2499999999995</v>
      </c>
      <c r="AN299" s="148"/>
      <c r="AO299" s="150">
        <f>IF(Valores!$C$58*D299&gt;Valores!$F$58,Valores!$F$58,Valores!$C$58*D299)</f>
        <v>327.6</v>
      </c>
      <c r="AP299" s="152">
        <f t="shared" si="50"/>
        <v>6074.91</v>
      </c>
      <c r="AQ299" s="154">
        <f>AJ299*-Valores!$C$68</f>
        <v>-6195.267008615385</v>
      </c>
      <c r="AR299" s="154">
        <f>AJ299*-Valores!$C$69</f>
        <v>0</v>
      </c>
      <c r="AS299" s="147">
        <f>AJ299*-Valores!$C$70</f>
        <v>-2534.4274126153846</v>
      </c>
      <c r="AT299" s="147">
        <v>-159.43</v>
      </c>
      <c r="AU299" s="147">
        <f t="shared" si="53"/>
        <v>-53.83</v>
      </c>
      <c r="AV299" s="151">
        <f t="shared" si="54"/>
        <v>53452.564748</v>
      </c>
      <c r="AW299" s="155"/>
      <c r="AX299" s="155">
        <f t="shared" si="55"/>
        <v>140</v>
      </c>
      <c r="AY299" s="140" t="s">
        <v>8</v>
      </c>
    </row>
    <row r="300" spans="1:51" s="117" customFormat="1" ht="11.25" customHeight="1">
      <c r="A300" s="139">
        <v>298</v>
      </c>
      <c r="B300" s="139"/>
      <c r="C300" s="140" t="s">
        <v>501</v>
      </c>
      <c r="D300" s="140">
        <v>36</v>
      </c>
      <c r="E300" s="140">
        <f t="shared" si="47"/>
        <v>34</v>
      </c>
      <c r="F300" s="141" t="str">
        <f>CONCATENATE("Hora Cátedra Enseñanza Media ",D300," hs")</f>
        <v>Hora Cátedra Enseñanza Media 36 hs</v>
      </c>
      <c r="G300" s="142">
        <f t="shared" si="56"/>
        <v>2844</v>
      </c>
      <c r="H300" s="143">
        <f>INT((G300*Valores!$C$2*100)+0.49)/100</f>
        <v>26562.11</v>
      </c>
      <c r="I300" s="161">
        <v>0</v>
      </c>
      <c r="J300" s="145">
        <f>INT((I300*Valores!$C$2*100)+0.5)/100</f>
        <v>0</v>
      </c>
      <c r="K300" s="160">
        <v>0</v>
      </c>
      <c r="L300" s="145">
        <f>INT((K300*Valores!$C$2*100)+0.5)/100</f>
        <v>0</v>
      </c>
      <c r="M300" s="158">
        <v>0</v>
      </c>
      <c r="N300" s="145">
        <f>INT((M300*Valores!$C$2*100)+0.5)/100</f>
        <v>0</v>
      </c>
      <c r="O300" s="145">
        <f t="shared" si="48"/>
        <v>4860.204</v>
      </c>
      <c r="P300" s="145">
        <f t="shared" si="49"/>
        <v>0</v>
      </c>
      <c r="Q300" s="159">
        <f>Valores!$C$14*D300</f>
        <v>11130.12</v>
      </c>
      <c r="R300" s="159">
        <f>IF(D300&lt;15,(Valores!$E$4*D300),Valores!$D$4)</f>
        <v>4774.45</v>
      </c>
      <c r="S300" s="145">
        <v>0</v>
      </c>
      <c r="T300" s="148">
        <f>IF($H$5="NO",IF(Valores!$C$46*D300&gt;Valores!$C$44,Valores!$C$44,Valores!$C$46*D300),IF(Valores!$C$46*D300&gt;Valores!$C$44,Valores!$C$44,Valores!$C$46*D300)/2)</f>
        <v>2384.69</v>
      </c>
      <c r="U300" s="159">
        <f>Valores!$C$23*D300</f>
        <v>3454.56</v>
      </c>
      <c r="V300" s="145">
        <f t="shared" si="44"/>
        <v>3454.56</v>
      </c>
      <c r="W300" s="145">
        <v>0</v>
      </c>
      <c r="X300" s="145">
        <v>0</v>
      </c>
      <c r="Y300" s="165">
        <v>0</v>
      </c>
      <c r="Z300" s="145">
        <f>Y300*Valores!$C$2</f>
        <v>0</v>
      </c>
      <c r="AA300" s="145">
        <v>0</v>
      </c>
      <c r="AB300" s="148">
        <f>IF(Valores!$C$92*D300&gt;Valores!$C$91,Valores!$C$91,Valores!$C$92*D300)</f>
        <v>2076.9230769230776</v>
      </c>
      <c r="AC300" s="150">
        <f>IF((Valores!$C$33)*D300&gt;Valores!$F$33,Valores!$F$33,(Valores!$C$33)*D300)</f>
        <v>288.13824</v>
      </c>
      <c r="AD300" s="145">
        <f t="shared" si="51"/>
        <v>0</v>
      </c>
      <c r="AE300" s="145">
        <f>IF(Valores!$C$34*D300&gt;Valores!$F$34,Valores!$F$34,Valores!$C$34*D300)</f>
        <v>199.86</v>
      </c>
      <c r="AF300" s="149">
        <v>0</v>
      </c>
      <c r="AG300" s="145">
        <f>INT(((AF300*Valores!$C$2)*100)+0.5)/100</f>
        <v>0</v>
      </c>
      <c r="AH300" s="145">
        <f>IF($H$5="NO",IF(Valores!$D$59*'Escala Docente'!D300&gt;Valores!$F$59,Valores!$F$59,Valores!$D$59*'Escala Docente'!D300),IF(Valores!$D$59*'Escala Docente'!D300&gt;Valores!$F$59,Valores!$F$59,Valores!$D$59*'Escala Docente'!D300)/2)</f>
        <v>813.06</v>
      </c>
      <c r="AI300" s="145">
        <f>IF($H$5="NO",IF(Valores!$D$61*D300&gt;Valores!$F$61,Valores!$F$61,Valores!$D$61*D300),IF(Valores!$D$61*D300&gt;Valores!$F$61,Valores!$F$61,Valores!$D$61*D300)/2)</f>
        <v>232.3</v>
      </c>
      <c r="AJ300" s="151">
        <f t="shared" si="52"/>
        <v>56776.41531692308</v>
      </c>
      <c r="AK300" s="159">
        <f>IF(Valores!$C$37*D300&gt;Valores!$F$37,Valores!$F$37,Valores!$C$37*D300)</f>
        <v>2093.66</v>
      </c>
      <c r="AL300" s="148">
        <f>IF(Valores!$C$11*D300&gt;Valores!$F$11,Valores!$F$11,Valores!$C$11*D300)</f>
        <v>0</v>
      </c>
      <c r="AM300" s="148">
        <f>IF(Valores!$C$87*D300&gt;Valores!$C$86,Valores!$C$86,Valores!$C$87*D300)</f>
        <v>4094.9999999999995</v>
      </c>
      <c r="AN300" s="148"/>
      <c r="AO300" s="150">
        <f>IF(Valores!$C$58*D300&gt;Valores!$F$58,Valores!$F$58,Valores!$C$58*D300)</f>
        <v>327.6</v>
      </c>
      <c r="AP300" s="152">
        <f t="shared" si="50"/>
        <v>6188.66</v>
      </c>
      <c r="AQ300" s="154">
        <f>AJ300*-Valores!$C$68</f>
        <v>-6245.405684861538</v>
      </c>
      <c r="AR300" s="154">
        <f>AJ300*-Valores!$C$69</f>
        <v>0</v>
      </c>
      <c r="AS300" s="147">
        <f>AJ300*-Valores!$C$70</f>
        <v>-2554.9386892615385</v>
      </c>
      <c r="AT300" s="147">
        <v>-159.43</v>
      </c>
      <c r="AU300" s="147">
        <f t="shared" si="53"/>
        <v>-53.83</v>
      </c>
      <c r="AV300" s="151">
        <f t="shared" si="54"/>
        <v>53951.4709428</v>
      </c>
      <c r="AW300" s="155"/>
      <c r="AX300" s="155">
        <f t="shared" si="55"/>
        <v>144</v>
      </c>
      <c r="AY300" s="140" t="s">
        <v>8</v>
      </c>
    </row>
    <row r="301" spans="1:51" s="117" customFormat="1" ht="11.25" customHeight="1">
      <c r="A301" s="139">
        <v>299</v>
      </c>
      <c r="B301" s="139"/>
      <c r="C301" s="140" t="s">
        <v>501</v>
      </c>
      <c r="D301" s="140">
        <v>36</v>
      </c>
      <c r="E301" s="140">
        <f t="shared" si="47"/>
        <v>42</v>
      </c>
      <c r="F301" s="141" t="str">
        <f>CONCATENATE("Hora Cátedra Enseñanza Media ",D301," hs Esc Esp")</f>
        <v>Hora Cátedra Enseñanza Media 36 hs Esc Esp</v>
      </c>
      <c r="G301" s="142">
        <f t="shared" si="56"/>
        <v>2844</v>
      </c>
      <c r="H301" s="143">
        <f>INT((G301*Valores!$C$2*100)+0.49)/100</f>
        <v>26562.11</v>
      </c>
      <c r="I301" s="161">
        <v>0</v>
      </c>
      <c r="J301" s="145">
        <f>INT((I301*Valores!$C$2*100)+0.5)/100</f>
        <v>0</v>
      </c>
      <c r="K301" s="160">
        <v>0</v>
      </c>
      <c r="L301" s="145">
        <f>INT((K301*Valores!$C$2*100)+0.5)/100</f>
        <v>0</v>
      </c>
      <c r="M301" s="158">
        <v>0</v>
      </c>
      <c r="N301" s="145">
        <f>INT((M301*Valores!$C$2*100)+0.5)/100</f>
        <v>0</v>
      </c>
      <c r="O301" s="145">
        <f t="shared" si="48"/>
        <v>4860.204</v>
      </c>
      <c r="P301" s="145">
        <f t="shared" si="49"/>
        <v>0</v>
      </c>
      <c r="Q301" s="159">
        <f>Valores!$C$14*D301</f>
        <v>11130.12</v>
      </c>
      <c r="R301" s="159">
        <f>IF(D301&lt;15,(Valores!$E$4*D301),Valores!$D$4)</f>
        <v>4774.45</v>
      </c>
      <c r="S301" s="145">
        <v>0</v>
      </c>
      <c r="T301" s="148">
        <f>IF($H$5="NO",IF(Valores!$C$46*D301&gt;Valores!$C$44,Valores!$C$44,Valores!$C$46*D301),IF(Valores!$C$46*D301&gt;Valores!$C$44,Valores!$C$44,Valores!$C$46*D301)/2)</f>
        <v>2384.69</v>
      </c>
      <c r="U301" s="159">
        <f>Valores!$C$23*D301</f>
        <v>3454.56</v>
      </c>
      <c r="V301" s="145">
        <f t="shared" si="44"/>
        <v>3454.56</v>
      </c>
      <c r="W301" s="145">
        <v>0</v>
      </c>
      <c r="X301" s="145">
        <v>0</v>
      </c>
      <c r="Y301" s="165">
        <v>0</v>
      </c>
      <c r="Z301" s="145">
        <f>Y301*Valores!$C$2</f>
        <v>0</v>
      </c>
      <c r="AA301" s="145">
        <v>0</v>
      </c>
      <c r="AB301" s="148">
        <f>IF(Valores!$C$92*D301&gt;Valores!$C$91,Valores!$C$91,Valores!$C$92*D301)</f>
        <v>2076.9230769230776</v>
      </c>
      <c r="AC301" s="150">
        <f>IF((Valores!$C$33)*D301&gt;Valores!$F$33,Valores!$F$33,(Valores!$C$33)*D301)</f>
        <v>288.13824</v>
      </c>
      <c r="AD301" s="145">
        <f t="shared" si="51"/>
        <v>0</v>
      </c>
      <c r="AE301" s="145">
        <f>IF(Valores!$C$34*D301&gt;Valores!$F$34,Valores!$F$34,Valores!$C$34*D301)</f>
        <v>199.86</v>
      </c>
      <c r="AF301" s="149">
        <v>94</v>
      </c>
      <c r="AG301" s="145">
        <f>INT(((AF301*Valores!$C$2)*100)+0.5)/100</f>
        <v>877.93</v>
      </c>
      <c r="AH301" s="145">
        <f>IF($H$5="NO",IF(Valores!$D$59*'Escala Docente'!D301&gt;Valores!$F$59,Valores!$F$59,Valores!$D$59*'Escala Docente'!D301),IF(Valores!$D$59*'Escala Docente'!D301&gt;Valores!$F$59,Valores!$F$59,Valores!$D$59*'Escala Docente'!D301)/2)</f>
        <v>813.06</v>
      </c>
      <c r="AI301" s="145">
        <f>IF($H$5="NO",IF(Valores!$D$61*D301&gt;Valores!$F$61,Valores!$F$61,Valores!$D$61*D301),IF(Valores!$D$61*D301&gt;Valores!$F$61,Valores!$F$61,Valores!$D$61*D301)/2)</f>
        <v>232.3</v>
      </c>
      <c r="AJ301" s="151">
        <f t="shared" si="52"/>
        <v>57654.34531692308</v>
      </c>
      <c r="AK301" s="159">
        <f>IF(Valores!$C$37*D301&gt;Valores!$F$37,Valores!$F$37,Valores!$C$37*D301)</f>
        <v>2093.66</v>
      </c>
      <c r="AL301" s="148">
        <f>IF(Valores!$C$11*D301&gt;Valores!$F$11,Valores!$F$11,Valores!$C$11*D301)</f>
        <v>0</v>
      </c>
      <c r="AM301" s="148">
        <f>IF(Valores!$C$87*D301&gt;Valores!$C$86,Valores!$C$86,Valores!$C$87*D301)</f>
        <v>4094.9999999999995</v>
      </c>
      <c r="AN301" s="148"/>
      <c r="AO301" s="150">
        <f>IF(Valores!$C$58*D301&gt;Valores!$F$58,Valores!$F$58,Valores!$C$58*D301)</f>
        <v>327.6</v>
      </c>
      <c r="AP301" s="152">
        <f t="shared" si="50"/>
        <v>6188.66</v>
      </c>
      <c r="AQ301" s="154">
        <f>AJ301*-Valores!$C$68</f>
        <v>-6341.977984861539</v>
      </c>
      <c r="AR301" s="154">
        <f>AJ301*-Valores!$C$69</f>
        <v>0</v>
      </c>
      <c r="AS301" s="147">
        <f>AJ301*-Valores!$C$70</f>
        <v>-2594.445539261538</v>
      </c>
      <c r="AT301" s="147">
        <v>-159.43</v>
      </c>
      <c r="AU301" s="147">
        <f t="shared" si="53"/>
        <v>-53.83</v>
      </c>
      <c r="AV301" s="151">
        <f t="shared" si="54"/>
        <v>54693.32179280001</v>
      </c>
      <c r="AW301" s="155"/>
      <c r="AX301" s="155">
        <f t="shared" si="55"/>
        <v>144</v>
      </c>
      <c r="AY301" s="140" t="s">
        <v>8</v>
      </c>
    </row>
    <row r="302" spans="1:51" s="117" customFormat="1" ht="11.25" customHeight="1">
      <c r="A302" s="157">
        <v>300</v>
      </c>
      <c r="B302" s="157" t="s">
        <v>143</v>
      </c>
      <c r="C302" s="140" t="s">
        <v>502</v>
      </c>
      <c r="D302" s="140">
        <v>1</v>
      </c>
      <c r="E302" s="140">
        <f t="shared" si="47"/>
        <v>26</v>
      </c>
      <c r="F302" s="141" t="s">
        <v>503</v>
      </c>
      <c r="G302" s="142">
        <v>79</v>
      </c>
      <c r="H302" s="143">
        <f>INT((G302*Valores!$C$2*100)+0.49)/100</f>
        <v>737.84</v>
      </c>
      <c r="I302" s="161">
        <v>0</v>
      </c>
      <c r="J302" s="145">
        <f>INT((I302*Valores!$C$2*100)+0.5)/100</f>
        <v>0</v>
      </c>
      <c r="K302" s="160">
        <v>0</v>
      </c>
      <c r="L302" s="145">
        <f>INT((K302*Valores!$C$2*100)+0.5)/100</f>
        <v>0</v>
      </c>
      <c r="M302" s="158">
        <v>0</v>
      </c>
      <c r="N302" s="145">
        <f>INT((M302*Valores!$C$2*100)+0.5)/100</f>
        <v>0</v>
      </c>
      <c r="O302" s="145">
        <f t="shared" si="48"/>
        <v>135.3075</v>
      </c>
      <c r="P302" s="145">
        <f t="shared" si="49"/>
        <v>0</v>
      </c>
      <c r="Q302" s="159">
        <f>Valores!$C$14*D302</f>
        <v>309.17</v>
      </c>
      <c r="R302" s="159">
        <f>IF(D302&lt;15,(Valores!$E$4*D302),Valores!$D$4)</f>
        <v>318.29</v>
      </c>
      <c r="S302" s="145">
        <v>0</v>
      </c>
      <c r="T302" s="148">
        <f>IF($H$5="NO",IF(Valores!$C$46*D302&gt;Valores!$C$44,Valores!$C$44,Valores!$C$46*D302),IF(Valores!$C$46*D302&gt;Valores!$C$44,Valores!$C$44,Valores!$C$46*D302)/2)</f>
        <v>68.25</v>
      </c>
      <c r="U302" s="159">
        <f>Valores!$C$23*D302</f>
        <v>95.96</v>
      </c>
      <c r="V302" s="145">
        <f t="shared" si="44"/>
        <v>95.96</v>
      </c>
      <c r="W302" s="145">
        <v>0</v>
      </c>
      <c r="X302" s="145">
        <v>0</v>
      </c>
      <c r="Y302" s="165">
        <v>0</v>
      </c>
      <c r="Z302" s="145">
        <f>Y302*Valores!$C$2</f>
        <v>0</v>
      </c>
      <c r="AA302" s="145">
        <v>0</v>
      </c>
      <c r="AB302" s="148">
        <f>IF(Valores!$C$92*D302&gt;Valores!$C$91,Valores!$C$91,Valores!$C$92*D302)</f>
        <v>57.69230769230771</v>
      </c>
      <c r="AC302" s="150">
        <f>IF((Valores!$C$33)*D302&gt;Valores!$F$33,Valores!$F$33,(Valores!$C$33)*D302)</f>
        <v>8.00384</v>
      </c>
      <c r="AD302" s="145">
        <f t="shared" si="51"/>
        <v>0</v>
      </c>
      <c r="AE302" s="145">
        <f>IF(Valores!$C$34*D302&gt;Valores!$F$34,Valores!$F$34,Valores!$C$34*D302)</f>
        <v>6.662656000000001</v>
      </c>
      <c r="AF302" s="149">
        <v>0</v>
      </c>
      <c r="AG302" s="145">
        <f>INT(((AF302*Valores!$C$2)*100)+0.5)/100</f>
        <v>0</v>
      </c>
      <c r="AH302" s="145">
        <f>IF($H$5="NO",IF(Valores!$D$59*'Escala Docente'!D302&gt;Valores!$F$59,Valores!$F$59,Valores!$D$59*'Escala Docente'!D302),IF(Valores!$D$59*'Escala Docente'!D302&gt;Valores!$F$59,Valores!$F$59,Valores!$D$59*'Escala Docente'!D302)/2)</f>
        <v>27.1024</v>
      </c>
      <c r="AI302" s="145">
        <f>IF($H$5="NO",IF(Valores!$D$61*D302&gt;Valores!$F$61,Valores!$F$61,Valores!$D$61*D302),IF(Valores!$D$61*D302&gt;Valores!$F$61,Valores!$F$61,Valores!$D$61*D302)/2)</f>
        <v>7.7442</v>
      </c>
      <c r="AJ302" s="151">
        <f t="shared" si="52"/>
        <v>1772.0229036923079</v>
      </c>
      <c r="AK302" s="159">
        <f>IF(Valores!$C$37*D302&gt;Valores!$F$37,Valores!$F$37,Valores!$C$37*D302)</f>
        <v>69.79</v>
      </c>
      <c r="AL302" s="148">
        <f>IF(Valores!$C$11*D302&gt;Valores!$F$11,Valores!$F$11,Valores!$C$11*D302)</f>
        <v>0</v>
      </c>
      <c r="AM302" s="148">
        <f>IF(Valores!$C$87*D302&gt;Valores!$C$86,Valores!$C$86,Valores!$C$87*D302)</f>
        <v>113.74999999999999</v>
      </c>
      <c r="AN302" s="148"/>
      <c r="AO302" s="150">
        <f>IF(Valores!$C$58*D302&gt;Valores!$F$58,Valores!$F$58,Valores!$C$58*D302)</f>
        <v>11.355</v>
      </c>
      <c r="AP302" s="152">
        <f t="shared" si="50"/>
        <v>183.54</v>
      </c>
      <c r="AQ302" s="154">
        <f>AJ302*-Valores!$C$68</f>
        <v>-194.92251940615387</v>
      </c>
      <c r="AR302" s="154">
        <f>AJ302*-Valores!$C$69</f>
        <v>0</v>
      </c>
      <c r="AS302" s="147">
        <f>AJ302*-Valores!$C$70</f>
        <v>-79.74103066615385</v>
      </c>
      <c r="AT302" s="147">
        <v>-159.43</v>
      </c>
      <c r="AU302" s="147">
        <f t="shared" si="53"/>
        <v>-53.83</v>
      </c>
      <c r="AV302" s="151">
        <f t="shared" si="54"/>
        <v>1467.63935362</v>
      </c>
      <c r="AW302" s="155"/>
      <c r="AX302" s="155">
        <f t="shared" si="55"/>
        <v>4</v>
      </c>
      <c r="AY302" s="140" t="s">
        <v>4</v>
      </c>
    </row>
    <row r="303" spans="1:51" s="117" customFormat="1" ht="11.25" customHeight="1">
      <c r="A303" s="139">
        <v>301</v>
      </c>
      <c r="B303" s="139"/>
      <c r="C303" s="140" t="s">
        <v>504</v>
      </c>
      <c r="D303" s="140"/>
      <c r="E303" s="140">
        <f t="shared" si="47"/>
        <v>32</v>
      </c>
      <c r="F303" s="141" t="s">
        <v>505</v>
      </c>
      <c r="G303" s="172">
        <v>237</v>
      </c>
      <c r="H303" s="143">
        <f>INT((G303*Valores!$C$2*100)+0.5)/100</f>
        <v>2213.51</v>
      </c>
      <c r="I303" s="161">
        <v>0</v>
      </c>
      <c r="J303" s="145">
        <f>INT((I303*Valores!$C$2*100)+0.5)/100</f>
        <v>0</v>
      </c>
      <c r="K303" s="160">
        <v>0</v>
      </c>
      <c r="L303" s="145">
        <f>INT((K303*Valores!$C$2*100)+0.5)/100</f>
        <v>0</v>
      </c>
      <c r="M303" s="158">
        <v>0</v>
      </c>
      <c r="N303" s="145">
        <f>INT((M303*Valores!$C$2*100)+0.5)/100</f>
        <v>0</v>
      </c>
      <c r="O303" s="145">
        <f t="shared" si="48"/>
        <v>0</v>
      </c>
      <c r="P303" s="145">
        <f t="shared" si="49"/>
        <v>0</v>
      </c>
      <c r="Q303" s="159">
        <v>0</v>
      </c>
      <c r="R303" s="159">
        <v>0</v>
      </c>
      <c r="S303" s="145">
        <v>0</v>
      </c>
      <c r="T303" s="148">
        <f>IF($H$5="NO",Valores!C47,Valores!C47/2)</f>
        <v>158.98</v>
      </c>
      <c r="U303" s="159">
        <v>0</v>
      </c>
      <c r="V303" s="145">
        <f aca="true" t="shared" si="57" ref="V303:V328">U303*(1+$J$2)</f>
        <v>0</v>
      </c>
      <c r="W303" s="145">
        <v>0</v>
      </c>
      <c r="X303" s="145">
        <v>0</v>
      </c>
      <c r="Y303" s="165">
        <v>0</v>
      </c>
      <c r="Z303" s="145">
        <v>0</v>
      </c>
      <c r="AA303" s="145">
        <v>0</v>
      </c>
      <c r="AB303" s="148">
        <f>Valores!$C$93</f>
        <v>115.38461538461542</v>
      </c>
      <c r="AC303" s="150">
        <v>0</v>
      </c>
      <c r="AD303" s="145">
        <f t="shared" si="51"/>
        <v>0</v>
      </c>
      <c r="AE303" s="145">
        <v>0</v>
      </c>
      <c r="AF303" s="149">
        <v>0</v>
      </c>
      <c r="AG303" s="145">
        <f>INT(((AF303*Valores!$C$2)*100)+0.5)/100</f>
        <v>0</v>
      </c>
      <c r="AH303" s="145">
        <f>AH302*2</f>
        <v>54.2048</v>
      </c>
      <c r="AI303" s="145">
        <f>AI302*2</f>
        <v>15.4884</v>
      </c>
      <c r="AJ303" s="151">
        <f t="shared" si="52"/>
        <v>2557.5678153846156</v>
      </c>
      <c r="AK303" s="171"/>
      <c r="AL303" s="148">
        <f>Valores!C12</f>
        <v>0</v>
      </c>
      <c r="AM303" s="148">
        <f>Valores!$C$88</f>
        <v>227.49999999999997</v>
      </c>
      <c r="AN303" s="148"/>
      <c r="AO303" s="150">
        <v>0</v>
      </c>
      <c r="AP303" s="152">
        <f t="shared" si="50"/>
        <v>227.49999999999997</v>
      </c>
      <c r="AQ303" s="154">
        <f>AJ303*-Valores!$C$68</f>
        <v>-281.33245969230774</v>
      </c>
      <c r="AR303" s="154">
        <f>AJ303*-Valores!$C$69</f>
        <v>0</v>
      </c>
      <c r="AS303" s="147">
        <f>AJ303*-Valores!$C$70</f>
        <v>-115.0905516923077</v>
      </c>
      <c r="AT303" s="147">
        <v>-159.43</v>
      </c>
      <c r="AU303" s="147">
        <f t="shared" si="53"/>
        <v>-53.83</v>
      </c>
      <c r="AV303" s="151">
        <f t="shared" si="54"/>
        <v>2175.3848040000007</v>
      </c>
      <c r="AW303" s="155"/>
      <c r="AX303" s="155"/>
      <c r="AY303" s="140" t="s">
        <v>4</v>
      </c>
    </row>
    <row r="304" spans="1:1019" s="191" customFormat="1" ht="11.25" customHeight="1">
      <c r="A304" s="139">
        <v>302</v>
      </c>
      <c r="B304" s="139"/>
      <c r="C304" s="189"/>
      <c r="D304" s="190">
        <v>1</v>
      </c>
      <c r="E304" s="190">
        <f t="shared" si="47"/>
        <v>28</v>
      </c>
      <c r="F304" s="173" t="s">
        <v>506</v>
      </c>
      <c r="G304" s="172">
        <v>700</v>
      </c>
      <c r="H304" s="143">
        <f>INT((G304*Valores!$C$2*100)+0.5)/100</f>
        <v>6537.79</v>
      </c>
      <c r="I304" s="161">
        <v>0</v>
      </c>
      <c r="J304" s="145">
        <f>INT((I304*Valores!$C$2*100)+0.5)/100</f>
        <v>0</v>
      </c>
      <c r="K304" s="160">
        <v>0</v>
      </c>
      <c r="L304" s="145">
        <f>INT((K304*Valores!$C$2*100)+0.5)/100</f>
        <v>0</v>
      </c>
      <c r="M304" s="158">
        <v>0</v>
      </c>
      <c r="N304" s="145">
        <f>INT((M304*Valores!$C$2*100)+0.5)/100</f>
        <v>0</v>
      </c>
      <c r="O304" s="145">
        <f t="shared" si="48"/>
        <v>1134.231</v>
      </c>
      <c r="P304" s="145">
        <f t="shared" si="49"/>
        <v>0</v>
      </c>
      <c r="Q304" s="159">
        <v>0</v>
      </c>
      <c r="R304" s="159">
        <v>0</v>
      </c>
      <c r="S304" s="145">
        <v>0</v>
      </c>
      <c r="T304" s="148">
        <f>IF($H$5="NO",Valores!$C$46*15,Valores!$C$46*15/2)</f>
        <v>1023.75</v>
      </c>
      <c r="U304" s="159">
        <v>0</v>
      </c>
      <c r="V304" s="145">
        <f t="shared" si="57"/>
        <v>0</v>
      </c>
      <c r="W304" s="145">
        <v>0</v>
      </c>
      <c r="X304" s="145">
        <v>0</v>
      </c>
      <c r="Y304" s="165">
        <v>0</v>
      </c>
      <c r="Z304" s="145">
        <v>0</v>
      </c>
      <c r="AA304" s="145">
        <v>0</v>
      </c>
      <c r="AB304" s="148"/>
      <c r="AC304" s="150">
        <v>0</v>
      </c>
      <c r="AD304" s="145">
        <f t="shared" si="51"/>
        <v>0</v>
      </c>
      <c r="AE304" s="145">
        <v>0</v>
      </c>
      <c r="AF304" s="149">
        <v>0</v>
      </c>
      <c r="AG304" s="145">
        <f>INT(((AF304*Valores!$C$2)*100)+0.5)/100</f>
        <v>0</v>
      </c>
      <c r="AH304" s="145"/>
      <c r="AI304" s="145"/>
      <c r="AJ304" s="151">
        <f t="shared" si="52"/>
        <v>8695.771</v>
      </c>
      <c r="AK304" s="171"/>
      <c r="AL304" s="148">
        <f>Valores!$C$11*15</f>
        <v>0</v>
      </c>
      <c r="AM304" s="148">
        <v>0</v>
      </c>
      <c r="AN304" s="148"/>
      <c r="AO304" s="150">
        <v>0</v>
      </c>
      <c r="AP304" s="152">
        <f t="shared" si="50"/>
        <v>0</v>
      </c>
      <c r="AQ304" s="154">
        <f>AJ304*-Valores!$C$68</f>
        <v>-956.5348100000001</v>
      </c>
      <c r="AR304" s="154">
        <f>AJ304*-Valores!$C$69</f>
        <v>0</v>
      </c>
      <c r="AS304" s="147">
        <f>AJ304*-Valores!$C$70</f>
        <v>-391.30969500000003</v>
      </c>
      <c r="AT304" s="147">
        <v>-159.43</v>
      </c>
      <c r="AU304" s="147">
        <f t="shared" si="53"/>
        <v>-53.83</v>
      </c>
      <c r="AV304" s="151">
        <f t="shared" si="54"/>
        <v>7134.666495</v>
      </c>
      <c r="AW304" s="155"/>
      <c r="AX304" s="155"/>
      <c r="AY304" s="140" t="s">
        <v>4</v>
      </c>
      <c r="AZ304" s="117"/>
      <c r="BA304" s="117"/>
      <c r="BB304" s="117"/>
      <c r="BC304" s="117"/>
      <c r="BD304" s="117"/>
      <c r="BE304" s="117"/>
      <c r="BF304" s="117"/>
      <c r="BG304" s="117"/>
      <c r="BH304" s="117"/>
      <c r="BI304" s="117"/>
      <c r="BJ304" s="117"/>
      <c r="BK304" s="117"/>
      <c r="BL304" s="117"/>
      <c r="BM304" s="117"/>
      <c r="BN304" s="117"/>
      <c r="BO304" s="117"/>
      <c r="BP304" s="117"/>
      <c r="BQ304" s="117"/>
      <c r="BR304" s="117"/>
      <c r="BS304" s="117"/>
      <c r="BT304" s="117"/>
      <c r="BU304" s="117"/>
      <c r="BV304" s="117"/>
      <c r="BW304" s="117"/>
      <c r="BX304" s="117"/>
      <c r="BY304" s="117"/>
      <c r="BZ304" s="117"/>
      <c r="CA304" s="117"/>
      <c r="CB304" s="117"/>
      <c r="CC304" s="117"/>
      <c r="CD304" s="117"/>
      <c r="CE304" s="117"/>
      <c r="CF304" s="117"/>
      <c r="CG304" s="117"/>
      <c r="CH304" s="117"/>
      <c r="CI304" s="117"/>
      <c r="CJ304" s="117"/>
      <c r="CK304" s="117"/>
      <c r="CL304" s="117"/>
      <c r="CM304" s="117"/>
      <c r="CN304" s="117"/>
      <c r="CO304" s="117"/>
      <c r="CP304" s="117"/>
      <c r="CQ304" s="117"/>
      <c r="CR304" s="117"/>
      <c r="CS304" s="117"/>
      <c r="CT304" s="117"/>
      <c r="CU304" s="117"/>
      <c r="CV304" s="117"/>
      <c r="CW304" s="117"/>
      <c r="CX304" s="117"/>
      <c r="CY304" s="117"/>
      <c r="CZ304" s="117"/>
      <c r="DA304" s="117"/>
      <c r="DB304" s="117"/>
      <c r="DC304" s="117"/>
      <c r="DD304" s="117"/>
      <c r="DE304" s="117"/>
      <c r="DF304" s="117"/>
      <c r="DG304" s="117"/>
      <c r="DH304" s="117"/>
      <c r="DI304" s="117"/>
      <c r="DJ304" s="117"/>
      <c r="DK304" s="117"/>
      <c r="DL304" s="117"/>
      <c r="DM304" s="117"/>
      <c r="DN304" s="117"/>
      <c r="DO304" s="117"/>
      <c r="DP304" s="117"/>
      <c r="DQ304" s="117"/>
      <c r="DR304" s="117"/>
      <c r="DS304" s="117"/>
      <c r="DT304" s="117"/>
      <c r="DU304" s="117"/>
      <c r="DV304" s="117"/>
      <c r="DW304" s="117"/>
      <c r="DX304" s="117"/>
      <c r="DY304" s="117"/>
      <c r="DZ304" s="117"/>
      <c r="EA304" s="117"/>
      <c r="EB304" s="117"/>
      <c r="EC304" s="117"/>
      <c r="ED304" s="117"/>
      <c r="EE304" s="117"/>
      <c r="EF304" s="117"/>
      <c r="EG304" s="117"/>
      <c r="EH304" s="117"/>
      <c r="EI304" s="117"/>
      <c r="EJ304" s="117"/>
      <c r="EK304" s="117"/>
      <c r="EL304" s="117"/>
      <c r="EM304" s="117"/>
      <c r="EN304" s="117"/>
      <c r="EO304" s="117"/>
      <c r="EP304" s="117"/>
      <c r="EQ304" s="117"/>
      <c r="ER304" s="117"/>
      <c r="ES304" s="117"/>
      <c r="ET304" s="117"/>
      <c r="EU304" s="117"/>
      <c r="EV304" s="117"/>
      <c r="EW304" s="117"/>
      <c r="EX304" s="117"/>
      <c r="EY304" s="117"/>
      <c r="EZ304" s="117"/>
      <c r="FA304" s="117"/>
      <c r="FB304" s="117"/>
      <c r="FC304" s="117"/>
      <c r="FD304" s="117"/>
      <c r="FE304" s="117"/>
      <c r="FF304" s="117"/>
      <c r="FG304" s="117"/>
      <c r="FH304" s="117"/>
      <c r="FI304" s="117"/>
      <c r="FJ304" s="117"/>
      <c r="FK304" s="117"/>
      <c r="FL304" s="117"/>
      <c r="FM304" s="117"/>
      <c r="FN304" s="117"/>
      <c r="FO304" s="117"/>
      <c r="FP304" s="117"/>
      <c r="FQ304" s="117"/>
      <c r="FR304" s="117"/>
      <c r="FS304" s="117"/>
      <c r="FT304" s="117"/>
      <c r="FU304" s="117"/>
      <c r="FV304" s="117"/>
      <c r="FW304" s="117"/>
      <c r="FX304" s="117"/>
      <c r="FY304" s="117"/>
      <c r="FZ304" s="117"/>
      <c r="GA304" s="117"/>
      <c r="GB304" s="117"/>
      <c r="GC304" s="117"/>
      <c r="GD304" s="117"/>
      <c r="GE304" s="117"/>
      <c r="GF304" s="117"/>
      <c r="GG304" s="117"/>
      <c r="GH304" s="117"/>
      <c r="GI304" s="117"/>
      <c r="GJ304" s="117"/>
      <c r="GK304" s="117"/>
      <c r="GL304" s="117"/>
      <c r="GM304" s="117"/>
      <c r="GN304" s="117"/>
      <c r="GO304" s="117"/>
      <c r="GP304" s="117"/>
      <c r="GQ304" s="117"/>
      <c r="GR304" s="117"/>
      <c r="GS304" s="117"/>
      <c r="GT304" s="117"/>
      <c r="GU304" s="117"/>
      <c r="GV304" s="117"/>
      <c r="GW304" s="117"/>
      <c r="GX304" s="117"/>
      <c r="GY304" s="117"/>
      <c r="GZ304" s="117"/>
      <c r="HA304" s="117"/>
      <c r="HB304" s="117"/>
      <c r="HC304" s="117"/>
      <c r="HD304" s="117"/>
      <c r="HE304" s="117"/>
      <c r="HF304" s="117"/>
      <c r="HG304" s="117"/>
      <c r="HH304" s="117"/>
      <c r="HI304" s="117"/>
      <c r="HJ304" s="117"/>
      <c r="HK304" s="117"/>
      <c r="HL304" s="117"/>
      <c r="HM304" s="117"/>
      <c r="HN304" s="117"/>
      <c r="HO304" s="117"/>
      <c r="HP304" s="117"/>
      <c r="HQ304" s="117"/>
      <c r="HR304" s="117"/>
      <c r="HS304" s="117"/>
      <c r="HT304" s="117"/>
      <c r="HU304" s="117"/>
      <c r="HV304" s="117"/>
      <c r="HW304" s="117"/>
      <c r="HX304" s="117"/>
      <c r="HY304" s="117"/>
      <c r="HZ304" s="117"/>
      <c r="IA304" s="117"/>
      <c r="IB304" s="117"/>
      <c r="IC304" s="117"/>
      <c r="ID304" s="117"/>
      <c r="IE304" s="117"/>
      <c r="IF304" s="117"/>
      <c r="IG304" s="117"/>
      <c r="IH304" s="117"/>
      <c r="II304" s="117"/>
      <c r="IJ304" s="117"/>
      <c r="IK304" s="117"/>
      <c r="IL304" s="117"/>
      <c r="IM304" s="117"/>
      <c r="IN304" s="117"/>
      <c r="IO304" s="117"/>
      <c r="IP304" s="117"/>
      <c r="IQ304" s="117"/>
      <c r="IR304" s="117"/>
      <c r="IS304" s="117"/>
      <c r="IT304" s="117"/>
      <c r="IU304" s="117"/>
      <c r="IV304" s="117"/>
      <c r="IW304" s="117"/>
      <c r="IX304" s="117"/>
      <c r="IY304" s="117"/>
      <c r="IZ304" s="117"/>
      <c r="JA304" s="117"/>
      <c r="JB304" s="117"/>
      <c r="JC304" s="117"/>
      <c r="JD304" s="117"/>
      <c r="JE304" s="117"/>
      <c r="JF304" s="117"/>
      <c r="JG304" s="117"/>
      <c r="JH304" s="117"/>
      <c r="JI304" s="117"/>
      <c r="JJ304" s="117"/>
      <c r="JK304" s="117"/>
      <c r="JL304" s="117"/>
      <c r="JM304" s="117"/>
      <c r="JN304" s="117"/>
      <c r="JO304" s="117"/>
      <c r="JP304" s="117"/>
      <c r="JQ304" s="117"/>
      <c r="JR304" s="117"/>
      <c r="JS304" s="117"/>
      <c r="JT304" s="117"/>
      <c r="JU304" s="117"/>
      <c r="JV304" s="117"/>
      <c r="JW304" s="117"/>
      <c r="JX304" s="117"/>
      <c r="JY304" s="117"/>
      <c r="JZ304" s="117"/>
      <c r="KA304" s="117"/>
      <c r="KB304" s="117"/>
      <c r="KC304" s="117"/>
      <c r="KD304" s="117"/>
      <c r="KE304" s="117"/>
      <c r="KF304" s="117"/>
      <c r="KG304" s="117"/>
      <c r="KH304" s="117"/>
      <c r="KI304" s="117"/>
      <c r="KJ304" s="117"/>
      <c r="KK304" s="117"/>
      <c r="KL304" s="117"/>
      <c r="KM304" s="117"/>
      <c r="KN304" s="117"/>
      <c r="KO304" s="117"/>
      <c r="KP304" s="117"/>
      <c r="KQ304" s="117"/>
      <c r="KR304" s="117"/>
      <c r="KS304" s="117"/>
      <c r="KT304" s="117"/>
      <c r="KU304" s="117"/>
      <c r="KV304" s="117"/>
      <c r="KW304" s="117"/>
      <c r="KX304" s="117"/>
      <c r="KY304" s="117"/>
      <c r="KZ304" s="117"/>
      <c r="LA304" s="117"/>
      <c r="LB304" s="117"/>
      <c r="LC304" s="117"/>
      <c r="LD304" s="117"/>
      <c r="LE304" s="117"/>
      <c r="LF304" s="117"/>
      <c r="LG304" s="117"/>
      <c r="LH304" s="117"/>
      <c r="LI304" s="117"/>
      <c r="LJ304" s="117"/>
      <c r="LK304" s="117"/>
      <c r="LL304" s="117"/>
      <c r="LM304" s="117"/>
      <c r="LN304" s="117"/>
      <c r="LO304" s="117"/>
      <c r="LP304" s="117"/>
      <c r="LQ304" s="117"/>
      <c r="LR304" s="117"/>
      <c r="LS304" s="117"/>
      <c r="LT304" s="117"/>
      <c r="LU304" s="117"/>
      <c r="LV304" s="117"/>
      <c r="LW304" s="117"/>
      <c r="LX304" s="117"/>
      <c r="LY304" s="117"/>
      <c r="LZ304" s="117"/>
      <c r="MA304" s="117"/>
      <c r="MB304" s="117"/>
      <c r="MC304" s="117"/>
      <c r="MD304" s="117"/>
      <c r="ME304" s="117"/>
      <c r="MF304" s="117"/>
      <c r="MG304" s="117"/>
      <c r="MH304" s="117"/>
      <c r="MI304" s="117"/>
      <c r="MJ304" s="117"/>
      <c r="MK304" s="117"/>
      <c r="ML304" s="117"/>
      <c r="MM304" s="117"/>
      <c r="MN304" s="117"/>
      <c r="MO304" s="117"/>
      <c r="MP304" s="117"/>
      <c r="MQ304" s="117"/>
      <c r="MR304" s="117"/>
      <c r="MS304" s="117"/>
      <c r="MT304" s="117"/>
      <c r="MU304" s="117"/>
      <c r="MV304" s="117"/>
      <c r="MW304" s="117"/>
      <c r="MX304" s="117"/>
      <c r="MY304" s="117"/>
      <c r="MZ304" s="117"/>
      <c r="NA304" s="117"/>
      <c r="NB304" s="117"/>
      <c r="NC304" s="117"/>
      <c r="ND304" s="117"/>
      <c r="NE304" s="117"/>
      <c r="NF304" s="117"/>
      <c r="NG304" s="117"/>
      <c r="NH304" s="117"/>
      <c r="NI304" s="117"/>
      <c r="NJ304" s="117"/>
      <c r="NK304" s="117"/>
      <c r="NL304" s="117"/>
      <c r="NM304" s="117"/>
      <c r="NN304" s="117"/>
      <c r="NO304" s="117"/>
      <c r="NP304" s="117"/>
      <c r="NQ304" s="117"/>
      <c r="NR304" s="117"/>
      <c r="NS304" s="117"/>
      <c r="NT304" s="117"/>
      <c r="NU304" s="117"/>
      <c r="NV304" s="117"/>
      <c r="NW304" s="117"/>
      <c r="NX304" s="117"/>
      <c r="NY304" s="117"/>
      <c r="NZ304" s="117"/>
      <c r="OA304" s="117"/>
      <c r="OB304" s="117"/>
      <c r="OC304" s="117"/>
      <c r="OD304" s="117"/>
      <c r="OE304" s="117"/>
      <c r="OF304" s="117"/>
      <c r="OG304" s="117"/>
      <c r="OH304" s="117"/>
      <c r="OI304" s="117"/>
      <c r="OJ304" s="117"/>
      <c r="OK304" s="117"/>
      <c r="OL304" s="117"/>
      <c r="OM304" s="117"/>
      <c r="ON304" s="117"/>
      <c r="OO304" s="117"/>
      <c r="OP304" s="117"/>
      <c r="OQ304" s="117"/>
      <c r="OR304" s="117"/>
      <c r="OS304" s="117"/>
      <c r="OT304" s="117"/>
      <c r="OU304" s="117"/>
      <c r="OV304" s="117"/>
      <c r="OW304" s="117"/>
      <c r="OX304" s="117"/>
      <c r="OY304" s="117"/>
      <c r="OZ304" s="117"/>
      <c r="PA304" s="117"/>
      <c r="PB304" s="117"/>
      <c r="PC304" s="117"/>
      <c r="PD304" s="117"/>
      <c r="PE304" s="117"/>
      <c r="PF304" s="117"/>
      <c r="PG304" s="117"/>
      <c r="PH304" s="117"/>
      <c r="PI304" s="117"/>
      <c r="PJ304" s="117"/>
      <c r="PK304" s="117"/>
      <c r="PL304" s="117"/>
      <c r="PM304" s="117"/>
      <c r="PN304" s="117"/>
      <c r="PO304" s="117"/>
      <c r="PP304" s="117"/>
      <c r="PQ304" s="117"/>
      <c r="PR304" s="117"/>
      <c r="PS304" s="117"/>
      <c r="PT304" s="117"/>
      <c r="PU304" s="117"/>
      <c r="PV304" s="117"/>
      <c r="PW304" s="117"/>
      <c r="PX304" s="117"/>
      <c r="PY304" s="117"/>
      <c r="PZ304" s="117"/>
      <c r="QA304" s="117"/>
      <c r="QB304" s="117"/>
      <c r="QC304" s="117"/>
      <c r="QD304" s="117"/>
      <c r="QE304" s="117"/>
      <c r="QF304" s="117"/>
      <c r="QG304" s="117"/>
      <c r="QH304" s="117"/>
      <c r="QI304" s="117"/>
      <c r="QJ304" s="117"/>
      <c r="QK304" s="117"/>
      <c r="QL304" s="117"/>
      <c r="QM304" s="117"/>
      <c r="QN304" s="117"/>
      <c r="QO304" s="117"/>
      <c r="QP304" s="117"/>
      <c r="QQ304" s="117"/>
      <c r="QR304" s="117"/>
      <c r="QS304" s="117"/>
      <c r="QT304" s="117"/>
      <c r="QU304" s="117"/>
      <c r="QV304" s="117"/>
      <c r="QW304" s="117"/>
      <c r="QX304" s="117"/>
      <c r="QY304" s="117"/>
      <c r="QZ304" s="117"/>
      <c r="RA304" s="117"/>
      <c r="RB304" s="117"/>
      <c r="RC304" s="117"/>
      <c r="RD304" s="117"/>
      <c r="RE304" s="117"/>
      <c r="RF304" s="117"/>
      <c r="RG304" s="117"/>
      <c r="RH304" s="117"/>
      <c r="RI304" s="117"/>
      <c r="RJ304" s="117"/>
      <c r="RK304" s="117"/>
      <c r="RL304" s="117"/>
      <c r="RM304" s="117"/>
      <c r="RN304" s="117"/>
      <c r="RO304" s="117"/>
      <c r="RP304" s="117"/>
      <c r="RQ304" s="117"/>
      <c r="RR304" s="117"/>
      <c r="RS304" s="117"/>
      <c r="RT304" s="117"/>
      <c r="RU304" s="117"/>
      <c r="RV304" s="117"/>
      <c r="RW304" s="117"/>
      <c r="RX304" s="117"/>
      <c r="RY304" s="117"/>
      <c r="RZ304" s="117"/>
      <c r="SA304" s="117"/>
      <c r="SB304" s="117"/>
      <c r="SC304" s="117"/>
      <c r="SD304" s="117"/>
      <c r="SE304" s="117"/>
      <c r="SF304" s="117"/>
      <c r="SG304" s="117"/>
      <c r="SH304" s="117"/>
      <c r="SI304" s="117"/>
      <c r="SJ304" s="117"/>
      <c r="SK304" s="117"/>
      <c r="SL304" s="117"/>
      <c r="SM304" s="117"/>
      <c r="SN304" s="117"/>
      <c r="SO304" s="117"/>
      <c r="SP304" s="117"/>
      <c r="SQ304" s="117"/>
      <c r="SR304" s="117"/>
      <c r="SS304" s="117"/>
      <c r="ST304" s="117"/>
      <c r="SU304" s="117"/>
      <c r="SV304" s="117"/>
      <c r="SW304" s="117"/>
      <c r="SX304" s="117"/>
      <c r="SY304" s="117"/>
      <c r="SZ304" s="117"/>
      <c r="TA304" s="117"/>
      <c r="TB304" s="117"/>
      <c r="TC304" s="117"/>
      <c r="TD304" s="117"/>
      <c r="TE304" s="117"/>
      <c r="TF304" s="117"/>
      <c r="TG304" s="117"/>
      <c r="TH304" s="117"/>
      <c r="TI304" s="117"/>
      <c r="TJ304" s="117"/>
      <c r="TK304" s="117"/>
      <c r="TL304" s="117"/>
      <c r="TM304" s="117"/>
      <c r="TN304" s="117"/>
      <c r="TO304" s="117"/>
      <c r="TP304" s="117"/>
      <c r="TQ304" s="117"/>
      <c r="TR304" s="117"/>
      <c r="TS304" s="117"/>
      <c r="TT304" s="117"/>
      <c r="TU304" s="117"/>
      <c r="TV304" s="117"/>
      <c r="TW304" s="117"/>
      <c r="TX304" s="117"/>
      <c r="TY304" s="117"/>
      <c r="TZ304" s="117"/>
      <c r="UA304" s="117"/>
      <c r="UB304" s="117"/>
      <c r="UC304" s="117"/>
      <c r="UD304" s="117"/>
      <c r="UE304" s="117"/>
      <c r="UF304" s="117"/>
      <c r="UG304" s="117"/>
      <c r="UH304" s="117"/>
      <c r="UI304" s="117"/>
      <c r="UJ304" s="117"/>
      <c r="UK304" s="117"/>
      <c r="UL304" s="117"/>
      <c r="UM304" s="117"/>
      <c r="UN304" s="117"/>
      <c r="UO304" s="117"/>
      <c r="UP304" s="117"/>
      <c r="UQ304" s="117"/>
      <c r="UR304" s="117"/>
      <c r="US304" s="117"/>
      <c r="UT304" s="117"/>
      <c r="UU304" s="117"/>
      <c r="UV304" s="117"/>
      <c r="UW304" s="117"/>
      <c r="UX304" s="117"/>
      <c r="UY304" s="117"/>
      <c r="UZ304" s="117"/>
      <c r="VA304" s="117"/>
      <c r="VB304" s="117"/>
      <c r="VC304" s="117"/>
      <c r="VD304" s="117"/>
      <c r="VE304" s="117"/>
      <c r="VF304" s="117"/>
      <c r="VG304" s="117"/>
      <c r="VH304" s="117"/>
      <c r="VI304" s="117"/>
      <c r="VJ304" s="117"/>
      <c r="VK304" s="117"/>
      <c r="VL304" s="117"/>
      <c r="VM304" s="117"/>
      <c r="VN304" s="117"/>
      <c r="VO304" s="117"/>
      <c r="VP304" s="117"/>
      <c r="VQ304" s="117"/>
      <c r="VR304" s="117"/>
      <c r="VS304" s="117"/>
      <c r="VT304" s="117"/>
      <c r="VU304" s="117"/>
      <c r="VV304" s="117"/>
      <c r="VW304" s="117"/>
      <c r="VX304" s="117"/>
      <c r="VY304" s="117"/>
      <c r="VZ304" s="117"/>
      <c r="WA304" s="117"/>
      <c r="WB304" s="117"/>
      <c r="WC304" s="117"/>
      <c r="WD304" s="117"/>
      <c r="WE304" s="117"/>
      <c r="WF304" s="117"/>
      <c r="WG304" s="117"/>
      <c r="WH304" s="117"/>
      <c r="WI304" s="117"/>
      <c r="WJ304" s="117"/>
      <c r="WK304" s="117"/>
      <c r="WL304" s="117"/>
      <c r="WM304" s="117"/>
      <c r="WN304" s="117"/>
      <c r="WO304" s="117"/>
      <c r="WP304" s="117"/>
      <c r="WQ304" s="117"/>
      <c r="WR304" s="117"/>
      <c r="WS304" s="117"/>
      <c r="WT304" s="117"/>
      <c r="WU304" s="117"/>
      <c r="WV304" s="117"/>
      <c r="WW304" s="117"/>
      <c r="WX304" s="117"/>
      <c r="WY304" s="117"/>
      <c r="WZ304" s="117"/>
      <c r="XA304" s="117"/>
      <c r="XB304" s="117"/>
      <c r="XC304" s="117"/>
      <c r="XD304" s="117"/>
      <c r="XE304" s="117"/>
      <c r="XF304" s="117"/>
      <c r="XG304" s="117"/>
      <c r="XH304" s="117"/>
      <c r="XI304" s="117"/>
      <c r="XJ304" s="117"/>
      <c r="XK304" s="117"/>
      <c r="XL304" s="117"/>
      <c r="XM304" s="117"/>
      <c r="XN304" s="117"/>
      <c r="XO304" s="117"/>
      <c r="XP304" s="117"/>
      <c r="XQ304" s="117"/>
      <c r="XR304" s="117"/>
      <c r="XS304" s="117"/>
      <c r="XT304" s="117"/>
      <c r="XU304" s="117"/>
      <c r="XV304" s="117"/>
      <c r="XW304" s="117"/>
      <c r="XX304" s="117"/>
      <c r="XY304" s="117"/>
      <c r="XZ304" s="117"/>
      <c r="YA304" s="117"/>
      <c r="YB304" s="117"/>
      <c r="YC304" s="117"/>
      <c r="YD304" s="117"/>
      <c r="YE304" s="117"/>
      <c r="YF304" s="117"/>
      <c r="YG304" s="117"/>
      <c r="YH304" s="117"/>
      <c r="YI304" s="117"/>
      <c r="YJ304" s="117"/>
      <c r="YK304" s="117"/>
      <c r="YL304" s="117"/>
      <c r="YM304" s="117"/>
      <c r="YN304" s="117"/>
      <c r="YO304" s="117"/>
      <c r="YP304" s="117"/>
      <c r="YQ304" s="117"/>
      <c r="YR304" s="117"/>
      <c r="YS304" s="117"/>
      <c r="YT304" s="117"/>
      <c r="YU304" s="117"/>
      <c r="YV304" s="117"/>
      <c r="YW304" s="117"/>
      <c r="YX304" s="117"/>
      <c r="YY304" s="117"/>
      <c r="YZ304" s="117"/>
      <c r="ZA304" s="117"/>
      <c r="ZB304" s="117"/>
      <c r="ZC304" s="117"/>
      <c r="ZD304" s="117"/>
      <c r="ZE304" s="117"/>
      <c r="ZF304" s="117"/>
      <c r="ZG304" s="117"/>
      <c r="ZH304" s="117"/>
      <c r="ZI304" s="117"/>
      <c r="ZJ304" s="117"/>
      <c r="ZK304" s="117"/>
      <c r="ZL304" s="117"/>
      <c r="ZM304" s="117"/>
      <c r="ZN304" s="117"/>
      <c r="ZO304" s="117"/>
      <c r="ZP304" s="117"/>
      <c r="ZQ304" s="117"/>
      <c r="ZR304" s="117"/>
      <c r="ZS304" s="117"/>
      <c r="ZT304" s="117"/>
      <c r="ZU304" s="117"/>
      <c r="ZV304" s="117"/>
      <c r="ZW304" s="117"/>
      <c r="ZX304" s="117"/>
      <c r="ZY304" s="117"/>
      <c r="ZZ304" s="117"/>
      <c r="AAA304" s="117"/>
      <c r="AAB304" s="117"/>
      <c r="AAC304" s="117"/>
      <c r="AAD304" s="117"/>
      <c r="AAE304" s="117"/>
      <c r="AAF304" s="117"/>
      <c r="AAG304" s="117"/>
      <c r="AAH304" s="117"/>
      <c r="AAI304" s="117"/>
      <c r="AAJ304" s="117"/>
      <c r="AAK304" s="117"/>
      <c r="AAL304" s="117"/>
      <c r="AAM304" s="117"/>
      <c r="AAN304" s="117"/>
      <c r="AAO304" s="117"/>
      <c r="AAP304" s="117"/>
      <c r="AAQ304" s="117"/>
      <c r="AAR304" s="117"/>
      <c r="AAS304" s="117"/>
      <c r="AAT304" s="117"/>
      <c r="AAU304" s="117"/>
      <c r="AAV304" s="117"/>
      <c r="AAW304" s="117"/>
      <c r="AAX304" s="117"/>
      <c r="AAY304" s="117"/>
      <c r="AAZ304" s="117"/>
      <c r="ABA304" s="117"/>
      <c r="ABB304" s="117"/>
      <c r="ABC304" s="117"/>
      <c r="ABD304" s="117"/>
      <c r="ABE304" s="117"/>
      <c r="ABF304" s="117"/>
      <c r="ABG304" s="117"/>
      <c r="ABH304" s="117"/>
      <c r="ABI304" s="117"/>
      <c r="ABJ304" s="117"/>
      <c r="ABK304" s="117"/>
      <c r="ABL304" s="117"/>
      <c r="ABM304" s="117"/>
      <c r="ABN304" s="117"/>
      <c r="ABO304" s="117"/>
      <c r="ABP304" s="117"/>
      <c r="ABQ304" s="117"/>
      <c r="ABR304" s="117"/>
      <c r="ABS304" s="117"/>
      <c r="ABT304" s="117"/>
      <c r="ABU304" s="117"/>
      <c r="ABV304" s="117"/>
      <c r="ABW304" s="117"/>
      <c r="ABX304" s="117"/>
      <c r="ABY304" s="117"/>
      <c r="ABZ304" s="117"/>
      <c r="ACA304" s="117"/>
      <c r="ACB304" s="117"/>
      <c r="ACC304" s="117"/>
      <c r="ACD304" s="117"/>
      <c r="ACE304" s="117"/>
      <c r="ACF304" s="117"/>
      <c r="ACG304" s="117"/>
      <c r="ACH304" s="117"/>
      <c r="ACI304" s="117"/>
      <c r="ACJ304" s="117"/>
      <c r="ACK304" s="117"/>
      <c r="ACL304" s="117"/>
      <c r="ACM304" s="117"/>
      <c r="ACN304" s="117"/>
      <c r="ACO304" s="117"/>
      <c r="ACP304" s="117"/>
      <c r="ACQ304" s="117"/>
      <c r="ACR304" s="117"/>
      <c r="ACS304" s="117"/>
      <c r="ACT304" s="117"/>
      <c r="ACU304" s="117"/>
      <c r="ACV304" s="117"/>
      <c r="ACW304" s="117"/>
      <c r="ACX304" s="117"/>
      <c r="ACY304" s="117"/>
      <c r="ACZ304" s="117"/>
      <c r="ADA304" s="117"/>
      <c r="ADB304" s="117"/>
      <c r="ADC304" s="117"/>
      <c r="ADD304" s="117"/>
      <c r="ADE304" s="117"/>
      <c r="ADF304" s="117"/>
      <c r="ADG304" s="117"/>
      <c r="ADH304" s="117"/>
      <c r="ADI304" s="117"/>
      <c r="ADJ304" s="117"/>
      <c r="ADK304" s="117"/>
      <c r="ADL304" s="117"/>
      <c r="ADM304" s="117"/>
      <c r="ADN304" s="117"/>
      <c r="ADO304" s="117"/>
      <c r="ADP304" s="117"/>
      <c r="ADQ304" s="117"/>
      <c r="ADR304" s="117"/>
      <c r="ADS304" s="117"/>
      <c r="ADT304" s="117"/>
      <c r="ADU304" s="117"/>
      <c r="ADV304" s="117"/>
      <c r="ADW304" s="117"/>
      <c r="ADX304" s="117"/>
      <c r="ADY304" s="117"/>
      <c r="ADZ304" s="117"/>
      <c r="AEA304" s="117"/>
      <c r="AEB304" s="117"/>
      <c r="AEC304" s="117"/>
      <c r="AED304" s="117"/>
      <c r="AEE304" s="117"/>
      <c r="AEF304" s="117"/>
      <c r="AEG304" s="117"/>
      <c r="AEH304" s="117"/>
      <c r="AEI304" s="117"/>
      <c r="AEJ304" s="117"/>
      <c r="AEK304" s="117"/>
      <c r="AEL304" s="117"/>
      <c r="AEM304" s="117"/>
      <c r="AEN304" s="117"/>
      <c r="AEO304" s="117"/>
      <c r="AEP304" s="117"/>
      <c r="AEQ304" s="117"/>
      <c r="AER304" s="117"/>
      <c r="AES304" s="117"/>
      <c r="AET304" s="117"/>
      <c r="AEU304" s="117"/>
      <c r="AEV304" s="117"/>
      <c r="AEW304" s="117"/>
      <c r="AEX304" s="117"/>
      <c r="AEY304" s="117"/>
      <c r="AEZ304" s="117"/>
      <c r="AFA304" s="117"/>
      <c r="AFB304" s="117"/>
      <c r="AFC304" s="117"/>
      <c r="AFD304" s="117"/>
      <c r="AFE304" s="117"/>
      <c r="AFF304" s="117"/>
      <c r="AFG304" s="117"/>
      <c r="AFH304" s="117"/>
      <c r="AFI304" s="117"/>
      <c r="AFJ304" s="117"/>
      <c r="AFK304" s="117"/>
      <c r="AFL304" s="117"/>
      <c r="AFM304" s="117"/>
      <c r="AFN304" s="117"/>
      <c r="AFO304" s="117"/>
      <c r="AFP304" s="117"/>
      <c r="AFQ304" s="117"/>
      <c r="AFR304" s="117"/>
      <c r="AFS304" s="117"/>
      <c r="AFT304" s="117"/>
      <c r="AFU304" s="117"/>
      <c r="AFV304" s="117"/>
      <c r="AFW304" s="117"/>
      <c r="AFX304" s="117"/>
      <c r="AFY304" s="117"/>
      <c r="AFZ304" s="117"/>
      <c r="AGA304" s="117"/>
      <c r="AGB304" s="117"/>
      <c r="AGC304" s="117"/>
      <c r="AGD304" s="117"/>
      <c r="AGE304" s="117"/>
      <c r="AGF304" s="117"/>
      <c r="AGG304" s="117"/>
      <c r="AGH304" s="117"/>
      <c r="AGI304" s="117"/>
      <c r="AGJ304" s="117"/>
      <c r="AGK304" s="117"/>
      <c r="AGL304" s="117"/>
      <c r="AGM304" s="117"/>
      <c r="AGN304" s="117"/>
      <c r="AGO304" s="117"/>
      <c r="AGP304" s="117"/>
      <c r="AGQ304" s="117"/>
      <c r="AGR304" s="117"/>
      <c r="AGS304" s="117"/>
      <c r="AGT304" s="117"/>
      <c r="AGU304" s="117"/>
      <c r="AGV304" s="117"/>
      <c r="AGW304" s="117"/>
      <c r="AGX304" s="117"/>
      <c r="AGY304" s="117"/>
      <c r="AGZ304" s="117"/>
      <c r="AHA304" s="117"/>
      <c r="AHB304" s="117"/>
      <c r="AHC304" s="117"/>
      <c r="AHD304" s="117"/>
      <c r="AHE304" s="117"/>
      <c r="AHF304" s="117"/>
      <c r="AHG304" s="117"/>
      <c r="AHH304" s="117"/>
      <c r="AHI304" s="117"/>
      <c r="AHJ304" s="117"/>
      <c r="AHK304" s="117"/>
      <c r="AHL304" s="117"/>
      <c r="AHM304" s="117"/>
      <c r="AHN304" s="117"/>
      <c r="AHO304" s="117"/>
      <c r="AHP304" s="117"/>
      <c r="AHQ304" s="117"/>
      <c r="AHR304" s="117"/>
      <c r="AHS304" s="117"/>
      <c r="AHT304" s="117"/>
      <c r="AHU304" s="117"/>
      <c r="AHV304" s="117"/>
      <c r="AHW304" s="117"/>
      <c r="AHX304" s="117"/>
      <c r="AHY304" s="117"/>
      <c r="AHZ304" s="117"/>
      <c r="AIA304" s="117"/>
      <c r="AIB304" s="117"/>
      <c r="AIC304" s="117"/>
      <c r="AID304" s="117"/>
      <c r="AIE304" s="117"/>
      <c r="AIF304" s="117"/>
      <c r="AIG304" s="117"/>
      <c r="AIH304" s="117"/>
      <c r="AII304" s="117"/>
      <c r="AIJ304" s="117"/>
      <c r="AIK304" s="117"/>
      <c r="AIL304" s="117"/>
      <c r="AIM304" s="117"/>
      <c r="AIN304" s="117"/>
      <c r="AIO304" s="117"/>
      <c r="AIP304" s="117"/>
      <c r="AIQ304" s="117"/>
      <c r="AIR304" s="117"/>
      <c r="AIS304" s="117"/>
      <c r="AIT304" s="117"/>
      <c r="AIU304" s="117"/>
      <c r="AIV304" s="117"/>
      <c r="AIW304" s="117"/>
      <c r="AIX304" s="117"/>
      <c r="AIY304" s="117"/>
      <c r="AIZ304" s="117"/>
      <c r="AJA304" s="117"/>
      <c r="AJB304" s="117"/>
      <c r="AJC304" s="117"/>
      <c r="AJD304" s="117"/>
      <c r="AJE304" s="117"/>
      <c r="AJF304" s="117"/>
      <c r="AJG304" s="117"/>
      <c r="AJH304" s="117"/>
      <c r="AJI304" s="117"/>
      <c r="AJJ304" s="117"/>
      <c r="AJK304" s="117"/>
      <c r="AJL304" s="117"/>
      <c r="AJM304" s="117"/>
      <c r="AJN304" s="117"/>
      <c r="AJO304" s="117"/>
      <c r="AJP304" s="117"/>
      <c r="AJQ304" s="117"/>
      <c r="AJR304" s="117"/>
      <c r="AJS304" s="117"/>
      <c r="AJT304" s="117"/>
      <c r="AJU304" s="117"/>
      <c r="AJV304" s="117"/>
      <c r="AJW304" s="117"/>
      <c r="AJX304" s="117"/>
      <c r="AJY304" s="117"/>
      <c r="AJZ304" s="117"/>
      <c r="AKA304" s="117"/>
      <c r="AKB304" s="117"/>
      <c r="AKC304" s="117"/>
      <c r="AKD304" s="117"/>
      <c r="AKE304" s="117"/>
      <c r="AKF304" s="117"/>
      <c r="AKG304" s="117"/>
      <c r="AKH304" s="117"/>
      <c r="AKI304" s="117"/>
      <c r="AKJ304" s="117"/>
      <c r="AKK304" s="117"/>
      <c r="AKL304" s="117"/>
      <c r="AKM304" s="117"/>
      <c r="AKN304" s="117"/>
      <c r="AKO304" s="117"/>
      <c r="AKP304" s="117"/>
      <c r="AKQ304" s="117"/>
      <c r="AKR304" s="117"/>
      <c r="AKS304" s="117"/>
      <c r="AKT304" s="117"/>
      <c r="AKU304" s="117"/>
      <c r="AKV304" s="117"/>
      <c r="AKW304" s="117"/>
      <c r="AKX304" s="117"/>
      <c r="AKY304" s="117"/>
      <c r="AKZ304" s="117"/>
      <c r="ALA304" s="117"/>
      <c r="ALB304" s="117"/>
      <c r="ALC304" s="117"/>
      <c r="ALD304" s="117"/>
      <c r="ALE304" s="117"/>
      <c r="ALF304" s="117"/>
      <c r="ALG304" s="117"/>
      <c r="ALH304" s="117"/>
      <c r="ALI304" s="117"/>
      <c r="ALJ304" s="117"/>
      <c r="ALK304" s="117"/>
      <c r="ALL304" s="117"/>
      <c r="ALM304" s="117"/>
      <c r="ALN304" s="117"/>
      <c r="ALO304" s="117"/>
      <c r="ALP304" s="117"/>
      <c r="ALQ304" s="117"/>
      <c r="ALR304" s="117"/>
      <c r="ALS304" s="117"/>
      <c r="ALT304" s="117"/>
      <c r="ALU304" s="117"/>
      <c r="ALV304" s="117"/>
      <c r="ALW304" s="117"/>
      <c r="ALX304" s="117"/>
      <c r="ALY304" s="117"/>
      <c r="ALZ304" s="117"/>
      <c r="AMA304" s="117"/>
      <c r="AMB304" s="117"/>
      <c r="AMC304" s="117"/>
      <c r="AMD304" s="117"/>
      <c r="AME304" s="117"/>
    </row>
    <row r="305" spans="1:1019" s="191" customFormat="1" ht="11.25" customHeight="1">
      <c r="A305" s="139">
        <v>303</v>
      </c>
      <c r="B305" s="139"/>
      <c r="C305" s="155"/>
      <c r="D305" s="190">
        <v>1</v>
      </c>
      <c r="E305" s="190">
        <f t="shared" si="47"/>
        <v>28</v>
      </c>
      <c r="F305" s="173" t="s">
        <v>507</v>
      </c>
      <c r="G305" s="172">
        <v>500</v>
      </c>
      <c r="H305" s="143">
        <f>INT((G305*Valores!$C$2*100)+0.5)/100</f>
        <v>4669.85</v>
      </c>
      <c r="I305" s="161">
        <v>0</v>
      </c>
      <c r="J305" s="145">
        <f>INT((I305*Valores!$C$2*100)+0.5)/100</f>
        <v>0</v>
      </c>
      <c r="K305" s="160">
        <v>0</v>
      </c>
      <c r="L305" s="145">
        <f>INT((K305*Valores!$C$2*100)+0.5)/100</f>
        <v>0</v>
      </c>
      <c r="M305" s="158">
        <v>0</v>
      </c>
      <c r="N305" s="145">
        <f>INT((M305*Valores!$C$2*100)+0.5)/100</f>
        <v>0</v>
      </c>
      <c r="O305" s="145">
        <f t="shared" si="48"/>
        <v>802.8525000000001</v>
      </c>
      <c r="P305" s="145">
        <f t="shared" si="49"/>
        <v>0</v>
      </c>
      <c r="Q305" s="159">
        <v>0</v>
      </c>
      <c r="R305" s="159">
        <v>0</v>
      </c>
      <c r="S305" s="145">
        <v>0</v>
      </c>
      <c r="T305" s="148">
        <f>IF($H$5="NO",Valores!$C$46*10,Valores!$C$46*10/2)</f>
        <v>682.5</v>
      </c>
      <c r="U305" s="148">
        <v>0</v>
      </c>
      <c r="V305" s="145">
        <f t="shared" si="57"/>
        <v>0</v>
      </c>
      <c r="W305" s="145">
        <v>0</v>
      </c>
      <c r="X305" s="145">
        <v>0</v>
      </c>
      <c r="Y305" s="165">
        <v>0</v>
      </c>
      <c r="Z305" s="145">
        <v>0</v>
      </c>
      <c r="AA305" s="145">
        <v>0</v>
      </c>
      <c r="AB305" s="148"/>
      <c r="AC305" s="150">
        <v>0</v>
      </c>
      <c r="AD305" s="145">
        <f t="shared" si="51"/>
        <v>0</v>
      </c>
      <c r="AE305" s="145">
        <v>0</v>
      </c>
      <c r="AF305" s="149">
        <v>0</v>
      </c>
      <c r="AG305" s="145">
        <f>INT(((AF305*Valores!$C$2)*100)+0.5)/100</f>
        <v>0</v>
      </c>
      <c r="AH305" s="145"/>
      <c r="AI305" s="145"/>
      <c r="AJ305" s="151">
        <f t="shared" si="52"/>
        <v>6155.2025</v>
      </c>
      <c r="AK305" s="171"/>
      <c r="AL305" s="148">
        <f>Valores!$C$11*10</f>
        <v>0</v>
      </c>
      <c r="AM305" s="148">
        <v>0</v>
      </c>
      <c r="AN305" s="148"/>
      <c r="AO305" s="150">
        <v>0</v>
      </c>
      <c r="AP305" s="152">
        <f t="shared" si="50"/>
        <v>0</v>
      </c>
      <c r="AQ305" s="154">
        <f>AJ305*-Valores!$C$68</f>
        <v>-677.072275</v>
      </c>
      <c r="AR305" s="154">
        <f>AJ305*-Valores!$C$69</f>
        <v>0</v>
      </c>
      <c r="AS305" s="147">
        <f>AJ305*-Valores!$C$70</f>
        <v>-276.9841125</v>
      </c>
      <c r="AT305" s="147">
        <v>-159.43</v>
      </c>
      <c r="AU305" s="147">
        <f t="shared" si="53"/>
        <v>-53.83</v>
      </c>
      <c r="AV305" s="151">
        <f t="shared" si="54"/>
        <v>4987.8861125</v>
      </c>
      <c r="AW305" s="155"/>
      <c r="AX305" s="155"/>
      <c r="AY305" s="140" t="s">
        <v>4</v>
      </c>
      <c r="AZ305" s="117"/>
      <c r="BA305" s="117"/>
      <c r="BB305" s="117"/>
      <c r="BC305" s="117"/>
      <c r="BD305" s="117"/>
      <c r="BE305" s="117"/>
      <c r="BF305" s="117"/>
      <c r="BG305" s="117"/>
      <c r="BH305" s="117"/>
      <c r="BI305" s="117"/>
      <c r="BJ305" s="117"/>
      <c r="BK305" s="117"/>
      <c r="BL305" s="117"/>
      <c r="BM305" s="117"/>
      <c r="BN305" s="117"/>
      <c r="BO305" s="117"/>
      <c r="BP305" s="117"/>
      <c r="BQ305" s="117"/>
      <c r="BR305" s="117"/>
      <c r="BS305" s="117"/>
      <c r="BT305" s="117"/>
      <c r="BU305" s="117"/>
      <c r="BV305" s="117"/>
      <c r="BW305" s="117"/>
      <c r="BX305" s="117"/>
      <c r="BY305" s="117"/>
      <c r="BZ305" s="117"/>
      <c r="CA305" s="117"/>
      <c r="CB305" s="117"/>
      <c r="CC305" s="117"/>
      <c r="CD305" s="117"/>
      <c r="CE305" s="117"/>
      <c r="CF305" s="117"/>
      <c r="CG305" s="117"/>
      <c r="CH305" s="117"/>
      <c r="CI305" s="117"/>
      <c r="CJ305" s="117"/>
      <c r="CK305" s="117"/>
      <c r="CL305" s="117"/>
      <c r="CM305" s="117"/>
      <c r="CN305" s="117"/>
      <c r="CO305" s="117"/>
      <c r="CP305" s="117"/>
      <c r="CQ305" s="117"/>
      <c r="CR305" s="117"/>
      <c r="CS305" s="117"/>
      <c r="CT305" s="117"/>
      <c r="CU305" s="117"/>
      <c r="CV305" s="117"/>
      <c r="CW305" s="117"/>
      <c r="CX305" s="117"/>
      <c r="CY305" s="117"/>
      <c r="CZ305" s="117"/>
      <c r="DA305" s="117"/>
      <c r="DB305" s="117"/>
      <c r="DC305" s="117"/>
      <c r="DD305" s="117"/>
      <c r="DE305" s="117"/>
      <c r="DF305" s="117"/>
      <c r="DG305" s="117"/>
      <c r="DH305" s="117"/>
      <c r="DI305" s="117"/>
      <c r="DJ305" s="117"/>
      <c r="DK305" s="117"/>
      <c r="DL305" s="117"/>
      <c r="DM305" s="117"/>
      <c r="DN305" s="117"/>
      <c r="DO305" s="117"/>
      <c r="DP305" s="117"/>
      <c r="DQ305" s="117"/>
      <c r="DR305" s="117"/>
      <c r="DS305" s="117"/>
      <c r="DT305" s="117"/>
      <c r="DU305" s="117"/>
      <c r="DV305" s="117"/>
      <c r="DW305" s="117"/>
      <c r="DX305" s="117"/>
      <c r="DY305" s="117"/>
      <c r="DZ305" s="117"/>
      <c r="EA305" s="117"/>
      <c r="EB305" s="117"/>
      <c r="EC305" s="117"/>
      <c r="ED305" s="117"/>
      <c r="EE305" s="117"/>
      <c r="EF305" s="117"/>
      <c r="EG305" s="117"/>
      <c r="EH305" s="117"/>
      <c r="EI305" s="117"/>
      <c r="EJ305" s="117"/>
      <c r="EK305" s="117"/>
      <c r="EL305" s="117"/>
      <c r="EM305" s="117"/>
      <c r="EN305" s="117"/>
      <c r="EO305" s="117"/>
      <c r="EP305" s="117"/>
      <c r="EQ305" s="117"/>
      <c r="ER305" s="117"/>
      <c r="ES305" s="117"/>
      <c r="ET305" s="117"/>
      <c r="EU305" s="117"/>
      <c r="EV305" s="117"/>
      <c r="EW305" s="117"/>
      <c r="EX305" s="117"/>
      <c r="EY305" s="117"/>
      <c r="EZ305" s="117"/>
      <c r="FA305" s="117"/>
      <c r="FB305" s="117"/>
      <c r="FC305" s="117"/>
      <c r="FD305" s="117"/>
      <c r="FE305" s="117"/>
      <c r="FF305" s="117"/>
      <c r="FG305" s="117"/>
      <c r="FH305" s="117"/>
      <c r="FI305" s="117"/>
      <c r="FJ305" s="117"/>
      <c r="FK305" s="117"/>
      <c r="FL305" s="117"/>
      <c r="FM305" s="117"/>
      <c r="FN305" s="117"/>
      <c r="FO305" s="117"/>
      <c r="FP305" s="117"/>
      <c r="FQ305" s="117"/>
      <c r="FR305" s="117"/>
      <c r="FS305" s="117"/>
      <c r="FT305" s="117"/>
      <c r="FU305" s="117"/>
      <c r="FV305" s="117"/>
      <c r="FW305" s="117"/>
      <c r="FX305" s="117"/>
      <c r="FY305" s="117"/>
      <c r="FZ305" s="117"/>
      <c r="GA305" s="117"/>
      <c r="GB305" s="117"/>
      <c r="GC305" s="117"/>
      <c r="GD305" s="117"/>
      <c r="GE305" s="117"/>
      <c r="GF305" s="117"/>
      <c r="GG305" s="117"/>
      <c r="GH305" s="117"/>
      <c r="GI305" s="117"/>
      <c r="GJ305" s="117"/>
      <c r="GK305" s="117"/>
      <c r="GL305" s="117"/>
      <c r="GM305" s="117"/>
      <c r="GN305" s="117"/>
      <c r="GO305" s="117"/>
      <c r="GP305" s="117"/>
      <c r="GQ305" s="117"/>
      <c r="GR305" s="117"/>
      <c r="GS305" s="117"/>
      <c r="GT305" s="117"/>
      <c r="GU305" s="117"/>
      <c r="GV305" s="117"/>
      <c r="GW305" s="117"/>
      <c r="GX305" s="117"/>
      <c r="GY305" s="117"/>
      <c r="GZ305" s="117"/>
      <c r="HA305" s="117"/>
      <c r="HB305" s="117"/>
      <c r="HC305" s="117"/>
      <c r="HD305" s="117"/>
      <c r="HE305" s="117"/>
      <c r="HF305" s="117"/>
      <c r="HG305" s="117"/>
      <c r="HH305" s="117"/>
      <c r="HI305" s="117"/>
      <c r="HJ305" s="117"/>
      <c r="HK305" s="117"/>
      <c r="HL305" s="117"/>
      <c r="HM305" s="117"/>
      <c r="HN305" s="117"/>
      <c r="HO305" s="117"/>
      <c r="HP305" s="117"/>
      <c r="HQ305" s="117"/>
      <c r="HR305" s="117"/>
      <c r="HS305" s="117"/>
      <c r="HT305" s="117"/>
      <c r="HU305" s="117"/>
      <c r="HV305" s="117"/>
      <c r="HW305" s="117"/>
      <c r="HX305" s="117"/>
      <c r="HY305" s="117"/>
      <c r="HZ305" s="117"/>
      <c r="IA305" s="117"/>
      <c r="IB305" s="117"/>
      <c r="IC305" s="117"/>
      <c r="ID305" s="117"/>
      <c r="IE305" s="117"/>
      <c r="IF305" s="117"/>
      <c r="IG305" s="117"/>
      <c r="IH305" s="117"/>
      <c r="II305" s="117"/>
      <c r="IJ305" s="117"/>
      <c r="IK305" s="117"/>
      <c r="IL305" s="117"/>
      <c r="IM305" s="117"/>
      <c r="IN305" s="117"/>
      <c r="IO305" s="117"/>
      <c r="IP305" s="117"/>
      <c r="IQ305" s="117"/>
      <c r="IR305" s="117"/>
      <c r="IS305" s="117"/>
      <c r="IT305" s="117"/>
      <c r="IU305" s="117"/>
      <c r="IV305" s="117"/>
      <c r="IW305" s="117"/>
      <c r="IX305" s="117"/>
      <c r="IY305" s="117"/>
      <c r="IZ305" s="117"/>
      <c r="JA305" s="117"/>
      <c r="JB305" s="117"/>
      <c r="JC305" s="117"/>
      <c r="JD305" s="117"/>
      <c r="JE305" s="117"/>
      <c r="JF305" s="117"/>
      <c r="JG305" s="117"/>
      <c r="JH305" s="117"/>
      <c r="JI305" s="117"/>
      <c r="JJ305" s="117"/>
      <c r="JK305" s="117"/>
      <c r="JL305" s="117"/>
      <c r="JM305" s="117"/>
      <c r="JN305" s="117"/>
      <c r="JO305" s="117"/>
      <c r="JP305" s="117"/>
      <c r="JQ305" s="117"/>
      <c r="JR305" s="117"/>
      <c r="JS305" s="117"/>
      <c r="JT305" s="117"/>
      <c r="JU305" s="117"/>
      <c r="JV305" s="117"/>
      <c r="JW305" s="117"/>
      <c r="JX305" s="117"/>
      <c r="JY305" s="117"/>
      <c r="JZ305" s="117"/>
      <c r="KA305" s="117"/>
      <c r="KB305" s="117"/>
      <c r="KC305" s="117"/>
      <c r="KD305" s="117"/>
      <c r="KE305" s="117"/>
      <c r="KF305" s="117"/>
      <c r="KG305" s="117"/>
      <c r="KH305" s="117"/>
      <c r="KI305" s="117"/>
      <c r="KJ305" s="117"/>
      <c r="KK305" s="117"/>
      <c r="KL305" s="117"/>
      <c r="KM305" s="117"/>
      <c r="KN305" s="117"/>
      <c r="KO305" s="117"/>
      <c r="KP305" s="117"/>
      <c r="KQ305" s="117"/>
      <c r="KR305" s="117"/>
      <c r="KS305" s="117"/>
      <c r="KT305" s="117"/>
      <c r="KU305" s="117"/>
      <c r="KV305" s="117"/>
      <c r="KW305" s="117"/>
      <c r="KX305" s="117"/>
      <c r="KY305" s="117"/>
      <c r="KZ305" s="117"/>
      <c r="LA305" s="117"/>
      <c r="LB305" s="117"/>
      <c r="LC305" s="117"/>
      <c r="LD305" s="117"/>
      <c r="LE305" s="117"/>
      <c r="LF305" s="117"/>
      <c r="LG305" s="117"/>
      <c r="LH305" s="117"/>
      <c r="LI305" s="117"/>
      <c r="LJ305" s="117"/>
      <c r="LK305" s="117"/>
      <c r="LL305" s="117"/>
      <c r="LM305" s="117"/>
      <c r="LN305" s="117"/>
      <c r="LO305" s="117"/>
      <c r="LP305" s="117"/>
      <c r="LQ305" s="117"/>
      <c r="LR305" s="117"/>
      <c r="LS305" s="117"/>
      <c r="LT305" s="117"/>
      <c r="LU305" s="117"/>
      <c r="LV305" s="117"/>
      <c r="LW305" s="117"/>
      <c r="LX305" s="117"/>
      <c r="LY305" s="117"/>
      <c r="LZ305" s="117"/>
      <c r="MA305" s="117"/>
      <c r="MB305" s="117"/>
      <c r="MC305" s="117"/>
      <c r="MD305" s="117"/>
      <c r="ME305" s="117"/>
      <c r="MF305" s="117"/>
      <c r="MG305" s="117"/>
      <c r="MH305" s="117"/>
      <c r="MI305" s="117"/>
      <c r="MJ305" s="117"/>
      <c r="MK305" s="117"/>
      <c r="ML305" s="117"/>
      <c r="MM305" s="117"/>
      <c r="MN305" s="117"/>
      <c r="MO305" s="117"/>
      <c r="MP305" s="117"/>
      <c r="MQ305" s="117"/>
      <c r="MR305" s="117"/>
      <c r="MS305" s="117"/>
      <c r="MT305" s="117"/>
      <c r="MU305" s="117"/>
      <c r="MV305" s="117"/>
      <c r="MW305" s="117"/>
      <c r="MX305" s="117"/>
      <c r="MY305" s="117"/>
      <c r="MZ305" s="117"/>
      <c r="NA305" s="117"/>
      <c r="NB305" s="117"/>
      <c r="NC305" s="117"/>
      <c r="ND305" s="117"/>
      <c r="NE305" s="117"/>
      <c r="NF305" s="117"/>
      <c r="NG305" s="117"/>
      <c r="NH305" s="117"/>
      <c r="NI305" s="117"/>
      <c r="NJ305" s="117"/>
      <c r="NK305" s="117"/>
      <c r="NL305" s="117"/>
      <c r="NM305" s="117"/>
      <c r="NN305" s="117"/>
      <c r="NO305" s="117"/>
      <c r="NP305" s="117"/>
      <c r="NQ305" s="117"/>
      <c r="NR305" s="117"/>
      <c r="NS305" s="117"/>
      <c r="NT305" s="117"/>
      <c r="NU305" s="117"/>
      <c r="NV305" s="117"/>
      <c r="NW305" s="117"/>
      <c r="NX305" s="117"/>
      <c r="NY305" s="117"/>
      <c r="NZ305" s="117"/>
      <c r="OA305" s="117"/>
      <c r="OB305" s="117"/>
      <c r="OC305" s="117"/>
      <c r="OD305" s="117"/>
      <c r="OE305" s="117"/>
      <c r="OF305" s="117"/>
      <c r="OG305" s="117"/>
      <c r="OH305" s="117"/>
      <c r="OI305" s="117"/>
      <c r="OJ305" s="117"/>
      <c r="OK305" s="117"/>
      <c r="OL305" s="117"/>
      <c r="OM305" s="117"/>
      <c r="ON305" s="117"/>
      <c r="OO305" s="117"/>
      <c r="OP305" s="117"/>
      <c r="OQ305" s="117"/>
      <c r="OR305" s="117"/>
      <c r="OS305" s="117"/>
      <c r="OT305" s="117"/>
      <c r="OU305" s="117"/>
      <c r="OV305" s="117"/>
      <c r="OW305" s="117"/>
      <c r="OX305" s="117"/>
      <c r="OY305" s="117"/>
      <c r="OZ305" s="117"/>
      <c r="PA305" s="117"/>
      <c r="PB305" s="117"/>
      <c r="PC305" s="117"/>
      <c r="PD305" s="117"/>
      <c r="PE305" s="117"/>
      <c r="PF305" s="117"/>
      <c r="PG305" s="117"/>
      <c r="PH305" s="117"/>
      <c r="PI305" s="117"/>
      <c r="PJ305" s="117"/>
      <c r="PK305" s="117"/>
      <c r="PL305" s="117"/>
      <c r="PM305" s="117"/>
      <c r="PN305" s="117"/>
      <c r="PO305" s="117"/>
      <c r="PP305" s="117"/>
      <c r="PQ305" s="117"/>
      <c r="PR305" s="117"/>
      <c r="PS305" s="117"/>
      <c r="PT305" s="117"/>
      <c r="PU305" s="117"/>
      <c r="PV305" s="117"/>
      <c r="PW305" s="117"/>
      <c r="PX305" s="117"/>
      <c r="PY305" s="117"/>
      <c r="PZ305" s="117"/>
      <c r="QA305" s="117"/>
      <c r="QB305" s="117"/>
      <c r="QC305" s="117"/>
      <c r="QD305" s="117"/>
      <c r="QE305" s="117"/>
      <c r="QF305" s="117"/>
      <c r="QG305" s="117"/>
      <c r="QH305" s="117"/>
      <c r="QI305" s="117"/>
      <c r="QJ305" s="117"/>
      <c r="QK305" s="117"/>
      <c r="QL305" s="117"/>
      <c r="QM305" s="117"/>
      <c r="QN305" s="117"/>
      <c r="QO305" s="117"/>
      <c r="QP305" s="117"/>
      <c r="QQ305" s="117"/>
      <c r="QR305" s="117"/>
      <c r="QS305" s="117"/>
      <c r="QT305" s="117"/>
      <c r="QU305" s="117"/>
      <c r="QV305" s="117"/>
      <c r="QW305" s="117"/>
      <c r="QX305" s="117"/>
      <c r="QY305" s="117"/>
      <c r="QZ305" s="117"/>
      <c r="RA305" s="117"/>
      <c r="RB305" s="117"/>
      <c r="RC305" s="117"/>
      <c r="RD305" s="117"/>
      <c r="RE305" s="117"/>
      <c r="RF305" s="117"/>
      <c r="RG305" s="117"/>
      <c r="RH305" s="117"/>
      <c r="RI305" s="117"/>
      <c r="RJ305" s="117"/>
      <c r="RK305" s="117"/>
      <c r="RL305" s="117"/>
      <c r="RM305" s="117"/>
      <c r="RN305" s="117"/>
      <c r="RO305" s="117"/>
      <c r="RP305" s="117"/>
      <c r="RQ305" s="117"/>
      <c r="RR305" s="117"/>
      <c r="RS305" s="117"/>
      <c r="RT305" s="117"/>
      <c r="RU305" s="117"/>
      <c r="RV305" s="117"/>
      <c r="RW305" s="117"/>
      <c r="RX305" s="117"/>
      <c r="RY305" s="117"/>
      <c r="RZ305" s="117"/>
      <c r="SA305" s="117"/>
      <c r="SB305" s="117"/>
      <c r="SC305" s="117"/>
      <c r="SD305" s="117"/>
      <c r="SE305" s="117"/>
      <c r="SF305" s="117"/>
      <c r="SG305" s="117"/>
      <c r="SH305" s="117"/>
      <c r="SI305" s="117"/>
      <c r="SJ305" s="117"/>
      <c r="SK305" s="117"/>
      <c r="SL305" s="117"/>
      <c r="SM305" s="117"/>
      <c r="SN305" s="117"/>
      <c r="SO305" s="117"/>
      <c r="SP305" s="117"/>
      <c r="SQ305" s="117"/>
      <c r="SR305" s="117"/>
      <c r="SS305" s="117"/>
      <c r="ST305" s="117"/>
      <c r="SU305" s="117"/>
      <c r="SV305" s="117"/>
      <c r="SW305" s="117"/>
      <c r="SX305" s="117"/>
      <c r="SY305" s="117"/>
      <c r="SZ305" s="117"/>
      <c r="TA305" s="117"/>
      <c r="TB305" s="117"/>
      <c r="TC305" s="117"/>
      <c r="TD305" s="117"/>
      <c r="TE305" s="117"/>
      <c r="TF305" s="117"/>
      <c r="TG305" s="117"/>
      <c r="TH305" s="117"/>
      <c r="TI305" s="117"/>
      <c r="TJ305" s="117"/>
      <c r="TK305" s="117"/>
      <c r="TL305" s="117"/>
      <c r="TM305" s="117"/>
      <c r="TN305" s="117"/>
      <c r="TO305" s="117"/>
      <c r="TP305" s="117"/>
      <c r="TQ305" s="117"/>
      <c r="TR305" s="117"/>
      <c r="TS305" s="117"/>
      <c r="TT305" s="117"/>
      <c r="TU305" s="117"/>
      <c r="TV305" s="117"/>
      <c r="TW305" s="117"/>
      <c r="TX305" s="117"/>
      <c r="TY305" s="117"/>
      <c r="TZ305" s="117"/>
      <c r="UA305" s="117"/>
      <c r="UB305" s="117"/>
      <c r="UC305" s="117"/>
      <c r="UD305" s="117"/>
      <c r="UE305" s="117"/>
      <c r="UF305" s="117"/>
      <c r="UG305" s="117"/>
      <c r="UH305" s="117"/>
      <c r="UI305" s="117"/>
      <c r="UJ305" s="117"/>
      <c r="UK305" s="117"/>
      <c r="UL305" s="117"/>
      <c r="UM305" s="117"/>
      <c r="UN305" s="117"/>
      <c r="UO305" s="117"/>
      <c r="UP305" s="117"/>
      <c r="UQ305" s="117"/>
      <c r="UR305" s="117"/>
      <c r="US305" s="117"/>
      <c r="UT305" s="117"/>
      <c r="UU305" s="117"/>
      <c r="UV305" s="117"/>
      <c r="UW305" s="117"/>
      <c r="UX305" s="117"/>
      <c r="UY305" s="117"/>
      <c r="UZ305" s="117"/>
      <c r="VA305" s="117"/>
      <c r="VB305" s="117"/>
      <c r="VC305" s="117"/>
      <c r="VD305" s="117"/>
      <c r="VE305" s="117"/>
      <c r="VF305" s="117"/>
      <c r="VG305" s="117"/>
      <c r="VH305" s="117"/>
      <c r="VI305" s="117"/>
      <c r="VJ305" s="117"/>
      <c r="VK305" s="117"/>
      <c r="VL305" s="117"/>
      <c r="VM305" s="117"/>
      <c r="VN305" s="117"/>
      <c r="VO305" s="117"/>
      <c r="VP305" s="117"/>
      <c r="VQ305" s="117"/>
      <c r="VR305" s="117"/>
      <c r="VS305" s="117"/>
      <c r="VT305" s="117"/>
      <c r="VU305" s="117"/>
      <c r="VV305" s="117"/>
      <c r="VW305" s="117"/>
      <c r="VX305" s="117"/>
      <c r="VY305" s="117"/>
      <c r="VZ305" s="117"/>
      <c r="WA305" s="117"/>
      <c r="WB305" s="117"/>
      <c r="WC305" s="117"/>
      <c r="WD305" s="117"/>
      <c r="WE305" s="117"/>
      <c r="WF305" s="117"/>
      <c r="WG305" s="117"/>
      <c r="WH305" s="117"/>
      <c r="WI305" s="117"/>
      <c r="WJ305" s="117"/>
      <c r="WK305" s="117"/>
      <c r="WL305" s="117"/>
      <c r="WM305" s="117"/>
      <c r="WN305" s="117"/>
      <c r="WO305" s="117"/>
      <c r="WP305" s="117"/>
      <c r="WQ305" s="117"/>
      <c r="WR305" s="117"/>
      <c r="WS305" s="117"/>
      <c r="WT305" s="117"/>
      <c r="WU305" s="117"/>
      <c r="WV305" s="117"/>
      <c r="WW305" s="117"/>
      <c r="WX305" s="117"/>
      <c r="WY305" s="117"/>
      <c r="WZ305" s="117"/>
      <c r="XA305" s="117"/>
      <c r="XB305" s="117"/>
      <c r="XC305" s="117"/>
      <c r="XD305" s="117"/>
      <c r="XE305" s="117"/>
      <c r="XF305" s="117"/>
      <c r="XG305" s="117"/>
      <c r="XH305" s="117"/>
      <c r="XI305" s="117"/>
      <c r="XJ305" s="117"/>
      <c r="XK305" s="117"/>
      <c r="XL305" s="117"/>
      <c r="XM305" s="117"/>
      <c r="XN305" s="117"/>
      <c r="XO305" s="117"/>
      <c r="XP305" s="117"/>
      <c r="XQ305" s="117"/>
      <c r="XR305" s="117"/>
      <c r="XS305" s="117"/>
      <c r="XT305" s="117"/>
      <c r="XU305" s="117"/>
      <c r="XV305" s="117"/>
      <c r="XW305" s="117"/>
      <c r="XX305" s="117"/>
      <c r="XY305" s="117"/>
      <c r="XZ305" s="117"/>
      <c r="YA305" s="117"/>
      <c r="YB305" s="117"/>
      <c r="YC305" s="117"/>
      <c r="YD305" s="117"/>
      <c r="YE305" s="117"/>
      <c r="YF305" s="117"/>
      <c r="YG305" s="117"/>
      <c r="YH305" s="117"/>
      <c r="YI305" s="117"/>
      <c r="YJ305" s="117"/>
      <c r="YK305" s="117"/>
      <c r="YL305" s="117"/>
      <c r="YM305" s="117"/>
      <c r="YN305" s="117"/>
      <c r="YO305" s="117"/>
      <c r="YP305" s="117"/>
      <c r="YQ305" s="117"/>
      <c r="YR305" s="117"/>
      <c r="YS305" s="117"/>
      <c r="YT305" s="117"/>
      <c r="YU305" s="117"/>
      <c r="YV305" s="117"/>
      <c r="YW305" s="117"/>
      <c r="YX305" s="117"/>
      <c r="YY305" s="117"/>
      <c r="YZ305" s="117"/>
      <c r="ZA305" s="117"/>
      <c r="ZB305" s="117"/>
      <c r="ZC305" s="117"/>
      <c r="ZD305" s="117"/>
      <c r="ZE305" s="117"/>
      <c r="ZF305" s="117"/>
      <c r="ZG305" s="117"/>
      <c r="ZH305" s="117"/>
      <c r="ZI305" s="117"/>
      <c r="ZJ305" s="117"/>
      <c r="ZK305" s="117"/>
      <c r="ZL305" s="117"/>
      <c r="ZM305" s="117"/>
      <c r="ZN305" s="117"/>
      <c r="ZO305" s="117"/>
      <c r="ZP305" s="117"/>
      <c r="ZQ305" s="117"/>
      <c r="ZR305" s="117"/>
      <c r="ZS305" s="117"/>
      <c r="ZT305" s="117"/>
      <c r="ZU305" s="117"/>
      <c r="ZV305" s="117"/>
      <c r="ZW305" s="117"/>
      <c r="ZX305" s="117"/>
      <c r="ZY305" s="117"/>
      <c r="ZZ305" s="117"/>
      <c r="AAA305" s="117"/>
      <c r="AAB305" s="117"/>
      <c r="AAC305" s="117"/>
      <c r="AAD305" s="117"/>
      <c r="AAE305" s="117"/>
      <c r="AAF305" s="117"/>
      <c r="AAG305" s="117"/>
      <c r="AAH305" s="117"/>
      <c r="AAI305" s="117"/>
      <c r="AAJ305" s="117"/>
      <c r="AAK305" s="117"/>
      <c r="AAL305" s="117"/>
      <c r="AAM305" s="117"/>
      <c r="AAN305" s="117"/>
      <c r="AAO305" s="117"/>
      <c r="AAP305" s="117"/>
      <c r="AAQ305" s="117"/>
      <c r="AAR305" s="117"/>
      <c r="AAS305" s="117"/>
      <c r="AAT305" s="117"/>
      <c r="AAU305" s="117"/>
      <c r="AAV305" s="117"/>
      <c r="AAW305" s="117"/>
      <c r="AAX305" s="117"/>
      <c r="AAY305" s="117"/>
      <c r="AAZ305" s="117"/>
      <c r="ABA305" s="117"/>
      <c r="ABB305" s="117"/>
      <c r="ABC305" s="117"/>
      <c r="ABD305" s="117"/>
      <c r="ABE305" s="117"/>
      <c r="ABF305" s="117"/>
      <c r="ABG305" s="117"/>
      <c r="ABH305" s="117"/>
      <c r="ABI305" s="117"/>
      <c r="ABJ305" s="117"/>
      <c r="ABK305" s="117"/>
      <c r="ABL305" s="117"/>
      <c r="ABM305" s="117"/>
      <c r="ABN305" s="117"/>
      <c r="ABO305" s="117"/>
      <c r="ABP305" s="117"/>
      <c r="ABQ305" s="117"/>
      <c r="ABR305" s="117"/>
      <c r="ABS305" s="117"/>
      <c r="ABT305" s="117"/>
      <c r="ABU305" s="117"/>
      <c r="ABV305" s="117"/>
      <c r="ABW305" s="117"/>
      <c r="ABX305" s="117"/>
      <c r="ABY305" s="117"/>
      <c r="ABZ305" s="117"/>
      <c r="ACA305" s="117"/>
      <c r="ACB305" s="117"/>
      <c r="ACC305" s="117"/>
      <c r="ACD305" s="117"/>
      <c r="ACE305" s="117"/>
      <c r="ACF305" s="117"/>
      <c r="ACG305" s="117"/>
      <c r="ACH305" s="117"/>
      <c r="ACI305" s="117"/>
      <c r="ACJ305" s="117"/>
      <c r="ACK305" s="117"/>
      <c r="ACL305" s="117"/>
      <c r="ACM305" s="117"/>
      <c r="ACN305" s="117"/>
      <c r="ACO305" s="117"/>
      <c r="ACP305" s="117"/>
      <c r="ACQ305" s="117"/>
      <c r="ACR305" s="117"/>
      <c r="ACS305" s="117"/>
      <c r="ACT305" s="117"/>
      <c r="ACU305" s="117"/>
      <c r="ACV305" s="117"/>
      <c r="ACW305" s="117"/>
      <c r="ACX305" s="117"/>
      <c r="ACY305" s="117"/>
      <c r="ACZ305" s="117"/>
      <c r="ADA305" s="117"/>
      <c r="ADB305" s="117"/>
      <c r="ADC305" s="117"/>
      <c r="ADD305" s="117"/>
      <c r="ADE305" s="117"/>
      <c r="ADF305" s="117"/>
      <c r="ADG305" s="117"/>
      <c r="ADH305" s="117"/>
      <c r="ADI305" s="117"/>
      <c r="ADJ305" s="117"/>
      <c r="ADK305" s="117"/>
      <c r="ADL305" s="117"/>
      <c r="ADM305" s="117"/>
      <c r="ADN305" s="117"/>
      <c r="ADO305" s="117"/>
      <c r="ADP305" s="117"/>
      <c r="ADQ305" s="117"/>
      <c r="ADR305" s="117"/>
      <c r="ADS305" s="117"/>
      <c r="ADT305" s="117"/>
      <c r="ADU305" s="117"/>
      <c r="ADV305" s="117"/>
      <c r="ADW305" s="117"/>
      <c r="ADX305" s="117"/>
      <c r="ADY305" s="117"/>
      <c r="ADZ305" s="117"/>
      <c r="AEA305" s="117"/>
      <c r="AEB305" s="117"/>
      <c r="AEC305" s="117"/>
      <c r="AED305" s="117"/>
      <c r="AEE305" s="117"/>
      <c r="AEF305" s="117"/>
      <c r="AEG305" s="117"/>
      <c r="AEH305" s="117"/>
      <c r="AEI305" s="117"/>
      <c r="AEJ305" s="117"/>
      <c r="AEK305" s="117"/>
      <c r="AEL305" s="117"/>
      <c r="AEM305" s="117"/>
      <c r="AEN305" s="117"/>
      <c r="AEO305" s="117"/>
      <c r="AEP305" s="117"/>
      <c r="AEQ305" s="117"/>
      <c r="AER305" s="117"/>
      <c r="AES305" s="117"/>
      <c r="AET305" s="117"/>
      <c r="AEU305" s="117"/>
      <c r="AEV305" s="117"/>
      <c r="AEW305" s="117"/>
      <c r="AEX305" s="117"/>
      <c r="AEY305" s="117"/>
      <c r="AEZ305" s="117"/>
      <c r="AFA305" s="117"/>
      <c r="AFB305" s="117"/>
      <c r="AFC305" s="117"/>
      <c r="AFD305" s="117"/>
      <c r="AFE305" s="117"/>
      <c r="AFF305" s="117"/>
      <c r="AFG305" s="117"/>
      <c r="AFH305" s="117"/>
      <c r="AFI305" s="117"/>
      <c r="AFJ305" s="117"/>
      <c r="AFK305" s="117"/>
      <c r="AFL305" s="117"/>
      <c r="AFM305" s="117"/>
      <c r="AFN305" s="117"/>
      <c r="AFO305" s="117"/>
      <c r="AFP305" s="117"/>
      <c r="AFQ305" s="117"/>
      <c r="AFR305" s="117"/>
      <c r="AFS305" s="117"/>
      <c r="AFT305" s="117"/>
      <c r="AFU305" s="117"/>
      <c r="AFV305" s="117"/>
      <c r="AFW305" s="117"/>
      <c r="AFX305" s="117"/>
      <c r="AFY305" s="117"/>
      <c r="AFZ305" s="117"/>
      <c r="AGA305" s="117"/>
      <c r="AGB305" s="117"/>
      <c r="AGC305" s="117"/>
      <c r="AGD305" s="117"/>
      <c r="AGE305" s="117"/>
      <c r="AGF305" s="117"/>
      <c r="AGG305" s="117"/>
      <c r="AGH305" s="117"/>
      <c r="AGI305" s="117"/>
      <c r="AGJ305" s="117"/>
      <c r="AGK305" s="117"/>
      <c r="AGL305" s="117"/>
      <c r="AGM305" s="117"/>
      <c r="AGN305" s="117"/>
      <c r="AGO305" s="117"/>
      <c r="AGP305" s="117"/>
      <c r="AGQ305" s="117"/>
      <c r="AGR305" s="117"/>
      <c r="AGS305" s="117"/>
      <c r="AGT305" s="117"/>
      <c r="AGU305" s="117"/>
      <c r="AGV305" s="117"/>
      <c r="AGW305" s="117"/>
      <c r="AGX305" s="117"/>
      <c r="AGY305" s="117"/>
      <c r="AGZ305" s="117"/>
      <c r="AHA305" s="117"/>
      <c r="AHB305" s="117"/>
      <c r="AHC305" s="117"/>
      <c r="AHD305" s="117"/>
      <c r="AHE305" s="117"/>
      <c r="AHF305" s="117"/>
      <c r="AHG305" s="117"/>
      <c r="AHH305" s="117"/>
      <c r="AHI305" s="117"/>
      <c r="AHJ305" s="117"/>
      <c r="AHK305" s="117"/>
      <c r="AHL305" s="117"/>
      <c r="AHM305" s="117"/>
      <c r="AHN305" s="117"/>
      <c r="AHO305" s="117"/>
      <c r="AHP305" s="117"/>
      <c r="AHQ305" s="117"/>
      <c r="AHR305" s="117"/>
      <c r="AHS305" s="117"/>
      <c r="AHT305" s="117"/>
      <c r="AHU305" s="117"/>
      <c r="AHV305" s="117"/>
      <c r="AHW305" s="117"/>
      <c r="AHX305" s="117"/>
      <c r="AHY305" s="117"/>
      <c r="AHZ305" s="117"/>
      <c r="AIA305" s="117"/>
      <c r="AIB305" s="117"/>
      <c r="AIC305" s="117"/>
      <c r="AID305" s="117"/>
      <c r="AIE305" s="117"/>
      <c r="AIF305" s="117"/>
      <c r="AIG305" s="117"/>
      <c r="AIH305" s="117"/>
      <c r="AII305" s="117"/>
      <c r="AIJ305" s="117"/>
      <c r="AIK305" s="117"/>
      <c r="AIL305" s="117"/>
      <c r="AIM305" s="117"/>
      <c r="AIN305" s="117"/>
      <c r="AIO305" s="117"/>
      <c r="AIP305" s="117"/>
      <c r="AIQ305" s="117"/>
      <c r="AIR305" s="117"/>
      <c r="AIS305" s="117"/>
      <c r="AIT305" s="117"/>
      <c r="AIU305" s="117"/>
      <c r="AIV305" s="117"/>
      <c r="AIW305" s="117"/>
      <c r="AIX305" s="117"/>
      <c r="AIY305" s="117"/>
      <c r="AIZ305" s="117"/>
      <c r="AJA305" s="117"/>
      <c r="AJB305" s="117"/>
      <c r="AJC305" s="117"/>
      <c r="AJD305" s="117"/>
      <c r="AJE305" s="117"/>
      <c r="AJF305" s="117"/>
      <c r="AJG305" s="117"/>
      <c r="AJH305" s="117"/>
      <c r="AJI305" s="117"/>
      <c r="AJJ305" s="117"/>
      <c r="AJK305" s="117"/>
      <c r="AJL305" s="117"/>
      <c r="AJM305" s="117"/>
      <c r="AJN305" s="117"/>
      <c r="AJO305" s="117"/>
      <c r="AJP305" s="117"/>
      <c r="AJQ305" s="117"/>
      <c r="AJR305" s="117"/>
      <c r="AJS305" s="117"/>
      <c r="AJT305" s="117"/>
      <c r="AJU305" s="117"/>
      <c r="AJV305" s="117"/>
      <c r="AJW305" s="117"/>
      <c r="AJX305" s="117"/>
      <c r="AJY305" s="117"/>
      <c r="AJZ305" s="117"/>
      <c r="AKA305" s="117"/>
      <c r="AKB305" s="117"/>
      <c r="AKC305" s="117"/>
      <c r="AKD305" s="117"/>
      <c r="AKE305" s="117"/>
      <c r="AKF305" s="117"/>
      <c r="AKG305" s="117"/>
      <c r="AKH305" s="117"/>
      <c r="AKI305" s="117"/>
      <c r="AKJ305" s="117"/>
      <c r="AKK305" s="117"/>
      <c r="AKL305" s="117"/>
      <c r="AKM305" s="117"/>
      <c r="AKN305" s="117"/>
      <c r="AKO305" s="117"/>
      <c r="AKP305" s="117"/>
      <c r="AKQ305" s="117"/>
      <c r="AKR305" s="117"/>
      <c r="AKS305" s="117"/>
      <c r="AKT305" s="117"/>
      <c r="AKU305" s="117"/>
      <c r="AKV305" s="117"/>
      <c r="AKW305" s="117"/>
      <c r="AKX305" s="117"/>
      <c r="AKY305" s="117"/>
      <c r="AKZ305" s="117"/>
      <c r="ALA305" s="117"/>
      <c r="ALB305" s="117"/>
      <c r="ALC305" s="117"/>
      <c r="ALD305" s="117"/>
      <c r="ALE305" s="117"/>
      <c r="ALF305" s="117"/>
      <c r="ALG305" s="117"/>
      <c r="ALH305" s="117"/>
      <c r="ALI305" s="117"/>
      <c r="ALJ305" s="117"/>
      <c r="ALK305" s="117"/>
      <c r="ALL305" s="117"/>
      <c r="ALM305" s="117"/>
      <c r="ALN305" s="117"/>
      <c r="ALO305" s="117"/>
      <c r="ALP305" s="117"/>
      <c r="ALQ305" s="117"/>
      <c r="ALR305" s="117"/>
      <c r="ALS305" s="117"/>
      <c r="ALT305" s="117"/>
      <c r="ALU305" s="117"/>
      <c r="ALV305" s="117"/>
      <c r="ALW305" s="117"/>
      <c r="ALX305" s="117"/>
      <c r="ALY305" s="117"/>
      <c r="ALZ305" s="117"/>
      <c r="AMA305" s="117"/>
      <c r="AMB305" s="117"/>
      <c r="AMC305" s="117"/>
      <c r="AMD305" s="117"/>
      <c r="AME305" s="117"/>
    </row>
    <row r="306" spans="1:1019" s="191" customFormat="1" ht="11.25" customHeight="1">
      <c r="A306" s="139">
        <v>304</v>
      </c>
      <c r="B306" s="139"/>
      <c r="C306" s="140"/>
      <c r="D306" s="190">
        <v>1</v>
      </c>
      <c r="E306" s="190">
        <f t="shared" si="47"/>
        <v>28</v>
      </c>
      <c r="F306" s="173" t="s">
        <v>508</v>
      </c>
      <c r="G306" s="172">
        <v>300</v>
      </c>
      <c r="H306" s="143">
        <f>INT((G306*Valores!$C$2*100)+0.5)/100</f>
        <v>2801.91</v>
      </c>
      <c r="I306" s="161">
        <v>0</v>
      </c>
      <c r="J306" s="145">
        <f>INT((I306*Valores!$C$2*100)+0.5)/100</f>
        <v>0</v>
      </c>
      <c r="K306" s="160">
        <v>0</v>
      </c>
      <c r="L306" s="145">
        <f>INT((K306*Valores!$C$2*100)+0.5)/100</f>
        <v>0</v>
      </c>
      <c r="M306" s="158">
        <v>0</v>
      </c>
      <c r="N306" s="145">
        <f>INT((M306*Valores!$C$2*100)+0.5)/100</f>
        <v>0</v>
      </c>
      <c r="O306" s="145">
        <f t="shared" si="48"/>
        <v>471.47399999999993</v>
      </c>
      <c r="P306" s="145">
        <f t="shared" si="49"/>
        <v>0</v>
      </c>
      <c r="Q306" s="159">
        <v>0</v>
      </c>
      <c r="R306" s="159">
        <v>0</v>
      </c>
      <c r="S306" s="145">
        <v>0</v>
      </c>
      <c r="T306" s="148">
        <f>IF($H$5="NO",Valores!$C$46*5,Valores!$C$46*5/2)</f>
        <v>341.25</v>
      </c>
      <c r="U306" s="159">
        <v>0</v>
      </c>
      <c r="V306" s="145">
        <f t="shared" si="57"/>
        <v>0</v>
      </c>
      <c r="W306" s="145">
        <v>0</v>
      </c>
      <c r="X306" s="145">
        <v>0</v>
      </c>
      <c r="Y306" s="165">
        <v>0</v>
      </c>
      <c r="Z306" s="145">
        <v>0</v>
      </c>
      <c r="AA306" s="145">
        <v>0</v>
      </c>
      <c r="AB306" s="148"/>
      <c r="AC306" s="150">
        <v>0</v>
      </c>
      <c r="AD306" s="145">
        <f t="shared" si="51"/>
        <v>0</v>
      </c>
      <c r="AE306" s="145">
        <v>0</v>
      </c>
      <c r="AF306" s="149">
        <v>0</v>
      </c>
      <c r="AG306" s="145">
        <f>INT(((AF306*Valores!$C$2)*100)+0.5)/100</f>
        <v>0</v>
      </c>
      <c r="AH306" s="145"/>
      <c r="AI306" s="145"/>
      <c r="AJ306" s="151">
        <f t="shared" si="52"/>
        <v>3614.634</v>
      </c>
      <c r="AK306" s="171"/>
      <c r="AL306" s="148">
        <f>Valores!$C$11*5</f>
        <v>0</v>
      </c>
      <c r="AM306" s="148">
        <v>0</v>
      </c>
      <c r="AN306" s="148"/>
      <c r="AO306" s="150">
        <v>0</v>
      </c>
      <c r="AP306" s="152">
        <f t="shared" si="50"/>
        <v>0</v>
      </c>
      <c r="AQ306" s="154">
        <f>AJ306*-Valores!$C$68</f>
        <v>-397.60974</v>
      </c>
      <c r="AR306" s="154">
        <f>AJ306*-Valores!$C$69</f>
        <v>0</v>
      </c>
      <c r="AS306" s="147">
        <f>AJ306*-Valores!$C$70</f>
        <v>-162.65852999999998</v>
      </c>
      <c r="AT306" s="147">
        <v>-159.43</v>
      </c>
      <c r="AU306" s="147">
        <f t="shared" si="53"/>
        <v>-53.83</v>
      </c>
      <c r="AV306" s="151">
        <f t="shared" si="54"/>
        <v>2841.10573</v>
      </c>
      <c r="AW306" s="155"/>
      <c r="AX306" s="155"/>
      <c r="AY306" s="140" t="s">
        <v>4</v>
      </c>
      <c r="AZ306" s="117"/>
      <c r="BA306" s="117"/>
      <c r="BB306" s="117"/>
      <c r="BC306" s="117"/>
      <c r="BD306" s="117"/>
      <c r="BE306" s="117"/>
      <c r="BF306" s="117"/>
      <c r="BG306" s="117"/>
      <c r="BH306" s="117"/>
      <c r="BI306" s="117"/>
      <c r="BJ306" s="117"/>
      <c r="BK306" s="117"/>
      <c r="BL306" s="117"/>
      <c r="BM306" s="117"/>
      <c r="BN306" s="117"/>
      <c r="BO306" s="117"/>
      <c r="BP306" s="117"/>
      <c r="BQ306" s="117"/>
      <c r="BR306" s="117"/>
      <c r="BS306" s="117"/>
      <c r="BT306" s="117"/>
      <c r="BU306" s="117"/>
      <c r="BV306" s="117"/>
      <c r="BW306" s="117"/>
      <c r="BX306" s="117"/>
      <c r="BY306" s="117"/>
      <c r="BZ306" s="117"/>
      <c r="CA306" s="117"/>
      <c r="CB306" s="117"/>
      <c r="CC306" s="117"/>
      <c r="CD306" s="117"/>
      <c r="CE306" s="117"/>
      <c r="CF306" s="117"/>
      <c r="CG306" s="117"/>
      <c r="CH306" s="117"/>
      <c r="CI306" s="117"/>
      <c r="CJ306" s="117"/>
      <c r="CK306" s="117"/>
      <c r="CL306" s="117"/>
      <c r="CM306" s="117"/>
      <c r="CN306" s="117"/>
      <c r="CO306" s="117"/>
      <c r="CP306" s="117"/>
      <c r="CQ306" s="117"/>
      <c r="CR306" s="117"/>
      <c r="CS306" s="117"/>
      <c r="CT306" s="117"/>
      <c r="CU306" s="117"/>
      <c r="CV306" s="117"/>
      <c r="CW306" s="117"/>
      <c r="CX306" s="117"/>
      <c r="CY306" s="117"/>
      <c r="CZ306" s="117"/>
      <c r="DA306" s="117"/>
      <c r="DB306" s="117"/>
      <c r="DC306" s="117"/>
      <c r="DD306" s="117"/>
      <c r="DE306" s="117"/>
      <c r="DF306" s="117"/>
      <c r="DG306" s="117"/>
      <c r="DH306" s="117"/>
      <c r="DI306" s="117"/>
      <c r="DJ306" s="117"/>
      <c r="DK306" s="117"/>
      <c r="DL306" s="117"/>
      <c r="DM306" s="117"/>
      <c r="DN306" s="117"/>
      <c r="DO306" s="117"/>
      <c r="DP306" s="117"/>
      <c r="DQ306" s="117"/>
      <c r="DR306" s="117"/>
      <c r="DS306" s="117"/>
      <c r="DT306" s="117"/>
      <c r="DU306" s="117"/>
      <c r="DV306" s="117"/>
      <c r="DW306" s="117"/>
      <c r="DX306" s="117"/>
      <c r="DY306" s="117"/>
      <c r="DZ306" s="117"/>
      <c r="EA306" s="117"/>
      <c r="EB306" s="117"/>
      <c r="EC306" s="117"/>
      <c r="ED306" s="117"/>
      <c r="EE306" s="117"/>
      <c r="EF306" s="117"/>
      <c r="EG306" s="117"/>
      <c r="EH306" s="117"/>
      <c r="EI306" s="117"/>
      <c r="EJ306" s="117"/>
      <c r="EK306" s="117"/>
      <c r="EL306" s="117"/>
      <c r="EM306" s="117"/>
      <c r="EN306" s="117"/>
      <c r="EO306" s="117"/>
      <c r="EP306" s="117"/>
      <c r="EQ306" s="117"/>
      <c r="ER306" s="117"/>
      <c r="ES306" s="117"/>
      <c r="ET306" s="117"/>
      <c r="EU306" s="117"/>
      <c r="EV306" s="117"/>
      <c r="EW306" s="117"/>
      <c r="EX306" s="117"/>
      <c r="EY306" s="117"/>
      <c r="EZ306" s="117"/>
      <c r="FA306" s="117"/>
      <c r="FB306" s="117"/>
      <c r="FC306" s="117"/>
      <c r="FD306" s="117"/>
      <c r="FE306" s="117"/>
      <c r="FF306" s="117"/>
      <c r="FG306" s="117"/>
      <c r="FH306" s="117"/>
      <c r="FI306" s="117"/>
      <c r="FJ306" s="117"/>
      <c r="FK306" s="117"/>
      <c r="FL306" s="117"/>
      <c r="FM306" s="117"/>
      <c r="FN306" s="117"/>
      <c r="FO306" s="117"/>
      <c r="FP306" s="117"/>
      <c r="FQ306" s="117"/>
      <c r="FR306" s="117"/>
      <c r="FS306" s="117"/>
      <c r="FT306" s="117"/>
      <c r="FU306" s="117"/>
      <c r="FV306" s="117"/>
      <c r="FW306" s="117"/>
      <c r="FX306" s="117"/>
      <c r="FY306" s="117"/>
      <c r="FZ306" s="117"/>
      <c r="GA306" s="117"/>
      <c r="GB306" s="117"/>
      <c r="GC306" s="117"/>
      <c r="GD306" s="117"/>
      <c r="GE306" s="117"/>
      <c r="GF306" s="117"/>
      <c r="GG306" s="117"/>
      <c r="GH306" s="117"/>
      <c r="GI306" s="117"/>
      <c r="GJ306" s="117"/>
      <c r="GK306" s="117"/>
      <c r="GL306" s="117"/>
      <c r="GM306" s="117"/>
      <c r="GN306" s="117"/>
      <c r="GO306" s="117"/>
      <c r="GP306" s="117"/>
      <c r="GQ306" s="117"/>
      <c r="GR306" s="117"/>
      <c r="GS306" s="117"/>
      <c r="GT306" s="117"/>
      <c r="GU306" s="117"/>
      <c r="GV306" s="117"/>
      <c r="GW306" s="117"/>
      <c r="GX306" s="117"/>
      <c r="GY306" s="117"/>
      <c r="GZ306" s="117"/>
      <c r="HA306" s="117"/>
      <c r="HB306" s="117"/>
      <c r="HC306" s="117"/>
      <c r="HD306" s="117"/>
      <c r="HE306" s="117"/>
      <c r="HF306" s="117"/>
      <c r="HG306" s="117"/>
      <c r="HH306" s="117"/>
      <c r="HI306" s="117"/>
      <c r="HJ306" s="117"/>
      <c r="HK306" s="117"/>
      <c r="HL306" s="117"/>
      <c r="HM306" s="117"/>
      <c r="HN306" s="117"/>
      <c r="HO306" s="117"/>
      <c r="HP306" s="117"/>
      <c r="HQ306" s="117"/>
      <c r="HR306" s="117"/>
      <c r="HS306" s="117"/>
      <c r="HT306" s="117"/>
      <c r="HU306" s="117"/>
      <c r="HV306" s="117"/>
      <c r="HW306" s="117"/>
      <c r="HX306" s="117"/>
      <c r="HY306" s="117"/>
      <c r="HZ306" s="117"/>
      <c r="IA306" s="117"/>
      <c r="IB306" s="117"/>
      <c r="IC306" s="117"/>
      <c r="ID306" s="117"/>
      <c r="IE306" s="117"/>
      <c r="IF306" s="117"/>
      <c r="IG306" s="117"/>
      <c r="IH306" s="117"/>
      <c r="II306" s="117"/>
      <c r="IJ306" s="117"/>
      <c r="IK306" s="117"/>
      <c r="IL306" s="117"/>
      <c r="IM306" s="117"/>
      <c r="IN306" s="117"/>
      <c r="IO306" s="117"/>
      <c r="IP306" s="117"/>
      <c r="IQ306" s="117"/>
      <c r="IR306" s="117"/>
      <c r="IS306" s="117"/>
      <c r="IT306" s="117"/>
      <c r="IU306" s="117"/>
      <c r="IV306" s="117"/>
      <c r="IW306" s="117"/>
      <c r="IX306" s="117"/>
      <c r="IY306" s="117"/>
      <c r="IZ306" s="117"/>
      <c r="JA306" s="117"/>
      <c r="JB306" s="117"/>
      <c r="JC306" s="117"/>
      <c r="JD306" s="117"/>
      <c r="JE306" s="117"/>
      <c r="JF306" s="117"/>
      <c r="JG306" s="117"/>
      <c r="JH306" s="117"/>
      <c r="JI306" s="117"/>
      <c r="JJ306" s="117"/>
      <c r="JK306" s="117"/>
      <c r="JL306" s="117"/>
      <c r="JM306" s="117"/>
      <c r="JN306" s="117"/>
      <c r="JO306" s="117"/>
      <c r="JP306" s="117"/>
      <c r="JQ306" s="117"/>
      <c r="JR306" s="117"/>
      <c r="JS306" s="117"/>
      <c r="JT306" s="117"/>
      <c r="JU306" s="117"/>
      <c r="JV306" s="117"/>
      <c r="JW306" s="117"/>
      <c r="JX306" s="117"/>
      <c r="JY306" s="117"/>
      <c r="JZ306" s="117"/>
      <c r="KA306" s="117"/>
      <c r="KB306" s="117"/>
      <c r="KC306" s="117"/>
      <c r="KD306" s="117"/>
      <c r="KE306" s="117"/>
      <c r="KF306" s="117"/>
      <c r="KG306" s="117"/>
      <c r="KH306" s="117"/>
      <c r="KI306" s="117"/>
      <c r="KJ306" s="117"/>
      <c r="KK306" s="117"/>
      <c r="KL306" s="117"/>
      <c r="KM306" s="117"/>
      <c r="KN306" s="117"/>
      <c r="KO306" s="117"/>
      <c r="KP306" s="117"/>
      <c r="KQ306" s="117"/>
      <c r="KR306" s="117"/>
      <c r="KS306" s="117"/>
      <c r="KT306" s="117"/>
      <c r="KU306" s="117"/>
      <c r="KV306" s="117"/>
      <c r="KW306" s="117"/>
      <c r="KX306" s="117"/>
      <c r="KY306" s="117"/>
      <c r="KZ306" s="117"/>
      <c r="LA306" s="117"/>
      <c r="LB306" s="117"/>
      <c r="LC306" s="117"/>
      <c r="LD306" s="117"/>
      <c r="LE306" s="117"/>
      <c r="LF306" s="117"/>
      <c r="LG306" s="117"/>
      <c r="LH306" s="117"/>
      <c r="LI306" s="117"/>
      <c r="LJ306" s="117"/>
      <c r="LK306" s="117"/>
      <c r="LL306" s="117"/>
      <c r="LM306" s="117"/>
      <c r="LN306" s="117"/>
      <c r="LO306" s="117"/>
      <c r="LP306" s="117"/>
      <c r="LQ306" s="117"/>
      <c r="LR306" s="117"/>
      <c r="LS306" s="117"/>
      <c r="LT306" s="117"/>
      <c r="LU306" s="117"/>
      <c r="LV306" s="117"/>
      <c r="LW306" s="117"/>
      <c r="LX306" s="117"/>
      <c r="LY306" s="117"/>
      <c r="LZ306" s="117"/>
      <c r="MA306" s="117"/>
      <c r="MB306" s="117"/>
      <c r="MC306" s="117"/>
      <c r="MD306" s="117"/>
      <c r="ME306" s="117"/>
      <c r="MF306" s="117"/>
      <c r="MG306" s="117"/>
      <c r="MH306" s="117"/>
      <c r="MI306" s="117"/>
      <c r="MJ306" s="117"/>
      <c r="MK306" s="117"/>
      <c r="ML306" s="117"/>
      <c r="MM306" s="117"/>
      <c r="MN306" s="117"/>
      <c r="MO306" s="117"/>
      <c r="MP306" s="117"/>
      <c r="MQ306" s="117"/>
      <c r="MR306" s="117"/>
      <c r="MS306" s="117"/>
      <c r="MT306" s="117"/>
      <c r="MU306" s="117"/>
      <c r="MV306" s="117"/>
      <c r="MW306" s="117"/>
      <c r="MX306" s="117"/>
      <c r="MY306" s="117"/>
      <c r="MZ306" s="117"/>
      <c r="NA306" s="117"/>
      <c r="NB306" s="117"/>
      <c r="NC306" s="117"/>
      <c r="ND306" s="117"/>
      <c r="NE306" s="117"/>
      <c r="NF306" s="117"/>
      <c r="NG306" s="117"/>
      <c r="NH306" s="117"/>
      <c r="NI306" s="117"/>
      <c r="NJ306" s="117"/>
      <c r="NK306" s="117"/>
      <c r="NL306" s="117"/>
      <c r="NM306" s="117"/>
      <c r="NN306" s="117"/>
      <c r="NO306" s="117"/>
      <c r="NP306" s="117"/>
      <c r="NQ306" s="117"/>
      <c r="NR306" s="117"/>
      <c r="NS306" s="117"/>
      <c r="NT306" s="117"/>
      <c r="NU306" s="117"/>
      <c r="NV306" s="117"/>
      <c r="NW306" s="117"/>
      <c r="NX306" s="117"/>
      <c r="NY306" s="117"/>
      <c r="NZ306" s="117"/>
      <c r="OA306" s="117"/>
      <c r="OB306" s="117"/>
      <c r="OC306" s="117"/>
      <c r="OD306" s="117"/>
      <c r="OE306" s="117"/>
      <c r="OF306" s="117"/>
      <c r="OG306" s="117"/>
      <c r="OH306" s="117"/>
      <c r="OI306" s="117"/>
      <c r="OJ306" s="117"/>
      <c r="OK306" s="117"/>
      <c r="OL306" s="117"/>
      <c r="OM306" s="117"/>
      <c r="ON306" s="117"/>
      <c r="OO306" s="117"/>
      <c r="OP306" s="117"/>
      <c r="OQ306" s="117"/>
      <c r="OR306" s="117"/>
      <c r="OS306" s="117"/>
      <c r="OT306" s="117"/>
      <c r="OU306" s="117"/>
      <c r="OV306" s="117"/>
      <c r="OW306" s="117"/>
      <c r="OX306" s="117"/>
      <c r="OY306" s="117"/>
      <c r="OZ306" s="117"/>
      <c r="PA306" s="117"/>
      <c r="PB306" s="117"/>
      <c r="PC306" s="117"/>
      <c r="PD306" s="117"/>
      <c r="PE306" s="117"/>
      <c r="PF306" s="117"/>
      <c r="PG306" s="117"/>
      <c r="PH306" s="117"/>
      <c r="PI306" s="117"/>
      <c r="PJ306" s="117"/>
      <c r="PK306" s="117"/>
      <c r="PL306" s="117"/>
      <c r="PM306" s="117"/>
      <c r="PN306" s="117"/>
      <c r="PO306" s="117"/>
      <c r="PP306" s="117"/>
      <c r="PQ306" s="117"/>
      <c r="PR306" s="117"/>
      <c r="PS306" s="117"/>
      <c r="PT306" s="117"/>
      <c r="PU306" s="117"/>
      <c r="PV306" s="117"/>
      <c r="PW306" s="117"/>
      <c r="PX306" s="117"/>
      <c r="PY306" s="117"/>
      <c r="PZ306" s="117"/>
      <c r="QA306" s="117"/>
      <c r="QB306" s="117"/>
      <c r="QC306" s="117"/>
      <c r="QD306" s="117"/>
      <c r="QE306" s="117"/>
      <c r="QF306" s="117"/>
      <c r="QG306" s="117"/>
      <c r="QH306" s="117"/>
      <c r="QI306" s="117"/>
      <c r="QJ306" s="117"/>
      <c r="QK306" s="117"/>
      <c r="QL306" s="117"/>
      <c r="QM306" s="117"/>
      <c r="QN306" s="117"/>
      <c r="QO306" s="117"/>
      <c r="QP306" s="117"/>
      <c r="QQ306" s="117"/>
      <c r="QR306" s="117"/>
      <c r="QS306" s="117"/>
      <c r="QT306" s="117"/>
      <c r="QU306" s="117"/>
      <c r="QV306" s="117"/>
      <c r="QW306" s="117"/>
      <c r="QX306" s="117"/>
      <c r="QY306" s="117"/>
      <c r="QZ306" s="117"/>
      <c r="RA306" s="117"/>
      <c r="RB306" s="117"/>
      <c r="RC306" s="117"/>
      <c r="RD306" s="117"/>
      <c r="RE306" s="117"/>
      <c r="RF306" s="117"/>
      <c r="RG306" s="117"/>
      <c r="RH306" s="117"/>
      <c r="RI306" s="117"/>
      <c r="RJ306" s="117"/>
      <c r="RK306" s="117"/>
      <c r="RL306" s="117"/>
      <c r="RM306" s="117"/>
      <c r="RN306" s="117"/>
      <c r="RO306" s="117"/>
      <c r="RP306" s="117"/>
      <c r="RQ306" s="117"/>
      <c r="RR306" s="117"/>
      <c r="RS306" s="117"/>
      <c r="RT306" s="117"/>
      <c r="RU306" s="117"/>
      <c r="RV306" s="117"/>
      <c r="RW306" s="117"/>
      <c r="RX306" s="117"/>
      <c r="RY306" s="117"/>
      <c r="RZ306" s="117"/>
      <c r="SA306" s="117"/>
      <c r="SB306" s="117"/>
      <c r="SC306" s="117"/>
      <c r="SD306" s="117"/>
      <c r="SE306" s="117"/>
      <c r="SF306" s="117"/>
      <c r="SG306" s="117"/>
      <c r="SH306" s="117"/>
      <c r="SI306" s="117"/>
      <c r="SJ306" s="117"/>
      <c r="SK306" s="117"/>
      <c r="SL306" s="117"/>
      <c r="SM306" s="117"/>
      <c r="SN306" s="117"/>
      <c r="SO306" s="117"/>
      <c r="SP306" s="117"/>
      <c r="SQ306" s="117"/>
      <c r="SR306" s="117"/>
      <c r="SS306" s="117"/>
      <c r="ST306" s="117"/>
      <c r="SU306" s="117"/>
      <c r="SV306" s="117"/>
      <c r="SW306" s="117"/>
      <c r="SX306" s="117"/>
      <c r="SY306" s="117"/>
      <c r="SZ306" s="117"/>
      <c r="TA306" s="117"/>
      <c r="TB306" s="117"/>
      <c r="TC306" s="117"/>
      <c r="TD306" s="117"/>
      <c r="TE306" s="117"/>
      <c r="TF306" s="117"/>
      <c r="TG306" s="117"/>
      <c r="TH306" s="117"/>
      <c r="TI306" s="117"/>
      <c r="TJ306" s="117"/>
      <c r="TK306" s="117"/>
      <c r="TL306" s="117"/>
      <c r="TM306" s="117"/>
      <c r="TN306" s="117"/>
      <c r="TO306" s="117"/>
      <c r="TP306" s="117"/>
      <c r="TQ306" s="117"/>
      <c r="TR306" s="117"/>
      <c r="TS306" s="117"/>
      <c r="TT306" s="117"/>
      <c r="TU306" s="117"/>
      <c r="TV306" s="117"/>
      <c r="TW306" s="117"/>
      <c r="TX306" s="117"/>
      <c r="TY306" s="117"/>
      <c r="TZ306" s="117"/>
      <c r="UA306" s="117"/>
      <c r="UB306" s="117"/>
      <c r="UC306" s="117"/>
      <c r="UD306" s="117"/>
      <c r="UE306" s="117"/>
      <c r="UF306" s="117"/>
      <c r="UG306" s="117"/>
      <c r="UH306" s="117"/>
      <c r="UI306" s="117"/>
      <c r="UJ306" s="117"/>
      <c r="UK306" s="117"/>
      <c r="UL306" s="117"/>
      <c r="UM306" s="117"/>
      <c r="UN306" s="117"/>
      <c r="UO306" s="117"/>
      <c r="UP306" s="117"/>
      <c r="UQ306" s="117"/>
      <c r="UR306" s="117"/>
      <c r="US306" s="117"/>
      <c r="UT306" s="117"/>
      <c r="UU306" s="117"/>
      <c r="UV306" s="117"/>
      <c r="UW306" s="117"/>
      <c r="UX306" s="117"/>
      <c r="UY306" s="117"/>
      <c r="UZ306" s="117"/>
      <c r="VA306" s="117"/>
      <c r="VB306" s="117"/>
      <c r="VC306" s="117"/>
      <c r="VD306" s="117"/>
      <c r="VE306" s="117"/>
      <c r="VF306" s="117"/>
      <c r="VG306" s="117"/>
      <c r="VH306" s="117"/>
      <c r="VI306" s="117"/>
      <c r="VJ306" s="117"/>
      <c r="VK306" s="117"/>
      <c r="VL306" s="117"/>
      <c r="VM306" s="117"/>
      <c r="VN306" s="117"/>
      <c r="VO306" s="117"/>
      <c r="VP306" s="117"/>
      <c r="VQ306" s="117"/>
      <c r="VR306" s="117"/>
      <c r="VS306" s="117"/>
      <c r="VT306" s="117"/>
      <c r="VU306" s="117"/>
      <c r="VV306" s="117"/>
      <c r="VW306" s="117"/>
      <c r="VX306" s="117"/>
      <c r="VY306" s="117"/>
      <c r="VZ306" s="117"/>
      <c r="WA306" s="117"/>
      <c r="WB306" s="117"/>
      <c r="WC306" s="117"/>
      <c r="WD306" s="117"/>
      <c r="WE306" s="117"/>
      <c r="WF306" s="117"/>
      <c r="WG306" s="117"/>
      <c r="WH306" s="117"/>
      <c r="WI306" s="117"/>
      <c r="WJ306" s="117"/>
      <c r="WK306" s="117"/>
      <c r="WL306" s="117"/>
      <c r="WM306" s="117"/>
      <c r="WN306" s="117"/>
      <c r="WO306" s="117"/>
      <c r="WP306" s="117"/>
      <c r="WQ306" s="117"/>
      <c r="WR306" s="117"/>
      <c r="WS306" s="117"/>
      <c r="WT306" s="117"/>
      <c r="WU306" s="117"/>
      <c r="WV306" s="117"/>
      <c r="WW306" s="117"/>
      <c r="WX306" s="117"/>
      <c r="WY306" s="117"/>
      <c r="WZ306" s="117"/>
      <c r="XA306" s="117"/>
      <c r="XB306" s="117"/>
      <c r="XC306" s="117"/>
      <c r="XD306" s="117"/>
      <c r="XE306" s="117"/>
      <c r="XF306" s="117"/>
      <c r="XG306" s="117"/>
      <c r="XH306" s="117"/>
      <c r="XI306" s="117"/>
      <c r="XJ306" s="117"/>
      <c r="XK306" s="117"/>
      <c r="XL306" s="117"/>
      <c r="XM306" s="117"/>
      <c r="XN306" s="117"/>
      <c r="XO306" s="117"/>
      <c r="XP306" s="117"/>
      <c r="XQ306" s="117"/>
      <c r="XR306" s="117"/>
      <c r="XS306" s="117"/>
      <c r="XT306" s="117"/>
      <c r="XU306" s="117"/>
      <c r="XV306" s="117"/>
      <c r="XW306" s="117"/>
      <c r="XX306" s="117"/>
      <c r="XY306" s="117"/>
      <c r="XZ306" s="117"/>
      <c r="YA306" s="117"/>
      <c r="YB306" s="117"/>
      <c r="YC306" s="117"/>
      <c r="YD306" s="117"/>
      <c r="YE306" s="117"/>
      <c r="YF306" s="117"/>
      <c r="YG306" s="117"/>
      <c r="YH306" s="117"/>
      <c r="YI306" s="117"/>
      <c r="YJ306" s="117"/>
      <c r="YK306" s="117"/>
      <c r="YL306" s="117"/>
      <c r="YM306" s="117"/>
      <c r="YN306" s="117"/>
      <c r="YO306" s="117"/>
      <c r="YP306" s="117"/>
      <c r="YQ306" s="117"/>
      <c r="YR306" s="117"/>
      <c r="YS306" s="117"/>
      <c r="YT306" s="117"/>
      <c r="YU306" s="117"/>
      <c r="YV306" s="117"/>
      <c r="YW306" s="117"/>
      <c r="YX306" s="117"/>
      <c r="YY306" s="117"/>
      <c r="YZ306" s="117"/>
      <c r="ZA306" s="117"/>
      <c r="ZB306" s="117"/>
      <c r="ZC306" s="117"/>
      <c r="ZD306" s="117"/>
      <c r="ZE306" s="117"/>
      <c r="ZF306" s="117"/>
      <c r="ZG306" s="117"/>
      <c r="ZH306" s="117"/>
      <c r="ZI306" s="117"/>
      <c r="ZJ306" s="117"/>
      <c r="ZK306" s="117"/>
      <c r="ZL306" s="117"/>
      <c r="ZM306" s="117"/>
      <c r="ZN306" s="117"/>
      <c r="ZO306" s="117"/>
      <c r="ZP306" s="117"/>
      <c r="ZQ306" s="117"/>
      <c r="ZR306" s="117"/>
      <c r="ZS306" s="117"/>
      <c r="ZT306" s="117"/>
      <c r="ZU306" s="117"/>
      <c r="ZV306" s="117"/>
      <c r="ZW306" s="117"/>
      <c r="ZX306" s="117"/>
      <c r="ZY306" s="117"/>
      <c r="ZZ306" s="117"/>
      <c r="AAA306" s="117"/>
      <c r="AAB306" s="117"/>
      <c r="AAC306" s="117"/>
      <c r="AAD306" s="117"/>
      <c r="AAE306" s="117"/>
      <c r="AAF306" s="117"/>
      <c r="AAG306" s="117"/>
      <c r="AAH306" s="117"/>
      <c r="AAI306" s="117"/>
      <c r="AAJ306" s="117"/>
      <c r="AAK306" s="117"/>
      <c r="AAL306" s="117"/>
      <c r="AAM306" s="117"/>
      <c r="AAN306" s="117"/>
      <c r="AAO306" s="117"/>
      <c r="AAP306" s="117"/>
      <c r="AAQ306" s="117"/>
      <c r="AAR306" s="117"/>
      <c r="AAS306" s="117"/>
      <c r="AAT306" s="117"/>
      <c r="AAU306" s="117"/>
      <c r="AAV306" s="117"/>
      <c r="AAW306" s="117"/>
      <c r="AAX306" s="117"/>
      <c r="AAY306" s="117"/>
      <c r="AAZ306" s="117"/>
      <c r="ABA306" s="117"/>
      <c r="ABB306" s="117"/>
      <c r="ABC306" s="117"/>
      <c r="ABD306" s="117"/>
      <c r="ABE306" s="117"/>
      <c r="ABF306" s="117"/>
      <c r="ABG306" s="117"/>
      <c r="ABH306" s="117"/>
      <c r="ABI306" s="117"/>
      <c r="ABJ306" s="117"/>
      <c r="ABK306" s="117"/>
      <c r="ABL306" s="117"/>
      <c r="ABM306" s="117"/>
      <c r="ABN306" s="117"/>
      <c r="ABO306" s="117"/>
      <c r="ABP306" s="117"/>
      <c r="ABQ306" s="117"/>
      <c r="ABR306" s="117"/>
      <c r="ABS306" s="117"/>
      <c r="ABT306" s="117"/>
      <c r="ABU306" s="117"/>
      <c r="ABV306" s="117"/>
      <c r="ABW306" s="117"/>
      <c r="ABX306" s="117"/>
      <c r="ABY306" s="117"/>
      <c r="ABZ306" s="117"/>
      <c r="ACA306" s="117"/>
      <c r="ACB306" s="117"/>
      <c r="ACC306" s="117"/>
      <c r="ACD306" s="117"/>
      <c r="ACE306" s="117"/>
      <c r="ACF306" s="117"/>
      <c r="ACG306" s="117"/>
      <c r="ACH306" s="117"/>
      <c r="ACI306" s="117"/>
      <c r="ACJ306" s="117"/>
      <c r="ACK306" s="117"/>
      <c r="ACL306" s="117"/>
      <c r="ACM306" s="117"/>
      <c r="ACN306" s="117"/>
      <c r="ACO306" s="117"/>
      <c r="ACP306" s="117"/>
      <c r="ACQ306" s="117"/>
      <c r="ACR306" s="117"/>
      <c r="ACS306" s="117"/>
      <c r="ACT306" s="117"/>
      <c r="ACU306" s="117"/>
      <c r="ACV306" s="117"/>
      <c r="ACW306" s="117"/>
      <c r="ACX306" s="117"/>
      <c r="ACY306" s="117"/>
      <c r="ACZ306" s="117"/>
      <c r="ADA306" s="117"/>
      <c r="ADB306" s="117"/>
      <c r="ADC306" s="117"/>
      <c r="ADD306" s="117"/>
      <c r="ADE306" s="117"/>
      <c r="ADF306" s="117"/>
      <c r="ADG306" s="117"/>
      <c r="ADH306" s="117"/>
      <c r="ADI306" s="117"/>
      <c r="ADJ306" s="117"/>
      <c r="ADK306" s="117"/>
      <c r="ADL306" s="117"/>
      <c r="ADM306" s="117"/>
      <c r="ADN306" s="117"/>
      <c r="ADO306" s="117"/>
      <c r="ADP306" s="117"/>
      <c r="ADQ306" s="117"/>
      <c r="ADR306" s="117"/>
      <c r="ADS306" s="117"/>
      <c r="ADT306" s="117"/>
      <c r="ADU306" s="117"/>
      <c r="ADV306" s="117"/>
      <c r="ADW306" s="117"/>
      <c r="ADX306" s="117"/>
      <c r="ADY306" s="117"/>
      <c r="ADZ306" s="117"/>
      <c r="AEA306" s="117"/>
      <c r="AEB306" s="117"/>
      <c r="AEC306" s="117"/>
      <c r="AED306" s="117"/>
      <c r="AEE306" s="117"/>
      <c r="AEF306" s="117"/>
      <c r="AEG306" s="117"/>
      <c r="AEH306" s="117"/>
      <c r="AEI306" s="117"/>
      <c r="AEJ306" s="117"/>
      <c r="AEK306" s="117"/>
      <c r="AEL306" s="117"/>
      <c r="AEM306" s="117"/>
      <c r="AEN306" s="117"/>
      <c r="AEO306" s="117"/>
      <c r="AEP306" s="117"/>
      <c r="AEQ306" s="117"/>
      <c r="AER306" s="117"/>
      <c r="AES306" s="117"/>
      <c r="AET306" s="117"/>
      <c r="AEU306" s="117"/>
      <c r="AEV306" s="117"/>
      <c r="AEW306" s="117"/>
      <c r="AEX306" s="117"/>
      <c r="AEY306" s="117"/>
      <c r="AEZ306" s="117"/>
      <c r="AFA306" s="117"/>
      <c r="AFB306" s="117"/>
      <c r="AFC306" s="117"/>
      <c r="AFD306" s="117"/>
      <c r="AFE306" s="117"/>
      <c r="AFF306" s="117"/>
      <c r="AFG306" s="117"/>
      <c r="AFH306" s="117"/>
      <c r="AFI306" s="117"/>
      <c r="AFJ306" s="117"/>
      <c r="AFK306" s="117"/>
      <c r="AFL306" s="117"/>
      <c r="AFM306" s="117"/>
      <c r="AFN306" s="117"/>
      <c r="AFO306" s="117"/>
      <c r="AFP306" s="117"/>
      <c r="AFQ306" s="117"/>
      <c r="AFR306" s="117"/>
      <c r="AFS306" s="117"/>
      <c r="AFT306" s="117"/>
      <c r="AFU306" s="117"/>
      <c r="AFV306" s="117"/>
      <c r="AFW306" s="117"/>
      <c r="AFX306" s="117"/>
      <c r="AFY306" s="117"/>
      <c r="AFZ306" s="117"/>
      <c r="AGA306" s="117"/>
      <c r="AGB306" s="117"/>
      <c r="AGC306" s="117"/>
      <c r="AGD306" s="117"/>
      <c r="AGE306" s="117"/>
      <c r="AGF306" s="117"/>
      <c r="AGG306" s="117"/>
      <c r="AGH306" s="117"/>
      <c r="AGI306" s="117"/>
      <c r="AGJ306" s="117"/>
      <c r="AGK306" s="117"/>
      <c r="AGL306" s="117"/>
      <c r="AGM306" s="117"/>
      <c r="AGN306" s="117"/>
      <c r="AGO306" s="117"/>
      <c r="AGP306" s="117"/>
      <c r="AGQ306" s="117"/>
      <c r="AGR306" s="117"/>
      <c r="AGS306" s="117"/>
      <c r="AGT306" s="117"/>
      <c r="AGU306" s="117"/>
      <c r="AGV306" s="117"/>
      <c r="AGW306" s="117"/>
      <c r="AGX306" s="117"/>
      <c r="AGY306" s="117"/>
      <c r="AGZ306" s="117"/>
      <c r="AHA306" s="117"/>
      <c r="AHB306" s="117"/>
      <c r="AHC306" s="117"/>
      <c r="AHD306" s="117"/>
      <c r="AHE306" s="117"/>
      <c r="AHF306" s="117"/>
      <c r="AHG306" s="117"/>
      <c r="AHH306" s="117"/>
      <c r="AHI306" s="117"/>
      <c r="AHJ306" s="117"/>
      <c r="AHK306" s="117"/>
      <c r="AHL306" s="117"/>
      <c r="AHM306" s="117"/>
      <c r="AHN306" s="117"/>
      <c r="AHO306" s="117"/>
      <c r="AHP306" s="117"/>
      <c r="AHQ306" s="117"/>
      <c r="AHR306" s="117"/>
      <c r="AHS306" s="117"/>
      <c r="AHT306" s="117"/>
      <c r="AHU306" s="117"/>
      <c r="AHV306" s="117"/>
      <c r="AHW306" s="117"/>
      <c r="AHX306" s="117"/>
      <c r="AHY306" s="117"/>
      <c r="AHZ306" s="117"/>
      <c r="AIA306" s="117"/>
      <c r="AIB306" s="117"/>
      <c r="AIC306" s="117"/>
      <c r="AID306" s="117"/>
      <c r="AIE306" s="117"/>
      <c r="AIF306" s="117"/>
      <c r="AIG306" s="117"/>
      <c r="AIH306" s="117"/>
      <c r="AII306" s="117"/>
      <c r="AIJ306" s="117"/>
      <c r="AIK306" s="117"/>
      <c r="AIL306" s="117"/>
      <c r="AIM306" s="117"/>
      <c r="AIN306" s="117"/>
      <c r="AIO306" s="117"/>
      <c r="AIP306" s="117"/>
      <c r="AIQ306" s="117"/>
      <c r="AIR306" s="117"/>
      <c r="AIS306" s="117"/>
      <c r="AIT306" s="117"/>
      <c r="AIU306" s="117"/>
      <c r="AIV306" s="117"/>
      <c r="AIW306" s="117"/>
      <c r="AIX306" s="117"/>
      <c r="AIY306" s="117"/>
      <c r="AIZ306" s="117"/>
      <c r="AJA306" s="117"/>
      <c r="AJB306" s="117"/>
      <c r="AJC306" s="117"/>
      <c r="AJD306" s="117"/>
      <c r="AJE306" s="117"/>
      <c r="AJF306" s="117"/>
      <c r="AJG306" s="117"/>
      <c r="AJH306" s="117"/>
      <c r="AJI306" s="117"/>
      <c r="AJJ306" s="117"/>
      <c r="AJK306" s="117"/>
      <c r="AJL306" s="117"/>
      <c r="AJM306" s="117"/>
      <c r="AJN306" s="117"/>
      <c r="AJO306" s="117"/>
      <c r="AJP306" s="117"/>
      <c r="AJQ306" s="117"/>
      <c r="AJR306" s="117"/>
      <c r="AJS306" s="117"/>
      <c r="AJT306" s="117"/>
      <c r="AJU306" s="117"/>
      <c r="AJV306" s="117"/>
      <c r="AJW306" s="117"/>
      <c r="AJX306" s="117"/>
      <c r="AJY306" s="117"/>
      <c r="AJZ306" s="117"/>
      <c r="AKA306" s="117"/>
      <c r="AKB306" s="117"/>
      <c r="AKC306" s="117"/>
      <c r="AKD306" s="117"/>
      <c r="AKE306" s="117"/>
      <c r="AKF306" s="117"/>
      <c r="AKG306" s="117"/>
      <c r="AKH306" s="117"/>
      <c r="AKI306" s="117"/>
      <c r="AKJ306" s="117"/>
      <c r="AKK306" s="117"/>
      <c r="AKL306" s="117"/>
      <c r="AKM306" s="117"/>
      <c r="AKN306" s="117"/>
      <c r="AKO306" s="117"/>
      <c r="AKP306" s="117"/>
      <c r="AKQ306" s="117"/>
      <c r="AKR306" s="117"/>
      <c r="AKS306" s="117"/>
      <c r="AKT306" s="117"/>
      <c r="AKU306" s="117"/>
      <c r="AKV306" s="117"/>
      <c r="AKW306" s="117"/>
      <c r="AKX306" s="117"/>
      <c r="AKY306" s="117"/>
      <c r="AKZ306" s="117"/>
      <c r="ALA306" s="117"/>
      <c r="ALB306" s="117"/>
      <c r="ALC306" s="117"/>
      <c r="ALD306" s="117"/>
      <c r="ALE306" s="117"/>
      <c r="ALF306" s="117"/>
      <c r="ALG306" s="117"/>
      <c r="ALH306" s="117"/>
      <c r="ALI306" s="117"/>
      <c r="ALJ306" s="117"/>
      <c r="ALK306" s="117"/>
      <c r="ALL306" s="117"/>
      <c r="ALM306" s="117"/>
      <c r="ALN306" s="117"/>
      <c r="ALO306" s="117"/>
      <c r="ALP306" s="117"/>
      <c r="ALQ306" s="117"/>
      <c r="ALR306" s="117"/>
      <c r="ALS306" s="117"/>
      <c r="ALT306" s="117"/>
      <c r="ALU306" s="117"/>
      <c r="ALV306" s="117"/>
      <c r="ALW306" s="117"/>
      <c r="ALX306" s="117"/>
      <c r="ALY306" s="117"/>
      <c r="ALZ306" s="117"/>
      <c r="AMA306" s="117"/>
      <c r="AMB306" s="117"/>
      <c r="AMC306" s="117"/>
      <c r="AMD306" s="117"/>
      <c r="AME306" s="117"/>
    </row>
    <row r="307" spans="1:1019" s="191" customFormat="1" ht="11.25" customHeight="1">
      <c r="A307" s="157">
        <v>305</v>
      </c>
      <c r="B307" s="157" t="s">
        <v>143</v>
      </c>
      <c r="C307" s="155"/>
      <c r="D307" s="190">
        <v>1</v>
      </c>
      <c r="E307" s="190">
        <f t="shared" si="47"/>
        <v>25</v>
      </c>
      <c r="F307" s="173" t="s">
        <v>509</v>
      </c>
      <c r="G307" s="172">
        <v>155</v>
      </c>
      <c r="H307" s="143">
        <f>INT((G307*Valores!$C$2*100)+0.5)/100</f>
        <v>1447.65</v>
      </c>
      <c r="I307" s="161">
        <v>0</v>
      </c>
      <c r="J307" s="145">
        <f>INT((I307*Valores!$C$2*100)+0.5)/100</f>
        <v>0</v>
      </c>
      <c r="K307" s="160">
        <v>0</v>
      </c>
      <c r="L307" s="145">
        <f>INT((K307*Valores!$C$2*100)+0.5)/100</f>
        <v>0</v>
      </c>
      <c r="M307" s="158">
        <v>0</v>
      </c>
      <c r="N307" s="145">
        <f>INT((M307*Valores!$C$2*100)+0.5)/100</f>
        <v>0</v>
      </c>
      <c r="O307" s="145">
        <f t="shared" si="48"/>
        <v>227.38500000000002</v>
      </c>
      <c r="P307" s="145">
        <f t="shared" si="49"/>
        <v>0</v>
      </c>
      <c r="Q307" s="159">
        <v>0</v>
      </c>
      <c r="R307" s="159">
        <v>0</v>
      </c>
      <c r="S307" s="145">
        <v>0</v>
      </c>
      <c r="T307" s="148">
        <f>IF($H$5="NO",IF(Valores!$C$46*D307&gt;Valores!$C$44,Valores!$C$44,Valores!$C$46*D307),IF(Valores!$C$46*D307&gt;Valores!$C$44,Valores!$C$44,Valores!$C$46*D307)/2)</f>
        <v>68.25</v>
      </c>
      <c r="U307" s="159">
        <v>0</v>
      </c>
      <c r="V307" s="145">
        <f t="shared" si="57"/>
        <v>0</v>
      </c>
      <c r="W307" s="145">
        <v>0</v>
      </c>
      <c r="X307" s="145">
        <v>0</v>
      </c>
      <c r="Y307" s="165">
        <v>0</v>
      </c>
      <c r="Z307" s="145">
        <v>0</v>
      </c>
      <c r="AA307" s="145">
        <v>0</v>
      </c>
      <c r="AB307" s="148"/>
      <c r="AC307" s="150">
        <v>0</v>
      </c>
      <c r="AD307" s="145">
        <f t="shared" si="51"/>
        <v>0</v>
      </c>
      <c r="AE307" s="145">
        <v>0</v>
      </c>
      <c r="AF307" s="149">
        <v>0</v>
      </c>
      <c r="AG307" s="145">
        <f>INT(((AF307*Valores!$C$2)*100)+0.5)/100</f>
        <v>0</v>
      </c>
      <c r="AH307" s="145"/>
      <c r="AI307" s="145"/>
      <c r="AJ307" s="151">
        <f t="shared" si="52"/>
        <v>1743.285</v>
      </c>
      <c r="AK307" s="171"/>
      <c r="AL307" s="148">
        <f>Valores!$C$11*1</f>
        <v>0</v>
      </c>
      <c r="AM307" s="148">
        <v>0</v>
      </c>
      <c r="AN307" s="148"/>
      <c r="AO307" s="150">
        <v>0</v>
      </c>
      <c r="AP307" s="152">
        <f t="shared" si="50"/>
        <v>0</v>
      </c>
      <c r="AQ307" s="154">
        <f>AJ307*-Valores!$C$68</f>
        <v>-191.76135000000002</v>
      </c>
      <c r="AR307" s="154">
        <f>AJ307*-Valores!$C$69</f>
        <v>0</v>
      </c>
      <c r="AS307" s="147">
        <f>AJ307*-Valores!$C$70</f>
        <v>-78.447825</v>
      </c>
      <c r="AT307" s="147">
        <v>-159.43</v>
      </c>
      <c r="AU307" s="147">
        <f t="shared" si="53"/>
        <v>-53.83</v>
      </c>
      <c r="AV307" s="151">
        <f t="shared" si="54"/>
        <v>1259.8158250000001</v>
      </c>
      <c r="AW307" s="155"/>
      <c r="AX307" s="155"/>
      <c r="AY307" s="140" t="s">
        <v>4</v>
      </c>
      <c r="AZ307" s="117"/>
      <c r="BA307" s="117"/>
      <c r="BB307" s="117"/>
      <c r="BC307" s="117"/>
      <c r="BD307" s="117"/>
      <c r="BE307" s="117"/>
      <c r="BF307" s="117"/>
      <c r="BG307" s="117"/>
      <c r="BH307" s="117"/>
      <c r="BI307" s="117"/>
      <c r="BJ307" s="117"/>
      <c r="BK307" s="117"/>
      <c r="BL307" s="117"/>
      <c r="BM307" s="117"/>
      <c r="BN307" s="117"/>
      <c r="BO307" s="117"/>
      <c r="BP307" s="117"/>
      <c r="BQ307" s="117"/>
      <c r="BR307" s="117"/>
      <c r="BS307" s="117"/>
      <c r="BT307" s="117"/>
      <c r="BU307" s="117"/>
      <c r="BV307" s="117"/>
      <c r="BW307" s="117"/>
      <c r="BX307" s="117"/>
      <c r="BY307" s="117"/>
      <c r="BZ307" s="117"/>
      <c r="CA307" s="117"/>
      <c r="CB307" s="117"/>
      <c r="CC307" s="117"/>
      <c r="CD307" s="117"/>
      <c r="CE307" s="117"/>
      <c r="CF307" s="117"/>
      <c r="CG307" s="117"/>
      <c r="CH307" s="117"/>
      <c r="CI307" s="117"/>
      <c r="CJ307" s="117"/>
      <c r="CK307" s="117"/>
      <c r="CL307" s="117"/>
      <c r="CM307" s="117"/>
      <c r="CN307" s="117"/>
      <c r="CO307" s="117"/>
      <c r="CP307" s="117"/>
      <c r="CQ307" s="117"/>
      <c r="CR307" s="117"/>
      <c r="CS307" s="117"/>
      <c r="CT307" s="117"/>
      <c r="CU307" s="117"/>
      <c r="CV307" s="117"/>
      <c r="CW307" s="117"/>
      <c r="CX307" s="117"/>
      <c r="CY307" s="117"/>
      <c r="CZ307" s="117"/>
      <c r="DA307" s="117"/>
      <c r="DB307" s="117"/>
      <c r="DC307" s="117"/>
      <c r="DD307" s="117"/>
      <c r="DE307" s="117"/>
      <c r="DF307" s="117"/>
      <c r="DG307" s="117"/>
      <c r="DH307" s="117"/>
      <c r="DI307" s="117"/>
      <c r="DJ307" s="117"/>
      <c r="DK307" s="117"/>
      <c r="DL307" s="117"/>
      <c r="DM307" s="117"/>
      <c r="DN307" s="117"/>
      <c r="DO307" s="117"/>
      <c r="DP307" s="117"/>
      <c r="DQ307" s="117"/>
      <c r="DR307" s="117"/>
      <c r="DS307" s="117"/>
      <c r="DT307" s="117"/>
      <c r="DU307" s="117"/>
      <c r="DV307" s="117"/>
      <c r="DW307" s="117"/>
      <c r="DX307" s="117"/>
      <c r="DY307" s="117"/>
      <c r="DZ307" s="117"/>
      <c r="EA307" s="117"/>
      <c r="EB307" s="117"/>
      <c r="EC307" s="117"/>
      <c r="ED307" s="117"/>
      <c r="EE307" s="117"/>
      <c r="EF307" s="117"/>
      <c r="EG307" s="117"/>
      <c r="EH307" s="117"/>
      <c r="EI307" s="117"/>
      <c r="EJ307" s="117"/>
      <c r="EK307" s="117"/>
      <c r="EL307" s="117"/>
      <c r="EM307" s="117"/>
      <c r="EN307" s="117"/>
      <c r="EO307" s="117"/>
      <c r="EP307" s="117"/>
      <c r="EQ307" s="117"/>
      <c r="ER307" s="117"/>
      <c r="ES307" s="117"/>
      <c r="ET307" s="117"/>
      <c r="EU307" s="117"/>
      <c r="EV307" s="117"/>
      <c r="EW307" s="117"/>
      <c r="EX307" s="117"/>
      <c r="EY307" s="117"/>
      <c r="EZ307" s="117"/>
      <c r="FA307" s="117"/>
      <c r="FB307" s="117"/>
      <c r="FC307" s="117"/>
      <c r="FD307" s="117"/>
      <c r="FE307" s="117"/>
      <c r="FF307" s="117"/>
      <c r="FG307" s="117"/>
      <c r="FH307" s="117"/>
      <c r="FI307" s="117"/>
      <c r="FJ307" s="117"/>
      <c r="FK307" s="117"/>
      <c r="FL307" s="117"/>
      <c r="FM307" s="117"/>
      <c r="FN307" s="117"/>
      <c r="FO307" s="117"/>
      <c r="FP307" s="117"/>
      <c r="FQ307" s="117"/>
      <c r="FR307" s="117"/>
      <c r="FS307" s="117"/>
      <c r="FT307" s="117"/>
      <c r="FU307" s="117"/>
      <c r="FV307" s="117"/>
      <c r="FW307" s="117"/>
      <c r="FX307" s="117"/>
      <c r="FY307" s="117"/>
      <c r="FZ307" s="117"/>
      <c r="GA307" s="117"/>
      <c r="GB307" s="117"/>
      <c r="GC307" s="117"/>
      <c r="GD307" s="117"/>
      <c r="GE307" s="117"/>
      <c r="GF307" s="117"/>
      <c r="GG307" s="117"/>
      <c r="GH307" s="117"/>
      <c r="GI307" s="117"/>
      <c r="GJ307" s="117"/>
      <c r="GK307" s="117"/>
      <c r="GL307" s="117"/>
      <c r="GM307" s="117"/>
      <c r="GN307" s="117"/>
      <c r="GO307" s="117"/>
      <c r="GP307" s="117"/>
      <c r="GQ307" s="117"/>
      <c r="GR307" s="117"/>
      <c r="GS307" s="117"/>
      <c r="GT307" s="117"/>
      <c r="GU307" s="117"/>
      <c r="GV307" s="117"/>
      <c r="GW307" s="117"/>
      <c r="GX307" s="117"/>
      <c r="GY307" s="117"/>
      <c r="GZ307" s="117"/>
      <c r="HA307" s="117"/>
      <c r="HB307" s="117"/>
      <c r="HC307" s="117"/>
      <c r="HD307" s="117"/>
      <c r="HE307" s="117"/>
      <c r="HF307" s="117"/>
      <c r="HG307" s="117"/>
      <c r="HH307" s="117"/>
      <c r="HI307" s="117"/>
      <c r="HJ307" s="117"/>
      <c r="HK307" s="117"/>
      <c r="HL307" s="117"/>
      <c r="HM307" s="117"/>
      <c r="HN307" s="117"/>
      <c r="HO307" s="117"/>
      <c r="HP307" s="117"/>
      <c r="HQ307" s="117"/>
      <c r="HR307" s="117"/>
      <c r="HS307" s="117"/>
      <c r="HT307" s="117"/>
      <c r="HU307" s="117"/>
      <c r="HV307" s="117"/>
      <c r="HW307" s="117"/>
      <c r="HX307" s="117"/>
      <c r="HY307" s="117"/>
      <c r="HZ307" s="117"/>
      <c r="IA307" s="117"/>
      <c r="IB307" s="117"/>
      <c r="IC307" s="117"/>
      <c r="ID307" s="117"/>
      <c r="IE307" s="117"/>
      <c r="IF307" s="117"/>
      <c r="IG307" s="117"/>
      <c r="IH307" s="117"/>
      <c r="II307" s="117"/>
      <c r="IJ307" s="117"/>
      <c r="IK307" s="117"/>
      <c r="IL307" s="117"/>
      <c r="IM307" s="117"/>
      <c r="IN307" s="117"/>
      <c r="IO307" s="117"/>
      <c r="IP307" s="117"/>
      <c r="IQ307" s="117"/>
      <c r="IR307" s="117"/>
      <c r="IS307" s="117"/>
      <c r="IT307" s="117"/>
      <c r="IU307" s="117"/>
      <c r="IV307" s="117"/>
      <c r="IW307" s="117"/>
      <c r="IX307" s="117"/>
      <c r="IY307" s="117"/>
      <c r="IZ307" s="117"/>
      <c r="JA307" s="117"/>
      <c r="JB307" s="117"/>
      <c r="JC307" s="117"/>
      <c r="JD307" s="117"/>
      <c r="JE307" s="117"/>
      <c r="JF307" s="117"/>
      <c r="JG307" s="117"/>
      <c r="JH307" s="117"/>
      <c r="JI307" s="117"/>
      <c r="JJ307" s="117"/>
      <c r="JK307" s="117"/>
      <c r="JL307" s="117"/>
      <c r="JM307" s="117"/>
      <c r="JN307" s="117"/>
      <c r="JO307" s="117"/>
      <c r="JP307" s="117"/>
      <c r="JQ307" s="117"/>
      <c r="JR307" s="117"/>
      <c r="JS307" s="117"/>
      <c r="JT307" s="117"/>
      <c r="JU307" s="117"/>
      <c r="JV307" s="117"/>
      <c r="JW307" s="117"/>
      <c r="JX307" s="117"/>
      <c r="JY307" s="117"/>
      <c r="JZ307" s="117"/>
      <c r="KA307" s="117"/>
      <c r="KB307" s="117"/>
      <c r="KC307" s="117"/>
      <c r="KD307" s="117"/>
      <c r="KE307" s="117"/>
      <c r="KF307" s="117"/>
      <c r="KG307" s="117"/>
      <c r="KH307" s="117"/>
      <c r="KI307" s="117"/>
      <c r="KJ307" s="117"/>
      <c r="KK307" s="117"/>
      <c r="KL307" s="117"/>
      <c r="KM307" s="117"/>
      <c r="KN307" s="117"/>
      <c r="KO307" s="117"/>
      <c r="KP307" s="117"/>
      <c r="KQ307" s="117"/>
      <c r="KR307" s="117"/>
      <c r="KS307" s="117"/>
      <c r="KT307" s="117"/>
      <c r="KU307" s="117"/>
      <c r="KV307" s="117"/>
      <c r="KW307" s="117"/>
      <c r="KX307" s="117"/>
      <c r="KY307" s="117"/>
      <c r="KZ307" s="117"/>
      <c r="LA307" s="117"/>
      <c r="LB307" s="117"/>
      <c r="LC307" s="117"/>
      <c r="LD307" s="117"/>
      <c r="LE307" s="117"/>
      <c r="LF307" s="117"/>
      <c r="LG307" s="117"/>
      <c r="LH307" s="117"/>
      <c r="LI307" s="117"/>
      <c r="LJ307" s="117"/>
      <c r="LK307" s="117"/>
      <c r="LL307" s="117"/>
      <c r="LM307" s="117"/>
      <c r="LN307" s="117"/>
      <c r="LO307" s="117"/>
      <c r="LP307" s="117"/>
      <c r="LQ307" s="117"/>
      <c r="LR307" s="117"/>
      <c r="LS307" s="117"/>
      <c r="LT307" s="117"/>
      <c r="LU307" s="117"/>
      <c r="LV307" s="117"/>
      <c r="LW307" s="117"/>
      <c r="LX307" s="117"/>
      <c r="LY307" s="117"/>
      <c r="LZ307" s="117"/>
      <c r="MA307" s="117"/>
      <c r="MB307" s="117"/>
      <c r="MC307" s="117"/>
      <c r="MD307" s="117"/>
      <c r="ME307" s="117"/>
      <c r="MF307" s="117"/>
      <c r="MG307" s="117"/>
      <c r="MH307" s="117"/>
      <c r="MI307" s="117"/>
      <c r="MJ307" s="117"/>
      <c r="MK307" s="117"/>
      <c r="ML307" s="117"/>
      <c r="MM307" s="117"/>
      <c r="MN307" s="117"/>
      <c r="MO307" s="117"/>
      <c r="MP307" s="117"/>
      <c r="MQ307" s="117"/>
      <c r="MR307" s="117"/>
      <c r="MS307" s="117"/>
      <c r="MT307" s="117"/>
      <c r="MU307" s="117"/>
      <c r="MV307" s="117"/>
      <c r="MW307" s="117"/>
      <c r="MX307" s="117"/>
      <c r="MY307" s="117"/>
      <c r="MZ307" s="117"/>
      <c r="NA307" s="117"/>
      <c r="NB307" s="117"/>
      <c r="NC307" s="117"/>
      <c r="ND307" s="117"/>
      <c r="NE307" s="117"/>
      <c r="NF307" s="117"/>
      <c r="NG307" s="117"/>
      <c r="NH307" s="117"/>
      <c r="NI307" s="117"/>
      <c r="NJ307" s="117"/>
      <c r="NK307" s="117"/>
      <c r="NL307" s="117"/>
      <c r="NM307" s="117"/>
      <c r="NN307" s="117"/>
      <c r="NO307" s="117"/>
      <c r="NP307" s="117"/>
      <c r="NQ307" s="117"/>
      <c r="NR307" s="117"/>
      <c r="NS307" s="117"/>
      <c r="NT307" s="117"/>
      <c r="NU307" s="117"/>
      <c r="NV307" s="117"/>
      <c r="NW307" s="117"/>
      <c r="NX307" s="117"/>
      <c r="NY307" s="117"/>
      <c r="NZ307" s="117"/>
      <c r="OA307" s="117"/>
      <c r="OB307" s="117"/>
      <c r="OC307" s="117"/>
      <c r="OD307" s="117"/>
      <c r="OE307" s="117"/>
      <c r="OF307" s="117"/>
      <c r="OG307" s="117"/>
      <c r="OH307" s="117"/>
      <c r="OI307" s="117"/>
      <c r="OJ307" s="117"/>
      <c r="OK307" s="117"/>
      <c r="OL307" s="117"/>
      <c r="OM307" s="117"/>
      <c r="ON307" s="117"/>
      <c r="OO307" s="117"/>
      <c r="OP307" s="117"/>
      <c r="OQ307" s="117"/>
      <c r="OR307" s="117"/>
      <c r="OS307" s="117"/>
      <c r="OT307" s="117"/>
      <c r="OU307" s="117"/>
      <c r="OV307" s="117"/>
      <c r="OW307" s="117"/>
      <c r="OX307" s="117"/>
      <c r="OY307" s="117"/>
      <c r="OZ307" s="117"/>
      <c r="PA307" s="117"/>
      <c r="PB307" s="117"/>
      <c r="PC307" s="117"/>
      <c r="PD307" s="117"/>
      <c r="PE307" s="117"/>
      <c r="PF307" s="117"/>
      <c r="PG307" s="117"/>
      <c r="PH307" s="117"/>
      <c r="PI307" s="117"/>
      <c r="PJ307" s="117"/>
      <c r="PK307" s="117"/>
      <c r="PL307" s="117"/>
      <c r="PM307" s="117"/>
      <c r="PN307" s="117"/>
      <c r="PO307" s="117"/>
      <c r="PP307" s="117"/>
      <c r="PQ307" s="117"/>
      <c r="PR307" s="117"/>
      <c r="PS307" s="117"/>
      <c r="PT307" s="117"/>
      <c r="PU307" s="117"/>
      <c r="PV307" s="117"/>
      <c r="PW307" s="117"/>
      <c r="PX307" s="117"/>
      <c r="PY307" s="117"/>
      <c r="PZ307" s="117"/>
      <c r="QA307" s="117"/>
      <c r="QB307" s="117"/>
      <c r="QC307" s="117"/>
      <c r="QD307" s="117"/>
      <c r="QE307" s="117"/>
      <c r="QF307" s="117"/>
      <c r="QG307" s="117"/>
      <c r="QH307" s="117"/>
      <c r="QI307" s="117"/>
      <c r="QJ307" s="117"/>
      <c r="QK307" s="117"/>
      <c r="QL307" s="117"/>
      <c r="QM307" s="117"/>
      <c r="QN307" s="117"/>
      <c r="QO307" s="117"/>
      <c r="QP307" s="117"/>
      <c r="QQ307" s="117"/>
      <c r="QR307" s="117"/>
      <c r="QS307" s="117"/>
      <c r="QT307" s="117"/>
      <c r="QU307" s="117"/>
      <c r="QV307" s="117"/>
      <c r="QW307" s="117"/>
      <c r="QX307" s="117"/>
      <c r="QY307" s="117"/>
      <c r="QZ307" s="117"/>
      <c r="RA307" s="117"/>
      <c r="RB307" s="117"/>
      <c r="RC307" s="117"/>
      <c r="RD307" s="117"/>
      <c r="RE307" s="117"/>
      <c r="RF307" s="117"/>
      <c r="RG307" s="117"/>
      <c r="RH307" s="117"/>
      <c r="RI307" s="117"/>
      <c r="RJ307" s="117"/>
      <c r="RK307" s="117"/>
      <c r="RL307" s="117"/>
      <c r="RM307" s="117"/>
      <c r="RN307" s="117"/>
      <c r="RO307" s="117"/>
      <c r="RP307" s="117"/>
      <c r="RQ307" s="117"/>
      <c r="RR307" s="117"/>
      <c r="RS307" s="117"/>
      <c r="RT307" s="117"/>
      <c r="RU307" s="117"/>
      <c r="RV307" s="117"/>
      <c r="RW307" s="117"/>
      <c r="RX307" s="117"/>
      <c r="RY307" s="117"/>
      <c r="RZ307" s="117"/>
      <c r="SA307" s="117"/>
      <c r="SB307" s="117"/>
      <c r="SC307" s="117"/>
      <c r="SD307" s="117"/>
      <c r="SE307" s="117"/>
      <c r="SF307" s="117"/>
      <c r="SG307" s="117"/>
      <c r="SH307" s="117"/>
      <c r="SI307" s="117"/>
      <c r="SJ307" s="117"/>
      <c r="SK307" s="117"/>
      <c r="SL307" s="117"/>
      <c r="SM307" s="117"/>
      <c r="SN307" s="117"/>
      <c r="SO307" s="117"/>
      <c r="SP307" s="117"/>
      <c r="SQ307" s="117"/>
      <c r="SR307" s="117"/>
      <c r="SS307" s="117"/>
      <c r="ST307" s="117"/>
      <c r="SU307" s="117"/>
      <c r="SV307" s="117"/>
      <c r="SW307" s="117"/>
      <c r="SX307" s="117"/>
      <c r="SY307" s="117"/>
      <c r="SZ307" s="117"/>
      <c r="TA307" s="117"/>
      <c r="TB307" s="117"/>
      <c r="TC307" s="117"/>
      <c r="TD307" s="117"/>
      <c r="TE307" s="117"/>
      <c r="TF307" s="117"/>
      <c r="TG307" s="117"/>
      <c r="TH307" s="117"/>
      <c r="TI307" s="117"/>
      <c r="TJ307" s="117"/>
      <c r="TK307" s="117"/>
      <c r="TL307" s="117"/>
      <c r="TM307" s="117"/>
      <c r="TN307" s="117"/>
      <c r="TO307" s="117"/>
      <c r="TP307" s="117"/>
      <c r="TQ307" s="117"/>
      <c r="TR307" s="117"/>
      <c r="TS307" s="117"/>
      <c r="TT307" s="117"/>
      <c r="TU307" s="117"/>
      <c r="TV307" s="117"/>
      <c r="TW307" s="117"/>
      <c r="TX307" s="117"/>
      <c r="TY307" s="117"/>
      <c r="TZ307" s="117"/>
      <c r="UA307" s="117"/>
      <c r="UB307" s="117"/>
      <c r="UC307" s="117"/>
      <c r="UD307" s="117"/>
      <c r="UE307" s="117"/>
      <c r="UF307" s="117"/>
      <c r="UG307" s="117"/>
      <c r="UH307" s="117"/>
      <c r="UI307" s="117"/>
      <c r="UJ307" s="117"/>
      <c r="UK307" s="117"/>
      <c r="UL307" s="117"/>
      <c r="UM307" s="117"/>
      <c r="UN307" s="117"/>
      <c r="UO307" s="117"/>
      <c r="UP307" s="117"/>
      <c r="UQ307" s="117"/>
      <c r="UR307" s="117"/>
      <c r="US307" s="117"/>
      <c r="UT307" s="117"/>
      <c r="UU307" s="117"/>
      <c r="UV307" s="117"/>
      <c r="UW307" s="117"/>
      <c r="UX307" s="117"/>
      <c r="UY307" s="117"/>
      <c r="UZ307" s="117"/>
      <c r="VA307" s="117"/>
      <c r="VB307" s="117"/>
      <c r="VC307" s="117"/>
      <c r="VD307" s="117"/>
      <c r="VE307" s="117"/>
      <c r="VF307" s="117"/>
      <c r="VG307" s="117"/>
      <c r="VH307" s="117"/>
      <c r="VI307" s="117"/>
      <c r="VJ307" s="117"/>
      <c r="VK307" s="117"/>
      <c r="VL307" s="117"/>
      <c r="VM307" s="117"/>
      <c r="VN307" s="117"/>
      <c r="VO307" s="117"/>
      <c r="VP307" s="117"/>
      <c r="VQ307" s="117"/>
      <c r="VR307" s="117"/>
      <c r="VS307" s="117"/>
      <c r="VT307" s="117"/>
      <c r="VU307" s="117"/>
      <c r="VV307" s="117"/>
      <c r="VW307" s="117"/>
      <c r="VX307" s="117"/>
      <c r="VY307" s="117"/>
      <c r="VZ307" s="117"/>
      <c r="WA307" s="117"/>
      <c r="WB307" s="117"/>
      <c r="WC307" s="117"/>
      <c r="WD307" s="117"/>
      <c r="WE307" s="117"/>
      <c r="WF307" s="117"/>
      <c r="WG307" s="117"/>
      <c r="WH307" s="117"/>
      <c r="WI307" s="117"/>
      <c r="WJ307" s="117"/>
      <c r="WK307" s="117"/>
      <c r="WL307" s="117"/>
      <c r="WM307" s="117"/>
      <c r="WN307" s="117"/>
      <c r="WO307" s="117"/>
      <c r="WP307" s="117"/>
      <c r="WQ307" s="117"/>
      <c r="WR307" s="117"/>
      <c r="WS307" s="117"/>
      <c r="WT307" s="117"/>
      <c r="WU307" s="117"/>
      <c r="WV307" s="117"/>
      <c r="WW307" s="117"/>
      <c r="WX307" s="117"/>
      <c r="WY307" s="117"/>
      <c r="WZ307" s="117"/>
      <c r="XA307" s="117"/>
      <c r="XB307" s="117"/>
      <c r="XC307" s="117"/>
      <c r="XD307" s="117"/>
      <c r="XE307" s="117"/>
      <c r="XF307" s="117"/>
      <c r="XG307" s="117"/>
      <c r="XH307" s="117"/>
      <c r="XI307" s="117"/>
      <c r="XJ307" s="117"/>
      <c r="XK307" s="117"/>
      <c r="XL307" s="117"/>
      <c r="XM307" s="117"/>
      <c r="XN307" s="117"/>
      <c r="XO307" s="117"/>
      <c r="XP307" s="117"/>
      <c r="XQ307" s="117"/>
      <c r="XR307" s="117"/>
      <c r="XS307" s="117"/>
      <c r="XT307" s="117"/>
      <c r="XU307" s="117"/>
      <c r="XV307" s="117"/>
      <c r="XW307" s="117"/>
      <c r="XX307" s="117"/>
      <c r="XY307" s="117"/>
      <c r="XZ307" s="117"/>
      <c r="YA307" s="117"/>
      <c r="YB307" s="117"/>
      <c r="YC307" s="117"/>
      <c r="YD307" s="117"/>
      <c r="YE307" s="117"/>
      <c r="YF307" s="117"/>
      <c r="YG307" s="117"/>
      <c r="YH307" s="117"/>
      <c r="YI307" s="117"/>
      <c r="YJ307" s="117"/>
      <c r="YK307" s="117"/>
      <c r="YL307" s="117"/>
      <c r="YM307" s="117"/>
      <c r="YN307" s="117"/>
      <c r="YO307" s="117"/>
      <c r="YP307" s="117"/>
      <c r="YQ307" s="117"/>
      <c r="YR307" s="117"/>
      <c r="YS307" s="117"/>
      <c r="YT307" s="117"/>
      <c r="YU307" s="117"/>
      <c r="YV307" s="117"/>
      <c r="YW307" s="117"/>
      <c r="YX307" s="117"/>
      <c r="YY307" s="117"/>
      <c r="YZ307" s="117"/>
      <c r="ZA307" s="117"/>
      <c r="ZB307" s="117"/>
      <c r="ZC307" s="117"/>
      <c r="ZD307" s="117"/>
      <c r="ZE307" s="117"/>
      <c r="ZF307" s="117"/>
      <c r="ZG307" s="117"/>
      <c r="ZH307" s="117"/>
      <c r="ZI307" s="117"/>
      <c r="ZJ307" s="117"/>
      <c r="ZK307" s="117"/>
      <c r="ZL307" s="117"/>
      <c r="ZM307" s="117"/>
      <c r="ZN307" s="117"/>
      <c r="ZO307" s="117"/>
      <c r="ZP307" s="117"/>
      <c r="ZQ307" s="117"/>
      <c r="ZR307" s="117"/>
      <c r="ZS307" s="117"/>
      <c r="ZT307" s="117"/>
      <c r="ZU307" s="117"/>
      <c r="ZV307" s="117"/>
      <c r="ZW307" s="117"/>
      <c r="ZX307" s="117"/>
      <c r="ZY307" s="117"/>
      <c r="ZZ307" s="117"/>
      <c r="AAA307" s="117"/>
      <c r="AAB307" s="117"/>
      <c r="AAC307" s="117"/>
      <c r="AAD307" s="117"/>
      <c r="AAE307" s="117"/>
      <c r="AAF307" s="117"/>
      <c r="AAG307" s="117"/>
      <c r="AAH307" s="117"/>
      <c r="AAI307" s="117"/>
      <c r="AAJ307" s="117"/>
      <c r="AAK307" s="117"/>
      <c r="AAL307" s="117"/>
      <c r="AAM307" s="117"/>
      <c r="AAN307" s="117"/>
      <c r="AAO307" s="117"/>
      <c r="AAP307" s="117"/>
      <c r="AAQ307" s="117"/>
      <c r="AAR307" s="117"/>
      <c r="AAS307" s="117"/>
      <c r="AAT307" s="117"/>
      <c r="AAU307" s="117"/>
      <c r="AAV307" s="117"/>
      <c r="AAW307" s="117"/>
      <c r="AAX307" s="117"/>
      <c r="AAY307" s="117"/>
      <c r="AAZ307" s="117"/>
      <c r="ABA307" s="117"/>
      <c r="ABB307" s="117"/>
      <c r="ABC307" s="117"/>
      <c r="ABD307" s="117"/>
      <c r="ABE307" s="117"/>
      <c r="ABF307" s="117"/>
      <c r="ABG307" s="117"/>
      <c r="ABH307" s="117"/>
      <c r="ABI307" s="117"/>
      <c r="ABJ307" s="117"/>
      <c r="ABK307" s="117"/>
      <c r="ABL307" s="117"/>
      <c r="ABM307" s="117"/>
      <c r="ABN307" s="117"/>
      <c r="ABO307" s="117"/>
      <c r="ABP307" s="117"/>
      <c r="ABQ307" s="117"/>
      <c r="ABR307" s="117"/>
      <c r="ABS307" s="117"/>
      <c r="ABT307" s="117"/>
      <c r="ABU307" s="117"/>
      <c r="ABV307" s="117"/>
      <c r="ABW307" s="117"/>
      <c r="ABX307" s="117"/>
      <c r="ABY307" s="117"/>
      <c r="ABZ307" s="117"/>
      <c r="ACA307" s="117"/>
      <c r="ACB307" s="117"/>
      <c r="ACC307" s="117"/>
      <c r="ACD307" s="117"/>
      <c r="ACE307" s="117"/>
      <c r="ACF307" s="117"/>
      <c r="ACG307" s="117"/>
      <c r="ACH307" s="117"/>
      <c r="ACI307" s="117"/>
      <c r="ACJ307" s="117"/>
      <c r="ACK307" s="117"/>
      <c r="ACL307" s="117"/>
      <c r="ACM307" s="117"/>
      <c r="ACN307" s="117"/>
      <c r="ACO307" s="117"/>
      <c r="ACP307" s="117"/>
      <c r="ACQ307" s="117"/>
      <c r="ACR307" s="117"/>
      <c r="ACS307" s="117"/>
      <c r="ACT307" s="117"/>
      <c r="ACU307" s="117"/>
      <c r="ACV307" s="117"/>
      <c r="ACW307" s="117"/>
      <c r="ACX307" s="117"/>
      <c r="ACY307" s="117"/>
      <c r="ACZ307" s="117"/>
      <c r="ADA307" s="117"/>
      <c r="ADB307" s="117"/>
      <c r="ADC307" s="117"/>
      <c r="ADD307" s="117"/>
      <c r="ADE307" s="117"/>
      <c r="ADF307" s="117"/>
      <c r="ADG307" s="117"/>
      <c r="ADH307" s="117"/>
      <c r="ADI307" s="117"/>
      <c r="ADJ307" s="117"/>
      <c r="ADK307" s="117"/>
      <c r="ADL307" s="117"/>
      <c r="ADM307" s="117"/>
      <c r="ADN307" s="117"/>
      <c r="ADO307" s="117"/>
      <c r="ADP307" s="117"/>
      <c r="ADQ307" s="117"/>
      <c r="ADR307" s="117"/>
      <c r="ADS307" s="117"/>
      <c r="ADT307" s="117"/>
      <c r="ADU307" s="117"/>
      <c r="ADV307" s="117"/>
      <c r="ADW307" s="117"/>
      <c r="ADX307" s="117"/>
      <c r="ADY307" s="117"/>
      <c r="ADZ307" s="117"/>
      <c r="AEA307" s="117"/>
      <c r="AEB307" s="117"/>
      <c r="AEC307" s="117"/>
      <c r="AED307" s="117"/>
      <c r="AEE307" s="117"/>
      <c r="AEF307" s="117"/>
      <c r="AEG307" s="117"/>
      <c r="AEH307" s="117"/>
      <c r="AEI307" s="117"/>
      <c r="AEJ307" s="117"/>
      <c r="AEK307" s="117"/>
      <c r="AEL307" s="117"/>
      <c r="AEM307" s="117"/>
      <c r="AEN307" s="117"/>
      <c r="AEO307" s="117"/>
      <c r="AEP307" s="117"/>
      <c r="AEQ307" s="117"/>
      <c r="AER307" s="117"/>
      <c r="AES307" s="117"/>
      <c r="AET307" s="117"/>
      <c r="AEU307" s="117"/>
      <c r="AEV307" s="117"/>
      <c r="AEW307" s="117"/>
      <c r="AEX307" s="117"/>
      <c r="AEY307" s="117"/>
      <c r="AEZ307" s="117"/>
      <c r="AFA307" s="117"/>
      <c r="AFB307" s="117"/>
      <c r="AFC307" s="117"/>
      <c r="AFD307" s="117"/>
      <c r="AFE307" s="117"/>
      <c r="AFF307" s="117"/>
      <c r="AFG307" s="117"/>
      <c r="AFH307" s="117"/>
      <c r="AFI307" s="117"/>
      <c r="AFJ307" s="117"/>
      <c r="AFK307" s="117"/>
      <c r="AFL307" s="117"/>
      <c r="AFM307" s="117"/>
      <c r="AFN307" s="117"/>
      <c r="AFO307" s="117"/>
      <c r="AFP307" s="117"/>
      <c r="AFQ307" s="117"/>
      <c r="AFR307" s="117"/>
      <c r="AFS307" s="117"/>
      <c r="AFT307" s="117"/>
      <c r="AFU307" s="117"/>
      <c r="AFV307" s="117"/>
      <c r="AFW307" s="117"/>
      <c r="AFX307" s="117"/>
      <c r="AFY307" s="117"/>
      <c r="AFZ307" s="117"/>
      <c r="AGA307" s="117"/>
      <c r="AGB307" s="117"/>
      <c r="AGC307" s="117"/>
      <c r="AGD307" s="117"/>
      <c r="AGE307" s="117"/>
      <c r="AGF307" s="117"/>
      <c r="AGG307" s="117"/>
      <c r="AGH307" s="117"/>
      <c r="AGI307" s="117"/>
      <c r="AGJ307" s="117"/>
      <c r="AGK307" s="117"/>
      <c r="AGL307" s="117"/>
      <c r="AGM307" s="117"/>
      <c r="AGN307" s="117"/>
      <c r="AGO307" s="117"/>
      <c r="AGP307" s="117"/>
      <c r="AGQ307" s="117"/>
      <c r="AGR307" s="117"/>
      <c r="AGS307" s="117"/>
      <c r="AGT307" s="117"/>
      <c r="AGU307" s="117"/>
      <c r="AGV307" s="117"/>
      <c r="AGW307" s="117"/>
      <c r="AGX307" s="117"/>
      <c r="AGY307" s="117"/>
      <c r="AGZ307" s="117"/>
      <c r="AHA307" s="117"/>
      <c r="AHB307" s="117"/>
      <c r="AHC307" s="117"/>
      <c r="AHD307" s="117"/>
      <c r="AHE307" s="117"/>
      <c r="AHF307" s="117"/>
      <c r="AHG307" s="117"/>
      <c r="AHH307" s="117"/>
      <c r="AHI307" s="117"/>
      <c r="AHJ307" s="117"/>
      <c r="AHK307" s="117"/>
      <c r="AHL307" s="117"/>
      <c r="AHM307" s="117"/>
      <c r="AHN307" s="117"/>
      <c r="AHO307" s="117"/>
      <c r="AHP307" s="117"/>
      <c r="AHQ307" s="117"/>
      <c r="AHR307" s="117"/>
      <c r="AHS307" s="117"/>
      <c r="AHT307" s="117"/>
      <c r="AHU307" s="117"/>
      <c r="AHV307" s="117"/>
      <c r="AHW307" s="117"/>
      <c r="AHX307" s="117"/>
      <c r="AHY307" s="117"/>
      <c r="AHZ307" s="117"/>
      <c r="AIA307" s="117"/>
      <c r="AIB307" s="117"/>
      <c r="AIC307" s="117"/>
      <c r="AID307" s="117"/>
      <c r="AIE307" s="117"/>
      <c r="AIF307" s="117"/>
      <c r="AIG307" s="117"/>
      <c r="AIH307" s="117"/>
      <c r="AII307" s="117"/>
      <c r="AIJ307" s="117"/>
      <c r="AIK307" s="117"/>
      <c r="AIL307" s="117"/>
      <c r="AIM307" s="117"/>
      <c r="AIN307" s="117"/>
      <c r="AIO307" s="117"/>
      <c r="AIP307" s="117"/>
      <c r="AIQ307" s="117"/>
      <c r="AIR307" s="117"/>
      <c r="AIS307" s="117"/>
      <c r="AIT307" s="117"/>
      <c r="AIU307" s="117"/>
      <c r="AIV307" s="117"/>
      <c r="AIW307" s="117"/>
      <c r="AIX307" s="117"/>
      <c r="AIY307" s="117"/>
      <c r="AIZ307" s="117"/>
      <c r="AJA307" s="117"/>
      <c r="AJB307" s="117"/>
      <c r="AJC307" s="117"/>
      <c r="AJD307" s="117"/>
      <c r="AJE307" s="117"/>
      <c r="AJF307" s="117"/>
      <c r="AJG307" s="117"/>
      <c r="AJH307" s="117"/>
      <c r="AJI307" s="117"/>
      <c r="AJJ307" s="117"/>
      <c r="AJK307" s="117"/>
      <c r="AJL307" s="117"/>
      <c r="AJM307" s="117"/>
      <c r="AJN307" s="117"/>
      <c r="AJO307" s="117"/>
      <c r="AJP307" s="117"/>
      <c r="AJQ307" s="117"/>
      <c r="AJR307" s="117"/>
      <c r="AJS307" s="117"/>
      <c r="AJT307" s="117"/>
      <c r="AJU307" s="117"/>
      <c r="AJV307" s="117"/>
      <c r="AJW307" s="117"/>
      <c r="AJX307" s="117"/>
      <c r="AJY307" s="117"/>
      <c r="AJZ307" s="117"/>
      <c r="AKA307" s="117"/>
      <c r="AKB307" s="117"/>
      <c r="AKC307" s="117"/>
      <c r="AKD307" s="117"/>
      <c r="AKE307" s="117"/>
      <c r="AKF307" s="117"/>
      <c r="AKG307" s="117"/>
      <c r="AKH307" s="117"/>
      <c r="AKI307" s="117"/>
      <c r="AKJ307" s="117"/>
      <c r="AKK307" s="117"/>
      <c r="AKL307" s="117"/>
      <c r="AKM307" s="117"/>
      <c r="AKN307" s="117"/>
      <c r="AKO307" s="117"/>
      <c r="AKP307" s="117"/>
      <c r="AKQ307" s="117"/>
      <c r="AKR307" s="117"/>
      <c r="AKS307" s="117"/>
      <c r="AKT307" s="117"/>
      <c r="AKU307" s="117"/>
      <c r="AKV307" s="117"/>
      <c r="AKW307" s="117"/>
      <c r="AKX307" s="117"/>
      <c r="AKY307" s="117"/>
      <c r="AKZ307" s="117"/>
      <c r="ALA307" s="117"/>
      <c r="ALB307" s="117"/>
      <c r="ALC307" s="117"/>
      <c r="ALD307" s="117"/>
      <c r="ALE307" s="117"/>
      <c r="ALF307" s="117"/>
      <c r="ALG307" s="117"/>
      <c r="ALH307" s="117"/>
      <c r="ALI307" s="117"/>
      <c r="ALJ307" s="117"/>
      <c r="ALK307" s="117"/>
      <c r="ALL307" s="117"/>
      <c r="ALM307" s="117"/>
      <c r="ALN307" s="117"/>
      <c r="ALO307" s="117"/>
      <c r="ALP307" s="117"/>
      <c r="ALQ307" s="117"/>
      <c r="ALR307" s="117"/>
      <c r="ALS307" s="117"/>
      <c r="ALT307" s="117"/>
      <c r="ALU307" s="117"/>
      <c r="ALV307" s="117"/>
      <c r="ALW307" s="117"/>
      <c r="ALX307" s="117"/>
      <c r="ALY307" s="117"/>
      <c r="ALZ307" s="117"/>
      <c r="AMA307" s="117"/>
      <c r="AMB307" s="117"/>
      <c r="AMC307" s="117"/>
      <c r="AMD307" s="117"/>
      <c r="AME307" s="117"/>
    </row>
    <row r="308" spans="1:1019" s="191" customFormat="1" ht="11.25" customHeight="1">
      <c r="A308" s="139">
        <v>306</v>
      </c>
      <c r="B308" s="139"/>
      <c r="C308" s="140"/>
      <c r="D308" s="190">
        <v>1</v>
      </c>
      <c r="E308" s="190">
        <f t="shared" si="47"/>
        <v>26</v>
      </c>
      <c r="F308" s="173" t="s">
        <v>510</v>
      </c>
      <c r="G308" s="172">
        <f aca="true" t="shared" si="58" ref="G308:G322">155+G307</f>
        <v>310</v>
      </c>
      <c r="H308" s="143">
        <f>INT((G308*Valores!$C$2*100)+0.5)/100</f>
        <v>2895.31</v>
      </c>
      <c r="I308" s="161">
        <v>0</v>
      </c>
      <c r="J308" s="145">
        <f>INT((I308*Valores!$C$2*100)+0.5)/100</f>
        <v>0</v>
      </c>
      <c r="K308" s="160">
        <v>0</v>
      </c>
      <c r="L308" s="145">
        <f>INT((K308*Valores!$C$2*100)+0.5)/100</f>
        <v>0</v>
      </c>
      <c r="M308" s="158">
        <v>0</v>
      </c>
      <c r="N308" s="145">
        <f>INT((M308*Valores!$C$2*100)+0.5)/100</f>
        <v>0</v>
      </c>
      <c r="O308" s="145">
        <f t="shared" si="48"/>
        <v>454.7715</v>
      </c>
      <c r="P308" s="145">
        <f t="shared" si="49"/>
        <v>0</v>
      </c>
      <c r="Q308" s="159">
        <v>0</v>
      </c>
      <c r="R308" s="159">
        <v>0</v>
      </c>
      <c r="S308" s="145">
        <v>0</v>
      </c>
      <c r="T308" s="148">
        <f>IF($H$5="NO",IF(Valores!$C$46*D308&gt;Valores!$C$44,Valores!$C$44,Valores!$C$46*D308),IF(Valores!$C$46*D308&gt;Valores!$C$44,Valores!$C$44,Valores!$C$46*D308)/2)*2</f>
        <v>136.5</v>
      </c>
      <c r="U308" s="159">
        <v>0</v>
      </c>
      <c r="V308" s="145">
        <f t="shared" si="57"/>
        <v>0</v>
      </c>
      <c r="W308" s="145">
        <v>0</v>
      </c>
      <c r="X308" s="145">
        <v>0</v>
      </c>
      <c r="Y308" s="165">
        <v>0</v>
      </c>
      <c r="Z308" s="145">
        <v>0</v>
      </c>
      <c r="AA308" s="145">
        <v>0</v>
      </c>
      <c r="AB308" s="148"/>
      <c r="AC308" s="150">
        <v>0</v>
      </c>
      <c r="AD308" s="145">
        <f t="shared" si="51"/>
        <v>0</v>
      </c>
      <c r="AE308" s="145">
        <v>0</v>
      </c>
      <c r="AF308" s="149">
        <v>0</v>
      </c>
      <c r="AG308" s="145">
        <f>INT(((AF308*Valores!$C$2)*100)+0.5)/100</f>
        <v>0</v>
      </c>
      <c r="AH308" s="145"/>
      <c r="AI308" s="145"/>
      <c r="AJ308" s="151">
        <f t="shared" si="52"/>
        <v>3486.5815</v>
      </c>
      <c r="AK308" s="171"/>
      <c r="AL308" s="148">
        <f>Valores!$C$11+AL307</f>
        <v>0</v>
      </c>
      <c r="AM308" s="148">
        <v>0</v>
      </c>
      <c r="AN308" s="148"/>
      <c r="AO308" s="150">
        <v>0</v>
      </c>
      <c r="AP308" s="152">
        <f t="shared" si="50"/>
        <v>0</v>
      </c>
      <c r="AQ308" s="154">
        <f>AJ308*-Valores!$C$68</f>
        <v>-383.523965</v>
      </c>
      <c r="AR308" s="154">
        <f>AJ308*-Valores!$C$69</f>
        <v>0</v>
      </c>
      <c r="AS308" s="147">
        <f>AJ308*-Valores!$C$70</f>
        <v>-156.8961675</v>
      </c>
      <c r="AT308" s="147">
        <v>-159.43</v>
      </c>
      <c r="AU308" s="147">
        <f t="shared" si="53"/>
        <v>-53.83</v>
      </c>
      <c r="AV308" s="151">
        <f t="shared" si="54"/>
        <v>2732.9013675</v>
      </c>
      <c r="AW308" s="155"/>
      <c r="AX308" s="155"/>
      <c r="AY308" s="140" t="s">
        <v>4</v>
      </c>
      <c r="AZ308" s="117"/>
      <c r="BA308" s="117"/>
      <c r="BB308" s="117"/>
      <c r="BC308" s="117"/>
      <c r="BD308" s="117"/>
      <c r="BE308" s="117"/>
      <c r="BF308" s="117"/>
      <c r="BG308" s="117"/>
      <c r="BH308" s="117"/>
      <c r="BI308" s="117"/>
      <c r="BJ308" s="117"/>
      <c r="BK308" s="117"/>
      <c r="BL308" s="117"/>
      <c r="BM308" s="117"/>
      <c r="BN308" s="117"/>
      <c r="BO308" s="117"/>
      <c r="BP308" s="117"/>
      <c r="BQ308" s="117"/>
      <c r="BR308" s="117"/>
      <c r="BS308" s="117"/>
      <c r="BT308" s="117"/>
      <c r="BU308" s="117"/>
      <c r="BV308" s="117"/>
      <c r="BW308" s="117"/>
      <c r="BX308" s="117"/>
      <c r="BY308" s="117"/>
      <c r="BZ308" s="117"/>
      <c r="CA308" s="117"/>
      <c r="CB308" s="117"/>
      <c r="CC308" s="117"/>
      <c r="CD308" s="117"/>
      <c r="CE308" s="117"/>
      <c r="CF308" s="117"/>
      <c r="CG308" s="117"/>
      <c r="CH308" s="117"/>
      <c r="CI308" s="117"/>
      <c r="CJ308" s="117"/>
      <c r="CK308" s="117"/>
      <c r="CL308" s="117"/>
      <c r="CM308" s="117"/>
      <c r="CN308" s="117"/>
      <c r="CO308" s="117"/>
      <c r="CP308" s="117"/>
      <c r="CQ308" s="117"/>
      <c r="CR308" s="117"/>
      <c r="CS308" s="117"/>
      <c r="CT308" s="117"/>
      <c r="CU308" s="117"/>
      <c r="CV308" s="117"/>
      <c r="CW308" s="117"/>
      <c r="CX308" s="117"/>
      <c r="CY308" s="117"/>
      <c r="CZ308" s="117"/>
      <c r="DA308" s="117"/>
      <c r="DB308" s="117"/>
      <c r="DC308" s="117"/>
      <c r="DD308" s="117"/>
      <c r="DE308" s="117"/>
      <c r="DF308" s="117"/>
      <c r="DG308" s="117"/>
      <c r="DH308" s="117"/>
      <c r="DI308" s="117"/>
      <c r="DJ308" s="117"/>
      <c r="DK308" s="117"/>
      <c r="DL308" s="117"/>
      <c r="DM308" s="117"/>
      <c r="DN308" s="117"/>
      <c r="DO308" s="117"/>
      <c r="DP308" s="117"/>
      <c r="DQ308" s="117"/>
      <c r="DR308" s="117"/>
      <c r="DS308" s="117"/>
      <c r="DT308" s="117"/>
      <c r="DU308" s="117"/>
      <c r="DV308" s="117"/>
      <c r="DW308" s="117"/>
      <c r="DX308" s="117"/>
      <c r="DY308" s="117"/>
      <c r="DZ308" s="117"/>
      <c r="EA308" s="117"/>
      <c r="EB308" s="117"/>
      <c r="EC308" s="117"/>
      <c r="ED308" s="117"/>
      <c r="EE308" s="117"/>
      <c r="EF308" s="117"/>
      <c r="EG308" s="117"/>
      <c r="EH308" s="117"/>
      <c r="EI308" s="117"/>
      <c r="EJ308" s="117"/>
      <c r="EK308" s="117"/>
      <c r="EL308" s="117"/>
      <c r="EM308" s="117"/>
      <c r="EN308" s="117"/>
      <c r="EO308" s="117"/>
      <c r="EP308" s="117"/>
      <c r="EQ308" s="117"/>
      <c r="ER308" s="117"/>
      <c r="ES308" s="117"/>
      <c r="ET308" s="117"/>
      <c r="EU308" s="117"/>
      <c r="EV308" s="117"/>
      <c r="EW308" s="117"/>
      <c r="EX308" s="117"/>
      <c r="EY308" s="117"/>
      <c r="EZ308" s="117"/>
      <c r="FA308" s="117"/>
      <c r="FB308" s="117"/>
      <c r="FC308" s="117"/>
      <c r="FD308" s="117"/>
      <c r="FE308" s="117"/>
      <c r="FF308" s="117"/>
      <c r="FG308" s="117"/>
      <c r="FH308" s="117"/>
      <c r="FI308" s="117"/>
      <c r="FJ308" s="117"/>
      <c r="FK308" s="117"/>
      <c r="FL308" s="117"/>
      <c r="FM308" s="117"/>
      <c r="FN308" s="117"/>
      <c r="FO308" s="117"/>
      <c r="FP308" s="117"/>
      <c r="FQ308" s="117"/>
      <c r="FR308" s="117"/>
      <c r="FS308" s="117"/>
      <c r="FT308" s="117"/>
      <c r="FU308" s="117"/>
      <c r="FV308" s="117"/>
      <c r="FW308" s="117"/>
      <c r="FX308" s="117"/>
      <c r="FY308" s="117"/>
      <c r="FZ308" s="117"/>
      <c r="GA308" s="117"/>
      <c r="GB308" s="117"/>
      <c r="GC308" s="117"/>
      <c r="GD308" s="117"/>
      <c r="GE308" s="117"/>
      <c r="GF308" s="117"/>
      <c r="GG308" s="117"/>
      <c r="GH308" s="117"/>
      <c r="GI308" s="117"/>
      <c r="GJ308" s="117"/>
      <c r="GK308" s="117"/>
      <c r="GL308" s="117"/>
      <c r="GM308" s="117"/>
      <c r="GN308" s="117"/>
      <c r="GO308" s="117"/>
      <c r="GP308" s="117"/>
      <c r="GQ308" s="117"/>
      <c r="GR308" s="117"/>
      <c r="GS308" s="117"/>
      <c r="GT308" s="117"/>
      <c r="GU308" s="117"/>
      <c r="GV308" s="117"/>
      <c r="GW308" s="117"/>
      <c r="GX308" s="117"/>
      <c r="GY308" s="117"/>
      <c r="GZ308" s="117"/>
      <c r="HA308" s="117"/>
      <c r="HB308" s="117"/>
      <c r="HC308" s="117"/>
      <c r="HD308" s="117"/>
      <c r="HE308" s="117"/>
      <c r="HF308" s="117"/>
      <c r="HG308" s="117"/>
      <c r="HH308" s="117"/>
      <c r="HI308" s="117"/>
      <c r="HJ308" s="117"/>
      <c r="HK308" s="117"/>
      <c r="HL308" s="117"/>
      <c r="HM308" s="117"/>
      <c r="HN308" s="117"/>
      <c r="HO308" s="117"/>
      <c r="HP308" s="117"/>
      <c r="HQ308" s="117"/>
      <c r="HR308" s="117"/>
      <c r="HS308" s="117"/>
      <c r="HT308" s="117"/>
      <c r="HU308" s="117"/>
      <c r="HV308" s="117"/>
      <c r="HW308" s="117"/>
      <c r="HX308" s="117"/>
      <c r="HY308" s="117"/>
      <c r="HZ308" s="117"/>
      <c r="IA308" s="117"/>
      <c r="IB308" s="117"/>
      <c r="IC308" s="117"/>
      <c r="ID308" s="117"/>
      <c r="IE308" s="117"/>
      <c r="IF308" s="117"/>
      <c r="IG308" s="117"/>
      <c r="IH308" s="117"/>
      <c r="II308" s="117"/>
      <c r="IJ308" s="117"/>
      <c r="IK308" s="117"/>
      <c r="IL308" s="117"/>
      <c r="IM308" s="117"/>
      <c r="IN308" s="117"/>
      <c r="IO308" s="117"/>
      <c r="IP308" s="117"/>
      <c r="IQ308" s="117"/>
      <c r="IR308" s="117"/>
      <c r="IS308" s="117"/>
      <c r="IT308" s="117"/>
      <c r="IU308" s="117"/>
      <c r="IV308" s="117"/>
      <c r="IW308" s="117"/>
      <c r="IX308" s="117"/>
      <c r="IY308" s="117"/>
      <c r="IZ308" s="117"/>
      <c r="JA308" s="117"/>
      <c r="JB308" s="117"/>
      <c r="JC308" s="117"/>
      <c r="JD308" s="117"/>
      <c r="JE308" s="117"/>
      <c r="JF308" s="117"/>
      <c r="JG308" s="117"/>
      <c r="JH308" s="117"/>
      <c r="JI308" s="117"/>
      <c r="JJ308" s="117"/>
      <c r="JK308" s="117"/>
      <c r="JL308" s="117"/>
      <c r="JM308" s="117"/>
      <c r="JN308" s="117"/>
      <c r="JO308" s="117"/>
      <c r="JP308" s="117"/>
      <c r="JQ308" s="117"/>
      <c r="JR308" s="117"/>
      <c r="JS308" s="117"/>
      <c r="JT308" s="117"/>
      <c r="JU308" s="117"/>
      <c r="JV308" s="117"/>
      <c r="JW308" s="117"/>
      <c r="JX308" s="117"/>
      <c r="JY308" s="117"/>
      <c r="JZ308" s="117"/>
      <c r="KA308" s="117"/>
      <c r="KB308" s="117"/>
      <c r="KC308" s="117"/>
      <c r="KD308" s="117"/>
      <c r="KE308" s="117"/>
      <c r="KF308" s="117"/>
      <c r="KG308" s="117"/>
      <c r="KH308" s="117"/>
      <c r="KI308" s="117"/>
      <c r="KJ308" s="117"/>
      <c r="KK308" s="117"/>
      <c r="KL308" s="117"/>
      <c r="KM308" s="117"/>
      <c r="KN308" s="117"/>
      <c r="KO308" s="117"/>
      <c r="KP308" s="117"/>
      <c r="KQ308" s="117"/>
      <c r="KR308" s="117"/>
      <c r="KS308" s="117"/>
      <c r="KT308" s="117"/>
      <c r="KU308" s="117"/>
      <c r="KV308" s="117"/>
      <c r="KW308" s="117"/>
      <c r="KX308" s="117"/>
      <c r="KY308" s="117"/>
      <c r="KZ308" s="117"/>
      <c r="LA308" s="117"/>
      <c r="LB308" s="117"/>
      <c r="LC308" s="117"/>
      <c r="LD308" s="117"/>
      <c r="LE308" s="117"/>
      <c r="LF308" s="117"/>
      <c r="LG308" s="117"/>
      <c r="LH308" s="117"/>
      <c r="LI308" s="117"/>
      <c r="LJ308" s="117"/>
      <c r="LK308" s="117"/>
      <c r="LL308" s="117"/>
      <c r="LM308" s="117"/>
      <c r="LN308" s="117"/>
      <c r="LO308" s="117"/>
      <c r="LP308" s="117"/>
      <c r="LQ308" s="117"/>
      <c r="LR308" s="117"/>
      <c r="LS308" s="117"/>
      <c r="LT308" s="117"/>
      <c r="LU308" s="117"/>
      <c r="LV308" s="117"/>
      <c r="LW308" s="117"/>
      <c r="LX308" s="117"/>
      <c r="LY308" s="117"/>
      <c r="LZ308" s="117"/>
      <c r="MA308" s="117"/>
      <c r="MB308" s="117"/>
      <c r="MC308" s="117"/>
      <c r="MD308" s="117"/>
      <c r="ME308" s="117"/>
      <c r="MF308" s="117"/>
      <c r="MG308" s="117"/>
      <c r="MH308" s="117"/>
      <c r="MI308" s="117"/>
      <c r="MJ308" s="117"/>
      <c r="MK308" s="117"/>
      <c r="ML308" s="117"/>
      <c r="MM308" s="117"/>
      <c r="MN308" s="117"/>
      <c r="MO308" s="117"/>
      <c r="MP308" s="117"/>
      <c r="MQ308" s="117"/>
      <c r="MR308" s="117"/>
      <c r="MS308" s="117"/>
      <c r="MT308" s="117"/>
      <c r="MU308" s="117"/>
      <c r="MV308" s="117"/>
      <c r="MW308" s="117"/>
      <c r="MX308" s="117"/>
      <c r="MY308" s="117"/>
      <c r="MZ308" s="117"/>
      <c r="NA308" s="117"/>
      <c r="NB308" s="117"/>
      <c r="NC308" s="117"/>
      <c r="ND308" s="117"/>
      <c r="NE308" s="117"/>
      <c r="NF308" s="117"/>
      <c r="NG308" s="117"/>
      <c r="NH308" s="117"/>
      <c r="NI308" s="117"/>
      <c r="NJ308" s="117"/>
      <c r="NK308" s="117"/>
      <c r="NL308" s="117"/>
      <c r="NM308" s="117"/>
      <c r="NN308" s="117"/>
      <c r="NO308" s="117"/>
      <c r="NP308" s="117"/>
      <c r="NQ308" s="117"/>
      <c r="NR308" s="117"/>
      <c r="NS308" s="117"/>
      <c r="NT308" s="117"/>
      <c r="NU308" s="117"/>
      <c r="NV308" s="117"/>
      <c r="NW308" s="117"/>
      <c r="NX308" s="117"/>
      <c r="NY308" s="117"/>
      <c r="NZ308" s="117"/>
      <c r="OA308" s="117"/>
      <c r="OB308" s="117"/>
      <c r="OC308" s="117"/>
      <c r="OD308" s="117"/>
      <c r="OE308" s="117"/>
      <c r="OF308" s="117"/>
      <c r="OG308" s="117"/>
      <c r="OH308" s="117"/>
      <c r="OI308" s="117"/>
      <c r="OJ308" s="117"/>
      <c r="OK308" s="117"/>
      <c r="OL308" s="117"/>
      <c r="OM308" s="117"/>
      <c r="ON308" s="117"/>
      <c r="OO308" s="117"/>
      <c r="OP308" s="117"/>
      <c r="OQ308" s="117"/>
      <c r="OR308" s="117"/>
      <c r="OS308" s="117"/>
      <c r="OT308" s="117"/>
      <c r="OU308" s="117"/>
      <c r="OV308" s="117"/>
      <c r="OW308" s="117"/>
      <c r="OX308" s="117"/>
      <c r="OY308" s="117"/>
      <c r="OZ308" s="117"/>
      <c r="PA308" s="117"/>
      <c r="PB308" s="117"/>
      <c r="PC308" s="117"/>
      <c r="PD308" s="117"/>
      <c r="PE308" s="117"/>
      <c r="PF308" s="117"/>
      <c r="PG308" s="117"/>
      <c r="PH308" s="117"/>
      <c r="PI308" s="117"/>
      <c r="PJ308" s="117"/>
      <c r="PK308" s="117"/>
      <c r="PL308" s="117"/>
      <c r="PM308" s="117"/>
      <c r="PN308" s="117"/>
      <c r="PO308" s="117"/>
      <c r="PP308" s="117"/>
      <c r="PQ308" s="117"/>
      <c r="PR308" s="117"/>
      <c r="PS308" s="117"/>
      <c r="PT308" s="117"/>
      <c r="PU308" s="117"/>
      <c r="PV308" s="117"/>
      <c r="PW308" s="117"/>
      <c r="PX308" s="117"/>
      <c r="PY308" s="117"/>
      <c r="PZ308" s="117"/>
      <c r="QA308" s="117"/>
      <c r="QB308" s="117"/>
      <c r="QC308" s="117"/>
      <c r="QD308" s="117"/>
      <c r="QE308" s="117"/>
      <c r="QF308" s="117"/>
      <c r="QG308" s="117"/>
      <c r="QH308" s="117"/>
      <c r="QI308" s="117"/>
      <c r="QJ308" s="117"/>
      <c r="QK308" s="117"/>
      <c r="QL308" s="117"/>
      <c r="QM308" s="117"/>
      <c r="QN308" s="117"/>
      <c r="QO308" s="117"/>
      <c r="QP308" s="117"/>
      <c r="QQ308" s="117"/>
      <c r="QR308" s="117"/>
      <c r="QS308" s="117"/>
      <c r="QT308" s="117"/>
      <c r="QU308" s="117"/>
      <c r="QV308" s="117"/>
      <c r="QW308" s="117"/>
      <c r="QX308" s="117"/>
      <c r="QY308" s="117"/>
      <c r="QZ308" s="117"/>
      <c r="RA308" s="117"/>
      <c r="RB308" s="117"/>
      <c r="RC308" s="117"/>
      <c r="RD308" s="117"/>
      <c r="RE308" s="117"/>
      <c r="RF308" s="117"/>
      <c r="RG308" s="117"/>
      <c r="RH308" s="117"/>
      <c r="RI308" s="117"/>
      <c r="RJ308" s="117"/>
      <c r="RK308" s="117"/>
      <c r="RL308" s="117"/>
      <c r="RM308" s="117"/>
      <c r="RN308" s="117"/>
      <c r="RO308" s="117"/>
      <c r="RP308" s="117"/>
      <c r="RQ308" s="117"/>
      <c r="RR308" s="117"/>
      <c r="RS308" s="117"/>
      <c r="RT308" s="117"/>
      <c r="RU308" s="117"/>
      <c r="RV308" s="117"/>
      <c r="RW308" s="117"/>
      <c r="RX308" s="117"/>
      <c r="RY308" s="117"/>
      <c r="RZ308" s="117"/>
      <c r="SA308" s="117"/>
      <c r="SB308" s="117"/>
      <c r="SC308" s="117"/>
      <c r="SD308" s="117"/>
      <c r="SE308" s="117"/>
      <c r="SF308" s="117"/>
      <c r="SG308" s="117"/>
      <c r="SH308" s="117"/>
      <c r="SI308" s="117"/>
      <c r="SJ308" s="117"/>
      <c r="SK308" s="117"/>
      <c r="SL308" s="117"/>
      <c r="SM308" s="117"/>
      <c r="SN308" s="117"/>
      <c r="SO308" s="117"/>
      <c r="SP308" s="117"/>
      <c r="SQ308" s="117"/>
      <c r="SR308" s="117"/>
      <c r="SS308" s="117"/>
      <c r="ST308" s="117"/>
      <c r="SU308" s="117"/>
      <c r="SV308" s="117"/>
      <c r="SW308" s="117"/>
      <c r="SX308" s="117"/>
      <c r="SY308" s="117"/>
      <c r="SZ308" s="117"/>
      <c r="TA308" s="117"/>
      <c r="TB308" s="117"/>
      <c r="TC308" s="117"/>
      <c r="TD308" s="117"/>
      <c r="TE308" s="117"/>
      <c r="TF308" s="117"/>
      <c r="TG308" s="117"/>
      <c r="TH308" s="117"/>
      <c r="TI308" s="117"/>
      <c r="TJ308" s="117"/>
      <c r="TK308" s="117"/>
      <c r="TL308" s="117"/>
      <c r="TM308" s="117"/>
      <c r="TN308" s="117"/>
      <c r="TO308" s="117"/>
      <c r="TP308" s="117"/>
      <c r="TQ308" s="117"/>
      <c r="TR308" s="117"/>
      <c r="TS308" s="117"/>
      <c r="TT308" s="117"/>
      <c r="TU308" s="117"/>
      <c r="TV308" s="117"/>
      <c r="TW308" s="117"/>
      <c r="TX308" s="117"/>
      <c r="TY308" s="117"/>
      <c r="TZ308" s="117"/>
      <c r="UA308" s="117"/>
      <c r="UB308" s="117"/>
      <c r="UC308" s="117"/>
      <c r="UD308" s="117"/>
      <c r="UE308" s="117"/>
      <c r="UF308" s="117"/>
      <c r="UG308" s="117"/>
      <c r="UH308" s="117"/>
      <c r="UI308" s="117"/>
      <c r="UJ308" s="117"/>
      <c r="UK308" s="117"/>
      <c r="UL308" s="117"/>
      <c r="UM308" s="117"/>
      <c r="UN308" s="117"/>
      <c r="UO308" s="117"/>
      <c r="UP308" s="117"/>
      <c r="UQ308" s="117"/>
      <c r="UR308" s="117"/>
      <c r="US308" s="117"/>
      <c r="UT308" s="117"/>
      <c r="UU308" s="117"/>
      <c r="UV308" s="117"/>
      <c r="UW308" s="117"/>
      <c r="UX308" s="117"/>
      <c r="UY308" s="117"/>
      <c r="UZ308" s="117"/>
      <c r="VA308" s="117"/>
      <c r="VB308" s="117"/>
      <c r="VC308" s="117"/>
      <c r="VD308" s="117"/>
      <c r="VE308" s="117"/>
      <c r="VF308" s="117"/>
      <c r="VG308" s="117"/>
      <c r="VH308" s="117"/>
      <c r="VI308" s="117"/>
      <c r="VJ308" s="117"/>
      <c r="VK308" s="117"/>
      <c r="VL308" s="117"/>
      <c r="VM308" s="117"/>
      <c r="VN308" s="117"/>
      <c r="VO308" s="117"/>
      <c r="VP308" s="117"/>
      <c r="VQ308" s="117"/>
      <c r="VR308" s="117"/>
      <c r="VS308" s="117"/>
      <c r="VT308" s="117"/>
      <c r="VU308" s="117"/>
      <c r="VV308" s="117"/>
      <c r="VW308" s="117"/>
      <c r="VX308" s="117"/>
      <c r="VY308" s="117"/>
      <c r="VZ308" s="117"/>
      <c r="WA308" s="117"/>
      <c r="WB308" s="117"/>
      <c r="WC308" s="117"/>
      <c r="WD308" s="117"/>
      <c r="WE308" s="117"/>
      <c r="WF308" s="117"/>
      <c r="WG308" s="117"/>
      <c r="WH308" s="117"/>
      <c r="WI308" s="117"/>
      <c r="WJ308" s="117"/>
      <c r="WK308" s="117"/>
      <c r="WL308" s="117"/>
      <c r="WM308" s="117"/>
      <c r="WN308" s="117"/>
      <c r="WO308" s="117"/>
      <c r="WP308" s="117"/>
      <c r="WQ308" s="117"/>
      <c r="WR308" s="117"/>
      <c r="WS308" s="117"/>
      <c r="WT308" s="117"/>
      <c r="WU308" s="117"/>
      <c r="WV308" s="117"/>
      <c r="WW308" s="117"/>
      <c r="WX308" s="117"/>
      <c r="WY308" s="117"/>
      <c r="WZ308" s="117"/>
      <c r="XA308" s="117"/>
      <c r="XB308" s="117"/>
      <c r="XC308" s="117"/>
      <c r="XD308" s="117"/>
      <c r="XE308" s="117"/>
      <c r="XF308" s="117"/>
      <c r="XG308" s="117"/>
      <c r="XH308" s="117"/>
      <c r="XI308" s="117"/>
      <c r="XJ308" s="117"/>
      <c r="XK308" s="117"/>
      <c r="XL308" s="117"/>
      <c r="XM308" s="117"/>
      <c r="XN308" s="117"/>
      <c r="XO308" s="117"/>
      <c r="XP308" s="117"/>
      <c r="XQ308" s="117"/>
      <c r="XR308" s="117"/>
      <c r="XS308" s="117"/>
      <c r="XT308" s="117"/>
      <c r="XU308" s="117"/>
      <c r="XV308" s="117"/>
      <c r="XW308" s="117"/>
      <c r="XX308" s="117"/>
      <c r="XY308" s="117"/>
      <c r="XZ308" s="117"/>
      <c r="YA308" s="117"/>
      <c r="YB308" s="117"/>
      <c r="YC308" s="117"/>
      <c r="YD308" s="117"/>
      <c r="YE308" s="117"/>
      <c r="YF308" s="117"/>
      <c r="YG308" s="117"/>
      <c r="YH308" s="117"/>
      <c r="YI308" s="117"/>
      <c r="YJ308" s="117"/>
      <c r="YK308" s="117"/>
      <c r="YL308" s="117"/>
      <c r="YM308" s="117"/>
      <c r="YN308" s="117"/>
      <c r="YO308" s="117"/>
      <c r="YP308" s="117"/>
      <c r="YQ308" s="117"/>
      <c r="YR308" s="117"/>
      <c r="YS308" s="117"/>
      <c r="YT308" s="117"/>
      <c r="YU308" s="117"/>
      <c r="YV308" s="117"/>
      <c r="YW308" s="117"/>
      <c r="YX308" s="117"/>
      <c r="YY308" s="117"/>
      <c r="YZ308" s="117"/>
      <c r="ZA308" s="117"/>
      <c r="ZB308" s="117"/>
      <c r="ZC308" s="117"/>
      <c r="ZD308" s="117"/>
      <c r="ZE308" s="117"/>
      <c r="ZF308" s="117"/>
      <c r="ZG308" s="117"/>
      <c r="ZH308" s="117"/>
      <c r="ZI308" s="117"/>
      <c r="ZJ308" s="117"/>
      <c r="ZK308" s="117"/>
      <c r="ZL308" s="117"/>
      <c r="ZM308" s="117"/>
      <c r="ZN308" s="117"/>
      <c r="ZO308" s="117"/>
      <c r="ZP308" s="117"/>
      <c r="ZQ308" s="117"/>
      <c r="ZR308" s="117"/>
      <c r="ZS308" s="117"/>
      <c r="ZT308" s="117"/>
      <c r="ZU308" s="117"/>
      <c r="ZV308" s="117"/>
      <c r="ZW308" s="117"/>
      <c r="ZX308" s="117"/>
      <c r="ZY308" s="117"/>
      <c r="ZZ308" s="117"/>
      <c r="AAA308" s="117"/>
      <c r="AAB308" s="117"/>
      <c r="AAC308" s="117"/>
      <c r="AAD308" s="117"/>
      <c r="AAE308" s="117"/>
      <c r="AAF308" s="117"/>
      <c r="AAG308" s="117"/>
      <c r="AAH308" s="117"/>
      <c r="AAI308" s="117"/>
      <c r="AAJ308" s="117"/>
      <c r="AAK308" s="117"/>
      <c r="AAL308" s="117"/>
      <c r="AAM308" s="117"/>
      <c r="AAN308" s="117"/>
      <c r="AAO308" s="117"/>
      <c r="AAP308" s="117"/>
      <c r="AAQ308" s="117"/>
      <c r="AAR308" s="117"/>
      <c r="AAS308" s="117"/>
      <c r="AAT308" s="117"/>
      <c r="AAU308" s="117"/>
      <c r="AAV308" s="117"/>
      <c r="AAW308" s="117"/>
      <c r="AAX308" s="117"/>
      <c r="AAY308" s="117"/>
      <c r="AAZ308" s="117"/>
      <c r="ABA308" s="117"/>
      <c r="ABB308" s="117"/>
      <c r="ABC308" s="117"/>
      <c r="ABD308" s="117"/>
      <c r="ABE308" s="117"/>
      <c r="ABF308" s="117"/>
      <c r="ABG308" s="117"/>
      <c r="ABH308" s="117"/>
      <c r="ABI308" s="117"/>
      <c r="ABJ308" s="117"/>
      <c r="ABK308" s="117"/>
      <c r="ABL308" s="117"/>
      <c r="ABM308" s="117"/>
      <c r="ABN308" s="117"/>
      <c r="ABO308" s="117"/>
      <c r="ABP308" s="117"/>
      <c r="ABQ308" s="117"/>
      <c r="ABR308" s="117"/>
      <c r="ABS308" s="117"/>
      <c r="ABT308" s="117"/>
      <c r="ABU308" s="117"/>
      <c r="ABV308" s="117"/>
      <c r="ABW308" s="117"/>
      <c r="ABX308" s="117"/>
      <c r="ABY308" s="117"/>
      <c r="ABZ308" s="117"/>
      <c r="ACA308" s="117"/>
      <c r="ACB308" s="117"/>
      <c r="ACC308" s="117"/>
      <c r="ACD308" s="117"/>
      <c r="ACE308" s="117"/>
      <c r="ACF308" s="117"/>
      <c r="ACG308" s="117"/>
      <c r="ACH308" s="117"/>
      <c r="ACI308" s="117"/>
      <c r="ACJ308" s="117"/>
      <c r="ACK308" s="117"/>
      <c r="ACL308" s="117"/>
      <c r="ACM308" s="117"/>
      <c r="ACN308" s="117"/>
      <c r="ACO308" s="117"/>
      <c r="ACP308" s="117"/>
      <c r="ACQ308" s="117"/>
      <c r="ACR308" s="117"/>
      <c r="ACS308" s="117"/>
      <c r="ACT308" s="117"/>
      <c r="ACU308" s="117"/>
      <c r="ACV308" s="117"/>
      <c r="ACW308" s="117"/>
      <c r="ACX308" s="117"/>
      <c r="ACY308" s="117"/>
      <c r="ACZ308" s="117"/>
      <c r="ADA308" s="117"/>
      <c r="ADB308" s="117"/>
      <c r="ADC308" s="117"/>
      <c r="ADD308" s="117"/>
      <c r="ADE308" s="117"/>
      <c r="ADF308" s="117"/>
      <c r="ADG308" s="117"/>
      <c r="ADH308" s="117"/>
      <c r="ADI308" s="117"/>
      <c r="ADJ308" s="117"/>
      <c r="ADK308" s="117"/>
      <c r="ADL308" s="117"/>
      <c r="ADM308" s="117"/>
      <c r="ADN308" s="117"/>
      <c r="ADO308" s="117"/>
      <c r="ADP308" s="117"/>
      <c r="ADQ308" s="117"/>
      <c r="ADR308" s="117"/>
      <c r="ADS308" s="117"/>
      <c r="ADT308" s="117"/>
      <c r="ADU308" s="117"/>
      <c r="ADV308" s="117"/>
      <c r="ADW308" s="117"/>
      <c r="ADX308" s="117"/>
      <c r="ADY308" s="117"/>
      <c r="ADZ308" s="117"/>
      <c r="AEA308" s="117"/>
      <c r="AEB308" s="117"/>
      <c r="AEC308" s="117"/>
      <c r="AED308" s="117"/>
      <c r="AEE308" s="117"/>
      <c r="AEF308" s="117"/>
      <c r="AEG308" s="117"/>
      <c r="AEH308" s="117"/>
      <c r="AEI308" s="117"/>
      <c r="AEJ308" s="117"/>
      <c r="AEK308" s="117"/>
      <c r="AEL308" s="117"/>
      <c r="AEM308" s="117"/>
      <c r="AEN308" s="117"/>
      <c r="AEO308" s="117"/>
      <c r="AEP308" s="117"/>
      <c r="AEQ308" s="117"/>
      <c r="AER308" s="117"/>
      <c r="AES308" s="117"/>
      <c r="AET308" s="117"/>
      <c r="AEU308" s="117"/>
      <c r="AEV308" s="117"/>
      <c r="AEW308" s="117"/>
      <c r="AEX308" s="117"/>
      <c r="AEY308" s="117"/>
      <c r="AEZ308" s="117"/>
      <c r="AFA308" s="117"/>
      <c r="AFB308" s="117"/>
      <c r="AFC308" s="117"/>
      <c r="AFD308" s="117"/>
      <c r="AFE308" s="117"/>
      <c r="AFF308" s="117"/>
      <c r="AFG308" s="117"/>
      <c r="AFH308" s="117"/>
      <c r="AFI308" s="117"/>
      <c r="AFJ308" s="117"/>
      <c r="AFK308" s="117"/>
      <c r="AFL308" s="117"/>
      <c r="AFM308" s="117"/>
      <c r="AFN308" s="117"/>
      <c r="AFO308" s="117"/>
      <c r="AFP308" s="117"/>
      <c r="AFQ308" s="117"/>
      <c r="AFR308" s="117"/>
      <c r="AFS308" s="117"/>
      <c r="AFT308" s="117"/>
      <c r="AFU308" s="117"/>
      <c r="AFV308" s="117"/>
      <c r="AFW308" s="117"/>
      <c r="AFX308" s="117"/>
      <c r="AFY308" s="117"/>
      <c r="AFZ308" s="117"/>
      <c r="AGA308" s="117"/>
      <c r="AGB308" s="117"/>
      <c r="AGC308" s="117"/>
      <c r="AGD308" s="117"/>
      <c r="AGE308" s="117"/>
      <c r="AGF308" s="117"/>
      <c r="AGG308" s="117"/>
      <c r="AGH308" s="117"/>
      <c r="AGI308" s="117"/>
      <c r="AGJ308" s="117"/>
      <c r="AGK308" s="117"/>
      <c r="AGL308" s="117"/>
      <c r="AGM308" s="117"/>
      <c r="AGN308" s="117"/>
      <c r="AGO308" s="117"/>
      <c r="AGP308" s="117"/>
      <c r="AGQ308" s="117"/>
      <c r="AGR308" s="117"/>
      <c r="AGS308" s="117"/>
      <c r="AGT308" s="117"/>
      <c r="AGU308" s="117"/>
      <c r="AGV308" s="117"/>
      <c r="AGW308" s="117"/>
      <c r="AGX308" s="117"/>
      <c r="AGY308" s="117"/>
      <c r="AGZ308" s="117"/>
      <c r="AHA308" s="117"/>
      <c r="AHB308" s="117"/>
      <c r="AHC308" s="117"/>
      <c r="AHD308" s="117"/>
      <c r="AHE308" s="117"/>
      <c r="AHF308" s="117"/>
      <c r="AHG308" s="117"/>
      <c r="AHH308" s="117"/>
      <c r="AHI308" s="117"/>
      <c r="AHJ308" s="117"/>
      <c r="AHK308" s="117"/>
      <c r="AHL308" s="117"/>
      <c r="AHM308" s="117"/>
      <c r="AHN308" s="117"/>
      <c r="AHO308" s="117"/>
      <c r="AHP308" s="117"/>
      <c r="AHQ308" s="117"/>
      <c r="AHR308" s="117"/>
      <c r="AHS308" s="117"/>
      <c r="AHT308" s="117"/>
      <c r="AHU308" s="117"/>
      <c r="AHV308" s="117"/>
      <c r="AHW308" s="117"/>
      <c r="AHX308" s="117"/>
      <c r="AHY308" s="117"/>
      <c r="AHZ308" s="117"/>
      <c r="AIA308" s="117"/>
      <c r="AIB308" s="117"/>
      <c r="AIC308" s="117"/>
      <c r="AID308" s="117"/>
      <c r="AIE308" s="117"/>
      <c r="AIF308" s="117"/>
      <c r="AIG308" s="117"/>
      <c r="AIH308" s="117"/>
      <c r="AII308" s="117"/>
      <c r="AIJ308" s="117"/>
      <c r="AIK308" s="117"/>
      <c r="AIL308" s="117"/>
      <c r="AIM308" s="117"/>
      <c r="AIN308" s="117"/>
      <c r="AIO308" s="117"/>
      <c r="AIP308" s="117"/>
      <c r="AIQ308" s="117"/>
      <c r="AIR308" s="117"/>
      <c r="AIS308" s="117"/>
      <c r="AIT308" s="117"/>
      <c r="AIU308" s="117"/>
      <c r="AIV308" s="117"/>
      <c r="AIW308" s="117"/>
      <c r="AIX308" s="117"/>
      <c r="AIY308" s="117"/>
      <c r="AIZ308" s="117"/>
      <c r="AJA308" s="117"/>
      <c r="AJB308" s="117"/>
      <c r="AJC308" s="117"/>
      <c r="AJD308" s="117"/>
      <c r="AJE308" s="117"/>
      <c r="AJF308" s="117"/>
      <c r="AJG308" s="117"/>
      <c r="AJH308" s="117"/>
      <c r="AJI308" s="117"/>
      <c r="AJJ308" s="117"/>
      <c r="AJK308" s="117"/>
      <c r="AJL308" s="117"/>
      <c r="AJM308" s="117"/>
      <c r="AJN308" s="117"/>
      <c r="AJO308" s="117"/>
      <c r="AJP308" s="117"/>
      <c r="AJQ308" s="117"/>
      <c r="AJR308" s="117"/>
      <c r="AJS308" s="117"/>
      <c r="AJT308" s="117"/>
      <c r="AJU308" s="117"/>
      <c r="AJV308" s="117"/>
      <c r="AJW308" s="117"/>
      <c r="AJX308" s="117"/>
      <c r="AJY308" s="117"/>
      <c r="AJZ308" s="117"/>
      <c r="AKA308" s="117"/>
      <c r="AKB308" s="117"/>
      <c r="AKC308" s="117"/>
      <c r="AKD308" s="117"/>
      <c r="AKE308" s="117"/>
      <c r="AKF308" s="117"/>
      <c r="AKG308" s="117"/>
      <c r="AKH308" s="117"/>
      <c r="AKI308" s="117"/>
      <c r="AKJ308" s="117"/>
      <c r="AKK308" s="117"/>
      <c r="AKL308" s="117"/>
      <c r="AKM308" s="117"/>
      <c r="AKN308" s="117"/>
      <c r="AKO308" s="117"/>
      <c r="AKP308" s="117"/>
      <c r="AKQ308" s="117"/>
      <c r="AKR308" s="117"/>
      <c r="AKS308" s="117"/>
      <c r="AKT308" s="117"/>
      <c r="AKU308" s="117"/>
      <c r="AKV308" s="117"/>
      <c r="AKW308" s="117"/>
      <c r="AKX308" s="117"/>
      <c r="AKY308" s="117"/>
      <c r="AKZ308" s="117"/>
      <c r="ALA308" s="117"/>
      <c r="ALB308" s="117"/>
      <c r="ALC308" s="117"/>
      <c r="ALD308" s="117"/>
      <c r="ALE308" s="117"/>
      <c r="ALF308" s="117"/>
      <c r="ALG308" s="117"/>
      <c r="ALH308" s="117"/>
      <c r="ALI308" s="117"/>
      <c r="ALJ308" s="117"/>
      <c r="ALK308" s="117"/>
      <c r="ALL308" s="117"/>
      <c r="ALM308" s="117"/>
      <c r="ALN308" s="117"/>
      <c r="ALO308" s="117"/>
      <c r="ALP308" s="117"/>
      <c r="ALQ308" s="117"/>
      <c r="ALR308" s="117"/>
      <c r="ALS308" s="117"/>
      <c r="ALT308" s="117"/>
      <c r="ALU308" s="117"/>
      <c r="ALV308" s="117"/>
      <c r="ALW308" s="117"/>
      <c r="ALX308" s="117"/>
      <c r="ALY308" s="117"/>
      <c r="ALZ308" s="117"/>
      <c r="AMA308" s="117"/>
      <c r="AMB308" s="117"/>
      <c r="AMC308" s="117"/>
      <c r="AMD308" s="117"/>
      <c r="AME308" s="117"/>
    </row>
    <row r="309" spans="1:1019" s="191" customFormat="1" ht="11.25" customHeight="1">
      <c r="A309" s="139">
        <v>307</v>
      </c>
      <c r="B309" s="139"/>
      <c r="C309" s="140"/>
      <c r="D309" s="190">
        <v>1</v>
      </c>
      <c r="E309" s="190">
        <f t="shared" si="47"/>
        <v>26</v>
      </c>
      <c r="F309" s="173" t="s">
        <v>511</v>
      </c>
      <c r="G309" s="172">
        <f t="shared" si="58"/>
        <v>465</v>
      </c>
      <c r="H309" s="143">
        <f>INT((G309*Valores!$C$2*100)+0.5)/100</f>
        <v>4342.96</v>
      </c>
      <c r="I309" s="161">
        <v>0</v>
      </c>
      <c r="J309" s="145">
        <f>INT((I309*Valores!$C$2*100)+0.5)/100</f>
        <v>0</v>
      </c>
      <c r="K309" s="160">
        <v>0</v>
      </c>
      <c r="L309" s="145">
        <f>INT((K309*Valores!$C$2*100)+0.5)/100</f>
        <v>0</v>
      </c>
      <c r="M309" s="158">
        <v>0</v>
      </c>
      <c r="N309" s="145">
        <f>INT((M309*Valores!$C$2*100)+0.5)/100</f>
        <v>0</v>
      </c>
      <c r="O309" s="145">
        <f t="shared" si="48"/>
        <v>682.1564999999999</v>
      </c>
      <c r="P309" s="145">
        <f t="shared" si="49"/>
        <v>0</v>
      </c>
      <c r="Q309" s="159">
        <v>0</v>
      </c>
      <c r="R309" s="159">
        <v>0</v>
      </c>
      <c r="S309" s="145">
        <v>0</v>
      </c>
      <c r="T309" s="148">
        <f>IF($H$5="NO",IF(Valores!$C$46*D309&gt;Valores!$C$44,Valores!$C$44,Valores!$C$46*D309),IF(Valores!$C$46*D309&gt;Valores!$C$44,Valores!$C$44,Valores!$C$46*D309)/2)*3</f>
        <v>204.75</v>
      </c>
      <c r="U309" s="159">
        <v>0</v>
      </c>
      <c r="V309" s="145">
        <f t="shared" si="57"/>
        <v>0</v>
      </c>
      <c r="W309" s="145">
        <v>0</v>
      </c>
      <c r="X309" s="145">
        <v>0</v>
      </c>
      <c r="Y309" s="165">
        <v>0</v>
      </c>
      <c r="Z309" s="145">
        <v>0</v>
      </c>
      <c r="AA309" s="145">
        <v>0</v>
      </c>
      <c r="AB309" s="148"/>
      <c r="AC309" s="150">
        <v>0</v>
      </c>
      <c r="AD309" s="145">
        <f t="shared" si="51"/>
        <v>0</v>
      </c>
      <c r="AE309" s="145">
        <v>0</v>
      </c>
      <c r="AF309" s="149">
        <v>0</v>
      </c>
      <c r="AG309" s="145">
        <f>INT(((AF309*Valores!$C$2)*100)+0.5)/100</f>
        <v>0</v>
      </c>
      <c r="AH309" s="145"/>
      <c r="AI309" s="145"/>
      <c r="AJ309" s="151">
        <f t="shared" si="52"/>
        <v>5229.8665</v>
      </c>
      <c r="AK309" s="171"/>
      <c r="AL309" s="148">
        <f>Valores!$C$11+AL308</f>
        <v>0</v>
      </c>
      <c r="AM309" s="148">
        <v>0</v>
      </c>
      <c r="AN309" s="148"/>
      <c r="AO309" s="150">
        <v>0</v>
      </c>
      <c r="AP309" s="152">
        <f t="shared" si="50"/>
        <v>0</v>
      </c>
      <c r="AQ309" s="154">
        <f>AJ309*-Valores!$C$68</f>
        <v>-575.285315</v>
      </c>
      <c r="AR309" s="154">
        <f>AJ309*-Valores!$C$69</f>
        <v>0</v>
      </c>
      <c r="AS309" s="147">
        <f>AJ309*-Valores!$C$70</f>
        <v>-235.34399249999998</v>
      </c>
      <c r="AT309" s="147">
        <v>-159.43</v>
      </c>
      <c r="AU309" s="147">
        <f t="shared" si="53"/>
        <v>-53.83</v>
      </c>
      <c r="AV309" s="151">
        <f t="shared" si="54"/>
        <v>4205.9771925</v>
      </c>
      <c r="AW309" s="155"/>
      <c r="AX309" s="155"/>
      <c r="AY309" s="140" t="s">
        <v>4</v>
      </c>
      <c r="AZ309" s="117"/>
      <c r="BA309" s="117"/>
      <c r="BB309" s="117"/>
      <c r="BC309" s="117"/>
      <c r="BD309" s="117"/>
      <c r="BE309" s="117"/>
      <c r="BF309" s="117"/>
      <c r="BG309" s="117"/>
      <c r="BH309" s="117"/>
      <c r="BI309" s="117"/>
      <c r="BJ309" s="117"/>
      <c r="BK309" s="117"/>
      <c r="BL309" s="117"/>
      <c r="BM309" s="117"/>
      <c r="BN309" s="117"/>
      <c r="BO309" s="117"/>
      <c r="BP309" s="117"/>
      <c r="BQ309" s="117"/>
      <c r="BR309" s="117"/>
      <c r="BS309" s="117"/>
      <c r="BT309" s="117"/>
      <c r="BU309" s="117"/>
      <c r="BV309" s="117"/>
      <c r="BW309" s="117"/>
      <c r="BX309" s="117"/>
      <c r="BY309" s="117"/>
      <c r="BZ309" s="117"/>
      <c r="CA309" s="117"/>
      <c r="CB309" s="117"/>
      <c r="CC309" s="117"/>
      <c r="CD309" s="117"/>
      <c r="CE309" s="117"/>
      <c r="CF309" s="117"/>
      <c r="CG309" s="117"/>
      <c r="CH309" s="117"/>
      <c r="CI309" s="117"/>
      <c r="CJ309" s="117"/>
      <c r="CK309" s="117"/>
      <c r="CL309" s="117"/>
      <c r="CM309" s="117"/>
      <c r="CN309" s="117"/>
      <c r="CO309" s="117"/>
      <c r="CP309" s="117"/>
      <c r="CQ309" s="117"/>
      <c r="CR309" s="117"/>
      <c r="CS309" s="117"/>
      <c r="CT309" s="117"/>
      <c r="CU309" s="117"/>
      <c r="CV309" s="117"/>
      <c r="CW309" s="117"/>
      <c r="CX309" s="117"/>
      <c r="CY309" s="117"/>
      <c r="CZ309" s="117"/>
      <c r="DA309" s="117"/>
      <c r="DB309" s="117"/>
      <c r="DC309" s="117"/>
      <c r="DD309" s="117"/>
      <c r="DE309" s="117"/>
      <c r="DF309" s="117"/>
      <c r="DG309" s="117"/>
      <c r="DH309" s="117"/>
      <c r="DI309" s="117"/>
      <c r="DJ309" s="117"/>
      <c r="DK309" s="117"/>
      <c r="DL309" s="117"/>
      <c r="DM309" s="117"/>
      <c r="DN309" s="117"/>
      <c r="DO309" s="117"/>
      <c r="DP309" s="117"/>
      <c r="DQ309" s="117"/>
      <c r="DR309" s="117"/>
      <c r="DS309" s="117"/>
      <c r="DT309" s="117"/>
      <c r="DU309" s="117"/>
      <c r="DV309" s="117"/>
      <c r="DW309" s="117"/>
      <c r="DX309" s="117"/>
      <c r="DY309" s="117"/>
      <c r="DZ309" s="117"/>
      <c r="EA309" s="117"/>
      <c r="EB309" s="117"/>
      <c r="EC309" s="117"/>
      <c r="ED309" s="117"/>
      <c r="EE309" s="117"/>
      <c r="EF309" s="117"/>
      <c r="EG309" s="117"/>
      <c r="EH309" s="117"/>
      <c r="EI309" s="117"/>
      <c r="EJ309" s="117"/>
      <c r="EK309" s="117"/>
      <c r="EL309" s="117"/>
      <c r="EM309" s="117"/>
      <c r="EN309" s="117"/>
      <c r="EO309" s="117"/>
      <c r="EP309" s="117"/>
      <c r="EQ309" s="117"/>
      <c r="ER309" s="117"/>
      <c r="ES309" s="117"/>
      <c r="ET309" s="117"/>
      <c r="EU309" s="117"/>
      <c r="EV309" s="117"/>
      <c r="EW309" s="117"/>
      <c r="EX309" s="117"/>
      <c r="EY309" s="117"/>
      <c r="EZ309" s="117"/>
      <c r="FA309" s="117"/>
      <c r="FB309" s="117"/>
      <c r="FC309" s="117"/>
      <c r="FD309" s="117"/>
      <c r="FE309" s="117"/>
      <c r="FF309" s="117"/>
      <c r="FG309" s="117"/>
      <c r="FH309" s="117"/>
      <c r="FI309" s="117"/>
      <c r="FJ309" s="117"/>
      <c r="FK309" s="117"/>
      <c r="FL309" s="117"/>
      <c r="FM309" s="117"/>
      <c r="FN309" s="117"/>
      <c r="FO309" s="117"/>
      <c r="FP309" s="117"/>
      <c r="FQ309" s="117"/>
      <c r="FR309" s="117"/>
      <c r="FS309" s="117"/>
      <c r="FT309" s="117"/>
      <c r="FU309" s="117"/>
      <c r="FV309" s="117"/>
      <c r="FW309" s="117"/>
      <c r="FX309" s="117"/>
      <c r="FY309" s="117"/>
      <c r="FZ309" s="117"/>
      <c r="GA309" s="117"/>
      <c r="GB309" s="117"/>
      <c r="GC309" s="117"/>
      <c r="GD309" s="117"/>
      <c r="GE309" s="117"/>
      <c r="GF309" s="117"/>
      <c r="GG309" s="117"/>
      <c r="GH309" s="117"/>
      <c r="GI309" s="117"/>
      <c r="GJ309" s="117"/>
      <c r="GK309" s="117"/>
      <c r="GL309" s="117"/>
      <c r="GM309" s="117"/>
      <c r="GN309" s="117"/>
      <c r="GO309" s="117"/>
      <c r="GP309" s="117"/>
      <c r="GQ309" s="117"/>
      <c r="GR309" s="117"/>
      <c r="GS309" s="117"/>
      <c r="GT309" s="117"/>
      <c r="GU309" s="117"/>
      <c r="GV309" s="117"/>
      <c r="GW309" s="117"/>
      <c r="GX309" s="117"/>
      <c r="GY309" s="117"/>
      <c r="GZ309" s="117"/>
      <c r="HA309" s="117"/>
      <c r="HB309" s="117"/>
      <c r="HC309" s="117"/>
      <c r="HD309" s="117"/>
      <c r="HE309" s="117"/>
      <c r="HF309" s="117"/>
      <c r="HG309" s="117"/>
      <c r="HH309" s="117"/>
      <c r="HI309" s="117"/>
      <c r="HJ309" s="117"/>
      <c r="HK309" s="117"/>
      <c r="HL309" s="117"/>
      <c r="HM309" s="117"/>
      <c r="HN309" s="117"/>
      <c r="HO309" s="117"/>
      <c r="HP309" s="117"/>
      <c r="HQ309" s="117"/>
      <c r="HR309" s="117"/>
      <c r="HS309" s="117"/>
      <c r="HT309" s="117"/>
      <c r="HU309" s="117"/>
      <c r="HV309" s="117"/>
      <c r="HW309" s="117"/>
      <c r="HX309" s="117"/>
      <c r="HY309" s="117"/>
      <c r="HZ309" s="117"/>
      <c r="IA309" s="117"/>
      <c r="IB309" s="117"/>
      <c r="IC309" s="117"/>
      <c r="ID309" s="117"/>
      <c r="IE309" s="117"/>
      <c r="IF309" s="117"/>
      <c r="IG309" s="117"/>
      <c r="IH309" s="117"/>
      <c r="II309" s="117"/>
      <c r="IJ309" s="117"/>
      <c r="IK309" s="117"/>
      <c r="IL309" s="117"/>
      <c r="IM309" s="117"/>
      <c r="IN309" s="117"/>
      <c r="IO309" s="117"/>
      <c r="IP309" s="117"/>
      <c r="IQ309" s="117"/>
      <c r="IR309" s="117"/>
      <c r="IS309" s="117"/>
      <c r="IT309" s="117"/>
      <c r="IU309" s="117"/>
      <c r="IV309" s="117"/>
      <c r="IW309" s="117"/>
      <c r="IX309" s="117"/>
      <c r="IY309" s="117"/>
      <c r="IZ309" s="117"/>
      <c r="JA309" s="117"/>
      <c r="JB309" s="117"/>
      <c r="JC309" s="117"/>
      <c r="JD309" s="117"/>
      <c r="JE309" s="117"/>
      <c r="JF309" s="117"/>
      <c r="JG309" s="117"/>
      <c r="JH309" s="117"/>
      <c r="JI309" s="117"/>
      <c r="JJ309" s="117"/>
      <c r="JK309" s="117"/>
      <c r="JL309" s="117"/>
      <c r="JM309" s="117"/>
      <c r="JN309" s="117"/>
      <c r="JO309" s="117"/>
      <c r="JP309" s="117"/>
      <c r="JQ309" s="117"/>
      <c r="JR309" s="117"/>
      <c r="JS309" s="117"/>
      <c r="JT309" s="117"/>
      <c r="JU309" s="117"/>
      <c r="JV309" s="117"/>
      <c r="JW309" s="117"/>
      <c r="JX309" s="117"/>
      <c r="JY309" s="117"/>
      <c r="JZ309" s="117"/>
      <c r="KA309" s="117"/>
      <c r="KB309" s="117"/>
      <c r="KC309" s="117"/>
      <c r="KD309" s="117"/>
      <c r="KE309" s="117"/>
      <c r="KF309" s="117"/>
      <c r="KG309" s="117"/>
      <c r="KH309" s="117"/>
      <c r="KI309" s="117"/>
      <c r="KJ309" s="117"/>
      <c r="KK309" s="117"/>
      <c r="KL309" s="117"/>
      <c r="KM309" s="117"/>
      <c r="KN309" s="117"/>
      <c r="KO309" s="117"/>
      <c r="KP309" s="117"/>
      <c r="KQ309" s="117"/>
      <c r="KR309" s="117"/>
      <c r="KS309" s="117"/>
      <c r="KT309" s="117"/>
      <c r="KU309" s="117"/>
      <c r="KV309" s="117"/>
      <c r="KW309" s="117"/>
      <c r="KX309" s="117"/>
      <c r="KY309" s="117"/>
      <c r="KZ309" s="117"/>
      <c r="LA309" s="117"/>
      <c r="LB309" s="117"/>
      <c r="LC309" s="117"/>
      <c r="LD309" s="117"/>
      <c r="LE309" s="117"/>
      <c r="LF309" s="117"/>
      <c r="LG309" s="117"/>
      <c r="LH309" s="117"/>
      <c r="LI309" s="117"/>
      <c r="LJ309" s="117"/>
      <c r="LK309" s="117"/>
      <c r="LL309" s="117"/>
      <c r="LM309" s="117"/>
      <c r="LN309" s="117"/>
      <c r="LO309" s="117"/>
      <c r="LP309" s="117"/>
      <c r="LQ309" s="117"/>
      <c r="LR309" s="117"/>
      <c r="LS309" s="117"/>
      <c r="LT309" s="117"/>
      <c r="LU309" s="117"/>
      <c r="LV309" s="117"/>
      <c r="LW309" s="117"/>
      <c r="LX309" s="117"/>
      <c r="LY309" s="117"/>
      <c r="LZ309" s="117"/>
      <c r="MA309" s="117"/>
      <c r="MB309" s="117"/>
      <c r="MC309" s="117"/>
      <c r="MD309" s="117"/>
      <c r="ME309" s="117"/>
      <c r="MF309" s="117"/>
      <c r="MG309" s="117"/>
      <c r="MH309" s="117"/>
      <c r="MI309" s="117"/>
      <c r="MJ309" s="117"/>
      <c r="MK309" s="117"/>
      <c r="ML309" s="117"/>
      <c r="MM309" s="117"/>
      <c r="MN309" s="117"/>
      <c r="MO309" s="117"/>
      <c r="MP309" s="117"/>
      <c r="MQ309" s="117"/>
      <c r="MR309" s="117"/>
      <c r="MS309" s="117"/>
      <c r="MT309" s="117"/>
      <c r="MU309" s="117"/>
      <c r="MV309" s="117"/>
      <c r="MW309" s="117"/>
      <c r="MX309" s="117"/>
      <c r="MY309" s="117"/>
      <c r="MZ309" s="117"/>
      <c r="NA309" s="117"/>
      <c r="NB309" s="117"/>
      <c r="NC309" s="117"/>
      <c r="ND309" s="117"/>
      <c r="NE309" s="117"/>
      <c r="NF309" s="117"/>
      <c r="NG309" s="117"/>
      <c r="NH309" s="117"/>
      <c r="NI309" s="117"/>
      <c r="NJ309" s="117"/>
      <c r="NK309" s="117"/>
      <c r="NL309" s="117"/>
      <c r="NM309" s="117"/>
      <c r="NN309" s="117"/>
      <c r="NO309" s="117"/>
      <c r="NP309" s="117"/>
      <c r="NQ309" s="117"/>
      <c r="NR309" s="117"/>
      <c r="NS309" s="117"/>
      <c r="NT309" s="117"/>
      <c r="NU309" s="117"/>
      <c r="NV309" s="117"/>
      <c r="NW309" s="117"/>
      <c r="NX309" s="117"/>
      <c r="NY309" s="117"/>
      <c r="NZ309" s="117"/>
      <c r="OA309" s="117"/>
      <c r="OB309" s="117"/>
      <c r="OC309" s="117"/>
      <c r="OD309" s="117"/>
      <c r="OE309" s="117"/>
      <c r="OF309" s="117"/>
      <c r="OG309" s="117"/>
      <c r="OH309" s="117"/>
      <c r="OI309" s="117"/>
      <c r="OJ309" s="117"/>
      <c r="OK309" s="117"/>
      <c r="OL309" s="117"/>
      <c r="OM309" s="117"/>
      <c r="ON309" s="117"/>
      <c r="OO309" s="117"/>
      <c r="OP309" s="117"/>
      <c r="OQ309" s="117"/>
      <c r="OR309" s="117"/>
      <c r="OS309" s="117"/>
      <c r="OT309" s="117"/>
      <c r="OU309" s="117"/>
      <c r="OV309" s="117"/>
      <c r="OW309" s="117"/>
      <c r="OX309" s="117"/>
      <c r="OY309" s="117"/>
      <c r="OZ309" s="117"/>
      <c r="PA309" s="117"/>
      <c r="PB309" s="117"/>
      <c r="PC309" s="117"/>
      <c r="PD309" s="117"/>
      <c r="PE309" s="117"/>
      <c r="PF309" s="117"/>
      <c r="PG309" s="117"/>
      <c r="PH309" s="117"/>
      <c r="PI309" s="117"/>
      <c r="PJ309" s="117"/>
      <c r="PK309" s="117"/>
      <c r="PL309" s="117"/>
      <c r="PM309" s="117"/>
      <c r="PN309" s="117"/>
      <c r="PO309" s="117"/>
      <c r="PP309" s="117"/>
      <c r="PQ309" s="117"/>
      <c r="PR309" s="117"/>
      <c r="PS309" s="117"/>
      <c r="PT309" s="117"/>
      <c r="PU309" s="117"/>
      <c r="PV309" s="117"/>
      <c r="PW309" s="117"/>
      <c r="PX309" s="117"/>
      <c r="PY309" s="117"/>
      <c r="PZ309" s="117"/>
      <c r="QA309" s="117"/>
      <c r="QB309" s="117"/>
      <c r="QC309" s="117"/>
      <c r="QD309" s="117"/>
      <c r="QE309" s="117"/>
      <c r="QF309" s="117"/>
      <c r="QG309" s="117"/>
      <c r="QH309" s="117"/>
      <c r="QI309" s="117"/>
      <c r="QJ309" s="117"/>
      <c r="QK309" s="117"/>
      <c r="QL309" s="117"/>
      <c r="QM309" s="117"/>
      <c r="QN309" s="117"/>
      <c r="QO309" s="117"/>
      <c r="QP309" s="117"/>
      <c r="QQ309" s="117"/>
      <c r="QR309" s="117"/>
      <c r="QS309" s="117"/>
      <c r="QT309" s="117"/>
      <c r="QU309" s="117"/>
      <c r="QV309" s="117"/>
      <c r="QW309" s="117"/>
      <c r="QX309" s="117"/>
      <c r="QY309" s="117"/>
      <c r="QZ309" s="117"/>
      <c r="RA309" s="117"/>
      <c r="RB309" s="117"/>
      <c r="RC309" s="117"/>
      <c r="RD309" s="117"/>
      <c r="RE309" s="117"/>
      <c r="RF309" s="117"/>
      <c r="RG309" s="117"/>
      <c r="RH309" s="117"/>
      <c r="RI309" s="117"/>
      <c r="RJ309" s="117"/>
      <c r="RK309" s="117"/>
      <c r="RL309" s="117"/>
      <c r="RM309" s="117"/>
      <c r="RN309" s="117"/>
      <c r="RO309" s="117"/>
      <c r="RP309" s="117"/>
      <c r="RQ309" s="117"/>
      <c r="RR309" s="117"/>
      <c r="RS309" s="117"/>
      <c r="RT309" s="117"/>
      <c r="RU309" s="117"/>
      <c r="RV309" s="117"/>
      <c r="RW309" s="117"/>
      <c r="RX309" s="117"/>
      <c r="RY309" s="117"/>
      <c r="RZ309" s="117"/>
      <c r="SA309" s="117"/>
      <c r="SB309" s="117"/>
      <c r="SC309" s="117"/>
      <c r="SD309" s="117"/>
      <c r="SE309" s="117"/>
      <c r="SF309" s="117"/>
      <c r="SG309" s="117"/>
      <c r="SH309" s="117"/>
      <c r="SI309" s="117"/>
      <c r="SJ309" s="117"/>
      <c r="SK309" s="117"/>
      <c r="SL309" s="117"/>
      <c r="SM309" s="117"/>
      <c r="SN309" s="117"/>
      <c r="SO309" s="117"/>
      <c r="SP309" s="117"/>
      <c r="SQ309" s="117"/>
      <c r="SR309" s="117"/>
      <c r="SS309" s="117"/>
      <c r="ST309" s="117"/>
      <c r="SU309" s="117"/>
      <c r="SV309" s="117"/>
      <c r="SW309" s="117"/>
      <c r="SX309" s="117"/>
      <c r="SY309" s="117"/>
      <c r="SZ309" s="117"/>
      <c r="TA309" s="117"/>
      <c r="TB309" s="117"/>
      <c r="TC309" s="117"/>
      <c r="TD309" s="117"/>
      <c r="TE309" s="117"/>
      <c r="TF309" s="117"/>
      <c r="TG309" s="117"/>
      <c r="TH309" s="117"/>
      <c r="TI309" s="117"/>
      <c r="TJ309" s="117"/>
      <c r="TK309" s="117"/>
      <c r="TL309" s="117"/>
      <c r="TM309" s="117"/>
      <c r="TN309" s="117"/>
      <c r="TO309" s="117"/>
      <c r="TP309" s="117"/>
      <c r="TQ309" s="117"/>
      <c r="TR309" s="117"/>
      <c r="TS309" s="117"/>
      <c r="TT309" s="117"/>
      <c r="TU309" s="117"/>
      <c r="TV309" s="117"/>
      <c r="TW309" s="117"/>
      <c r="TX309" s="117"/>
      <c r="TY309" s="117"/>
      <c r="TZ309" s="117"/>
      <c r="UA309" s="117"/>
      <c r="UB309" s="117"/>
      <c r="UC309" s="117"/>
      <c r="UD309" s="117"/>
      <c r="UE309" s="117"/>
      <c r="UF309" s="117"/>
      <c r="UG309" s="117"/>
      <c r="UH309" s="117"/>
      <c r="UI309" s="117"/>
      <c r="UJ309" s="117"/>
      <c r="UK309" s="117"/>
      <c r="UL309" s="117"/>
      <c r="UM309" s="117"/>
      <c r="UN309" s="117"/>
      <c r="UO309" s="117"/>
      <c r="UP309" s="117"/>
      <c r="UQ309" s="117"/>
      <c r="UR309" s="117"/>
      <c r="US309" s="117"/>
      <c r="UT309" s="117"/>
      <c r="UU309" s="117"/>
      <c r="UV309" s="117"/>
      <c r="UW309" s="117"/>
      <c r="UX309" s="117"/>
      <c r="UY309" s="117"/>
      <c r="UZ309" s="117"/>
      <c r="VA309" s="117"/>
      <c r="VB309" s="117"/>
      <c r="VC309" s="117"/>
      <c r="VD309" s="117"/>
      <c r="VE309" s="117"/>
      <c r="VF309" s="117"/>
      <c r="VG309" s="117"/>
      <c r="VH309" s="117"/>
      <c r="VI309" s="117"/>
      <c r="VJ309" s="117"/>
      <c r="VK309" s="117"/>
      <c r="VL309" s="117"/>
      <c r="VM309" s="117"/>
      <c r="VN309" s="117"/>
      <c r="VO309" s="117"/>
      <c r="VP309" s="117"/>
      <c r="VQ309" s="117"/>
      <c r="VR309" s="117"/>
      <c r="VS309" s="117"/>
      <c r="VT309" s="117"/>
      <c r="VU309" s="117"/>
      <c r="VV309" s="117"/>
      <c r="VW309" s="117"/>
      <c r="VX309" s="117"/>
      <c r="VY309" s="117"/>
      <c r="VZ309" s="117"/>
      <c r="WA309" s="117"/>
      <c r="WB309" s="117"/>
      <c r="WC309" s="117"/>
      <c r="WD309" s="117"/>
      <c r="WE309" s="117"/>
      <c r="WF309" s="117"/>
      <c r="WG309" s="117"/>
      <c r="WH309" s="117"/>
      <c r="WI309" s="117"/>
      <c r="WJ309" s="117"/>
      <c r="WK309" s="117"/>
      <c r="WL309" s="117"/>
      <c r="WM309" s="117"/>
      <c r="WN309" s="117"/>
      <c r="WO309" s="117"/>
      <c r="WP309" s="117"/>
      <c r="WQ309" s="117"/>
      <c r="WR309" s="117"/>
      <c r="WS309" s="117"/>
      <c r="WT309" s="117"/>
      <c r="WU309" s="117"/>
      <c r="WV309" s="117"/>
      <c r="WW309" s="117"/>
      <c r="WX309" s="117"/>
      <c r="WY309" s="117"/>
      <c r="WZ309" s="117"/>
      <c r="XA309" s="117"/>
      <c r="XB309" s="117"/>
      <c r="XC309" s="117"/>
      <c r="XD309" s="117"/>
      <c r="XE309" s="117"/>
      <c r="XF309" s="117"/>
      <c r="XG309" s="117"/>
      <c r="XH309" s="117"/>
      <c r="XI309" s="117"/>
      <c r="XJ309" s="117"/>
      <c r="XK309" s="117"/>
      <c r="XL309" s="117"/>
      <c r="XM309" s="117"/>
      <c r="XN309" s="117"/>
      <c r="XO309" s="117"/>
      <c r="XP309" s="117"/>
      <c r="XQ309" s="117"/>
      <c r="XR309" s="117"/>
      <c r="XS309" s="117"/>
      <c r="XT309" s="117"/>
      <c r="XU309" s="117"/>
      <c r="XV309" s="117"/>
      <c r="XW309" s="117"/>
      <c r="XX309" s="117"/>
      <c r="XY309" s="117"/>
      <c r="XZ309" s="117"/>
      <c r="YA309" s="117"/>
      <c r="YB309" s="117"/>
      <c r="YC309" s="117"/>
      <c r="YD309" s="117"/>
      <c r="YE309" s="117"/>
      <c r="YF309" s="117"/>
      <c r="YG309" s="117"/>
      <c r="YH309" s="117"/>
      <c r="YI309" s="117"/>
      <c r="YJ309" s="117"/>
      <c r="YK309" s="117"/>
      <c r="YL309" s="117"/>
      <c r="YM309" s="117"/>
      <c r="YN309" s="117"/>
      <c r="YO309" s="117"/>
      <c r="YP309" s="117"/>
      <c r="YQ309" s="117"/>
      <c r="YR309" s="117"/>
      <c r="YS309" s="117"/>
      <c r="YT309" s="117"/>
      <c r="YU309" s="117"/>
      <c r="YV309" s="117"/>
      <c r="YW309" s="117"/>
      <c r="YX309" s="117"/>
      <c r="YY309" s="117"/>
      <c r="YZ309" s="117"/>
      <c r="ZA309" s="117"/>
      <c r="ZB309" s="117"/>
      <c r="ZC309" s="117"/>
      <c r="ZD309" s="117"/>
      <c r="ZE309" s="117"/>
      <c r="ZF309" s="117"/>
      <c r="ZG309" s="117"/>
      <c r="ZH309" s="117"/>
      <c r="ZI309" s="117"/>
      <c r="ZJ309" s="117"/>
      <c r="ZK309" s="117"/>
      <c r="ZL309" s="117"/>
      <c r="ZM309" s="117"/>
      <c r="ZN309" s="117"/>
      <c r="ZO309" s="117"/>
      <c r="ZP309" s="117"/>
      <c r="ZQ309" s="117"/>
      <c r="ZR309" s="117"/>
      <c r="ZS309" s="117"/>
      <c r="ZT309" s="117"/>
      <c r="ZU309" s="117"/>
      <c r="ZV309" s="117"/>
      <c r="ZW309" s="117"/>
      <c r="ZX309" s="117"/>
      <c r="ZY309" s="117"/>
      <c r="ZZ309" s="117"/>
      <c r="AAA309" s="117"/>
      <c r="AAB309" s="117"/>
      <c r="AAC309" s="117"/>
      <c r="AAD309" s="117"/>
      <c r="AAE309" s="117"/>
      <c r="AAF309" s="117"/>
      <c r="AAG309" s="117"/>
      <c r="AAH309" s="117"/>
      <c r="AAI309" s="117"/>
      <c r="AAJ309" s="117"/>
      <c r="AAK309" s="117"/>
      <c r="AAL309" s="117"/>
      <c r="AAM309" s="117"/>
      <c r="AAN309" s="117"/>
      <c r="AAO309" s="117"/>
      <c r="AAP309" s="117"/>
      <c r="AAQ309" s="117"/>
      <c r="AAR309" s="117"/>
      <c r="AAS309" s="117"/>
      <c r="AAT309" s="117"/>
      <c r="AAU309" s="117"/>
      <c r="AAV309" s="117"/>
      <c r="AAW309" s="117"/>
      <c r="AAX309" s="117"/>
      <c r="AAY309" s="117"/>
      <c r="AAZ309" s="117"/>
      <c r="ABA309" s="117"/>
      <c r="ABB309" s="117"/>
      <c r="ABC309" s="117"/>
      <c r="ABD309" s="117"/>
      <c r="ABE309" s="117"/>
      <c r="ABF309" s="117"/>
      <c r="ABG309" s="117"/>
      <c r="ABH309" s="117"/>
      <c r="ABI309" s="117"/>
      <c r="ABJ309" s="117"/>
      <c r="ABK309" s="117"/>
      <c r="ABL309" s="117"/>
      <c r="ABM309" s="117"/>
      <c r="ABN309" s="117"/>
      <c r="ABO309" s="117"/>
      <c r="ABP309" s="117"/>
      <c r="ABQ309" s="117"/>
      <c r="ABR309" s="117"/>
      <c r="ABS309" s="117"/>
      <c r="ABT309" s="117"/>
      <c r="ABU309" s="117"/>
      <c r="ABV309" s="117"/>
      <c r="ABW309" s="117"/>
      <c r="ABX309" s="117"/>
      <c r="ABY309" s="117"/>
      <c r="ABZ309" s="117"/>
      <c r="ACA309" s="117"/>
      <c r="ACB309" s="117"/>
      <c r="ACC309" s="117"/>
      <c r="ACD309" s="117"/>
      <c r="ACE309" s="117"/>
      <c r="ACF309" s="117"/>
      <c r="ACG309" s="117"/>
      <c r="ACH309" s="117"/>
      <c r="ACI309" s="117"/>
      <c r="ACJ309" s="117"/>
      <c r="ACK309" s="117"/>
      <c r="ACL309" s="117"/>
      <c r="ACM309" s="117"/>
      <c r="ACN309" s="117"/>
      <c r="ACO309" s="117"/>
      <c r="ACP309" s="117"/>
      <c r="ACQ309" s="117"/>
      <c r="ACR309" s="117"/>
      <c r="ACS309" s="117"/>
      <c r="ACT309" s="117"/>
      <c r="ACU309" s="117"/>
      <c r="ACV309" s="117"/>
      <c r="ACW309" s="117"/>
      <c r="ACX309" s="117"/>
      <c r="ACY309" s="117"/>
      <c r="ACZ309" s="117"/>
      <c r="ADA309" s="117"/>
      <c r="ADB309" s="117"/>
      <c r="ADC309" s="117"/>
      <c r="ADD309" s="117"/>
      <c r="ADE309" s="117"/>
      <c r="ADF309" s="117"/>
      <c r="ADG309" s="117"/>
      <c r="ADH309" s="117"/>
      <c r="ADI309" s="117"/>
      <c r="ADJ309" s="117"/>
      <c r="ADK309" s="117"/>
      <c r="ADL309" s="117"/>
      <c r="ADM309" s="117"/>
      <c r="ADN309" s="117"/>
      <c r="ADO309" s="117"/>
      <c r="ADP309" s="117"/>
      <c r="ADQ309" s="117"/>
      <c r="ADR309" s="117"/>
      <c r="ADS309" s="117"/>
      <c r="ADT309" s="117"/>
      <c r="ADU309" s="117"/>
      <c r="ADV309" s="117"/>
      <c r="ADW309" s="117"/>
      <c r="ADX309" s="117"/>
      <c r="ADY309" s="117"/>
      <c r="ADZ309" s="117"/>
      <c r="AEA309" s="117"/>
      <c r="AEB309" s="117"/>
      <c r="AEC309" s="117"/>
      <c r="AED309" s="117"/>
      <c r="AEE309" s="117"/>
      <c r="AEF309" s="117"/>
      <c r="AEG309" s="117"/>
      <c r="AEH309" s="117"/>
      <c r="AEI309" s="117"/>
      <c r="AEJ309" s="117"/>
      <c r="AEK309" s="117"/>
      <c r="AEL309" s="117"/>
      <c r="AEM309" s="117"/>
      <c r="AEN309" s="117"/>
      <c r="AEO309" s="117"/>
      <c r="AEP309" s="117"/>
      <c r="AEQ309" s="117"/>
      <c r="AER309" s="117"/>
      <c r="AES309" s="117"/>
      <c r="AET309" s="117"/>
      <c r="AEU309" s="117"/>
      <c r="AEV309" s="117"/>
      <c r="AEW309" s="117"/>
      <c r="AEX309" s="117"/>
      <c r="AEY309" s="117"/>
      <c r="AEZ309" s="117"/>
      <c r="AFA309" s="117"/>
      <c r="AFB309" s="117"/>
      <c r="AFC309" s="117"/>
      <c r="AFD309" s="117"/>
      <c r="AFE309" s="117"/>
      <c r="AFF309" s="117"/>
      <c r="AFG309" s="117"/>
      <c r="AFH309" s="117"/>
      <c r="AFI309" s="117"/>
      <c r="AFJ309" s="117"/>
      <c r="AFK309" s="117"/>
      <c r="AFL309" s="117"/>
      <c r="AFM309" s="117"/>
      <c r="AFN309" s="117"/>
      <c r="AFO309" s="117"/>
      <c r="AFP309" s="117"/>
      <c r="AFQ309" s="117"/>
      <c r="AFR309" s="117"/>
      <c r="AFS309" s="117"/>
      <c r="AFT309" s="117"/>
      <c r="AFU309" s="117"/>
      <c r="AFV309" s="117"/>
      <c r="AFW309" s="117"/>
      <c r="AFX309" s="117"/>
      <c r="AFY309" s="117"/>
      <c r="AFZ309" s="117"/>
      <c r="AGA309" s="117"/>
      <c r="AGB309" s="117"/>
      <c r="AGC309" s="117"/>
      <c r="AGD309" s="117"/>
      <c r="AGE309" s="117"/>
      <c r="AGF309" s="117"/>
      <c r="AGG309" s="117"/>
      <c r="AGH309" s="117"/>
      <c r="AGI309" s="117"/>
      <c r="AGJ309" s="117"/>
      <c r="AGK309" s="117"/>
      <c r="AGL309" s="117"/>
      <c r="AGM309" s="117"/>
      <c r="AGN309" s="117"/>
      <c r="AGO309" s="117"/>
      <c r="AGP309" s="117"/>
      <c r="AGQ309" s="117"/>
      <c r="AGR309" s="117"/>
      <c r="AGS309" s="117"/>
      <c r="AGT309" s="117"/>
      <c r="AGU309" s="117"/>
      <c r="AGV309" s="117"/>
      <c r="AGW309" s="117"/>
      <c r="AGX309" s="117"/>
      <c r="AGY309" s="117"/>
      <c r="AGZ309" s="117"/>
      <c r="AHA309" s="117"/>
      <c r="AHB309" s="117"/>
      <c r="AHC309" s="117"/>
      <c r="AHD309" s="117"/>
      <c r="AHE309" s="117"/>
      <c r="AHF309" s="117"/>
      <c r="AHG309" s="117"/>
      <c r="AHH309" s="117"/>
      <c r="AHI309" s="117"/>
      <c r="AHJ309" s="117"/>
      <c r="AHK309" s="117"/>
      <c r="AHL309" s="117"/>
      <c r="AHM309" s="117"/>
      <c r="AHN309" s="117"/>
      <c r="AHO309" s="117"/>
      <c r="AHP309" s="117"/>
      <c r="AHQ309" s="117"/>
      <c r="AHR309" s="117"/>
      <c r="AHS309" s="117"/>
      <c r="AHT309" s="117"/>
      <c r="AHU309" s="117"/>
      <c r="AHV309" s="117"/>
      <c r="AHW309" s="117"/>
      <c r="AHX309" s="117"/>
      <c r="AHY309" s="117"/>
      <c r="AHZ309" s="117"/>
      <c r="AIA309" s="117"/>
      <c r="AIB309" s="117"/>
      <c r="AIC309" s="117"/>
      <c r="AID309" s="117"/>
      <c r="AIE309" s="117"/>
      <c r="AIF309" s="117"/>
      <c r="AIG309" s="117"/>
      <c r="AIH309" s="117"/>
      <c r="AII309" s="117"/>
      <c r="AIJ309" s="117"/>
      <c r="AIK309" s="117"/>
      <c r="AIL309" s="117"/>
      <c r="AIM309" s="117"/>
      <c r="AIN309" s="117"/>
      <c r="AIO309" s="117"/>
      <c r="AIP309" s="117"/>
      <c r="AIQ309" s="117"/>
      <c r="AIR309" s="117"/>
      <c r="AIS309" s="117"/>
      <c r="AIT309" s="117"/>
      <c r="AIU309" s="117"/>
      <c r="AIV309" s="117"/>
      <c r="AIW309" s="117"/>
      <c r="AIX309" s="117"/>
      <c r="AIY309" s="117"/>
      <c r="AIZ309" s="117"/>
      <c r="AJA309" s="117"/>
      <c r="AJB309" s="117"/>
      <c r="AJC309" s="117"/>
      <c r="AJD309" s="117"/>
      <c r="AJE309" s="117"/>
      <c r="AJF309" s="117"/>
      <c r="AJG309" s="117"/>
      <c r="AJH309" s="117"/>
      <c r="AJI309" s="117"/>
      <c r="AJJ309" s="117"/>
      <c r="AJK309" s="117"/>
      <c r="AJL309" s="117"/>
      <c r="AJM309" s="117"/>
      <c r="AJN309" s="117"/>
      <c r="AJO309" s="117"/>
      <c r="AJP309" s="117"/>
      <c r="AJQ309" s="117"/>
      <c r="AJR309" s="117"/>
      <c r="AJS309" s="117"/>
      <c r="AJT309" s="117"/>
      <c r="AJU309" s="117"/>
      <c r="AJV309" s="117"/>
      <c r="AJW309" s="117"/>
      <c r="AJX309" s="117"/>
      <c r="AJY309" s="117"/>
      <c r="AJZ309" s="117"/>
      <c r="AKA309" s="117"/>
      <c r="AKB309" s="117"/>
      <c r="AKC309" s="117"/>
      <c r="AKD309" s="117"/>
      <c r="AKE309" s="117"/>
      <c r="AKF309" s="117"/>
      <c r="AKG309" s="117"/>
      <c r="AKH309" s="117"/>
      <c r="AKI309" s="117"/>
      <c r="AKJ309" s="117"/>
      <c r="AKK309" s="117"/>
      <c r="AKL309" s="117"/>
      <c r="AKM309" s="117"/>
      <c r="AKN309" s="117"/>
      <c r="AKO309" s="117"/>
      <c r="AKP309" s="117"/>
      <c r="AKQ309" s="117"/>
      <c r="AKR309" s="117"/>
      <c r="AKS309" s="117"/>
      <c r="AKT309" s="117"/>
      <c r="AKU309" s="117"/>
      <c r="AKV309" s="117"/>
      <c r="AKW309" s="117"/>
      <c r="AKX309" s="117"/>
      <c r="AKY309" s="117"/>
      <c r="AKZ309" s="117"/>
      <c r="ALA309" s="117"/>
      <c r="ALB309" s="117"/>
      <c r="ALC309" s="117"/>
      <c r="ALD309" s="117"/>
      <c r="ALE309" s="117"/>
      <c r="ALF309" s="117"/>
      <c r="ALG309" s="117"/>
      <c r="ALH309" s="117"/>
      <c r="ALI309" s="117"/>
      <c r="ALJ309" s="117"/>
      <c r="ALK309" s="117"/>
      <c r="ALL309" s="117"/>
      <c r="ALM309" s="117"/>
      <c r="ALN309" s="117"/>
      <c r="ALO309" s="117"/>
      <c r="ALP309" s="117"/>
      <c r="ALQ309" s="117"/>
      <c r="ALR309" s="117"/>
      <c r="ALS309" s="117"/>
      <c r="ALT309" s="117"/>
      <c r="ALU309" s="117"/>
      <c r="ALV309" s="117"/>
      <c r="ALW309" s="117"/>
      <c r="ALX309" s="117"/>
      <c r="ALY309" s="117"/>
      <c r="ALZ309" s="117"/>
      <c r="AMA309" s="117"/>
      <c r="AMB309" s="117"/>
      <c r="AMC309" s="117"/>
      <c r="AMD309" s="117"/>
      <c r="AME309" s="117"/>
    </row>
    <row r="310" spans="1:1019" s="191" customFormat="1" ht="11.25" customHeight="1">
      <c r="A310" s="139">
        <v>308</v>
      </c>
      <c r="B310" s="139"/>
      <c r="C310" s="140"/>
      <c r="D310" s="190">
        <v>1</v>
      </c>
      <c r="E310" s="190">
        <f t="shared" si="47"/>
        <v>26</v>
      </c>
      <c r="F310" s="173" t="s">
        <v>512</v>
      </c>
      <c r="G310" s="172">
        <f t="shared" si="58"/>
        <v>620</v>
      </c>
      <c r="H310" s="143">
        <f>INT((G310*Valores!$C$2*100)+0.5)/100</f>
        <v>5790.61</v>
      </c>
      <c r="I310" s="161">
        <v>0</v>
      </c>
      <c r="J310" s="145">
        <f>INT((I310*Valores!$C$2*100)+0.5)/100</f>
        <v>0</v>
      </c>
      <c r="K310" s="160">
        <v>0</v>
      </c>
      <c r="L310" s="145">
        <f>INT((K310*Valores!$C$2*100)+0.5)/100</f>
        <v>0</v>
      </c>
      <c r="M310" s="158">
        <v>0</v>
      </c>
      <c r="N310" s="145">
        <f>INT((M310*Valores!$C$2*100)+0.5)/100</f>
        <v>0</v>
      </c>
      <c r="O310" s="145">
        <f t="shared" si="48"/>
        <v>909.5414999999999</v>
      </c>
      <c r="P310" s="145">
        <f t="shared" si="49"/>
        <v>0</v>
      </c>
      <c r="Q310" s="159">
        <v>0</v>
      </c>
      <c r="R310" s="159">
        <v>0</v>
      </c>
      <c r="S310" s="145">
        <v>0</v>
      </c>
      <c r="T310" s="148">
        <f>IF($H$5="NO",IF(Valores!$C$46*D310&gt;Valores!$C$44,Valores!$C$44,Valores!$C$46*D310),IF(Valores!$C$46*D310&gt;Valores!$C$44,Valores!$C$44,Valores!$C$46*D310)/2)*4</f>
        <v>273</v>
      </c>
      <c r="U310" s="148">
        <v>0</v>
      </c>
      <c r="V310" s="145">
        <f t="shared" si="57"/>
        <v>0</v>
      </c>
      <c r="W310" s="145">
        <v>0</v>
      </c>
      <c r="X310" s="145">
        <v>0</v>
      </c>
      <c r="Y310" s="165">
        <v>0</v>
      </c>
      <c r="Z310" s="145">
        <v>0</v>
      </c>
      <c r="AA310" s="145">
        <v>0</v>
      </c>
      <c r="AB310" s="148"/>
      <c r="AC310" s="150">
        <v>0</v>
      </c>
      <c r="AD310" s="145">
        <f t="shared" si="51"/>
        <v>0</v>
      </c>
      <c r="AE310" s="145">
        <v>0</v>
      </c>
      <c r="AF310" s="149">
        <v>0</v>
      </c>
      <c r="AG310" s="145">
        <f>INT(((AF310*Valores!$C$2)*100)+0.5)/100</f>
        <v>0</v>
      </c>
      <c r="AH310" s="145"/>
      <c r="AI310" s="145"/>
      <c r="AJ310" s="151">
        <f t="shared" si="52"/>
        <v>6973.1515</v>
      </c>
      <c r="AK310" s="171"/>
      <c r="AL310" s="148">
        <f>Valores!$C$11+AL309</f>
        <v>0</v>
      </c>
      <c r="AM310" s="148">
        <v>0</v>
      </c>
      <c r="AN310" s="148"/>
      <c r="AO310" s="150">
        <v>0</v>
      </c>
      <c r="AP310" s="152">
        <f t="shared" si="50"/>
        <v>0</v>
      </c>
      <c r="AQ310" s="154">
        <f>AJ310*-Valores!$C$68</f>
        <v>-767.046665</v>
      </c>
      <c r="AR310" s="154">
        <f>AJ310*-Valores!$C$69</f>
        <v>0</v>
      </c>
      <c r="AS310" s="147">
        <f>AJ310*-Valores!$C$70</f>
        <v>-313.7918175</v>
      </c>
      <c r="AT310" s="147">
        <v>-159.43</v>
      </c>
      <c r="AU310" s="147">
        <f t="shared" si="53"/>
        <v>-53.83</v>
      </c>
      <c r="AV310" s="151">
        <f t="shared" si="54"/>
        <v>5679.0530175</v>
      </c>
      <c r="AW310" s="155"/>
      <c r="AX310" s="155"/>
      <c r="AY310" s="140"/>
      <c r="AZ310" s="117"/>
      <c r="BA310" s="117"/>
      <c r="BB310" s="117"/>
      <c r="BC310" s="117"/>
      <c r="BD310" s="117"/>
      <c r="BE310" s="117"/>
      <c r="BF310" s="117"/>
      <c r="BG310" s="117"/>
      <c r="BH310" s="117"/>
      <c r="BI310" s="117"/>
      <c r="BJ310" s="117"/>
      <c r="BK310" s="117"/>
      <c r="BL310" s="117"/>
      <c r="BM310" s="117"/>
      <c r="BN310" s="117"/>
      <c r="BO310" s="117"/>
      <c r="BP310" s="117"/>
      <c r="BQ310" s="117"/>
      <c r="BR310" s="117"/>
      <c r="BS310" s="117"/>
      <c r="BT310" s="117"/>
      <c r="BU310" s="117"/>
      <c r="BV310" s="117"/>
      <c r="BW310" s="117"/>
      <c r="BX310" s="117"/>
      <c r="BY310" s="117"/>
      <c r="BZ310" s="117"/>
      <c r="CA310" s="117"/>
      <c r="CB310" s="117"/>
      <c r="CC310" s="117"/>
      <c r="CD310" s="117"/>
      <c r="CE310" s="117"/>
      <c r="CF310" s="117"/>
      <c r="CG310" s="117"/>
      <c r="CH310" s="117"/>
      <c r="CI310" s="117"/>
      <c r="CJ310" s="117"/>
      <c r="CK310" s="117"/>
      <c r="CL310" s="117"/>
      <c r="CM310" s="117"/>
      <c r="CN310" s="117"/>
      <c r="CO310" s="117"/>
      <c r="CP310" s="117"/>
      <c r="CQ310" s="117"/>
      <c r="CR310" s="117"/>
      <c r="CS310" s="117"/>
      <c r="CT310" s="117"/>
      <c r="CU310" s="117"/>
      <c r="CV310" s="117"/>
      <c r="CW310" s="117"/>
      <c r="CX310" s="117"/>
      <c r="CY310" s="117"/>
      <c r="CZ310" s="117"/>
      <c r="DA310" s="117"/>
      <c r="DB310" s="117"/>
      <c r="DC310" s="117"/>
      <c r="DD310" s="117"/>
      <c r="DE310" s="117"/>
      <c r="DF310" s="117"/>
      <c r="DG310" s="117"/>
      <c r="DH310" s="117"/>
      <c r="DI310" s="117"/>
      <c r="DJ310" s="117"/>
      <c r="DK310" s="117"/>
      <c r="DL310" s="117"/>
      <c r="DM310" s="117"/>
      <c r="DN310" s="117"/>
      <c r="DO310" s="117"/>
      <c r="DP310" s="117"/>
      <c r="DQ310" s="117"/>
      <c r="DR310" s="117"/>
      <c r="DS310" s="117"/>
      <c r="DT310" s="117"/>
      <c r="DU310" s="117"/>
      <c r="DV310" s="117"/>
      <c r="DW310" s="117"/>
      <c r="DX310" s="117"/>
      <c r="DY310" s="117"/>
      <c r="DZ310" s="117"/>
      <c r="EA310" s="117"/>
      <c r="EB310" s="117"/>
      <c r="EC310" s="117"/>
      <c r="ED310" s="117"/>
      <c r="EE310" s="117"/>
      <c r="EF310" s="117"/>
      <c r="EG310" s="117"/>
      <c r="EH310" s="117"/>
      <c r="EI310" s="117"/>
      <c r="EJ310" s="117"/>
      <c r="EK310" s="117"/>
      <c r="EL310" s="117"/>
      <c r="EM310" s="117"/>
      <c r="EN310" s="117"/>
      <c r="EO310" s="117"/>
      <c r="EP310" s="117"/>
      <c r="EQ310" s="117"/>
      <c r="ER310" s="117"/>
      <c r="ES310" s="117"/>
      <c r="ET310" s="117"/>
      <c r="EU310" s="117"/>
      <c r="EV310" s="117"/>
      <c r="EW310" s="117"/>
      <c r="EX310" s="117"/>
      <c r="EY310" s="117"/>
      <c r="EZ310" s="117"/>
      <c r="FA310" s="117"/>
      <c r="FB310" s="117"/>
      <c r="FC310" s="117"/>
      <c r="FD310" s="117"/>
      <c r="FE310" s="117"/>
      <c r="FF310" s="117"/>
      <c r="FG310" s="117"/>
      <c r="FH310" s="117"/>
      <c r="FI310" s="117"/>
      <c r="FJ310" s="117"/>
      <c r="FK310" s="117"/>
      <c r="FL310" s="117"/>
      <c r="FM310" s="117"/>
      <c r="FN310" s="117"/>
      <c r="FO310" s="117"/>
      <c r="FP310" s="117"/>
      <c r="FQ310" s="117"/>
      <c r="FR310" s="117"/>
      <c r="FS310" s="117"/>
      <c r="FT310" s="117"/>
      <c r="FU310" s="117"/>
      <c r="FV310" s="117"/>
      <c r="FW310" s="117"/>
      <c r="FX310" s="117"/>
      <c r="FY310" s="117"/>
      <c r="FZ310" s="117"/>
      <c r="GA310" s="117"/>
      <c r="GB310" s="117"/>
      <c r="GC310" s="117"/>
      <c r="GD310" s="117"/>
      <c r="GE310" s="117"/>
      <c r="GF310" s="117"/>
      <c r="GG310" s="117"/>
      <c r="GH310" s="117"/>
      <c r="GI310" s="117"/>
      <c r="GJ310" s="117"/>
      <c r="GK310" s="117"/>
      <c r="GL310" s="117"/>
      <c r="GM310" s="117"/>
      <c r="GN310" s="117"/>
      <c r="GO310" s="117"/>
      <c r="GP310" s="117"/>
      <c r="GQ310" s="117"/>
      <c r="GR310" s="117"/>
      <c r="GS310" s="117"/>
      <c r="GT310" s="117"/>
      <c r="GU310" s="117"/>
      <c r="GV310" s="117"/>
      <c r="GW310" s="117"/>
      <c r="GX310" s="117"/>
      <c r="GY310" s="117"/>
      <c r="GZ310" s="117"/>
      <c r="HA310" s="117"/>
      <c r="HB310" s="117"/>
      <c r="HC310" s="117"/>
      <c r="HD310" s="117"/>
      <c r="HE310" s="117"/>
      <c r="HF310" s="117"/>
      <c r="HG310" s="117"/>
      <c r="HH310" s="117"/>
      <c r="HI310" s="117"/>
      <c r="HJ310" s="117"/>
      <c r="HK310" s="117"/>
      <c r="HL310" s="117"/>
      <c r="HM310" s="117"/>
      <c r="HN310" s="117"/>
      <c r="HO310" s="117"/>
      <c r="HP310" s="117"/>
      <c r="HQ310" s="117"/>
      <c r="HR310" s="117"/>
      <c r="HS310" s="117"/>
      <c r="HT310" s="117"/>
      <c r="HU310" s="117"/>
      <c r="HV310" s="117"/>
      <c r="HW310" s="117"/>
      <c r="HX310" s="117"/>
      <c r="HY310" s="117"/>
      <c r="HZ310" s="117"/>
      <c r="IA310" s="117"/>
      <c r="IB310" s="117"/>
      <c r="IC310" s="117"/>
      <c r="ID310" s="117"/>
      <c r="IE310" s="117"/>
      <c r="IF310" s="117"/>
      <c r="IG310" s="117"/>
      <c r="IH310" s="117"/>
      <c r="II310" s="117"/>
      <c r="IJ310" s="117"/>
      <c r="IK310" s="117"/>
      <c r="IL310" s="117"/>
      <c r="IM310" s="117"/>
      <c r="IN310" s="117"/>
      <c r="IO310" s="117"/>
      <c r="IP310" s="117"/>
      <c r="IQ310" s="117"/>
      <c r="IR310" s="117"/>
      <c r="IS310" s="117"/>
      <c r="IT310" s="117"/>
      <c r="IU310" s="117"/>
      <c r="IV310" s="117"/>
      <c r="IW310" s="117"/>
      <c r="IX310" s="117"/>
      <c r="IY310" s="117"/>
      <c r="IZ310" s="117"/>
      <c r="JA310" s="117"/>
      <c r="JB310" s="117"/>
      <c r="JC310" s="117"/>
      <c r="JD310" s="117"/>
      <c r="JE310" s="117"/>
      <c r="JF310" s="117"/>
      <c r="JG310" s="117"/>
      <c r="JH310" s="117"/>
      <c r="JI310" s="117"/>
      <c r="JJ310" s="117"/>
      <c r="JK310" s="117"/>
      <c r="JL310" s="117"/>
      <c r="JM310" s="117"/>
      <c r="JN310" s="117"/>
      <c r="JO310" s="117"/>
      <c r="JP310" s="117"/>
      <c r="JQ310" s="117"/>
      <c r="JR310" s="117"/>
      <c r="JS310" s="117"/>
      <c r="JT310" s="117"/>
      <c r="JU310" s="117"/>
      <c r="JV310" s="117"/>
      <c r="JW310" s="117"/>
      <c r="JX310" s="117"/>
      <c r="JY310" s="117"/>
      <c r="JZ310" s="117"/>
      <c r="KA310" s="117"/>
      <c r="KB310" s="117"/>
      <c r="KC310" s="117"/>
      <c r="KD310" s="117"/>
      <c r="KE310" s="117"/>
      <c r="KF310" s="117"/>
      <c r="KG310" s="117"/>
      <c r="KH310" s="117"/>
      <c r="KI310" s="117"/>
      <c r="KJ310" s="117"/>
      <c r="KK310" s="117"/>
      <c r="KL310" s="117"/>
      <c r="KM310" s="117"/>
      <c r="KN310" s="117"/>
      <c r="KO310" s="117"/>
      <c r="KP310" s="117"/>
      <c r="KQ310" s="117"/>
      <c r="KR310" s="117"/>
      <c r="KS310" s="117"/>
      <c r="KT310" s="117"/>
      <c r="KU310" s="117"/>
      <c r="KV310" s="117"/>
      <c r="KW310" s="117"/>
      <c r="KX310" s="117"/>
      <c r="KY310" s="117"/>
      <c r="KZ310" s="117"/>
      <c r="LA310" s="117"/>
      <c r="LB310" s="117"/>
      <c r="LC310" s="117"/>
      <c r="LD310" s="117"/>
      <c r="LE310" s="117"/>
      <c r="LF310" s="117"/>
      <c r="LG310" s="117"/>
      <c r="LH310" s="117"/>
      <c r="LI310" s="117"/>
      <c r="LJ310" s="117"/>
      <c r="LK310" s="117"/>
      <c r="LL310" s="117"/>
      <c r="LM310" s="117"/>
      <c r="LN310" s="117"/>
      <c r="LO310" s="117"/>
      <c r="LP310" s="117"/>
      <c r="LQ310" s="117"/>
      <c r="LR310" s="117"/>
      <c r="LS310" s="117"/>
      <c r="LT310" s="117"/>
      <c r="LU310" s="117"/>
      <c r="LV310" s="117"/>
      <c r="LW310" s="117"/>
      <c r="LX310" s="117"/>
      <c r="LY310" s="117"/>
      <c r="LZ310" s="117"/>
      <c r="MA310" s="117"/>
      <c r="MB310" s="117"/>
      <c r="MC310" s="117"/>
      <c r="MD310" s="117"/>
      <c r="ME310" s="117"/>
      <c r="MF310" s="117"/>
      <c r="MG310" s="117"/>
      <c r="MH310" s="117"/>
      <c r="MI310" s="117"/>
      <c r="MJ310" s="117"/>
      <c r="MK310" s="117"/>
      <c r="ML310" s="117"/>
      <c r="MM310" s="117"/>
      <c r="MN310" s="117"/>
      <c r="MO310" s="117"/>
      <c r="MP310" s="117"/>
      <c r="MQ310" s="117"/>
      <c r="MR310" s="117"/>
      <c r="MS310" s="117"/>
      <c r="MT310" s="117"/>
      <c r="MU310" s="117"/>
      <c r="MV310" s="117"/>
      <c r="MW310" s="117"/>
      <c r="MX310" s="117"/>
      <c r="MY310" s="117"/>
      <c r="MZ310" s="117"/>
      <c r="NA310" s="117"/>
      <c r="NB310" s="117"/>
      <c r="NC310" s="117"/>
      <c r="ND310" s="117"/>
      <c r="NE310" s="117"/>
      <c r="NF310" s="117"/>
      <c r="NG310" s="117"/>
      <c r="NH310" s="117"/>
      <c r="NI310" s="117"/>
      <c r="NJ310" s="117"/>
      <c r="NK310" s="117"/>
      <c r="NL310" s="117"/>
      <c r="NM310" s="117"/>
      <c r="NN310" s="117"/>
      <c r="NO310" s="117"/>
      <c r="NP310" s="117"/>
      <c r="NQ310" s="117"/>
      <c r="NR310" s="117"/>
      <c r="NS310" s="117"/>
      <c r="NT310" s="117"/>
      <c r="NU310" s="117"/>
      <c r="NV310" s="117"/>
      <c r="NW310" s="117"/>
      <c r="NX310" s="117"/>
      <c r="NY310" s="117"/>
      <c r="NZ310" s="117"/>
      <c r="OA310" s="117"/>
      <c r="OB310" s="117"/>
      <c r="OC310" s="117"/>
      <c r="OD310" s="117"/>
      <c r="OE310" s="117"/>
      <c r="OF310" s="117"/>
      <c r="OG310" s="117"/>
      <c r="OH310" s="117"/>
      <c r="OI310" s="117"/>
      <c r="OJ310" s="117"/>
      <c r="OK310" s="117"/>
      <c r="OL310" s="117"/>
      <c r="OM310" s="117"/>
      <c r="ON310" s="117"/>
      <c r="OO310" s="117"/>
      <c r="OP310" s="117"/>
      <c r="OQ310" s="117"/>
      <c r="OR310" s="117"/>
      <c r="OS310" s="117"/>
      <c r="OT310" s="117"/>
      <c r="OU310" s="117"/>
      <c r="OV310" s="117"/>
      <c r="OW310" s="117"/>
      <c r="OX310" s="117"/>
      <c r="OY310" s="117"/>
      <c r="OZ310" s="117"/>
      <c r="PA310" s="117"/>
      <c r="PB310" s="117"/>
      <c r="PC310" s="117"/>
      <c r="PD310" s="117"/>
      <c r="PE310" s="117"/>
      <c r="PF310" s="117"/>
      <c r="PG310" s="117"/>
      <c r="PH310" s="117"/>
      <c r="PI310" s="117"/>
      <c r="PJ310" s="117"/>
      <c r="PK310" s="117"/>
      <c r="PL310" s="117"/>
      <c r="PM310" s="117"/>
      <c r="PN310" s="117"/>
      <c r="PO310" s="117"/>
      <c r="PP310" s="117"/>
      <c r="PQ310" s="117"/>
      <c r="PR310" s="117"/>
      <c r="PS310" s="117"/>
      <c r="PT310" s="117"/>
      <c r="PU310" s="117"/>
      <c r="PV310" s="117"/>
      <c r="PW310" s="117"/>
      <c r="PX310" s="117"/>
      <c r="PY310" s="117"/>
      <c r="PZ310" s="117"/>
      <c r="QA310" s="117"/>
      <c r="QB310" s="117"/>
      <c r="QC310" s="117"/>
      <c r="QD310" s="117"/>
      <c r="QE310" s="117"/>
      <c r="QF310" s="117"/>
      <c r="QG310" s="117"/>
      <c r="QH310" s="117"/>
      <c r="QI310" s="117"/>
      <c r="QJ310" s="117"/>
      <c r="QK310" s="117"/>
      <c r="QL310" s="117"/>
      <c r="QM310" s="117"/>
      <c r="QN310" s="117"/>
      <c r="QO310" s="117"/>
      <c r="QP310" s="117"/>
      <c r="QQ310" s="117"/>
      <c r="QR310" s="117"/>
      <c r="QS310" s="117"/>
      <c r="QT310" s="117"/>
      <c r="QU310" s="117"/>
      <c r="QV310" s="117"/>
      <c r="QW310" s="117"/>
      <c r="QX310" s="117"/>
      <c r="QY310" s="117"/>
      <c r="QZ310" s="117"/>
      <c r="RA310" s="117"/>
      <c r="RB310" s="117"/>
      <c r="RC310" s="117"/>
      <c r="RD310" s="117"/>
      <c r="RE310" s="117"/>
      <c r="RF310" s="117"/>
      <c r="RG310" s="117"/>
      <c r="RH310" s="117"/>
      <c r="RI310" s="117"/>
      <c r="RJ310" s="117"/>
      <c r="RK310" s="117"/>
      <c r="RL310" s="117"/>
      <c r="RM310" s="117"/>
      <c r="RN310" s="117"/>
      <c r="RO310" s="117"/>
      <c r="RP310" s="117"/>
      <c r="RQ310" s="117"/>
      <c r="RR310" s="117"/>
      <c r="RS310" s="117"/>
      <c r="RT310" s="117"/>
      <c r="RU310" s="117"/>
      <c r="RV310" s="117"/>
      <c r="RW310" s="117"/>
      <c r="RX310" s="117"/>
      <c r="RY310" s="117"/>
      <c r="RZ310" s="117"/>
      <c r="SA310" s="117"/>
      <c r="SB310" s="117"/>
      <c r="SC310" s="117"/>
      <c r="SD310" s="117"/>
      <c r="SE310" s="117"/>
      <c r="SF310" s="117"/>
      <c r="SG310" s="117"/>
      <c r="SH310" s="117"/>
      <c r="SI310" s="117"/>
      <c r="SJ310" s="117"/>
      <c r="SK310" s="117"/>
      <c r="SL310" s="117"/>
      <c r="SM310" s="117"/>
      <c r="SN310" s="117"/>
      <c r="SO310" s="117"/>
      <c r="SP310" s="117"/>
      <c r="SQ310" s="117"/>
      <c r="SR310" s="117"/>
      <c r="SS310" s="117"/>
      <c r="ST310" s="117"/>
      <c r="SU310" s="117"/>
      <c r="SV310" s="117"/>
      <c r="SW310" s="117"/>
      <c r="SX310" s="117"/>
      <c r="SY310" s="117"/>
      <c r="SZ310" s="117"/>
      <c r="TA310" s="117"/>
      <c r="TB310" s="117"/>
      <c r="TC310" s="117"/>
      <c r="TD310" s="117"/>
      <c r="TE310" s="117"/>
      <c r="TF310" s="117"/>
      <c r="TG310" s="117"/>
      <c r="TH310" s="117"/>
      <c r="TI310" s="117"/>
      <c r="TJ310" s="117"/>
      <c r="TK310" s="117"/>
      <c r="TL310" s="117"/>
      <c r="TM310" s="117"/>
      <c r="TN310" s="117"/>
      <c r="TO310" s="117"/>
      <c r="TP310" s="117"/>
      <c r="TQ310" s="117"/>
      <c r="TR310" s="117"/>
      <c r="TS310" s="117"/>
      <c r="TT310" s="117"/>
      <c r="TU310" s="117"/>
      <c r="TV310" s="117"/>
      <c r="TW310" s="117"/>
      <c r="TX310" s="117"/>
      <c r="TY310" s="117"/>
      <c r="TZ310" s="117"/>
      <c r="UA310" s="117"/>
      <c r="UB310" s="117"/>
      <c r="UC310" s="117"/>
      <c r="UD310" s="117"/>
      <c r="UE310" s="117"/>
      <c r="UF310" s="117"/>
      <c r="UG310" s="117"/>
      <c r="UH310" s="117"/>
      <c r="UI310" s="117"/>
      <c r="UJ310" s="117"/>
      <c r="UK310" s="117"/>
      <c r="UL310" s="117"/>
      <c r="UM310" s="117"/>
      <c r="UN310" s="117"/>
      <c r="UO310" s="117"/>
      <c r="UP310" s="117"/>
      <c r="UQ310" s="117"/>
      <c r="UR310" s="117"/>
      <c r="US310" s="117"/>
      <c r="UT310" s="117"/>
      <c r="UU310" s="117"/>
      <c r="UV310" s="117"/>
      <c r="UW310" s="117"/>
      <c r="UX310" s="117"/>
      <c r="UY310" s="117"/>
      <c r="UZ310" s="117"/>
      <c r="VA310" s="117"/>
      <c r="VB310" s="117"/>
      <c r="VC310" s="117"/>
      <c r="VD310" s="117"/>
      <c r="VE310" s="117"/>
      <c r="VF310" s="117"/>
      <c r="VG310" s="117"/>
      <c r="VH310" s="117"/>
      <c r="VI310" s="117"/>
      <c r="VJ310" s="117"/>
      <c r="VK310" s="117"/>
      <c r="VL310" s="117"/>
      <c r="VM310" s="117"/>
      <c r="VN310" s="117"/>
      <c r="VO310" s="117"/>
      <c r="VP310" s="117"/>
      <c r="VQ310" s="117"/>
      <c r="VR310" s="117"/>
      <c r="VS310" s="117"/>
      <c r="VT310" s="117"/>
      <c r="VU310" s="117"/>
      <c r="VV310" s="117"/>
      <c r="VW310" s="117"/>
      <c r="VX310" s="117"/>
      <c r="VY310" s="117"/>
      <c r="VZ310" s="117"/>
      <c r="WA310" s="117"/>
      <c r="WB310" s="117"/>
      <c r="WC310" s="117"/>
      <c r="WD310" s="117"/>
      <c r="WE310" s="117"/>
      <c r="WF310" s="117"/>
      <c r="WG310" s="117"/>
      <c r="WH310" s="117"/>
      <c r="WI310" s="117"/>
      <c r="WJ310" s="117"/>
      <c r="WK310" s="117"/>
      <c r="WL310" s="117"/>
      <c r="WM310" s="117"/>
      <c r="WN310" s="117"/>
      <c r="WO310" s="117"/>
      <c r="WP310" s="117"/>
      <c r="WQ310" s="117"/>
      <c r="WR310" s="117"/>
      <c r="WS310" s="117"/>
      <c r="WT310" s="117"/>
      <c r="WU310" s="117"/>
      <c r="WV310" s="117"/>
      <c r="WW310" s="117"/>
      <c r="WX310" s="117"/>
      <c r="WY310" s="117"/>
      <c r="WZ310" s="117"/>
      <c r="XA310" s="117"/>
      <c r="XB310" s="117"/>
      <c r="XC310" s="117"/>
      <c r="XD310" s="117"/>
      <c r="XE310" s="117"/>
      <c r="XF310" s="117"/>
      <c r="XG310" s="117"/>
      <c r="XH310" s="117"/>
      <c r="XI310" s="117"/>
      <c r="XJ310" s="117"/>
      <c r="XK310" s="117"/>
      <c r="XL310" s="117"/>
      <c r="XM310" s="117"/>
      <c r="XN310" s="117"/>
      <c r="XO310" s="117"/>
      <c r="XP310" s="117"/>
      <c r="XQ310" s="117"/>
      <c r="XR310" s="117"/>
      <c r="XS310" s="117"/>
      <c r="XT310" s="117"/>
      <c r="XU310" s="117"/>
      <c r="XV310" s="117"/>
      <c r="XW310" s="117"/>
      <c r="XX310" s="117"/>
      <c r="XY310" s="117"/>
      <c r="XZ310" s="117"/>
      <c r="YA310" s="117"/>
      <c r="YB310" s="117"/>
      <c r="YC310" s="117"/>
      <c r="YD310" s="117"/>
      <c r="YE310" s="117"/>
      <c r="YF310" s="117"/>
      <c r="YG310" s="117"/>
      <c r="YH310" s="117"/>
      <c r="YI310" s="117"/>
      <c r="YJ310" s="117"/>
      <c r="YK310" s="117"/>
      <c r="YL310" s="117"/>
      <c r="YM310" s="117"/>
      <c r="YN310" s="117"/>
      <c r="YO310" s="117"/>
      <c r="YP310" s="117"/>
      <c r="YQ310" s="117"/>
      <c r="YR310" s="117"/>
      <c r="YS310" s="117"/>
      <c r="YT310" s="117"/>
      <c r="YU310" s="117"/>
      <c r="YV310" s="117"/>
      <c r="YW310" s="117"/>
      <c r="YX310" s="117"/>
      <c r="YY310" s="117"/>
      <c r="YZ310" s="117"/>
      <c r="ZA310" s="117"/>
      <c r="ZB310" s="117"/>
      <c r="ZC310" s="117"/>
      <c r="ZD310" s="117"/>
      <c r="ZE310" s="117"/>
      <c r="ZF310" s="117"/>
      <c r="ZG310" s="117"/>
      <c r="ZH310" s="117"/>
      <c r="ZI310" s="117"/>
      <c r="ZJ310" s="117"/>
      <c r="ZK310" s="117"/>
      <c r="ZL310" s="117"/>
      <c r="ZM310" s="117"/>
      <c r="ZN310" s="117"/>
      <c r="ZO310" s="117"/>
      <c r="ZP310" s="117"/>
      <c r="ZQ310" s="117"/>
      <c r="ZR310" s="117"/>
      <c r="ZS310" s="117"/>
      <c r="ZT310" s="117"/>
      <c r="ZU310" s="117"/>
      <c r="ZV310" s="117"/>
      <c r="ZW310" s="117"/>
      <c r="ZX310" s="117"/>
      <c r="ZY310" s="117"/>
      <c r="ZZ310" s="117"/>
      <c r="AAA310" s="117"/>
      <c r="AAB310" s="117"/>
      <c r="AAC310" s="117"/>
      <c r="AAD310" s="117"/>
      <c r="AAE310" s="117"/>
      <c r="AAF310" s="117"/>
      <c r="AAG310" s="117"/>
      <c r="AAH310" s="117"/>
      <c r="AAI310" s="117"/>
      <c r="AAJ310" s="117"/>
      <c r="AAK310" s="117"/>
      <c r="AAL310" s="117"/>
      <c r="AAM310" s="117"/>
      <c r="AAN310" s="117"/>
      <c r="AAO310" s="117"/>
      <c r="AAP310" s="117"/>
      <c r="AAQ310" s="117"/>
      <c r="AAR310" s="117"/>
      <c r="AAS310" s="117"/>
      <c r="AAT310" s="117"/>
      <c r="AAU310" s="117"/>
      <c r="AAV310" s="117"/>
      <c r="AAW310" s="117"/>
      <c r="AAX310" s="117"/>
      <c r="AAY310" s="117"/>
      <c r="AAZ310" s="117"/>
      <c r="ABA310" s="117"/>
      <c r="ABB310" s="117"/>
      <c r="ABC310" s="117"/>
      <c r="ABD310" s="117"/>
      <c r="ABE310" s="117"/>
      <c r="ABF310" s="117"/>
      <c r="ABG310" s="117"/>
      <c r="ABH310" s="117"/>
      <c r="ABI310" s="117"/>
      <c r="ABJ310" s="117"/>
      <c r="ABK310" s="117"/>
      <c r="ABL310" s="117"/>
      <c r="ABM310" s="117"/>
      <c r="ABN310" s="117"/>
      <c r="ABO310" s="117"/>
      <c r="ABP310" s="117"/>
      <c r="ABQ310" s="117"/>
      <c r="ABR310" s="117"/>
      <c r="ABS310" s="117"/>
      <c r="ABT310" s="117"/>
      <c r="ABU310" s="117"/>
      <c r="ABV310" s="117"/>
      <c r="ABW310" s="117"/>
      <c r="ABX310" s="117"/>
      <c r="ABY310" s="117"/>
      <c r="ABZ310" s="117"/>
      <c r="ACA310" s="117"/>
      <c r="ACB310" s="117"/>
      <c r="ACC310" s="117"/>
      <c r="ACD310" s="117"/>
      <c r="ACE310" s="117"/>
      <c r="ACF310" s="117"/>
      <c r="ACG310" s="117"/>
      <c r="ACH310" s="117"/>
      <c r="ACI310" s="117"/>
      <c r="ACJ310" s="117"/>
      <c r="ACK310" s="117"/>
      <c r="ACL310" s="117"/>
      <c r="ACM310" s="117"/>
      <c r="ACN310" s="117"/>
      <c r="ACO310" s="117"/>
      <c r="ACP310" s="117"/>
      <c r="ACQ310" s="117"/>
      <c r="ACR310" s="117"/>
      <c r="ACS310" s="117"/>
      <c r="ACT310" s="117"/>
      <c r="ACU310" s="117"/>
      <c r="ACV310" s="117"/>
      <c r="ACW310" s="117"/>
      <c r="ACX310" s="117"/>
      <c r="ACY310" s="117"/>
      <c r="ACZ310" s="117"/>
      <c r="ADA310" s="117"/>
      <c r="ADB310" s="117"/>
      <c r="ADC310" s="117"/>
      <c r="ADD310" s="117"/>
      <c r="ADE310" s="117"/>
      <c r="ADF310" s="117"/>
      <c r="ADG310" s="117"/>
      <c r="ADH310" s="117"/>
      <c r="ADI310" s="117"/>
      <c r="ADJ310" s="117"/>
      <c r="ADK310" s="117"/>
      <c r="ADL310" s="117"/>
      <c r="ADM310" s="117"/>
      <c r="ADN310" s="117"/>
      <c r="ADO310" s="117"/>
      <c r="ADP310" s="117"/>
      <c r="ADQ310" s="117"/>
      <c r="ADR310" s="117"/>
      <c r="ADS310" s="117"/>
      <c r="ADT310" s="117"/>
      <c r="ADU310" s="117"/>
      <c r="ADV310" s="117"/>
      <c r="ADW310" s="117"/>
      <c r="ADX310" s="117"/>
      <c r="ADY310" s="117"/>
      <c r="ADZ310" s="117"/>
      <c r="AEA310" s="117"/>
      <c r="AEB310" s="117"/>
      <c r="AEC310" s="117"/>
      <c r="AED310" s="117"/>
      <c r="AEE310" s="117"/>
      <c r="AEF310" s="117"/>
      <c r="AEG310" s="117"/>
      <c r="AEH310" s="117"/>
      <c r="AEI310" s="117"/>
      <c r="AEJ310" s="117"/>
      <c r="AEK310" s="117"/>
      <c r="AEL310" s="117"/>
      <c r="AEM310" s="117"/>
      <c r="AEN310" s="117"/>
      <c r="AEO310" s="117"/>
      <c r="AEP310" s="117"/>
      <c r="AEQ310" s="117"/>
      <c r="AER310" s="117"/>
      <c r="AES310" s="117"/>
      <c r="AET310" s="117"/>
      <c r="AEU310" s="117"/>
      <c r="AEV310" s="117"/>
      <c r="AEW310" s="117"/>
      <c r="AEX310" s="117"/>
      <c r="AEY310" s="117"/>
      <c r="AEZ310" s="117"/>
      <c r="AFA310" s="117"/>
      <c r="AFB310" s="117"/>
      <c r="AFC310" s="117"/>
      <c r="AFD310" s="117"/>
      <c r="AFE310" s="117"/>
      <c r="AFF310" s="117"/>
      <c r="AFG310" s="117"/>
      <c r="AFH310" s="117"/>
      <c r="AFI310" s="117"/>
      <c r="AFJ310" s="117"/>
      <c r="AFK310" s="117"/>
      <c r="AFL310" s="117"/>
      <c r="AFM310" s="117"/>
      <c r="AFN310" s="117"/>
      <c r="AFO310" s="117"/>
      <c r="AFP310" s="117"/>
      <c r="AFQ310" s="117"/>
      <c r="AFR310" s="117"/>
      <c r="AFS310" s="117"/>
      <c r="AFT310" s="117"/>
      <c r="AFU310" s="117"/>
      <c r="AFV310" s="117"/>
      <c r="AFW310" s="117"/>
      <c r="AFX310" s="117"/>
      <c r="AFY310" s="117"/>
      <c r="AFZ310" s="117"/>
      <c r="AGA310" s="117"/>
      <c r="AGB310" s="117"/>
      <c r="AGC310" s="117"/>
      <c r="AGD310" s="117"/>
      <c r="AGE310" s="117"/>
      <c r="AGF310" s="117"/>
      <c r="AGG310" s="117"/>
      <c r="AGH310" s="117"/>
      <c r="AGI310" s="117"/>
      <c r="AGJ310" s="117"/>
      <c r="AGK310" s="117"/>
      <c r="AGL310" s="117"/>
      <c r="AGM310" s="117"/>
      <c r="AGN310" s="117"/>
      <c r="AGO310" s="117"/>
      <c r="AGP310" s="117"/>
      <c r="AGQ310" s="117"/>
      <c r="AGR310" s="117"/>
      <c r="AGS310" s="117"/>
      <c r="AGT310" s="117"/>
      <c r="AGU310" s="117"/>
      <c r="AGV310" s="117"/>
      <c r="AGW310" s="117"/>
      <c r="AGX310" s="117"/>
      <c r="AGY310" s="117"/>
      <c r="AGZ310" s="117"/>
      <c r="AHA310" s="117"/>
      <c r="AHB310" s="117"/>
      <c r="AHC310" s="117"/>
      <c r="AHD310" s="117"/>
      <c r="AHE310" s="117"/>
      <c r="AHF310" s="117"/>
      <c r="AHG310" s="117"/>
      <c r="AHH310" s="117"/>
      <c r="AHI310" s="117"/>
      <c r="AHJ310" s="117"/>
      <c r="AHK310" s="117"/>
      <c r="AHL310" s="117"/>
      <c r="AHM310" s="117"/>
      <c r="AHN310" s="117"/>
      <c r="AHO310" s="117"/>
      <c r="AHP310" s="117"/>
      <c r="AHQ310" s="117"/>
      <c r="AHR310" s="117"/>
      <c r="AHS310" s="117"/>
      <c r="AHT310" s="117"/>
      <c r="AHU310" s="117"/>
      <c r="AHV310" s="117"/>
      <c r="AHW310" s="117"/>
      <c r="AHX310" s="117"/>
      <c r="AHY310" s="117"/>
      <c r="AHZ310" s="117"/>
      <c r="AIA310" s="117"/>
      <c r="AIB310" s="117"/>
      <c r="AIC310" s="117"/>
      <c r="AID310" s="117"/>
      <c r="AIE310" s="117"/>
      <c r="AIF310" s="117"/>
      <c r="AIG310" s="117"/>
      <c r="AIH310" s="117"/>
      <c r="AII310" s="117"/>
      <c r="AIJ310" s="117"/>
      <c r="AIK310" s="117"/>
      <c r="AIL310" s="117"/>
      <c r="AIM310" s="117"/>
      <c r="AIN310" s="117"/>
      <c r="AIO310" s="117"/>
      <c r="AIP310" s="117"/>
      <c r="AIQ310" s="117"/>
      <c r="AIR310" s="117"/>
      <c r="AIS310" s="117"/>
      <c r="AIT310" s="117"/>
      <c r="AIU310" s="117"/>
      <c r="AIV310" s="117"/>
      <c r="AIW310" s="117"/>
      <c r="AIX310" s="117"/>
      <c r="AIY310" s="117"/>
      <c r="AIZ310" s="117"/>
      <c r="AJA310" s="117"/>
      <c r="AJB310" s="117"/>
      <c r="AJC310" s="117"/>
      <c r="AJD310" s="117"/>
      <c r="AJE310" s="117"/>
      <c r="AJF310" s="117"/>
      <c r="AJG310" s="117"/>
      <c r="AJH310" s="117"/>
      <c r="AJI310" s="117"/>
      <c r="AJJ310" s="117"/>
      <c r="AJK310" s="117"/>
      <c r="AJL310" s="117"/>
      <c r="AJM310" s="117"/>
      <c r="AJN310" s="117"/>
      <c r="AJO310" s="117"/>
      <c r="AJP310" s="117"/>
      <c r="AJQ310" s="117"/>
      <c r="AJR310" s="117"/>
      <c r="AJS310" s="117"/>
      <c r="AJT310" s="117"/>
      <c r="AJU310" s="117"/>
      <c r="AJV310" s="117"/>
      <c r="AJW310" s="117"/>
      <c r="AJX310" s="117"/>
      <c r="AJY310" s="117"/>
      <c r="AJZ310" s="117"/>
      <c r="AKA310" s="117"/>
      <c r="AKB310" s="117"/>
      <c r="AKC310" s="117"/>
      <c r="AKD310" s="117"/>
      <c r="AKE310" s="117"/>
      <c r="AKF310" s="117"/>
      <c r="AKG310" s="117"/>
      <c r="AKH310" s="117"/>
      <c r="AKI310" s="117"/>
      <c r="AKJ310" s="117"/>
      <c r="AKK310" s="117"/>
      <c r="AKL310" s="117"/>
      <c r="AKM310" s="117"/>
      <c r="AKN310" s="117"/>
      <c r="AKO310" s="117"/>
      <c r="AKP310" s="117"/>
      <c r="AKQ310" s="117"/>
      <c r="AKR310" s="117"/>
      <c r="AKS310" s="117"/>
      <c r="AKT310" s="117"/>
      <c r="AKU310" s="117"/>
      <c r="AKV310" s="117"/>
      <c r="AKW310" s="117"/>
      <c r="AKX310" s="117"/>
      <c r="AKY310" s="117"/>
      <c r="AKZ310" s="117"/>
      <c r="ALA310" s="117"/>
      <c r="ALB310" s="117"/>
      <c r="ALC310" s="117"/>
      <c r="ALD310" s="117"/>
      <c r="ALE310" s="117"/>
      <c r="ALF310" s="117"/>
      <c r="ALG310" s="117"/>
      <c r="ALH310" s="117"/>
      <c r="ALI310" s="117"/>
      <c r="ALJ310" s="117"/>
      <c r="ALK310" s="117"/>
      <c r="ALL310" s="117"/>
      <c r="ALM310" s="117"/>
      <c r="ALN310" s="117"/>
      <c r="ALO310" s="117"/>
      <c r="ALP310" s="117"/>
      <c r="ALQ310" s="117"/>
      <c r="ALR310" s="117"/>
      <c r="ALS310" s="117"/>
      <c r="ALT310" s="117"/>
      <c r="ALU310" s="117"/>
      <c r="ALV310" s="117"/>
      <c r="ALW310" s="117"/>
      <c r="ALX310" s="117"/>
      <c r="ALY310" s="117"/>
      <c r="ALZ310" s="117"/>
      <c r="AMA310" s="117"/>
      <c r="AMB310" s="117"/>
      <c r="AMC310" s="117"/>
      <c r="AMD310" s="117"/>
      <c r="AME310" s="117"/>
    </row>
    <row r="311" spans="1:1019" s="191" customFormat="1" ht="11.25" customHeight="1">
      <c r="A311" s="139">
        <v>309</v>
      </c>
      <c r="B311" s="139"/>
      <c r="C311" s="140"/>
      <c r="D311" s="190">
        <v>1</v>
      </c>
      <c r="E311" s="190">
        <f t="shared" si="47"/>
        <v>26</v>
      </c>
      <c r="F311" s="173" t="s">
        <v>513</v>
      </c>
      <c r="G311" s="172">
        <f t="shared" si="58"/>
        <v>775</v>
      </c>
      <c r="H311" s="143">
        <f>INT((G311*Valores!$C$2*100)+0.5)/100</f>
        <v>7238.27</v>
      </c>
      <c r="I311" s="161">
        <v>0</v>
      </c>
      <c r="J311" s="145">
        <f>INT((I311*Valores!$C$2*100)+0.5)/100</f>
        <v>0</v>
      </c>
      <c r="K311" s="160">
        <v>0</v>
      </c>
      <c r="L311" s="145">
        <f>INT((K311*Valores!$C$2*100)+0.5)/100</f>
        <v>0</v>
      </c>
      <c r="M311" s="158">
        <v>0</v>
      </c>
      <c r="N311" s="145">
        <f>INT((M311*Valores!$C$2*100)+0.5)/100</f>
        <v>0</v>
      </c>
      <c r="O311" s="145">
        <f t="shared" si="48"/>
        <v>1136.928</v>
      </c>
      <c r="P311" s="145">
        <f t="shared" si="49"/>
        <v>0</v>
      </c>
      <c r="Q311" s="159">
        <v>0</v>
      </c>
      <c r="R311" s="159">
        <v>0</v>
      </c>
      <c r="S311" s="145">
        <v>0</v>
      </c>
      <c r="T311" s="148">
        <f>IF($H$5="NO",IF(Valores!$C$46*D311&gt;Valores!$C$44,Valores!$C$44,Valores!$C$46*D311),IF(Valores!$C$46*D311&gt;Valores!$C$44,Valores!$C$44,Valores!$C$46*D311)/2)*5</f>
        <v>341.25</v>
      </c>
      <c r="U311" s="159">
        <v>0</v>
      </c>
      <c r="V311" s="145">
        <f t="shared" si="57"/>
        <v>0</v>
      </c>
      <c r="W311" s="145">
        <v>0</v>
      </c>
      <c r="X311" s="145">
        <v>0</v>
      </c>
      <c r="Y311" s="165">
        <v>0</v>
      </c>
      <c r="Z311" s="145">
        <v>0</v>
      </c>
      <c r="AA311" s="145">
        <v>0</v>
      </c>
      <c r="AB311" s="148"/>
      <c r="AC311" s="150">
        <v>0</v>
      </c>
      <c r="AD311" s="145">
        <f t="shared" si="51"/>
        <v>0</v>
      </c>
      <c r="AE311" s="145">
        <v>0</v>
      </c>
      <c r="AF311" s="149">
        <v>0</v>
      </c>
      <c r="AG311" s="145">
        <f>INT(((AF311*Valores!$C$2)*100)+0.5)/100</f>
        <v>0</v>
      </c>
      <c r="AH311" s="145"/>
      <c r="AI311" s="145"/>
      <c r="AJ311" s="151">
        <f t="shared" si="52"/>
        <v>8716.448</v>
      </c>
      <c r="AK311" s="171"/>
      <c r="AL311" s="148">
        <f>Valores!$C$11+AL310</f>
        <v>0</v>
      </c>
      <c r="AM311" s="148">
        <v>0</v>
      </c>
      <c r="AN311" s="148"/>
      <c r="AO311" s="150">
        <v>0</v>
      </c>
      <c r="AP311" s="152">
        <f t="shared" si="50"/>
        <v>0</v>
      </c>
      <c r="AQ311" s="154">
        <f>AJ311*-Valores!$C$68</f>
        <v>-958.8092800000001</v>
      </c>
      <c r="AR311" s="154">
        <f>AJ311*-Valores!$C$69</f>
        <v>0</v>
      </c>
      <c r="AS311" s="147">
        <f>AJ311*-Valores!$C$70</f>
        <v>-392.24016</v>
      </c>
      <c r="AT311" s="147">
        <v>-159.43</v>
      </c>
      <c r="AU311" s="147">
        <f t="shared" si="53"/>
        <v>-53.83</v>
      </c>
      <c r="AV311" s="151">
        <f t="shared" si="54"/>
        <v>7152.13856</v>
      </c>
      <c r="AW311" s="155"/>
      <c r="AX311" s="155"/>
      <c r="AY311" s="140"/>
      <c r="AZ311" s="117"/>
      <c r="BA311" s="117"/>
      <c r="BB311" s="117"/>
      <c r="BC311" s="117"/>
      <c r="BD311" s="117"/>
      <c r="BE311" s="117"/>
      <c r="BF311" s="117"/>
      <c r="BG311" s="117"/>
      <c r="BH311" s="117"/>
      <c r="BI311" s="117"/>
      <c r="BJ311" s="117"/>
      <c r="BK311" s="117"/>
      <c r="BL311" s="117"/>
      <c r="BM311" s="117"/>
      <c r="BN311" s="117"/>
      <c r="BO311" s="117"/>
      <c r="BP311" s="117"/>
      <c r="BQ311" s="117"/>
      <c r="BR311" s="117"/>
      <c r="BS311" s="117"/>
      <c r="BT311" s="117"/>
      <c r="BU311" s="117"/>
      <c r="BV311" s="117"/>
      <c r="BW311" s="117"/>
      <c r="BX311" s="117"/>
      <c r="BY311" s="117"/>
      <c r="BZ311" s="117"/>
      <c r="CA311" s="117"/>
      <c r="CB311" s="117"/>
      <c r="CC311" s="117"/>
      <c r="CD311" s="117"/>
      <c r="CE311" s="117"/>
      <c r="CF311" s="117"/>
      <c r="CG311" s="117"/>
      <c r="CH311" s="117"/>
      <c r="CI311" s="117"/>
      <c r="CJ311" s="117"/>
      <c r="CK311" s="117"/>
      <c r="CL311" s="117"/>
      <c r="CM311" s="117"/>
      <c r="CN311" s="117"/>
      <c r="CO311" s="117"/>
      <c r="CP311" s="117"/>
      <c r="CQ311" s="117"/>
      <c r="CR311" s="117"/>
      <c r="CS311" s="117"/>
      <c r="CT311" s="117"/>
      <c r="CU311" s="117"/>
      <c r="CV311" s="117"/>
      <c r="CW311" s="117"/>
      <c r="CX311" s="117"/>
      <c r="CY311" s="117"/>
      <c r="CZ311" s="117"/>
      <c r="DA311" s="117"/>
      <c r="DB311" s="117"/>
      <c r="DC311" s="117"/>
      <c r="DD311" s="117"/>
      <c r="DE311" s="117"/>
      <c r="DF311" s="117"/>
      <c r="DG311" s="117"/>
      <c r="DH311" s="117"/>
      <c r="DI311" s="117"/>
      <c r="DJ311" s="117"/>
      <c r="DK311" s="117"/>
      <c r="DL311" s="117"/>
      <c r="DM311" s="117"/>
      <c r="DN311" s="117"/>
      <c r="DO311" s="117"/>
      <c r="DP311" s="117"/>
      <c r="DQ311" s="117"/>
      <c r="DR311" s="117"/>
      <c r="DS311" s="117"/>
      <c r="DT311" s="117"/>
      <c r="DU311" s="117"/>
      <c r="DV311" s="117"/>
      <c r="DW311" s="117"/>
      <c r="DX311" s="117"/>
      <c r="DY311" s="117"/>
      <c r="DZ311" s="117"/>
      <c r="EA311" s="117"/>
      <c r="EB311" s="117"/>
      <c r="EC311" s="117"/>
      <c r="ED311" s="117"/>
      <c r="EE311" s="117"/>
      <c r="EF311" s="117"/>
      <c r="EG311" s="117"/>
      <c r="EH311" s="117"/>
      <c r="EI311" s="117"/>
      <c r="EJ311" s="117"/>
      <c r="EK311" s="117"/>
      <c r="EL311" s="117"/>
      <c r="EM311" s="117"/>
      <c r="EN311" s="117"/>
      <c r="EO311" s="117"/>
      <c r="EP311" s="117"/>
      <c r="EQ311" s="117"/>
      <c r="ER311" s="117"/>
      <c r="ES311" s="117"/>
      <c r="ET311" s="117"/>
      <c r="EU311" s="117"/>
      <c r="EV311" s="117"/>
      <c r="EW311" s="117"/>
      <c r="EX311" s="117"/>
      <c r="EY311" s="117"/>
      <c r="EZ311" s="117"/>
      <c r="FA311" s="117"/>
      <c r="FB311" s="117"/>
      <c r="FC311" s="117"/>
      <c r="FD311" s="117"/>
      <c r="FE311" s="117"/>
      <c r="FF311" s="117"/>
      <c r="FG311" s="117"/>
      <c r="FH311" s="117"/>
      <c r="FI311" s="117"/>
      <c r="FJ311" s="117"/>
      <c r="FK311" s="117"/>
      <c r="FL311" s="117"/>
      <c r="FM311" s="117"/>
      <c r="FN311" s="117"/>
      <c r="FO311" s="117"/>
      <c r="FP311" s="117"/>
      <c r="FQ311" s="117"/>
      <c r="FR311" s="117"/>
      <c r="FS311" s="117"/>
      <c r="FT311" s="117"/>
      <c r="FU311" s="117"/>
      <c r="FV311" s="117"/>
      <c r="FW311" s="117"/>
      <c r="FX311" s="117"/>
      <c r="FY311" s="117"/>
      <c r="FZ311" s="117"/>
      <c r="GA311" s="117"/>
      <c r="GB311" s="117"/>
      <c r="GC311" s="117"/>
      <c r="GD311" s="117"/>
      <c r="GE311" s="117"/>
      <c r="GF311" s="117"/>
      <c r="GG311" s="117"/>
      <c r="GH311" s="117"/>
      <c r="GI311" s="117"/>
      <c r="GJ311" s="117"/>
      <c r="GK311" s="117"/>
      <c r="GL311" s="117"/>
      <c r="GM311" s="117"/>
      <c r="GN311" s="117"/>
      <c r="GO311" s="117"/>
      <c r="GP311" s="117"/>
      <c r="GQ311" s="117"/>
      <c r="GR311" s="117"/>
      <c r="GS311" s="117"/>
      <c r="GT311" s="117"/>
      <c r="GU311" s="117"/>
      <c r="GV311" s="117"/>
      <c r="GW311" s="117"/>
      <c r="GX311" s="117"/>
      <c r="GY311" s="117"/>
      <c r="GZ311" s="117"/>
      <c r="HA311" s="117"/>
      <c r="HB311" s="117"/>
      <c r="HC311" s="117"/>
      <c r="HD311" s="117"/>
      <c r="HE311" s="117"/>
      <c r="HF311" s="117"/>
      <c r="HG311" s="117"/>
      <c r="HH311" s="117"/>
      <c r="HI311" s="117"/>
      <c r="HJ311" s="117"/>
      <c r="HK311" s="117"/>
      <c r="HL311" s="117"/>
      <c r="HM311" s="117"/>
      <c r="HN311" s="117"/>
      <c r="HO311" s="117"/>
      <c r="HP311" s="117"/>
      <c r="HQ311" s="117"/>
      <c r="HR311" s="117"/>
      <c r="HS311" s="117"/>
      <c r="HT311" s="117"/>
      <c r="HU311" s="117"/>
      <c r="HV311" s="117"/>
      <c r="HW311" s="117"/>
      <c r="HX311" s="117"/>
      <c r="HY311" s="117"/>
      <c r="HZ311" s="117"/>
      <c r="IA311" s="117"/>
      <c r="IB311" s="117"/>
      <c r="IC311" s="117"/>
      <c r="ID311" s="117"/>
      <c r="IE311" s="117"/>
      <c r="IF311" s="117"/>
      <c r="IG311" s="117"/>
      <c r="IH311" s="117"/>
      <c r="II311" s="117"/>
      <c r="IJ311" s="117"/>
      <c r="IK311" s="117"/>
      <c r="IL311" s="117"/>
      <c r="IM311" s="117"/>
      <c r="IN311" s="117"/>
      <c r="IO311" s="117"/>
      <c r="IP311" s="117"/>
      <c r="IQ311" s="117"/>
      <c r="IR311" s="117"/>
      <c r="IS311" s="117"/>
      <c r="IT311" s="117"/>
      <c r="IU311" s="117"/>
      <c r="IV311" s="117"/>
      <c r="IW311" s="117"/>
      <c r="IX311" s="117"/>
      <c r="IY311" s="117"/>
      <c r="IZ311" s="117"/>
      <c r="JA311" s="117"/>
      <c r="JB311" s="117"/>
      <c r="JC311" s="117"/>
      <c r="JD311" s="117"/>
      <c r="JE311" s="117"/>
      <c r="JF311" s="117"/>
      <c r="JG311" s="117"/>
      <c r="JH311" s="117"/>
      <c r="JI311" s="117"/>
      <c r="JJ311" s="117"/>
      <c r="JK311" s="117"/>
      <c r="JL311" s="117"/>
      <c r="JM311" s="117"/>
      <c r="JN311" s="117"/>
      <c r="JO311" s="117"/>
      <c r="JP311" s="117"/>
      <c r="JQ311" s="117"/>
      <c r="JR311" s="117"/>
      <c r="JS311" s="117"/>
      <c r="JT311" s="117"/>
      <c r="JU311" s="117"/>
      <c r="JV311" s="117"/>
      <c r="JW311" s="117"/>
      <c r="JX311" s="117"/>
      <c r="JY311" s="117"/>
      <c r="JZ311" s="117"/>
      <c r="KA311" s="117"/>
      <c r="KB311" s="117"/>
      <c r="KC311" s="117"/>
      <c r="KD311" s="117"/>
      <c r="KE311" s="117"/>
      <c r="KF311" s="117"/>
      <c r="KG311" s="117"/>
      <c r="KH311" s="117"/>
      <c r="KI311" s="117"/>
      <c r="KJ311" s="117"/>
      <c r="KK311" s="117"/>
      <c r="KL311" s="117"/>
      <c r="KM311" s="117"/>
      <c r="KN311" s="117"/>
      <c r="KO311" s="117"/>
      <c r="KP311" s="117"/>
      <c r="KQ311" s="117"/>
      <c r="KR311" s="117"/>
      <c r="KS311" s="117"/>
      <c r="KT311" s="117"/>
      <c r="KU311" s="117"/>
      <c r="KV311" s="117"/>
      <c r="KW311" s="117"/>
      <c r="KX311" s="117"/>
      <c r="KY311" s="117"/>
      <c r="KZ311" s="117"/>
      <c r="LA311" s="117"/>
      <c r="LB311" s="117"/>
      <c r="LC311" s="117"/>
      <c r="LD311" s="117"/>
      <c r="LE311" s="117"/>
      <c r="LF311" s="117"/>
      <c r="LG311" s="117"/>
      <c r="LH311" s="117"/>
      <c r="LI311" s="117"/>
      <c r="LJ311" s="117"/>
      <c r="LK311" s="117"/>
      <c r="LL311" s="117"/>
      <c r="LM311" s="117"/>
      <c r="LN311" s="117"/>
      <c r="LO311" s="117"/>
      <c r="LP311" s="117"/>
      <c r="LQ311" s="117"/>
      <c r="LR311" s="117"/>
      <c r="LS311" s="117"/>
      <c r="LT311" s="117"/>
      <c r="LU311" s="117"/>
      <c r="LV311" s="117"/>
      <c r="LW311" s="117"/>
      <c r="LX311" s="117"/>
      <c r="LY311" s="117"/>
      <c r="LZ311" s="117"/>
      <c r="MA311" s="117"/>
      <c r="MB311" s="117"/>
      <c r="MC311" s="117"/>
      <c r="MD311" s="117"/>
      <c r="ME311" s="117"/>
      <c r="MF311" s="117"/>
      <c r="MG311" s="117"/>
      <c r="MH311" s="117"/>
      <c r="MI311" s="117"/>
      <c r="MJ311" s="117"/>
      <c r="MK311" s="117"/>
      <c r="ML311" s="117"/>
      <c r="MM311" s="117"/>
      <c r="MN311" s="117"/>
      <c r="MO311" s="117"/>
      <c r="MP311" s="117"/>
      <c r="MQ311" s="117"/>
      <c r="MR311" s="117"/>
      <c r="MS311" s="117"/>
      <c r="MT311" s="117"/>
      <c r="MU311" s="117"/>
      <c r="MV311" s="117"/>
      <c r="MW311" s="117"/>
      <c r="MX311" s="117"/>
      <c r="MY311" s="117"/>
      <c r="MZ311" s="117"/>
      <c r="NA311" s="117"/>
      <c r="NB311" s="117"/>
      <c r="NC311" s="117"/>
      <c r="ND311" s="117"/>
      <c r="NE311" s="117"/>
      <c r="NF311" s="117"/>
      <c r="NG311" s="117"/>
      <c r="NH311" s="117"/>
      <c r="NI311" s="117"/>
      <c r="NJ311" s="117"/>
      <c r="NK311" s="117"/>
      <c r="NL311" s="117"/>
      <c r="NM311" s="117"/>
      <c r="NN311" s="117"/>
      <c r="NO311" s="117"/>
      <c r="NP311" s="117"/>
      <c r="NQ311" s="117"/>
      <c r="NR311" s="117"/>
      <c r="NS311" s="117"/>
      <c r="NT311" s="117"/>
      <c r="NU311" s="117"/>
      <c r="NV311" s="117"/>
      <c r="NW311" s="117"/>
      <c r="NX311" s="117"/>
      <c r="NY311" s="117"/>
      <c r="NZ311" s="117"/>
      <c r="OA311" s="117"/>
      <c r="OB311" s="117"/>
      <c r="OC311" s="117"/>
      <c r="OD311" s="117"/>
      <c r="OE311" s="117"/>
      <c r="OF311" s="117"/>
      <c r="OG311" s="117"/>
      <c r="OH311" s="117"/>
      <c r="OI311" s="117"/>
      <c r="OJ311" s="117"/>
      <c r="OK311" s="117"/>
      <c r="OL311" s="117"/>
      <c r="OM311" s="117"/>
      <c r="ON311" s="117"/>
      <c r="OO311" s="117"/>
      <c r="OP311" s="117"/>
      <c r="OQ311" s="117"/>
      <c r="OR311" s="117"/>
      <c r="OS311" s="117"/>
      <c r="OT311" s="117"/>
      <c r="OU311" s="117"/>
      <c r="OV311" s="117"/>
      <c r="OW311" s="117"/>
      <c r="OX311" s="117"/>
      <c r="OY311" s="117"/>
      <c r="OZ311" s="117"/>
      <c r="PA311" s="117"/>
      <c r="PB311" s="117"/>
      <c r="PC311" s="117"/>
      <c r="PD311" s="117"/>
      <c r="PE311" s="117"/>
      <c r="PF311" s="117"/>
      <c r="PG311" s="117"/>
      <c r="PH311" s="117"/>
      <c r="PI311" s="117"/>
      <c r="PJ311" s="117"/>
      <c r="PK311" s="117"/>
      <c r="PL311" s="117"/>
      <c r="PM311" s="117"/>
      <c r="PN311" s="117"/>
      <c r="PO311" s="117"/>
      <c r="PP311" s="117"/>
      <c r="PQ311" s="117"/>
      <c r="PR311" s="117"/>
      <c r="PS311" s="117"/>
      <c r="PT311" s="117"/>
      <c r="PU311" s="117"/>
      <c r="PV311" s="117"/>
      <c r="PW311" s="117"/>
      <c r="PX311" s="117"/>
      <c r="PY311" s="117"/>
      <c r="PZ311" s="117"/>
      <c r="QA311" s="117"/>
      <c r="QB311" s="117"/>
      <c r="QC311" s="117"/>
      <c r="QD311" s="117"/>
      <c r="QE311" s="117"/>
      <c r="QF311" s="117"/>
      <c r="QG311" s="117"/>
      <c r="QH311" s="117"/>
      <c r="QI311" s="117"/>
      <c r="QJ311" s="117"/>
      <c r="QK311" s="117"/>
      <c r="QL311" s="117"/>
      <c r="QM311" s="117"/>
      <c r="QN311" s="117"/>
      <c r="QO311" s="117"/>
      <c r="QP311" s="117"/>
      <c r="QQ311" s="117"/>
      <c r="QR311" s="117"/>
      <c r="QS311" s="117"/>
      <c r="QT311" s="117"/>
      <c r="QU311" s="117"/>
      <c r="QV311" s="117"/>
      <c r="QW311" s="117"/>
      <c r="QX311" s="117"/>
      <c r="QY311" s="117"/>
      <c r="QZ311" s="117"/>
      <c r="RA311" s="117"/>
      <c r="RB311" s="117"/>
      <c r="RC311" s="117"/>
      <c r="RD311" s="117"/>
      <c r="RE311" s="117"/>
      <c r="RF311" s="117"/>
      <c r="RG311" s="117"/>
      <c r="RH311" s="117"/>
      <c r="RI311" s="117"/>
      <c r="RJ311" s="117"/>
      <c r="RK311" s="117"/>
      <c r="RL311" s="117"/>
      <c r="RM311" s="117"/>
      <c r="RN311" s="117"/>
      <c r="RO311" s="117"/>
      <c r="RP311" s="117"/>
      <c r="RQ311" s="117"/>
      <c r="RR311" s="117"/>
      <c r="RS311" s="117"/>
      <c r="RT311" s="117"/>
      <c r="RU311" s="117"/>
      <c r="RV311" s="117"/>
      <c r="RW311" s="117"/>
      <c r="RX311" s="117"/>
      <c r="RY311" s="117"/>
      <c r="RZ311" s="117"/>
      <c r="SA311" s="117"/>
      <c r="SB311" s="117"/>
      <c r="SC311" s="117"/>
      <c r="SD311" s="117"/>
      <c r="SE311" s="117"/>
      <c r="SF311" s="117"/>
      <c r="SG311" s="117"/>
      <c r="SH311" s="117"/>
      <c r="SI311" s="117"/>
      <c r="SJ311" s="117"/>
      <c r="SK311" s="117"/>
      <c r="SL311" s="117"/>
      <c r="SM311" s="117"/>
      <c r="SN311" s="117"/>
      <c r="SO311" s="117"/>
      <c r="SP311" s="117"/>
      <c r="SQ311" s="117"/>
      <c r="SR311" s="117"/>
      <c r="SS311" s="117"/>
      <c r="ST311" s="117"/>
      <c r="SU311" s="117"/>
      <c r="SV311" s="117"/>
      <c r="SW311" s="117"/>
      <c r="SX311" s="117"/>
      <c r="SY311" s="117"/>
      <c r="SZ311" s="117"/>
      <c r="TA311" s="117"/>
      <c r="TB311" s="117"/>
      <c r="TC311" s="117"/>
      <c r="TD311" s="117"/>
      <c r="TE311" s="117"/>
      <c r="TF311" s="117"/>
      <c r="TG311" s="117"/>
      <c r="TH311" s="117"/>
      <c r="TI311" s="117"/>
      <c r="TJ311" s="117"/>
      <c r="TK311" s="117"/>
      <c r="TL311" s="117"/>
      <c r="TM311" s="117"/>
      <c r="TN311" s="117"/>
      <c r="TO311" s="117"/>
      <c r="TP311" s="117"/>
      <c r="TQ311" s="117"/>
      <c r="TR311" s="117"/>
      <c r="TS311" s="117"/>
      <c r="TT311" s="117"/>
      <c r="TU311" s="117"/>
      <c r="TV311" s="117"/>
      <c r="TW311" s="117"/>
      <c r="TX311" s="117"/>
      <c r="TY311" s="117"/>
      <c r="TZ311" s="117"/>
      <c r="UA311" s="117"/>
      <c r="UB311" s="117"/>
      <c r="UC311" s="117"/>
      <c r="UD311" s="117"/>
      <c r="UE311" s="117"/>
      <c r="UF311" s="117"/>
      <c r="UG311" s="117"/>
      <c r="UH311" s="117"/>
      <c r="UI311" s="117"/>
      <c r="UJ311" s="117"/>
      <c r="UK311" s="117"/>
      <c r="UL311" s="117"/>
      <c r="UM311" s="117"/>
      <c r="UN311" s="117"/>
      <c r="UO311" s="117"/>
      <c r="UP311" s="117"/>
      <c r="UQ311" s="117"/>
      <c r="UR311" s="117"/>
      <c r="US311" s="117"/>
      <c r="UT311" s="117"/>
      <c r="UU311" s="117"/>
      <c r="UV311" s="117"/>
      <c r="UW311" s="117"/>
      <c r="UX311" s="117"/>
      <c r="UY311" s="117"/>
      <c r="UZ311" s="117"/>
      <c r="VA311" s="117"/>
      <c r="VB311" s="117"/>
      <c r="VC311" s="117"/>
      <c r="VD311" s="117"/>
      <c r="VE311" s="117"/>
      <c r="VF311" s="117"/>
      <c r="VG311" s="117"/>
      <c r="VH311" s="117"/>
      <c r="VI311" s="117"/>
      <c r="VJ311" s="117"/>
      <c r="VK311" s="117"/>
      <c r="VL311" s="117"/>
      <c r="VM311" s="117"/>
      <c r="VN311" s="117"/>
      <c r="VO311" s="117"/>
      <c r="VP311" s="117"/>
      <c r="VQ311" s="117"/>
      <c r="VR311" s="117"/>
      <c r="VS311" s="117"/>
      <c r="VT311" s="117"/>
      <c r="VU311" s="117"/>
      <c r="VV311" s="117"/>
      <c r="VW311" s="117"/>
      <c r="VX311" s="117"/>
      <c r="VY311" s="117"/>
      <c r="VZ311" s="117"/>
      <c r="WA311" s="117"/>
      <c r="WB311" s="117"/>
      <c r="WC311" s="117"/>
      <c r="WD311" s="117"/>
      <c r="WE311" s="117"/>
      <c r="WF311" s="117"/>
      <c r="WG311" s="117"/>
      <c r="WH311" s="117"/>
      <c r="WI311" s="117"/>
      <c r="WJ311" s="117"/>
      <c r="WK311" s="117"/>
      <c r="WL311" s="117"/>
      <c r="WM311" s="117"/>
      <c r="WN311" s="117"/>
      <c r="WO311" s="117"/>
      <c r="WP311" s="117"/>
      <c r="WQ311" s="117"/>
      <c r="WR311" s="117"/>
      <c r="WS311" s="117"/>
      <c r="WT311" s="117"/>
      <c r="WU311" s="117"/>
      <c r="WV311" s="117"/>
      <c r="WW311" s="117"/>
      <c r="WX311" s="117"/>
      <c r="WY311" s="117"/>
      <c r="WZ311" s="117"/>
      <c r="XA311" s="117"/>
      <c r="XB311" s="117"/>
      <c r="XC311" s="117"/>
      <c r="XD311" s="117"/>
      <c r="XE311" s="117"/>
      <c r="XF311" s="117"/>
      <c r="XG311" s="117"/>
      <c r="XH311" s="117"/>
      <c r="XI311" s="117"/>
      <c r="XJ311" s="117"/>
      <c r="XK311" s="117"/>
      <c r="XL311" s="117"/>
      <c r="XM311" s="117"/>
      <c r="XN311" s="117"/>
      <c r="XO311" s="117"/>
      <c r="XP311" s="117"/>
      <c r="XQ311" s="117"/>
      <c r="XR311" s="117"/>
      <c r="XS311" s="117"/>
      <c r="XT311" s="117"/>
      <c r="XU311" s="117"/>
      <c r="XV311" s="117"/>
      <c r="XW311" s="117"/>
      <c r="XX311" s="117"/>
      <c r="XY311" s="117"/>
      <c r="XZ311" s="117"/>
      <c r="YA311" s="117"/>
      <c r="YB311" s="117"/>
      <c r="YC311" s="117"/>
      <c r="YD311" s="117"/>
      <c r="YE311" s="117"/>
      <c r="YF311" s="117"/>
      <c r="YG311" s="117"/>
      <c r="YH311" s="117"/>
      <c r="YI311" s="117"/>
      <c r="YJ311" s="117"/>
      <c r="YK311" s="117"/>
      <c r="YL311" s="117"/>
      <c r="YM311" s="117"/>
      <c r="YN311" s="117"/>
      <c r="YO311" s="117"/>
      <c r="YP311" s="117"/>
      <c r="YQ311" s="117"/>
      <c r="YR311" s="117"/>
      <c r="YS311" s="117"/>
      <c r="YT311" s="117"/>
      <c r="YU311" s="117"/>
      <c r="YV311" s="117"/>
      <c r="YW311" s="117"/>
      <c r="YX311" s="117"/>
      <c r="YY311" s="117"/>
      <c r="YZ311" s="117"/>
      <c r="ZA311" s="117"/>
      <c r="ZB311" s="117"/>
      <c r="ZC311" s="117"/>
      <c r="ZD311" s="117"/>
      <c r="ZE311" s="117"/>
      <c r="ZF311" s="117"/>
      <c r="ZG311" s="117"/>
      <c r="ZH311" s="117"/>
      <c r="ZI311" s="117"/>
      <c r="ZJ311" s="117"/>
      <c r="ZK311" s="117"/>
      <c r="ZL311" s="117"/>
      <c r="ZM311" s="117"/>
      <c r="ZN311" s="117"/>
      <c r="ZO311" s="117"/>
      <c r="ZP311" s="117"/>
      <c r="ZQ311" s="117"/>
      <c r="ZR311" s="117"/>
      <c r="ZS311" s="117"/>
      <c r="ZT311" s="117"/>
      <c r="ZU311" s="117"/>
      <c r="ZV311" s="117"/>
      <c r="ZW311" s="117"/>
      <c r="ZX311" s="117"/>
      <c r="ZY311" s="117"/>
      <c r="ZZ311" s="117"/>
      <c r="AAA311" s="117"/>
      <c r="AAB311" s="117"/>
      <c r="AAC311" s="117"/>
      <c r="AAD311" s="117"/>
      <c r="AAE311" s="117"/>
      <c r="AAF311" s="117"/>
      <c r="AAG311" s="117"/>
      <c r="AAH311" s="117"/>
      <c r="AAI311" s="117"/>
      <c r="AAJ311" s="117"/>
      <c r="AAK311" s="117"/>
      <c r="AAL311" s="117"/>
      <c r="AAM311" s="117"/>
      <c r="AAN311" s="117"/>
      <c r="AAO311" s="117"/>
      <c r="AAP311" s="117"/>
      <c r="AAQ311" s="117"/>
      <c r="AAR311" s="117"/>
      <c r="AAS311" s="117"/>
      <c r="AAT311" s="117"/>
      <c r="AAU311" s="117"/>
      <c r="AAV311" s="117"/>
      <c r="AAW311" s="117"/>
      <c r="AAX311" s="117"/>
      <c r="AAY311" s="117"/>
      <c r="AAZ311" s="117"/>
      <c r="ABA311" s="117"/>
      <c r="ABB311" s="117"/>
      <c r="ABC311" s="117"/>
      <c r="ABD311" s="117"/>
      <c r="ABE311" s="117"/>
      <c r="ABF311" s="117"/>
      <c r="ABG311" s="117"/>
      <c r="ABH311" s="117"/>
      <c r="ABI311" s="117"/>
      <c r="ABJ311" s="117"/>
      <c r="ABK311" s="117"/>
      <c r="ABL311" s="117"/>
      <c r="ABM311" s="117"/>
      <c r="ABN311" s="117"/>
      <c r="ABO311" s="117"/>
      <c r="ABP311" s="117"/>
      <c r="ABQ311" s="117"/>
      <c r="ABR311" s="117"/>
      <c r="ABS311" s="117"/>
      <c r="ABT311" s="117"/>
      <c r="ABU311" s="117"/>
      <c r="ABV311" s="117"/>
      <c r="ABW311" s="117"/>
      <c r="ABX311" s="117"/>
      <c r="ABY311" s="117"/>
      <c r="ABZ311" s="117"/>
      <c r="ACA311" s="117"/>
      <c r="ACB311" s="117"/>
      <c r="ACC311" s="117"/>
      <c r="ACD311" s="117"/>
      <c r="ACE311" s="117"/>
      <c r="ACF311" s="117"/>
      <c r="ACG311" s="117"/>
      <c r="ACH311" s="117"/>
      <c r="ACI311" s="117"/>
      <c r="ACJ311" s="117"/>
      <c r="ACK311" s="117"/>
      <c r="ACL311" s="117"/>
      <c r="ACM311" s="117"/>
      <c r="ACN311" s="117"/>
      <c r="ACO311" s="117"/>
      <c r="ACP311" s="117"/>
      <c r="ACQ311" s="117"/>
      <c r="ACR311" s="117"/>
      <c r="ACS311" s="117"/>
      <c r="ACT311" s="117"/>
      <c r="ACU311" s="117"/>
      <c r="ACV311" s="117"/>
      <c r="ACW311" s="117"/>
      <c r="ACX311" s="117"/>
      <c r="ACY311" s="117"/>
      <c r="ACZ311" s="117"/>
      <c r="ADA311" s="117"/>
      <c r="ADB311" s="117"/>
      <c r="ADC311" s="117"/>
      <c r="ADD311" s="117"/>
      <c r="ADE311" s="117"/>
      <c r="ADF311" s="117"/>
      <c r="ADG311" s="117"/>
      <c r="ADH311" s="117"/>
      <c r="ADI311" s="117"/>
      <c r="ADJ311" s="117"/>
      <c r="ADK311" s="117"/>
      <c r="ADL311" s="117"/>
      <c r="ADM311" s="117"/>
      <c r="ADN311" s="117"/>
      <c r="ADO311" s="117"/>
      <c r="ADP311" s="117"/>
      <c r="ADQ311" s="117"/>
      <c r="ADR311" s="117"/>
      <c r="ADS311" s="117"/>
      <c r="ADT311" s="117"/>
      <c r="ADU311" s="117"/>
      <c r="ADV311" s="117"/>
      <c r="ADW311" s="117"/>
      <c r="ADX311" s="117"/>
      <c r="ADY311" s="117"/>
      <c r="ADZ311" s="117"/>
      <c r="AEA311" s="117"/>
      <c r="AEB311" s="117"/>
      <c r="AEC311" s="117"/>
      <c r="AED311" s="117"/>
      <c r="AEE311" s="117"/>
      <c r="AEF311" s="117"/>
      <c r="AEG311" s="117"/>
      <c r="AEH311" s="117"/>
      <c r="AEI311" s="117"/>
      <c r="AEJ311" s="117"/>
      <c r="AEK311" s="117"/>
      <c r="AEL311" s="117"/>
      <c r="AEM311" s="117"/>
      <c r="AEN311" s="117"/>
      <c r="AEO311" s="117"/>
      <c r="AEP311" s="117"/>
      <c r="AEQ311" s="117"/>
      <c r="AER311" s="117"/>
      <c r="AES311" s="117"/>
      <c r="AET311" s="117"/>
      <c r="AEU311" s="117"/>
      <c r="AEV311" s="117"/>
      <c r="AEW311" s="117"/>
      <c r="AEX311" s="117"/>
      <c r="AEY311" s="117"/>
      <c r="AEZ311" s="117"/>
      <c r="AFA311" s="117"/>
      <c r="AFB311" s="117"/>
      <c r="AFC311" s="117"/>
      <c r="AFD311" s="117"/>
      <c r="AFE311" s="117"/>
      <c r="AFF311" s="117"/>
      <c r="AFG311" s="117"/>
      <c r="AFH311" s="117"/>
      <c r="AFI311" s="117"/>
      <c r="AFJ311" s="117"/>
      <c r="AFK311" s="117"/>
      <c r="AFL311" s="117"/>
      <c r="AFM311" s="117"/>
      <c r="AFN311" s="117"/>
      <c r="AFO311" s="117"/>
      <c r="AFP311" s="117"/>
      <c r="AFQ311" s="117"/>
      <c r="AFR311" s="117"/>
      <c r="AFS311" s="117"/>
      <c r="AFT311" s="117"/>
      <c r="AFU311" s="117"/>
      <c r="AFV311" s="117"/>
      <c r="AFW311" s="117"/>
      <c r="AFX311" s="117"/>
      <c r="AFY311" s="117"/>
      <c r="AFZ311" s="117"/>
      <c r="AGA311" s="117"/>
      <c r="AGB311" s="117"/>
      <c r="AGC311" s="117"/>
      <c r="AGD311" s="117"/>
      <c r="AGE311" s="117"/>
      <c r="AGF311" s="117"/>
      <c r="AGG311" s="117"/>
      <c r="AGH311" s="117"/>
      <c r="AGI311" s="117"/>
      <c r="AGJ311" s="117"/>
      <c r="AGK311" s="117"/>
      <c r="AGL311" s="117"/>
      <c r="AGM311" s="117"/>
      <c r="AGN311" s="117"/>
      <c r="AGO311" s="117"/>
      <c r="AGP311" s="117"/>
      <c r="AGQ311" s="117"/>
      <c r="AGR311" s="117"/>
      <c r="AGS311" s="117"/>
      <c r="AGT311" s="117"/>
      <c r="AGU311" s="117"/>
      <c r="AGV311" s="117"/>
      <c r="AGW311" s="117"/>
      <c r="AGX311" s="117"/>
      <c r="AGY311" s="117"/>
      <c r="AGZ311" s="117"/>
      <c r="AHA311" s="117"/>
      <c r="AHB311" s="117"/>
      <c r="AHC311" s="117"/>
      <c r="AHD311" s="117"/>
      <c r="AHE311" s="117"/>
      <c r="AHF311" s="117"/>
      <c r="AHG311" s="117"/>
      <c r="AHH311" s="117"/>
      <c r="AHI311" s="117"/>
      <c r="AHJ311" s="117"/>
      <c r="AHK311" s="117"/>
      <c r="AHL311" s="117"/>
      <c r="AHM311" s="117"/>
      <c r="AHN311" s="117"/>
      <c r="AHO311" s="117"/>
      <c r="AHP311" s="117"/>
      <c r="AHQ311" s="117"/>
      <c r="AHR311" s="117"/>
      <c r="AHS311" s="117"/>
      <c r="AHT311" s="117"/>
      <c r="AHU311" s="117"/>
      <c r="AHV311" s="117"/>
      <c r="AHW311" s="117"/>
      <c r="AHX311" s="117"/>
      <c r="AHY311" s="117"/>
      <c r="AHZ311" s="117"/>
      <c r="AIA311" s="117"/>
      <c r="AIB311" s="117"/>
      <c r="AIC311" s="117"/>
      <c r="AID311" s="117"/>
      <c r="AIE311" s="117"/>
      <c r="AIF311" s="117"/>
      <c r="AIG311" s="117"/>
      <c r="AIH311" s="117"/>
      <c r="AII311" s="117"/>
      <c r="AIJ311" s="117"/>
      <c r="AIK311" s="117"/>
      <c r="AIL311" s="117"/>
      <c r="AIM311" s="117"/>
      <c r="AIN311" s="117"/>
      <c r="AIO311" s="117"/>
      <c r="AIP311" s="117"/>
      <c r="AIQ311" s="117"/>
      <c r="AIR311" s="117"/>
      <c r="AIS311" s="117"/>
      <c r="AIT311" s="117"/>
      <c r="AIU311" s="117"/>
      <c r="AIV311" s="117"/>
      <c r="AIW311" s="117"/>
      <c r="AIX311" s="117"/>
      <c r="AIY311" s="117"/>
      <c r="AIZ311" s="117"/>
      <c r="AJA311" s="117"/>
      <c r="AJB311" s="117"/>
      <c r="AJC311" s="117"/>
      <c r="AJD311" s="117"/>
      <c r="AJE311" s="117"/>
      <c r="AJF311" s="117"/>
      <c r="AJG311" s="117"/>
      <c r="AJH311" s="117"/>
      <c r="AJI311" s="117"/>
      <c r="AJJ311" s="117"/>
      <c r="AJK311" s="117"/>
      <c r="AJL311" s="117"/>
      <c r="AJM311" s="117"/>
      <c r="AJN311" s="117"/>
      <c r="AJO311" s="117"/>
      <c r="AJP311" s="117"/>
      <c r="AJQ311" s="117"/>
      <c r="AJR311" s="117"/>
      <c r="AJS311" s="117"/>
      <c r="AJT311" s="117"/>
      <c r="AJU311" s="117"/>
      <c r="AJV311" s="117"/>
      <c r="AJW311" s="117"/>
      <c r="AJX311" s="117"/>
      <c r="AJY311" s="117"/>
      <c r="AJZ311" s="117"/>
      <c r="AKA311" s="117"/>
      <c r="AKB311" s="117"/>
      <c r="AKC311" s="117"/>
      <c r="AKD311" s="117"/>
      <c r="AKE311" s="117"/>
      <c r="AKF311" s="117"/>
      <c r="AKG311" s="117"/>
      <c r="AKH311" s="117"/>
      <c r="AKI311" s="117"/>
      <c r="AKJ311" s="117"/>
      <c r="AKK311" s="117"/>
      <c r="AKL311" s="117"/>
      <c r="AKM311" s="117"/>
      <c r="AKN311" s="117"/>
      <c r="AKO311" s="117"/>
      <c r="AKP311" s="117"/>
      <c r="AKQ311" s="117"/>
      <c r="AKR311" s="117"/>
      <c r="AKS311" s="117"/>
      <c r="AKT311" s="117"/>
      <c r="AKU311" s="117"/>
      <c r="AKV311" s="117"/>
      <c r="AKW311" s="117"/>
      <c r="AKX311" s="117"/>
      <c r="AKY311" s="117"/>
      <c r="AKZ311" s="117"/>
      <c r="ALA311" s="117"/>
      <c r="ALB311" s="117"/>
      <c r="ALC311" s="117"/>
      <c r="ALD311" s="117"/>
      <c r="ALE311" s="117"/>
      <c r="ALF311" s="117"/>
      <c r="ALG311" s="117"/>
      <c r="ALH311" s="117"/>
      <c r="ALI311" s="117"/>
      <c r="ALJ311" s="117"/>
      <c r="ALK311" s="117"/>
      <c r="ALL311" s="117"/>
      <c r="ALM311" s="117"/>
      <c r="ALN311" s="117"/>
      <c r="ALO311" s="117"/>
      <c r="ALP311" s="117"/>
      <c r="ALQ311" s="117"/>
      <c r="ALR311" s="117"/>
      <c r="ALS311" s="117"/>
      <c r="ALT311" s="117"/>
      <c r="ALU311" s="117"/>
      <c r="ALV311" s="117"/>
      <c r="ALW311" s="117"/>
      <c r="ALX311" s="117"/>
      <c r="ALY311" s="117"/>
      <c r="ALZ311" s="117"/>
      <c r="AMA311" s="117"/>
      <c r="AMB311" s="117"/>
      <c r="AMC311" s="117"/>
      <c r="AMD311" s="117"/>
      <c r="AME311" s="117"/>
    </row>
    <row r="312" spans="1:1019" s="191" customFormat="1" ht="11.25" customHeight="1">
      <c r="A312" s="157">
        <v>310</v>
      </c>
      <c r="B312" s="157" t="s">
        <v>143</v>
      </c>
      <c r="C312" s="140"/>
      <c r="D312" s="190">
        <v>1</v>
      </c>
      <c r="E312" s="190">
        <f t="shared" si="47"/>
        <v>26</v>
      </c>
      <c r="F312" s="173" t="s">
        <v>514</v>
      </c>
      <c r="G312" s="172">
        <f t="shared" si="58"/>
        <v>930</v>
      </c>
      <c r="H312" s="143">
        <f>INT((G312*Valores!$C$2*100)+0.5)/100</f>
        <v>8685.92</v>
      </c>
      <c r="I312" s="161">
        <v>0</v>
      </c>
      <c r="J312" s="145">
        <f>INT((I312*Valores!$C$2*100)+0.5)/100</f>
        <v>0</v>
      </c>
      <c r="K312" s="160">
        <v>0</v>
      </c>
      <c r="L312" s="145">
        <f>INT((K312*Valores!$C$2*100)+0.5)/100</f>
        <v>0</v>
      </c>
      <c r="M312" s="158">
        <v>0</v>
      </c>
      <c r="N312" s="145">
        <f>INT((M312*Valores!$C$2*100)+0.5)/100</f>
        <v>0</v>
      </c>
      <c r="O312" s="145">
        <f t="shared" si="48"/>
        <v>1364.3129999999999</v>
      </c>
      <c r="P312" s="145">
        <f t="shared" si="49"/>
        <v>0</v>
      </c>
      <c r="Q312" s="159">
        <v>0</v>
      </c>
      <c r="R312" s="159">
        <v>0</v>
      </c>
      <c r="S312" s="145">
        <v>0</v>
      </c>
      <c r="T312" s="148">
        <f>IF($H$5="NO",IF(Valores!$C$46*D312&gt;Valores!$C$44,Valores!$C$44,Valores!$C$46*D312),IF(Valores!$C$46*D312&gt;Valores!$C$44,Valores!$C$44,Valores!$C$46*D312)/2)*6</f>
        <v>409.5</v>
      </c>
      <c r="U312" s="159">
        <v>0</v>
      </c>
      <c r="V312" s="145">
        <f t="shared" si="57"/>
        <v>0</v>
      </c>
      <c r="W312" s="145">
        <v>0</v>
      </c>
      <c r="X312" s="145">
        <v>0</v>
      </c>
      <c r="Y312" s="165">
        <v>0</v>
      </c>
      <c r="Z312" s="145">
        <v>0</v>
      </c>
      <c r="AA312" s="145">
        <v>0</v>
      </c>
      <c r="AB312" s="148"/>
      <c r="AC312" s="150">
        <v>0</v>
      </c>
      <c r="AD312" s="145">
        <f t="shared" si="51"/>
        <v>0</v>
      </c>
      <c r="AE312" s="145">
        <v>0</v>
      </c>
      <c r="AF312" s="149">
        <v>0</v>
      </c>
      <c r="AG312" s="145">
        <f>INT(((AF312*Valores!$C$2)*100)+0.5)/100</f>
        <v>0</v>
      </c>
      <c r="AH312" s="145"/>
      <c r="AI312" s="145"/>
      <c r="AJ312" s="151">
        <f t="shared" si="52"/>
        <v>10459.733</v>
      </c>
      <c r="AK312" s="171"/>
      <c r="AL312" s="148">
        <f>Valores!$C$11+AL311</f>
        <v>0</v>
      </c>
      <c r="AM312" s="148">
        <v>0</v>
      </c>
      <c r="AN312" s="148"/>
      <c r="AO312" s="150">
        <v>0</v>
      </c>
      <c r="AP312" s="152">
        <f t="shared" si="50"/>
        <v>0</v>
      </c>
      <c r="AQ312" s="154">
        <f>AJ312*-Valores!$C$68</f>
        <v>-1150.57063</v>
      </c>
      <c r="AR312" s="154">
        <f>AJ312*-Valores!$C$69</f>
        <v>0</v>
      </c>
      <c r="AS312" s="147">
        <f>AJ312*-Valores!$C$70</f>
        <v>-470.68798499999997</v>
      </c>
      <c r="AT312" s="147">
        <v>-159.43</v>
      </c>
      <c r="AU312" s="147">
        <f t="shared" si="53"/>
        <v>-53.83</v>
      </c>
      <c r="AV312" s="151">
        <f t="shared" si="54"/>
        <v>8625.214385</v>
      </c>
      <c r="AW312" s="155"/>
      <c r="AX312" s="155"/>
      <c r="AY312" s="140"/>
      <c r="AZ312" s="117"/>
      <c r="BA312" s="117"/>
      <c r="BB312" s="117"/>
      <c r="BC312" s="117"/>
      <c r="BD312" s="117"/>
      <c r="BE312" s="117"/>
      <c r="BF312" s="117"/>
      <c r="BG312" s="117"/>
      <c r="BH312" s="117"/>
      <c r="BI312" s="117"/>
      <c r="BJ312" s="117"/>
      <c r="BK312" s="117"/>
      <c r="BL312" s="117"/>
      <c r="BM312" s="117"/>
      <c r="BN312" s="117"/>
      <c r="BO312" s="117"/>
      <c r="BP312" s="117"/>
      <c r="BQ312" s="117"/>
      <c r="BR312" s="117"/>
      <c r="BS312" s="117"/>
      <c r="BT312" s="117"/>
      <c r="BU312" s="117"/>
      <c r="BV312" s="117"/>
      <c r="BW312" s="117"/>
      <c r="BX312" s="117"/>
      <c r="BY312" s="117"/>
      <c r="BZ312" s="117"/>
      <c r="CA312" s="117"/>
      <c r="CB312" s="117"/>
      <c r="CC312" s="117"/>
      <c r="CD312" s="117"/>
      <c r="CE312" s="117"/>
      <c r="CF312" s="117"/>
      <c r="CG312" s="117"/>
      <c r="CH312" s="117"/>
      <c r="CI312" s="117"/>
      <c r="CJ312" s="117"/>
      <c r="CK312" s="117"/>
      <c r="CL312" s="117"/>
      <c r="CM312" s="117"/>
      <c r="CN312" s="117"/>
      <c r="CO312" s="117"/>
      <c r="CP312" s="117"/>
      <c r="CQ312" s="117"/>
      <c r="CR312" s="117"/>
      <c r="CS312" s="117"/>
      <c r="CT312" s="117"/>
      <c r="CU312" s="117"/>
      <c r="CV312" s="117"/>
      <c r="CW312" s="117"/>
      <c r="CX312" s="117"/>
      <c r="CY312" s="117"/>
      <c r="CZ312" s="117"/>
      <c r="DA312" s="117"/>
      <c r="DB312" s="117"/>
      <c r="DC312" s="117"/>
      <c r="DD312" s="117"/>
      <c r="DE312" s="117"/>
      <c r="DF312" s="117"/>
      <c r="DG312" s="117"/>
      <c r="DH312" s="117"/>
      <c r="DI312" s="117"/>
      <c r="DJ312" s="117"/>
      <c r="DK312" s="117"/>
      <c r="DL312" s="117"/>
      <c r="DM312" s="117"/>
      <c r="DN312" s="117"/>
      <c r="DO312" s="117"/>
      <c r="DP312" s="117"/>
      <c r="DQ312" s="117"/>
      <c r="DR312" s="117"/>
      <c r="DS312" s="117"/>
      <c r="DT312" s="117"/>
      <c r="DU312" s="117"/>
      <c r="DV312" s="117"/>
      <c r="DW312" s="117"/>
      <c r="DX312" s="117"/>
      <c r="DY312" s="117"/>
      <c r="DZ312" s="117"/>
      <c r="EA312" s="117"/>
      <c r="EB312" s="117"/>
      <c r="EC312" s="117"/>
      <c r="ED312" s="117"/>
      <c r="EE312" s="117"/>
      <c r="EF312" s="117"/>
      <c r="EG312" s="117"/>
      <c r="EH312" s="117"/>
      <c r="EI312" s="117"/>
      <c r="EJ312" s="117"/>
      <c r="EK312" s="117"/>
      <c r="EL312" s="117"/>
      <c r="EM312" s="117"/>
      <c r="EN312" s="117"/>
      <c r="EO312" s="117"/>
      <c r="EP312" s="117"/>
      <c r="EQ312" s="117"/>
      <c r="ER312" s="117"/>
      <c r="ES312" s="117"/>
      <c r="ET312" s="117"/>
      <c r="EU312" s="117"/>
      <c r="EV312" s="117"/>
      <c r="EW312" s="117"/>
      <c r="EX312" s="117"/>
      <c r="EY312" s="117"/>
      <c r="EZ312" s="117"/>
      <c r="FA312" s="117"/>
      <c r="FB312" s="117"/>
      <c r="FC312" s="117"/>
      <c r="FD312" s="117"/>
      <c r="FE312" s="117"/>
      <c r="FF312" s="117"/>
      <c r="FG312" s="117"/>
      <c r="FH312" s="117"/>
      <c r="FI312" s="117"/>
      <c r="FJ312" s="117"/>
      <c r="FK312" s="117"/>
      <c r="FL312" s="117"/>
      <c r="FM312" s="117"/>
      <c r="FN312" s="117"/>
      <c r="FO312" s="117"/>
      <c r="FP312" s="117"/>
      <c r="FQ312" s="117"/>
      <c r="FR312" s="117"/>
      <c r="FS312" s="117"/>
      <c r="FT312" s="117"/>
      <c r="FU312" s="117"/>
      <c r="FV312" s="117"/>
      <c r="FW312" s="117"/>
      <c r="FX312" s="117"/>
      <c r="FY312" s="117"/>
      <c r="FZ312" s="117"/>
      <c r="GA312" s="117"/>
      <c r="GB312" s="117"/>
      <c r="GC312" s="117"/>
      <c r="GD312" s="117"/>
      <c r="GE312" s="117"/>
      <c r="GF312" s="117"/>
      <c r="GG312" s="117"/>
      <c r="GH312" s="117"/>
      <c r="GI312" s="117"/>
      <c r="GJ312" s="117"/>
      <c r="GK312" s="117"/>
      <c r="GL312" s="117"/>
      <c r="GM312" s="117"/>
      <c r="GN312" s="117"/>
      <c r="GO312" s="117"/>
      <c r="GP312" s="117"/>
      <c r="GQ312" s="117"/>
      <c r="GR312" s="117"/>
      <c r="GS312" s="117"/>
      <c r="GT312" s="117"/>
      <c r="GU312" s="117"/>
      <c r="GV312" s="117"/>
      <c r="GW312" s="117"/>
      <c r="GX312" s="117"/>
      <c r="GY312" s="117"/>
      <c r="GZ312" s="117"/>
      <c r="HA312" s="117"/>
      <c r="HB312" s="117"/>
      <c r="HC312" s="117"/>
      <c r="HD312" s="117"/>
      <c r="HE312" s="117"/>
      <c r="HF312" s="117"/>
      <c r="HG312" s="117"/>
      <c r="HH312" s="117"/>
      <c r="HI312" s="117"/>
      <c r="HJ312" s="117"/>
      <c r="HK312" s="117"/>
      <c r="HL312" s="117"/>
      <c r="HM312" s="117"/>
      <c r="HN312" s="117"/>
      <c r="HO312" s="117"/>
      <c r="HP312" s="117"/>
      <c r="HQ312" s="117"/>
      <c r="HR312" s="117"/>
      <c r="HS312" s="117"/>
      <c r="HT312" s="117"/>
      <c r="HU312" s="117"/>
      <c r="HV312" s="117"/>
      <c r="HW312" s="117"/>
      <c r="HX312" s="117"/>
      <c r="HY312" s="117"/>
      <c r="HZ312" s="117"/>
      <c r="IA312" s="117"/>
      <c r="IB312" s="117"/>
      <c r="IC312" s="117"/>
      <c r="ID312" s="117"/>
      <c r="IE312" s="117"/>
      <c r="IF312" s="117"/>
      <c r="IG312" s="117"/>
      <c r="IH312" s="117"/>
      <c r="II312" s="117"/>
      <c r="IJ312" s="117"/>
      <c r="IK312" s="117"/>
      <c r="IL312" s="117"/>
      <c r="IM312" s="117"/>
      <c r="IN312" s="117"/>
      <c r="IO312" s="117"/>
      <c r="IP312" s="117"/>
      <c r="IQ312" s="117"/>
      <c r="IR312" s="117"/>
      <c r="IS312" s="117"/>
      <c r="IT312" s="117"/>
      <c r="IU312" s="117"/>
      <c r="IV312" s="117"/>
      <c r="IW312" s="117"/>
      <c r="IX312" s="117"/>
      <c r="IY312" s="117"/>
      <c r="IZ312" s="117"/>
      <c r="JA312" s="117"/>
      <c r="JB312" s="117"/>
      <c r="JC312" s="117"/>
      <c r="JD312" s="117"/>
      <c r="JE312" s="117"/>
      <c r="JF312" s="117"/>
      <c r="JG312" s="117"/>
      <c r="JH312" s="117"/>
      <c r="JI312" s="117"/>
      <c r="JJ312" s="117"/>
      <c r="JK312" s="117"/>
      <c r="JL312" s="117"/>
      <c r="JM312" s="117"/>
      <c r="JN312" s="117"/>
      <c r="JO312" s="117"/>
      <c r="JP312" s="117"/>
      <c r="JQ312" s="117"/>
      <c r="JR312" s="117"/>
      <c r="JS312" s="117"/>
      <c r="JT312" s="117"/>
      <c r="JU312" s="117"/>
      <c r="JV312" s="117"/>
      <c r="JW312" s="117"/>
      <c r="JX312" s="117"/>
      <c r="JY312" s="117"/>
      <c r="JZ312" s="117"/>
      <c r="KA312" s="117"/>
      <c r="KB312" s="117"/>
      <c r="KC312" s="117"/>
      <c r="KD312" s="117"/>
      <c r="KE312" s="117"/>
      <c r="KF312" s="117"/>
      <c r="KG312" s="117"/>
      <c r="KH312" s="117"/>
      <c r="KI312" s="117"/>
      <c r="KJ312" s="117"/>
      <c r="KK312" s="117"/>
      <c r="KL312" s="117"/>
      <c r="KM312" s="117"/>
      <c r="KN312" s="117"/>
      <c r="KO312" s="117"/>
      <c r="KP312" s="117"/>
      <c r="KQ312" s="117"/>
      <c r="KR312" s="117"/>
      <c r="KS312" s="117"/>
      <c r="KT312" s="117"/>
      <c r="KU312" s="117"/>
      <c r="KV312" s="117"/>
      <c r="KW312" s="117"/>
      <c r="KX312" s="117"/>
      <c r="KY312" s="117"/>
      <c r="KZ312" s="117"/>
      <c r="LA312" s="117"/>
      <c r="LB312" s="117"/>
      <c r="LC312" s="117"/>
      <c r="LD312" s="117"/>
      <c r="LE312" s="117"/>
      <c r="LF312" s="117"/>
      <c r="LG312" s="117"/>
      <c r="LH312" s="117"/>
      <c r="LI312" s="117"/>
      <c r="LJ312" s="117"/>
      <c r="LK312" s="117"/>
      <c r="LL312" s="117"/>
      <c r="LM312" s="117"/>
      <c r="LN312" s="117"/>
      <c r="LO312" s="117"/>
      <c r="LP312" s="117"/>
      <c r="LQ312" s="117"/>
      <c r="LR312" s="117"/>
      <c r="LS312" s="117"/>
      <c r="LT312" s="117"/>
      <c r="LU312" s="117"/>
      <c r="LV312" s="117"/>
      <c r="LW312" s="117"/>
      <c r="LX312" s="117"/>
      <c r="LY312" s="117"/>
      <c r="LZ312" s="117"/>
      <c r="MA312" s="117"/>
      <c r="MB312" s="117"/>
      <c r="MC312" s="117"/>
      <c r="MD312" s="117"/>
      <c r="ME312" s="117"/>
      <c r="MF312" s="117"/>
      <c r="MG312" s="117"/>
      <c r="MH312" s="117"/>
      <c r="MI312" s="117"/>
      <c r="MJ312" s="117"/>
      <c r="MK312" s="117"/>
      <c r="ML312" s="117"/>
      <c r="MM312" s="117"/>
      <c r="MN312" s="117"/>
      <c r="MO312" s="117"/>
      <c r="MP312" s="117"/>
      <c r="MQ312" s="117"/>
      <c r="MR312" s="117"/>
      <c r="MS312" s="117"/>
      <c r="MT312" s="117"/>
      <c r="MU312" s="117"/>
      <c r="MV312" s="117"/>
      <c r="MW312" s="117"/>
      <c r="MX312" s="117"/>
      <c r="MY312" s="117"/>
      <c r="MZ312" s="117"/>
      <c r="NA312" s="117"/>
      <c r="NB312" s="117"/>
      <c r="NC312" s="117"/>
      <c r="ND312" s="117"/>
      <c r="NE312" s="117"/>
      <c r="NF312" s="117"/>
      <c r="NG312" s="117"/>
      <c r="NH312" s="117"/>
      <c r="NI312" s="117"/>
      <c r="NJ312" s="117"/>
      <c r="NK312" s="117"/>
      <c r="NL312" s="117"/>
      <c r="NM312" s="117"/>
      <c r="NN312" s="117"/>
      <c r="NO312" s="117"/>
      <c r="NP312" s="117"/>
      <c r="NQ312" s="117"/>
      <c r="NR312" s="117"/>
      <c r="NS312" s="117"/>
      <c r="NT312" s="117"/>
      <c r="NU312" s="117"/>
      <c r="NV312" s="117"/>
      <c r="NW312" s="117"/>
      <c r="NX312" s="117"/>
      <c r="NY312" s="117"/>
      <c r="NZ312" s="117"/>
      <c r="OA312" s="117"/>
      <c r="OB312" s="117"/>
      <c r="OC312" s="117"/>
      <c r="OD312" s="117"/>
      <c r="OE312" s="117"/>
      <c r="OF312" s="117"/>
      <c r="OG312" s="117"/>
      <c r="OH312" s="117"/>
      <c r="OI312" s="117"/>
      <c r="OJ312" s="117"/>
      <c r="OK312" s="117"/>
      <c r="OL312" s="117"/>
      <c r="OM312" s="117"/>
      <c r="ON312" s="117"/>
      <c r="OO312" s="117"/>
      <c r="OP312" s="117"/>
      <c r="OQ312" s="117"/>
      <c r="OR312" s="117"/>
      <c r="OS312" s="117"/>
      <c r="OT312" s="117"/>
      <c r="OU312" s="117"/>
      <c r="OV312" s="117"/>
      <c r="OW312" s="117"/>
      <c r="OX312" s="117"/>
      <c r="OY312" s="117"/>
      <c r="OZ312" s="117"/>
      <c r="PA312" s="117"/>
      <c r="PB312" s="117"/>
      <c r="PC312" s="117"/>
      <c r="PD312" s="117"/>
      <c r="PE312" s="117"/>
      <c r="PF312" s="117"/>
      <c r="PG312" s="117"/>
      <c r="PH312" s="117"/>
      <c r="PI312" s="117"/>
      <c r="PJ312" s="117"/>
      <c r="PK312" s="117"/>
      <c r="PL312" s="117"/>
      <c r="PM312" s="117"/>
      <c r="PN312" s="117"/>
      <c r="PO312" s="117"/>
      <c r="PP312" s="117"/>
      <c r="PQ312" s="117"/>
      <c r="PR312" s="117"/>
      <c r="PS312" s="117"/>
      <c r="PT312" s="117"/>
      <c r="PU312" s="117"/>
      <c r="PV312" s="117"/>
      <c r="PW312" s="117"/>
      <c r="PX312" s="117"/>
      <c r="PY312" s="117"/>
      <c r="PZ312" s="117"/>
      <c r="QA312" s="117"/>
      <c r="QB312" s="117"/>
      <c r="QC312" s="117"/>
      <c r="QD312" s="117"/>
      <c r="QE312" s="117"/>
      <c r="QF312" s="117"/>
      <c r="QG312" s="117"/>
      <c r="QH312" s="117"/>
      <c r="QI312" s="117"/>
      <c r="QJ312" s="117"/>
      <c r="QK312" s="117"/>
      <c r="QL312" s="117"/>
      <c r="QM312" s="117"/>
      <c r="QN312" s="117"/>
      <c r="QO312" s="117"/>
      <c r="QP312" s="117"/>
      <c r="QQ312" s="117"/>
      <c r="QR312" s="117"/>
      <c r="QS312" s="117"/>
      <c r="QT312" s="117"/>
      <c r="QU312" s="117"/>
      <c r="QV312" s="117"/>
      <c r="QW312" s="117"/>
      <c r="QX312" s="117"/>
      <c r="QY312" s="117"/>
      <c r="QZ312" s="117"/>
      <c r="RA312" s="117"/>
      <c r="RB312" s="117"/>
      <c r="RC312" s="117"/>
      <c r="RD312" s="117"/>
      <c r="RE312" s="117"/>
      <c r="RF312" s="117"/>
      <c r="RG312" s="117"/>
      <c r="RH312" s="117"/>
      <c r="RI312" s="117"/>
      <c r="RJ312" s="117"/>
      <c r="RK312" s="117"/>
      <c r="RL312" s="117"/>
      <c r="RM312" s="117"/>
      <c r="RN312" s="117"/>
      <c r="RO312" s="117"/>
      <c r="RP312" s="117"/>
      <c r="RQ312" s="117"/>
      <c r="RR312" s="117"/>
      <c r="RS312" s="117"/>
      <c r="RT312" s="117"/>
      <c r="RU312" s="117"/>
      <c r="RV312" s="117"/>
      <c r="RW312" s="117"/>
      <c r="RX312" s="117"/>
      <c r="RY312" s="117"/>
      <c r="RZ312" s="117"/>
      <c r="SA312" s="117"/>
      <c r="SB312" s="117"/>
      <c r="SC312" s="117"/>
      <c r="SD312" s="117"/>
      <c r="SE312" s="117"/>
      <c r="SF312" s="117"/>
      <c r="SG312" s="117"/>
      <c r="SH312" s="117"/>
      <c r="SI312" s="117"/>
      <c r="SJ312" s="117"/>
      <c r="SK312" s="117"/>
      <c r="SL312" s="117"/>
      <c r="SM312" s="117"/>
      <c r="SN312" s="117"/>
      <c r="SO312" s="117"/>
      <c r="SP312" s="117"/>
      <c r="SQ312" s="117"/>
      <c r="SR312" s="117"/>
      <c r="SS312" s="117"/>
      <c r="ST312" s="117"/>
      <c r="SU312" s="117"/>
      <c r="SV312" s="117"/>
      <c r="SW312" s="117"/>
      <c r="SX312" s="117"/>
      <c r="SY312" s="117"/>
      <c r="SZ312" s="117"/>
      <c r="TA312" s="117"/>
      <c r="TB312" s="117"/>
      <c r="TC312" s="117"/>
      <c r="TD312" s="117"/>
      <c r="TE312" s="117"/>
      <c r="TF312" s="117"/>
      <c r="TG312" s="117"/>
      <c r="TH312" s="117"/>
      <c r="TI312" s="117"/>
      <c r="TJ312" s="117"/>
      <c r="TK312" s="117"/>
      <c r="TL312" s="117"/>
      <c r="TM312" s="117"/>
      <c r="TN312" s="117"/>
      <c r="TO312" s="117"/>
      <c r="TP312" s="117"/>
      <c r="TQ312" s="117"/>
      <c r="TR312" s="117"/>
      <c r="TS312" s="117"/>
      <c r="TT312" s="117"/>
      <c r="TU312" s="117"/>
      <c r="TV312" s="117"/>
      <c r="TW312" s="117"/>
      <c r="TX312" s="117"/>
      <c r="TY312" s="117"/>
      <c r="TZ312" s="117"/>
      <c r="UA312" s="117"/>
      <c r="UB312" s="117"/>
      <c r="UC312" s="117"/>
      <c r="UD312" s="117"/>
      <c r="UE312" s="117"/>
      <c r="UF312" s="117"/>
      <c r="UG312" s="117"/>
      <c r="UH312" s="117"/>
      <c r="UI312" s="117"/>
      <c r="UJ312" s="117"/>
      <c r="UK312" s="117"/>
      <c r="UL312" s="117"/>
      <c r="UM312" s="117"/>
      <c r="UN312" s="117"/>
      <c r="UO312" s="117"/>
      <c r="UP312" s="117"/>
      <c r="UQ312" s="117"/>
      <c r="UR312" s="117"/>
      <c r="US312" s="117"/>
      <c r="UT312" s="117"/>
      <c r="UU312" s="117"/>
      <c r="UV312" s="117"/>
      <c r="UW312" s="117"/>
      <c r="UX312" s="117"/>
      <c r="UY312" s="117"/>
      <c r="UZ312" s="117"/>
      <c r="VA312" s="117"/>
      <c r="VB312" s="117"/>
      <c r="VC312" s="117"/>
      <c r="VD312" s="117"/>
      <c r="VE312" s="117"/>
      <c r="VF312" s="117"/>
      <c r="VG312" s="117"/>
      <c r="VH312" s="117"/>
      <c r="VI312" s="117"/>
      <c r="VJ312" s="117"/>
      <c r="VK312" s="117"/>
      <c r="VL312" s="117"/>
      <c r="VM312" s="117"/>
      <c r="VN312" s="117"/>
      <c r="VO312" s="117"/>
      <c r="VP312" s="117"/>
      <c r="VQ312" s="117"/>
      <c r="VR312" s="117"/>
      <c r="VS312" s="117"/>
      <c r="VT312" s="117"/>
      <c r="VU312" s="117"/>
      <c r="VV312" s="117"/>
      <c r="VW312" s="117"/>
      <c r="VX312" s="117"/>
      <c r="VY312" s="117"/>
      <c r="VZ312" s="117"/>
      <c r="WA312" s="117"/>
      <c r="WB312" s="117"/>
      <c r="WC312" s="117"/>
      <c r="WD312" s="117"/>
      <c r="WE312" s="117"/>
      <c r="WF312" s="117"/>
      <c r="WG312" s="117"/>
      <c r="WH312" s="117"/>
      <c r="WI312" s="117"/>
      <c r="WJ312" s="117"/>
      <c r="WK312" s="117"/>
      <c r="WL312" s="117"/>
      <c r="WM312" s="117"/>
      <c r="WN312" s="117"/>
      <c r="WO312" s="117"/>
      <c r="WP312" s="117"/>
      <c r="WQ312" s="117"/>
      <c r="WR312" s="117"/>
      <c r="WS312" s="117"/>
      <c r="WT312" s="117"/>
      <c r="WU312" s="117"/>
      <c r="WV312" s="117"/>
      <c r="WW312" s="117"/>
      <c r="WX312" s="117"/>
      <c r="WY312" s="117"/>
      <c r="WZ312" s="117"/>
      <c r="XA312" s="117"/>
      <c r="XB312" s="117"/>
      <c r="XC312" s="117"/>
      <c r="XD312" s="117"/>
      <c r="XE312" s="117"/>
      <c r="XF312" s="117"/>
      <c r="XG312" s="117"/>
      <c r="XH312" s="117"/>
      <c r="XI312" s="117"/>
      <c r="XJ312" s="117"/>
      <c r="XK312" s="117"/>
      <c r="XL312" s="117"/>
      <c r="XM312" s="117"/>
      <c r="XN312" s="117"/>
      <c r="XO312" s="117"/>
      <c r="XP312" s="117"/>
      <c r="XQ312" s="117"/>
      <c r="XR312" s="117"/>
      <c r="XS312" s="117"/>
      <c r="XT312" s="117"/>
      <c r="XU312" s="117"/>
      <c r="XV312" s="117"/>
      <c r="XW312" s="117"/>
      <c r="XX312" s="117"/>
      <c r="XY312" s="117"/>
      <c r="XZ312" s="117"/>
      <c r="YA312" s="117"/>
      <c r="YB312" s="117"/>
      <c r="YC312" s="117"/>
      <c r="YD312" s="117"/>
      <c r="YE312" s="117"/>
      <c r="YF312" s="117"/>
      <c r="YG312" s="117"/>
      <c r="YH312" s="117"/>
      <c r="YI312" s="117"/>
      <c r="YJ312" s="117"/>
      <c r="YK312" s="117"/>
      <c r="YL312" s="117"/>
      <c r="YM312" s="117"/>
      <c r="YN312" s="117"/>
      <c r="YO312" s="117"/>
      <c r="YP312" s="117"/>
      <c r="YQ312" s="117"/>
      <c r="YR312" s="117"/>
      <c r="YS312" s="117"/>
      <c r="YT312" s="117"/>
      <c r="YU312" s="117"/>
      <c r="YV312" s="117"/>
      <c r="YW312" s="117"/>
      <c r="YX312" s="117"/>
      <c r="YY312" s="117"/>
      <c r="YZ312" s="117"/>
      <c r="ZA312" s="117"/>
      <c r="ZB312" s="117"/>
      <c r="ZC312" s="117"/>
      <c r="ZD312" s="117"/>
      <c r="ZE312" s="117"/>
      <c r="ZF312" s="117"/>
      <c r="ZG312" s="117"/>
      <c r="ZH312" s="117"/>
      <c r="ZI312" s="117"/>
      <c r="ZJ312" s="117"/>
      <c r="ZK312" s="117"/>
      <c r="ZL312" s="117"/>
      <c r="ZM312" s="117"/>
      <c r="ZN312" s="117"/>
      <c r="ZO312" s="117"/>
      <c r="ZP312" s="117"/>
      <c r="ZQ312" s="117"/>
      <c r="ZR312" s="117"/>
      <c r="ZS312" s="117"/>
      <c r="ZT312" s="117"/>
      <c r="ZU312" s="117"/>
      <c r="ZV312" s="117"/>
      <c r="ZW312" s="117"/>
      <c r="ZX312" s="117"/>
      <c r="ZY312" s="117"/>
      <c r="ZZ312" s="117"/>
      <c r="AAA312" s="117"/>
      <c r="AAB312" s="117"/>
      <c r="AAC312" s="117"/>
      <c r="AAD312" s="117"/>
      <c r="AAE312" s="117"/>
      <c r="AAF312" s="117"/>
      <c r="AAG312" s="117"/>
      <c r="AAH312" s="117"/>
      <c r="AAI312" s="117"/>
      <c r="AAJ312" s="117"/>
      <c r="AAK312" s="117"/>
      <c r="AAL312" s="117"/>
      <c r="AAM312" s="117"/>
      <c r="AAN312" s="117"/>
      <c r="AAO312" s="117"/>
      <c r="AAP312" s="117"/>
      <c r="AAQ312" s="117"/>
      <c r="AAR312" s="117"/>
      <c r="AAS312" s="117"/>
      <c r="AAT312" s="117"/>
      <c r="AAU312" s="117"/>
      <c r="AAV312" s="117"/>
      <c r="AAW312" s="117"/>
      <c r="AAX312" s="117"/>
      <c r="AAY312" s="117"/>
      <c r="AAZ312" s="117"/>
      <c r="ABA312" s="117"/>
      <c r="ABB312" s="117"/>
      <c r="ABC312" s="117"/>
      <c r="ABD312" s="117"/>
      <c r="ABE312" s="117"/>
      <c r="ABF312" s="117"/>
      <c r="ABG312" s="117"/>
      <c r="ABH312" s="117"/>
      <c r="ABI312" s="117"/>
      <c r="ABJ312" s="117"/>
      <c r="ABK312" s="117"/>
      <c r="ABL312" s="117"/>
      <c r="ABM312" s="117"/>
      <c r="ABN312" s="117"/>
      <c r="ABO312" s="117"/>
      <c r="ABP312" s="117"/>
      <c r="ABQ312" s="117"/>
      <c r="ABR312" s="117"/>
      <c r="ABS312" s="117"/>
      <c r="ABT312" s="117"/>
      <c r="ABU312" s="117"/>
      <c r="ABV312" s="117"/>
      <c r="ABW312" s="117"/>
      <c r="ABX312" s="117"/>
      <c r="ABY312" s="117"/>
      <c r="ABZ312" s="117"/>
      <c r="ACA312" s="117"/>
      <c r="ACB312" s="117"/>
      <c r="ACC312" s="117"/>
      <c r="ACD312" s="117"/>
      <c r="ACE312" s="117"/>
      <c r="ACF312" s="117"/>
      <c r="ACG312" s="117"/>
      <c r="ACH312" s="117"/>
      <c r="ACI312" s="117"/>
      <c r="ACJ312" s="117"/>
      <c r="ACK312" s="117"/>
      <c r="ACL312" s="117"/>
      <c r="ACM312" s="117"/>
      <c r="ACN312" s="117"/>
      <c r="ACO312" s="117"/>
      <c r="ACP312" s="117"/>
      <c r="ACQ312" s="117"/>
      <c r="ACR312" s="117"/>
      <c r="ACS312" s="117"/>
      <c r="ACT312" s="117"/>
      <c r="ACU312" s="117"/>
      <c r="ACV312" s="117"/>
      <c r="ACW312" s="117"/>
      <c r="ACX312" s="117"/>
      <c r="ACY312" s="117"/>
      <c r="ACZ312" s="117"/>
      <c r="ADA312" s="117"/>
      <c r="ADB312" s="117"/>
      <c r="ADC312" s="117"/>
      <c r="ADD312" s="117"/>
      <c r="ADE312" s="117"/>
      <c r="ADF312" s="117"/>
      <c r="ADG312" s="117"/>
      <c r="ADH312" s="117"/>
      <c r="ADI312" s="117"/>
      <c r="ADJ312" s="117"/>
      <c r="ADK312" s="117"/>
      <c r="ADL312" s="117"/>
      <c r="ADM312" s="117"/>
      <c r="ADN312" s="117"/>
      <c r="ADO312" s="117"/>
      <c r="ADP312" s="117"/>
      <c r="ADQ312" s="117"/>
      <c r="ADR312" s="117"/>
      <c r="ADS312" s="117"/>
      <c r="ADT312" s="117"/>
      <c r="ADU312" s="117"/>
      <c r="ADV312" s="117"/>
      <c r="ADW312" s="117"/>
      <c r="ADX312" s="117"/>
      <c r="ADY312" s="117"/>
      <c r="ADZ312" s="117"/>
      <c r="AEA312" s="117"/>
      <c r="AEB312" s="117"/>
      <c r="AEC312" s="117"/>
      <c r="AED312" s="117"/>
      <c r="AEE312" s="117"/>
      <c r="AEF312" s="117"/>
      <c r="AEG312" s="117"/>
      <c r="AEH312" s="117"/>
      <c r="AEI312" s="117"/>
      <c r="AEJ312" s="117"/>
      <c r="AEK312" s="117"/>
      <c r="AEL312" s="117"/>
      <c r="AEM312" s="117"/>
      <c r="AEN312" s="117"/>
      <c r="AEO312" s="117"/>
      <c r="AEP312" s="117"/>
      <c r="AEQ312" s="117"/>
      <c r="AER312" s="117"/>
      <c r="AES312" s="117"/>
      <c r="AET312" s="117"/>
      <c r="AEU312" s="117"/>
      <c r="AEV312" s="117"/>
      <c r="AEW312" s="117"/>
      <c r="AEX312" s="117"/>
      <c r="AEY312" s="117"/>
      <c r="AEZ312" s="117"/>
      <c r="AFA312" s="117"/>
      <c r="AFB312" s="117"/>
      <c r="AFC312" s="117"/>
      <c r="AFD312" s="117"/>
      <c r="AFE312" s="117"/>
      <c r="AFF312" s="117"/>
      <c r="AFG312" s="117"/>
      <c r="AFH312" s="117"/>
      <c r="AFI312" s="117"/>
      <c r="AFJ312" s="117"/>
      <c r="AFK312" s="117"/>
      <c r="AFL312" s="117"/>
      <c r="AFM312" s="117"/>
      <c r="AFN312" s="117"/>
      <c r="AFO312" s="117"/>
      <c r="AFP312" s="117"/>
      <c r="AFQ312" s="117"/>
      <c r="AFR312" s="117"/>
      <c r="AFS312" s="117"/>
      <c r="AFT312" s="117"/>
      <c r="AFU312" s="117"/>
      <c r="AFV312" s="117"/>
      <c r="AFW312" s="117"/>
      <c r="AFX312" s="117"/>
      <c r="AFY312" s="117"/>
      <c r="AFZ312" s="117"/>
      <c r="AGA312" s="117"/>
      <c r="AGB312" s="117"/>
      <c r="AGC312" s="117"/>
      <c r="AGD312" s="117"/>
      <c r="AGE312" s="117"/>
      <c r="AGF312" s="117"/>
      <c r="AGG312" s="117"/>
      <c r="AGH312" s="117"/>
      <c r="AGI312" s="117"/>
      <c r="AGJ312" s="117"/>
      <c r="AGK312" s="117"/>
      <c r="AGL312" s="117"/>
      <c r="AGM312" s="117"/>
      <c r="AGN312" s="117"/>
      <c r="AGO312" s="117"/>
      <c r="AGP312" s="117"/>
      <c r="AGQ312" s="117"/>
      <c r="AGR312" s="117"/>
      <c r="AGS312" s="117"/>
      <c r="AGT312" s="117"/>
      <c r="AGU312" s="117"/>
      <c r="AGV312" s="117"/>
      <c r="AGW312" s="117"/>
      <c r="AGX312" s="117"/>
      <c r="AGY312" s="117"/>
      <c r="AGZ312" s="117"/>
      <c r="AHA312" s="117"/>
      <c r="AHB312" s="117"/>
      <c r="AHC312" s="117"/>
      <c r="AHD312" s="117"/>
      <c r="AHE312" s="117"/>
      <c r="AHF312" s="117"/>
      <c r="AHG312" s="117"/>
      <c r="AHH312" s="117"/>
      <c r="AHI312" s="117"/>
      <c r="AHJ312" s="117"/>
      <c r="AHK312" s="117"/>
      <c r="AHL312" s="117"/>
      <c r="AHM312" s="117"/>
      <c r="AHN312" s="117"/>
      <c r="AHO312" s="117"/>
      <c r="AHP312" s="117"/>
      <c r="AHQ312" s="117"/>
      <c r="AHR312" s="117"/>
      <c r="AHS312" s="117"/>
      <c r="AHT312" s="117"/>
      <c r="AHU312" s="117"/>
      <c r="AHV312" s="117"/>
      <c r="AHW312" s="117"/>
      <c r="AHX312" s="117"/>
      <c r="AHY312" s="117"/>
      <c r="AHZ312" s="117"/>
      <c r="AIA312" s="117"/>
      <c r="AIB312" s="117"/>
      <c r="AIC312" s="117"/>
      <c r="AID312" s="117"/>
      <c r="AIE312" s="117"/>
      <c r="AIF312" s="117"/>
      <c r="AIG312" s="117"/>
      <c r="AIH312" s="117"/>
      <c r="AII312" s="117"/>
      <c r="AIJ312" s="117"/>
      <c r="AIK312" s="117"/>
      <c r="AIL312" s="117"/>
      <c r="AIM312" s="117"/>
      <c r="AIN312" s="117"/>
      <c r="AIO312" s="117"/>
      <c r="AIP312" s="117"/>
      <c r="AIQ312" s="117"/>
      <c r="AIR312" s="117"/>
      <c r="AIS312" s="117"/>
      <c r="AIT312" s="117"/>
      <c r="AIU312" s="117"/>
      <c r="AIV312" s="117"/>
      <c r="AIW312" s="117"/>
      <c r="AIX312" s="117"/>
      <c r="AIY312" s="117"/>
      <c r="AIZ312" s="117"/>
      <c r="AJA312" s="117"/>
      <c r="AJB312" s="117"/>
      <c r="AJC312" s="117"/>
      <c r="AJD312" s="117"/>
      <c r="AJE312" s="117"/>
      <c r="AJF312" s="117"/>
      <c r="AJG312" s="117"/>
      <c r="AJH312" s="117"/>
      <c r="AJI312" s="117"/>
      <c r="AJJ312" s="117"/>
      <c r="AJK312" s="117"/>
      <c r="AJL312" s="117"/>
      <c r="AJM312" s="117"/>
      <c r="AJN312" s="117"/>
      <c r="AJO312" s="117"/>
      <c r="AJP312" s="117"/>
      <c r="AJQ312" s="117"/>
      <c r="AJR312" s="117"/>
      <c r="AJS312" s="117"/>
      <c r="AJT312" s="117"/>
      <c r="AJU312" s="117"/>
      <c r="AJV312" s="117"/>
      <c r="AJW312" s="117"/>
      <c r="AJX312" s="117"/>
      <c r="AJY312" s="117"/>
      <c r="AJZ312" s="117"/>
      <c r="AKA312" s="117"/>
      <c r="AKB312" s="117"/>
      <c r="AKC312" s="117"/>
      <c r="AKD312" s="117"/>
      <c r="AKE312" s="117"/>
      <c r="AKF312" s="117"/>
      <c r="AKG312" s="117"/>
      <c r="AKH312" s="117"/>
      <c r="AKI312" s="117"/>
      <c r="AKJ312" s="117"/>
      <c r="AKK312" s="117"/>
      <c r="AKL312" s="117"/>
      <c r="AKM312" s="117"/>
      <c r="AKN312" s="117"/>
      <c r="AKO312" s="117"/>
      <c r="AKP312" s="117"/>
      <c r="AKQ312" s="117"/>
      <c r="AKR312" s="117"/>
      <c r="AKS312" s="117"/>
      <c r="AKT312" s="117"/>
      <c r="AKU312" s="117"/>
      <c r="AKV312" s="117"/>
      <c r="AKW312" s="117"/>
      <c r="AKX312" s="117"/>
      <c r="AKY312" s="117"/>
      <c r="AKZ312" s="117"/>
      <c r="ALA312" s="117"/>
      <c r="ALB312" s="117"/>
      <c r="ALC312" s="117"/>
      <c r="ALD312" s="117"/>
      <c r="ALE312" s="117"/>
      <c r="ALF312" s="117"/>
      <c r="ALG312" s="117"/>
      <c r="ALH312" s="117"/>
      <c r="ALI312" s="117"/>
      <c r="ALJ312" s="117"/>
      <c r="ALK312" s="117"/>
      <c r="ALL312" s="117"/>
      <c r="ALM312" s="117"/>
      <c r="ALN312" s="117"/>
      <c r="ALO312" s="117"/>
      <c r="ALP312" s="117"/>
      <c r="ALQ312" s="117"/>
      <c r="ALR312" s="117"/>
      <c r="ALS312" s="117"/>
      <c r="ALT312" s="117"/>
      <c r="ALU312" s="117"/>
      <c r="ALV312" s="117"/>
      <c r="ALW312" s="117"/>
      <c r="ALX312" s="117"/>
      <c r="ALY312" s="117"/>
      <c r="ALZ312" s="117"/>
      <c r="AMA312" s="117"/>
      <c r="AMB312" s="117"/>
      <c r="AMC312" s="117"/>
      <c r="AMD312" s="117"/>
      <c r="AME312" s="117"/>
    </row>
    <row r="313" spans="1:1019" s="191" customFormat="1" ht="11.25" customHeight="1">
      <c r="A313" s="139">
        <v>311</v>
      </c>
      <c r="B313" s="139"/>
      <c r="C313" s="140"/>
      <c r="D313" s="190">
        <v>1</v>
      </c>
      <c r="E313" s="190">
        <f t="shared" si="47"/>
        <v>26</v>
      </c>
      <c r="F313" s="173" t="s">
        <v>515</v>
      </c>
      <c r="G313" s="172">
        <f t="shared" si="58"/>
        <v>1085</v>
      </c>
      <c r="H313" s="143">
        <f>INT((G313*Valores!$C$2*100)+0.5)/100</f>
        <v>10133.57</v>
      </c>
      <c r="I313" s="161">
        <v>0</v>
      </c>
      <c r="J313" s="145">
        <f>INT((I313*Valores!$C$2*100)+0.5)/100</f>
        <v>0</v>
      </c>
      <c r="K313" s="160">
        <v>0</v>
      </c>
      <c r="L313" s="145">
        <f>INT((K313*Valores!$C$2*100)+0.5)/100</f>
        <v>0</v>
      </c>
      <c r="M313" s="158">
        <v>0</v>
      </c>
      <c r="N313" s="145">
        <f>INT((M313*Valores!$C$2*100)+0.5)/100</f>
        <v>0</v>
      </c>
      <c r="O313" s="145">
        <f t="shared" si="48"/>
        <v>1591.6979999999999</v>
      </c>
      <c r="P313" s="145">
        <f t="shared" si="49"/>
        <v>0</v>
      </c>
      <c r="Q313" s="159">
        <v>0</v>
      </c>
      <c r="R313" s="159">
        <v>0</v>
      </c>
      <c r="S313" s="145">
        <v>0</v>
      </c>
      <c r="T313" s="148">
        <f>IF($H$5="NO",IF(Valores!$C$46*D313&gt;Valores!$C$44,Valores!$C$44,Valores!$C$46*D313),IF(Valores!$C$46*D313&gt;Valores!$C$44,Valores!$C$44,Valores!$C$46*D313)/2)*7</f>
        <v>477.75</v>
      </c>
      <c r="U313" s="159">
        <v>0</v>
      </c>
      <c r="V313" s="145">
        <f t="shared" si="57"/>
        <v>0</v>
      </c>
      <c r="W313" s="145">
        <v>0</v>
      </c>
      <c r="X313" s="145">
        <v>0</v>
      </c>
      <c r="Y313" s="165">
        <v>0</v>
      </c>
      <c r="Z313" s="145">
        <v>0</v>
      </c>
      <c r="AA313" s="145">
        <v>0</v>
      </c>
      <c r="AB313" s="148"/>
      <c r="AC313" s="150">
        <v>0</v>
      </c>
      <c r="AD313" s="145">
        <f t="shared" si="51"/>
        <v>0</v>
      </c>
      <c r="AE313" s="145">
        <v>0</v>
      </c>
      <c r="AF313" s="149">
        <v>0</v>
      </c>
      <c r="AG313" s="145">
        <f>INT(((AF313*Valores!$C$2)*100)+0.5)/100</f>
        <v>0</v>
      </c>
      <c r="AH313" s="145"/>
      <c r="AI313" s="145"/>
      <c r="AJ313" s="151">
        <f t="shared" si="52"/>
        <v>12203.018</v>
      </c>
      <c r="AK313" s="171"/>
      <c r="AL313" s="148">
        <f>Valores!$C$11+AL312</f>
        <v>0</v>
      </c>
      <c r="AM313" s="148">
        <v>0</v>
      </c>
      <c r="AN313" s="148"/>
      <c r="AO313" s="150">
        <v>0</v>
      </c>
      <c r="AP313" s="152">
        <f t="shared" si="50"/>
        <v>0</v>
      </c>
      <c r="AQ313" s="154">
        <f>AJ313*-Valores!$C$68</f>
        <v>-1342.33198</v>
      </c>
      <c r="AR313" s="154">
        <f>AJ313*-Valores!$C$69</f>
        <v>0</v>
      </c>
      <c r="AS313" s="147">
        <f>AJ313*-Valores!$C$70</f>
        <v>-549.13581</v>
      </c>
      <c r="AT313" s="147">
        <v>-159.43</v>
      </c>
      <c r="AU313" s="147">
        <f t="shared" si="53"/>
        <v>-53.83</v>
      </c>
      <c r="AV313" s="151">
        <f t="shared" si="54"/>
        <v>10098.290210000001</v>
      </c>
      <c r="AW313" s="155"/>
      <c r="AX313" s="155"/>
      <c r="AY313" s="140"/>
      <c r="AZ313" s="117"/>
      <c r="BA313" s="117"/>
      <c r="BB313" s="117"/>
      <c r="BC313" s="117"/>
      <c r="BD313" s="117"/>
      <c r="BE313" s="117"/>
      <c r="BF313" s="117"/>
      <c r="BG313" s="117"/>
      <c r="BH313" s="117"/>
      <c r="BI313" s="117"/>
      <c r="BJ313" s="117"/>
      <c r="BK313" s="117"/>
      <c r="BL313" s="117"/>
      <c r="BM313" s="117"/>
      <c r="BN313" s="117"/>
      <c r="BO313" s="117"/>
      <c r="BP313" s="117"/>
      <c r="BQ313" s="117"/>
      <c r="BR313" s="117"/>
      <c r="BS313" s="117"/>
      <c r="BT313" s="117"/>
      <c r="BU313" s="117"/>
      <c r="BV313" s="117"/>
      <c r="BW313" s="117"/>
      <c r="BX313" s="117"/>
      <c r="BY313" s="117"/>
      <c r="BZ313" s="117"/>
      <c r="CA313" s="117"/>
      <c r="CB313" s="117"/>
      <c r="CC313" s="117"/>
      <c r="CD313" s="117"/>
      <c r="CE313" s="117"/>
      <c r="CF313" s="117"/>
      <c r="CG313" s="117"/>
      <c r="CH313" s="117"/>
      <c r="CI313" s="117"/>
      <c r="CJ313" s="117"/>
      <c r="CK313" s="117"/>
      <c r="CL313" s="117"/>
      <c r="CM313" s="117"/>
      <c r="CN313" s="117"/>
      <c r="CO313" s="117"/>
      <c r="CP313" s="117"/>
      <c r="CQ313" s="117"/>
      <c r="CR313" s="117"/>
      <c r="CS313" s="117"/>
      <c r="CT313" s="117"/>
      <c r="CU313" s="117"/>
      <c r="CV313" s="117"/>
      <c r="CW313" s="117"/>
      <c r="CX313" s="117"/>
      <c r="CY313" s="117"/>
      <c r="CZ313" s="117"/>
      <c r="DA313" s="117"/>
      <c r="DB313" s="117"/>
      <c r="DC313" s="117"/>
      <c r="DD313" s="117"/>
      <c r="DE313" s="117"/>
      <c r="DF313" s="117"/>
      <c r="DG313" s="117"/>
      <c r="DH313" s="117"/>
      <c r="DI313" s="117"/>
      <c r="DJ313" s="117"/>
      <c r="DK313" s="117"/>
      <c r="DL313" s="117"/>
      <c r="DM313" s="117"/>
      <c r="DN313" s="117"/>
      <c r="DO313" s="117"/>
      <c r="DP313" s="117"/>
      <c r="DQ313" s="117"/>
      <c r="DR313" s="117"/>
      <c r="DS313" s="117"/>
      <c r="DT313" s="117"/>
      <c r="DU313" s="117"/>
      <c r="DV313" s="117"/>
      <c r="DW313" s="117"/>
      <c r="DX313" s="117"/>
      <c r="DY313" s="117"/>
      <c r="DZ313" s="117"/>
      <c r="EA313" s="117"/>
      <c r="EB313" s="117"/>
      <c r="EC313" s="117"/>
      <c r="ED313" s="117"/>
      <c r="EE313" s="117"/>
      <c r="EF313" s="117"/>
      <c r="EG313" s="117"/>
      <c r="EH313" s="117"/>
      <c r="EI313" s="117"/>
      <c r="EJ313" s="117"/>
      <c r="EK313" s="117"/>
      <c r="EL313" s="117"/>
      <c r="EM313" s="117"/>
      <c r="EN313" s="117"/>
      <c r="EO313" s="117"/>
      <c r="EP313" s="117"/>
      <c r="EQ313" s="117"/>
      <c r="ER313" s="117"/>
      <c r="ES313" s="117"/>
      <c r="ET313" s="117"/>
      <c r="EU313" s="117"/>
      <c r="EV313" s="117"/>
      <c r="EW313" s="117"/>
      <c r="EX313" s="117"/>
      <c r="EY313" s="117"/>
      <c r="EZ313" s="117"/>
      <c r="FA313" s="117"/>
      <c r="FB313" s="117"/>
      <c r="FC313" s="117"/>
      <c r="FD313" s="117"/>
      <c r="FE313" s="117"/>
      <c r="FF313" s="117"/>
      <c r="FG313" s="117"/>
      <c r="FH313" s="117"/>
      <c r="FI313" s="117"/>
      <c r="FJ313" s="117"/>
      <c r="FK313" s="117"/>
      <c r="FL313" s="117"/>
      <c r="FM313" s="117"/>
      <c r="FN313" s="117"/>
      <c r="FO313" s="117"/>
      <c r="FP313" s="117"/>
      <c r="FQ313" s="117"/>
      <c r="FR313" s="117"/>
      <c r="FS313" s="117"/>
      <c r="FT313" s="117"/>
      <c r="FU313" s="117"/>
      <c r="FV313" s="117"/>
      <c r="FW313" s="117"/>
      <c r="FX313" s="117"/>
      <c r="FY313" s="117"/>
      <c r="FZ313" s="117"/>
      <c r="GA313" s="117"/>
      <c r="GB313" s="117"/>
      <c r="GC313" s="117"/>
      <c r="GD313" s="117"/>
      <c r="GE313" s="117"/>
      <c r="GF313" s="117"/>
      <c r="GG313" s="117"/>
      <c r="GH313" s="117"/>
      <c r="GI313" s="117"/>
      <c r="GJ313" s="117"/>
      <c r="GK313" s="117"/>
      <c r="GL313" s="117"/>
      <c r="GM313" s="117"/>
      <c r="GN313" s="117"/>
      <c r="GO313" s="117"/>
      <c r="GP313" s="117"/>
      <c r="GQ313" s="117"/>
      <c r="GR313" s="117"/>
      <c r="GS313" s="117"/>
      <c r="GT313" s="117"/>
      <c r="GU313" s="117"/>
      <c r="GV313" s="117"/>
      <c r="GW313" s="117"/>
      <c r="GX313" s="117"/>
      <c r="GY313" s="117"/>
      <c r="GZ313" s="117"/>
      <c r="HA313" s="117"/>
      <c r="HB313" s="117"/>
      <c r="HC313" s="117"/>
      <c r="HD313" s="117"/>
      <c r="HE313" s="117"/>
      <c r="HF313" s="117"/>
      <c r="HG313" s="117"/>
      <c r="HH313" s="117"/>
      <c r="HI313" s="117"/>
      <c r="HJ313" s="117"/>
      <c r="HK313" s="117"/>
      <c r="HL313" s="117"/>
      <c r="HM313" s="117"/>
      <c r="HN313" s="117"/>
      <c r="HO313" s="117"/>
      <c r="HP313" s="117"/>
      <c r="HQ313" s="117"/>
      <c r="HR313" s="117"/>
      <c r="HS313" s="117"/>
      <c r="HT313" s="117"/>
      <c r="HU313" s="117"/>
      <c r="HV313" s="117"/>
      <c r="HW313" s="117"/>
      <c r="HX313" s="117"/>
      <c r="HY313" s="117"/>
      <c r="HZ313" s="117"/>
      <c r="IA313" s="117"/>
      <c r="IB313" s="117"/>
      <c r="IC313" s="117"/>
      <c r="ID313" s="117"/>
      <c r="IE313" s="117"/>
      <c r="IF313" s="117"/>
      <c r="IG313" s="117"/>
      <c r="IH313" s="117"/>
      <c r="II313" s="117"/>
      <c r="IJ313" s="117"/>
      <c r="IK313" s="117"/>
      <c r="IL313" s="117"/>
      <c r="IM313" s="117"/>
      <c r="IN313" s="117"/>
      <c r="IO313" s="117"/>
      <c r="IP313" s="117"/>
      <c r="IQ313" s="117"/>
      <c r="IR313" s="117"/>
      <c r="IS313" s="117"/>
      <c r="IT313" s="117"/>
      <c r="IU313" s="117"/>
      <c r="IV313" s="117"/>
      <c r="IW313" s="117"/>
      <c r="IX313" s="117"/>
      <c r="IY313" s="117"/>
      <c r="IZ313" s="117"/>
      <c r="JA313" s="117"/>
      <c r="JB313" s="117"/>
      <c r="JC313" s="117"/>
      <c r="JD313" s="117"/>
      <c r="JE313" s="117"/>
      <c r="JF313" s="117"/>
      <c r="JG313" s="117"/>
      <c r="JH313" s="117"/>
      <c r="JI313" s="117"/>
      <c r="JJ313" s="117"/>
      <c r="JK313" s="117"/>
      <c r="JL313" s="117"/>
      <c r="JM313" s="117"/>
      <c r="JN313" s="117"/>
      <c r="JO313" s="117"/>
      <c r="JP313" s="117"/>
      <c r="JQ313" s="117"/>
      <c r="JR313" s="117"/>
      <c r="JS313" s="117"/>
      <c r="JT313" s="117"/>
      <c r="JU313" s="117"/>
      <c r="JV313" s="117"/>
      <c r="JW313" s="117"/>
      <c r="JX313" s="117"/>
      <c r="JY313" s="117"/>
      <c r="JZ313" s="117"/>
      <c r="KA313" s="117"/>
      <c r="KB313" s="117"/>
      <c r="KC313" s="117"/>
      <c r="KD313" s="117"/>
      <c r="KE313" s="117"/>
      <c r="KF313" s="117"/>
      <c r="KG313" s="117"/>
      <c r="KH313" s="117"/>
      <c r="KI313" s="117"/>
      <c r="KJ313" s="117"/>
      <c r="KK313" s="117"/>
      <c r="KL313" s="117"/>
      <c r="KM313" s="117"/>
      <c r="KN313" s="117"/>
      <c r="KO313" s="117"/>
      <c r="KP313" s="117"/>
      <c r="KQ313" s="117"/>
      <c r="KR313" s="117"/>
      <c r="KS313" s="117"/>
      <c r="KT313" s="117"/>
      <c r="KU313" s="117"/>
      <c r="KV313" s="117"/>
      <c r="KW313" s="117"/>
      <c r="KX313" s="117"/>
      <c r="KY313" s="117"/>
      <c r="KZ313" s="117"/>
      <c r="LA313" s="117"/>
      <c r="LB313" s="117"/>
      <c r="LC313" s="117"/>
      <c r="LD313" s="117"/>
      <c r="LE313" s="117"/>
      <c r="LF313" s="117"/>
      <c r="LG313" s="117"/>
      <c r="LH313" s="117"/>
      <c r="LI313" s="117"/>
      <c r="LJ313" s="117"/>
      <c r="LK313" s="117"/>
      <c r="LL313" s="117"/>
      <c r="LM313" s="117"/>
      <c r="LN313" s="117"/>
      <c r="LO313" s="117"/>
      <c r="LP313" s="117"/>
      <c r="LQ313" s="117"/>
      <c r="LR313" s="117"/>
      <c r="LS313" s="117"/>
      <c r="LT313" s="117"/>
      <c r="LU313" s="117"/>
      <c r="LV313" s="117"/>
      <c r="LW313" s="117"/>
      <c r="LX313" s="117"/>
      <c r="LY313" s="117"/>
      <c r="LZ313" s="117"/>
      <c r="MA313" s="117"/>
      <c r="MB313" s="117"/>
      <c r="MC313" s="117"/>
      <c r="MD313" s="117"/>
      <c r="ME313" s="117"/>
      <c r="MF313" s="117"/>
      <c r="MG313" s="117"/>
      <c r="MH313" s="117"/>
      <c r="MI313" s="117"/>
      <c r="MJ313" s="117"/>
      <c r="MK313" s="117"/>
      <c r="ML313" s="117"/>
      <c r="MM313" s="117"/>
      <c r="MN313" s="117"/>
      <c r="MO313" s="117"/>
      <c r="MP313" s="117"/>
      <c r="MQ313" s="117"/>
      <c r="MR313" s="117"/>
      <c r="MS313" s="117"/>
      <c r="MT313" s="117"/>
      <c r="MU313" s="117"/>
      <c r="MV313" s="117"/>
      <c r="MW313" s="117"/>
      <c r="MX313" s="117"/>
      <c r="MY313" s="117"/>
      <c r="MZ313" s="117"/>
      <c r="NA313" s="117"/>
      <c r="NB313" s="117"/>
      <c r="NC313" s="117"/>
      <c r="ND313" s="117"/>
      <c r="NE313" s="117"/>
      <c r="NF313" s="117"/>
      <c r="NG313" s="117"/>
      <c r="NH313" s="117"/>
      <c r="NI313" s="117"/>
      <c r="NJ313" s="117"/>
      <c r="NK313" s="117"/>
      <c r="NL313" s="117"/>
      <c r="NM313" s="117"/>
      <c r="NN313" s="117"/>
      <c r="NO313" s="117"/>
      <c r="NP313" s="117"/>
      <c r="NQ313" s="117"/>
      <c r="NR313" s="117"/>
      <c r="NS313" s="117"/>
      <c r="NT313" s="117"/>
      <c r="NU313" s="117"/>
      <c r="NV313" s="117"/>
      <c r="NW313" s="117"/>
      <c r="NX313" s="117"/>
      <c r="NY313" s="117"/>
      <c r="NZ313" s="117"/>
      <c r="OA313" s="117"/>
      <c r="OB313" s="117"/>
      <c r="OC313" s="117"/>
      <c r="OD313" s="117"/>
      <c r="OE313" s="117"/>
      <c r="OF313" s="117"/>
      <c r="OG313" s="117"/>
      <c r="OH313" s="117"/>
      <c r="OI313" s="117"/>
      <c r="OJ313" s="117"/>
      <c r="OK313" s="117"/>
      <c r="OL313" s="117"/>
      <c r="OM313" s="117"/>
      <c r="ON313" s="117"/>
      <c r="OO313" s="117"/>
      <c r="OP313" s="117"/>
      <c r="OQ313" s="117"/>
      <c r="OR313" s="117"/>
      <c r="OS313" s="117"/>
      <c r="OT313" s="117"/>
      <c r="OU313" s="117"/>
      <c r="OV313" s="117"/>
      <c r="OW313" s="117"/>
      <c r="OX313" s="117"/>
      <c r="OY313" s="117"/>
      <c r="OZ313" s="117"/>
      <c r="PA313" s="117"/>
      <c r="PB313" s="117"/>
      <c r="PC313" s="117"/>
      <c r="PD313" s="117"/>
      <c r="PE313" s="117"/>
      <c r="PF313" s="117"/>
      <c r="PG313" s="117"/>
      <c r="PH313" s="117"/>
      <c r="PI313" s="117"/>
      <c r="PJ313" s="117"/>
      <c r="PK313" s="117"/>
      <c r="PL313" s="117"/>
      <c r="PM313" s="117"/>
      <c r="PN313" s="117"/>
      <c r="PO313" s="117"/>
      <c r="PP313" s="117"/>
      <c r="PQ313" s="117"/>
      <c r="PR313" s="117"/>
      <c r="PS313" s="117"/>
      <c r="PT313" s="117"/>
      <c r="PU313" s="117"/>
      <c r="PV313" s="117"/>
      <c r="PW313" s="117"/>
      <c r="PX313" s="117"/>
      <c r="PY313" s="117"/>
      <c r="PZ313" s="117"/>
      <c r="QA313" s="117"/>
      <c r="QB313" s="117"/>
      <c r="QC313" s="117"/>
      <c r="QD313" s="117"/>
      <c r="QE313" s="117"/>
      <c r="QF313" s="117"/>
      <c r="QG313" s="117"/>
      <c r="QH313" s="117"/>
      <c r="QI313" s="117"/>
      <c r="QJ313" s="117"/>
      <c r="QK313" s="117"/>
      <c r="QL313" s="117"/>
      <c r="QM313" s="117"/>
      <c r="QN313" s="117"/>
      <c r="QO313" s="117"/>
      <c r="QP313" s="117"/>
      <c r="QQ313" s="117"/>
      <c r="QR313" s="117"/>
      <c r="QS313" s="117"/>
      <c r="QT313" s="117"/>
      <c r="QU313" s="117"/>
      <c r="QV313" s="117"/>
      <c r="QW313" s="117"/>
      <c r="QX313" s="117"/>
      <c r="QY313" s="117"/>
      <c r="QZ313" s="117"/>
      <c r="RA313" s="117"/>
      <c r="RB313" s="117"/>
      <c r="RC313" s="117"/>
      <c r="RD313" s="117"/>
      <c r="RE313" s="117"/>
      <c r="RF313" s="117"/>
      <c r="RG313" s="117"/>
      <c r="RH313" s="117"/>
      <c r="RI313" s="117"/>
      <c r="RJ313" s="117"/>
      <c r="RK313" s="117"/>
      <c r="RL313" s="117"/>
      <c r="RM313" s="117"/>
      <c r="RN313" s="117"/>
      <c r="RO313" s="117"/>
      <c r="RP313" s="117"/>
      <c r="RQ313" s="117"/>
      <c r="RR313" s="117"/>
      <c r="RS313" s="117"/>
      <c r="RT313" s="117"/>
      <c r="RU313" s="117"/>
      <c r="RV313" s="117"/>
      <c r="RW313" s="117"/>
      <c r="RX313" s="117"/>
      <c r="RY313" s="117"/>
      <c r="RZ313" s="117"/>
      <c r="SA313" s="117"/>
      <c r="SB313" s="117"/>
      <c r="SC313" s="117"/>
      <c r="SD313" s="117"/>
      <c r="SE313" s="117"/>
      <c r="SF313" s="117"/>
      <c r="SG313" s="117"/>
      <c r="SH313" s="117"/>
      <c r="SI313" s="117"/>
      <c r="SJ313" s="117"/>
      <c r="SK313" s="117"/>
      <c r="SL313" s="117"/>
      <c r="SM313" s="117"/>
      <c r="SN313" s="117"/>
      <c r="SO313" s="117"/>
      <c r="SP313" s="117"/>
      <c r="SQ313" s="117"/>
      <c r="SR313" s="117"/>
      <c r="SS313" s="117"/>
      <c r="ST313" s="117"/>
      <c r="SU313" s="117"/>
      <c r="SV313" s="117"/>
      <c r="SW313" s="117"/>
      <c r="SX313" s="117"/>
      <c r="SY313" s="117"/>
      <c r="SZ313" s="117"/>
      <c r="TA313" s="117"/>
      <c r="TB313" s="117"/>
      <c r="TC313" s="117"/>
      <c r="TD313" s="117"/>
      <c r="TE313" s="117"/>
      <c r="TF313" s="117"/>
      <c r="TG313" s="117"/>
      <c r="TH313" s="117"/>
      <c r="TI313" s="117"/>
      <c r="TJ313" s="117"/>
      <c r="TK313" s="117"/>
      <c r="TL313" s="117"/>
      <c r="TM313" s="117"/>
      <c r="TN313" s="117"/>
      <c r="TO313" s="117"/>
      <c r="TP313" s="117"/>
      <c r="TQ313" s="117"/>
      <c r="TR313" s="117"/>
      <c r="TS313" s="117"/>
      <c r="TT313" s="117"/>
      <c r="TU313" s="117"/>
      <c r="TV313" s="117"/>
      <c r="TW313" s="117"/>
      <c r="TX313" s="117"/>
      <c r="TY313" s="117"/>
      <c r="TZ313" s="117"/>
      <c r="UA313" s="117"/>
      <c r="UB313" s="117"/>
      <c r="UC313" s="117"/>
      <c r="UD313" s="117"/>
      <c r="UE313" s="117"/>
      <c r="UF313" s="117"/>
      <c r="UG313" s="117"/>
      <c r="UH313" s="117"/>
      <c r="UI313" s="117"/>
      <c r="UJ313" s="117"/>
      <c r="UK313" s="117"/>
      <c r="UL313" s="117"/>
      <c r="UM313" s="117"/>
      <c r="UN313" s="117"/>
      <c r="UO313" s="117"/>
      <c r="UP313" s="117"/>
      <c r="UQ313" s="117"/>
      <c r="UR313" s="117"/>
      <c r="US313" s="117"/>
      <c r="UT313" s="117"/>
      <c r="UU313" s="117"/>
      <c r="UV313" s="117"/>
      <c r="UW313" s="117"/>
      <c r="UX313" s="117"/>
      <c r="UY313" s="117"/>
      <c r="UZ313" s="117"/>
      <c r="VA313" s="117"/>
      <c r="VB313" s="117"/>
      <c r="VC313" s="117"/>
      <c r="VD313" s="117"/>
      <c r="VE313" s="117"/>
      <c r="VF313" s="117"/>
      <c r="VG313" s="117"/>
      <c r="VH313" s="117"/>
      <c r="VI313" s="117"/>
      <c r="VJ313" s="117"/>
      <c r="VK313" s="117"/>
      <c r="VL313" s="117"/>
      <c r="VM313" s="117"/>
      <c r="VN313" s="117"/>
      <c r="VO313" s="117"/>
      <c r="VP313" s="117"/>
      <c r="VQ313" s="117"/>
      <c r="VR313" s="117"/>
      <c r="VS313" s="117"/>
      <c r="VT313" s="117"/>
      <c r="VU313" s="117"/>
      <c r="VV313" s="117"/>
      <c r="VW313" s="117"/>
      <c r="VX313" s="117"/>
      <c r="VY313" s="117"/>
      <c r="VZ313" s="117"/>
      <c r="WA313" s="117"/>
      <c r="WB313" s="117"/>
      <c r="WC313" s="117"/>
      <c r="WD313" s="117"/>
      <c r="WE313" s="117"/>
      <c r="WF313" s="117"/>
      <c r="WG313" s="117"/>
      <c r="WH313" s="117"/>
      <c r="WI313" s="117"/>
      <c r="WJ313" s="117"/>
      <c r="WK313" s="117"/>
      <c r="WL313" s="117"/>
      <c r="WM313" s="117"/>
      <c r="WN313" s="117"/>
      <c r="WO313" s="117"/>
      <c r="WP313" s="117"/>
      <c r="WQ313" s="117"/>
      <c r="WR313" s="117"/>
      <c r="WS313" s="117"/>
      <c r="WT313" s="117"/>
      <c r="WU313" s="117"/>
      <c r="WV313" s="117"/>
      <c r="WW313" s="117"/>
      <c r="WX313" s="117"/>
      <c r="WY313" s="117"/>
      <c r="WZ313" s="117"/>
      <c r="XA313" s="117"/>
      <c r="XB313" s="117"/>
      <c r="XC313" s="117"/>
      <c r="XD313" s="117"/>
      <c r="XE313" s="117"/>
      <c r="XF313" s="117"/>
      <c r="XG313" s="117"/>
      <c r="XH313" s="117"/>
      <c r="XI313" s="117"/>
      <c r="XJ313" s="117"/>
      <c r="XK313" s="117"/>
      <c r="XL313" s="117"/>
      <c r="XM313" s="117"/>
      <c r="XN313" s="117"/>
      <c r="XO313" s="117"/>
      <c r="XP313" s="117"/>
      <c r="XQ313" s="117"/>
      <c r="XR313" s="117"/>
      <c r="XS313" s="117"/>
      <c r="XT313" s="117"/>
      <c r="XU313" s="117"/>
      <c r="XV313" s="117"/>
      <c r="XW313" s="117"/>
      <c r="XX313" s="117"/>
      <c r="XY313" s="117"/>
      <c r="XZ313" s="117"/>
      <c r="YA313" s="117"/>
      <c r="YB313" s="117"/>
      <c r="YC313" s="117"/>
      <c r="YD313" s="117"/>
      <c r="YE313" s="117"/>
      <c r="YF313" s="117"/>
      <c r="YG313" s="117"/>
      <c r="YH313" s="117"/>
      <c r="YI313" s="117"/>
      <c r="YJ313" s="117"/>
      <c r="YK313" s="117"/>
      <c r="YL313" s="117"/>
      <c r="YM313" s="117"/>
      <c r="YN313" s="117"/>
      <c r="YO313" s="117"/>
      <c r="YP313" s="117"/>
      <c r="YQ313" s="117"/>
      <c r="YR313" s="117"/>
      <c r="YS313" s="117"/>
      <c r="YT313" s="117"/>
      <c r="YU313" s="117"/>
      <c r="YV313" s="117"/>
      <c r="YW313" s="117"/>
      <c r="YX313" s="117"/>
      <c r="YY313" s="117"/>
      <c r="YZ313" s="117"/>
      <c r="ZA313" s="117"/>
      <c r="ZB313" s="117"/>
      <c r="ZC313" s="117"/>
      <c r="ZD313" s="117"/>
      <c r="ZE313" s="117"/>
      <c r="ZF313" s="117"/>
      <c r="ZG313" s="117"/>
      <c r="ZH313" s="117"/>
      <c r="ZI313" s="117"/>
      <c r="ZJ313" s="117"/>
      <c r="ZK313" s="117"/>
      <c r="ZL313" s="117"/>
      <c r="ZM313" s="117"/>
      <c r="ZN313" s="117"/>
      <c r="ZO313" s="117"/>
      <c r="ZP313" s="117"/>
      <c r="ZQ313" s="117"/>
      <c r="ZR313" s="117"/>
      <c r="ZS313" s="117"/>
      <c r="ZT313" s="117"/>
      <c r="ZU313" s="117"/>
      <c r="ZV313" s="117"/>
      <c r="ZW313" s="117"/>
      <c r="ZX313" s="117"/>
      <c r="ZY313" s="117"/>
      <c r="ZZ313" s="117"/>
      <c r="AAA313" s="117"/>
      <c r="AAB313" s="117"/>
      <c r="AAC313" s="117"/>
      <c r="AAD313" s="117"/>
      <c r="AAE313" s="117"/>
      <c r="AAF313" s="117"/>
      <c r="AAG313" s="117"/>
      <c r="AAH313" s="117"/>
      <c r="AAI313" s="117"/>
      <c r="AAJ313" s="117"/>
      <c r="AAK313" s="117"/>
      <c r="AAL313" s="117"/>
      <c r="AAM313" s="117"/>
      <c r="AAN313" s="117"/>
      <c r="AAO313" s="117"/>
      <c r="AAP313" s="117"/>
      <c r="AAQ313" s="117"/>
      <c r="AAR313" s="117"/>
      <c r="AAS313" s="117"/>
      <c r="AAT313" s="117"/>
      <c r="AAU313" s="117"/>
      <c r="AAV313" s="117"/>
      <c r="AAW313" s="117"/>
      <c r="AAX313" s="117"/>
      <c r="AAY313" s="117"/>
      <c r="AAZ313" s="117"/>
      <c r="ABA313" s="117"/>
      <c r="ABB313" s="117"/>
      <c r="ABC313" s="117"/>
      <c r="ABD313" s="117"/>
      <c r="ABE313" s="117"/>
      <c r="ABF313" s="117"/>
      <c r="ABG313" s="117"/>
      <c r="ABH313" s="117"/>
      <c r="ABI313" s="117"/>
      <c r="ABJ313" s="117"/>
      <c r="ABK313" s="117"/>
      <c r="ABL313" s="117"/>
      <c r="ABM313" s="117"/>
      <c r="ABN313" s="117"/>
      <c r="ABO313" s="117"/>
      <c r="ABP313" s="117"/>
      <c r="ABQ313" s="117"/>
      <c r="ABR313" s="117"/>
      <c r="ABS313" s="117"/>
      <c r="ABT313" s="117"/>
      <c r="ABU313" s="117"/>
      <c r="ABV313" s="117"/>
      <c r="ABW313" s="117"/>
      <c r="ABX313" s="117"/>
      <c r="ABY313" s="117"/>
      <c r="ABZ313" s="117"/>
      <c r="ACA313" s="117"/>
      <c r="ACB313" s="117"/>
      <c r="ACC313" s="117"/>
      <c r="ACD313" s="117"/>
      <c r="ACE313" s="117"/>
      <c r="ACF313" s="117"/>
      <c r="ACG313" s="117"/>
      <c r="ACH313" s="117"/>
      <c r="ACI313" s="117"/>
      <c r="ACJ313" s="117"/>
      <c r="ACK313" s="117"/>
      <c r="ACL313" s="117"/>
      <c r="ACM313" s="117"/>
      <c r="ACN313" s="117"/>
      <c r="ACO313" s="117"/>
      <c r="ACP313" s="117"/>
      <c r="ACQ313" s="117"/>
      <c r="ACR313" s="117"/>
      <c r="ACS313" s="117"/>
      <c r="ACT313" s="117"/>
      <c r="ACU313" s="117"/>
      <c r="ACV313" s="117"/>
      <c r="ACW313" s="117"/>
      <c r="ACX313" s="117"/>
      <c r="ACY313" s="117"/>
      <c r="ACZ313" s="117"/>
      <c r="ADA313" s="117"/>
      <c r="ADB313" s="117"/>
      <c r="ADC313" s="117"/>
      <c r="ADD313" s="117"/>
      <c r="ADE313" s="117"/>
      <c r="ADF313" s="117"/>
      <c r="ADG313" s="117"/>
      <c r="ADH313" s="117"/>
      <c r="ADI313" s="117"/>
      <c r="ADJ313" s="117"/>
      <c r="ADK313" s="117"/>
      <c r="ADL313" s="117"/>
      <c r="ADM313" s="117"/>
      <c r="ADN313" s="117"/>
      <c r="ADO313" s="117"/>
      <c r="ADP313" s="117"/>
      <c r="ADQ313" s="117"/>
      <c r="ADR313" s="117"/>
      <c r="ADS313" s="117"/>
      <c r="ADT313" s="117"/>
      <c r="ADU313" s="117"/>
      <c r="ADV313" s="117"/>
      <c r="ADW313" s="117"/>
      <c r="ADX313" s="117"/>
      <c r="ADY313" s="117"/>
      <c r="ADZ313" s="117"/>
      <c r="AEA313" s="117"/>
      <c r="AEB313" s="117"/>
      <c r="AEC313" s="117"/>
      <c r="AED313" s="117"/>
      <c r="AEE313" s="117"/>
      <c r="AEF313" s="117"/>
      <c r="AEG313" s="117"/>
      <c r="AEH313" s="117"/>
      <c r="AEI313" s="117"/>
      <c r="AEJ313" s="117"/>
      <c r="AEK313" s="117"/>
      <c r="AEL313" s="117"/>
      <c r="AEM313" s="117"/>
      <c r="AEN313" s="117"/>
      <c r="AEO313" s="117"/>
      <c r="AEP313" s="117"/>
      <c r="AEQ313" s="117"/>
      <c r="AER313" s="117"/>
      <c r="AES313" s="117"/>
      <c r="AET313" s="117"/>
      <c r="AEU313" s="117"/>
      <c r="AEV313" s="117"/>
      <c r="AEW313" s="117"/>
      <c r="AEX313" s="117"/>
      <c r="AEY313" s="117"/>
      <c r="AEZ313" s="117"/>
      <c r="AFA313" s="117"/>
      <c r="AFB313" s="117"/>
      <c r="AFC313" s="117"/>
      <c r="AFD313" s="117"/>
      <c r="AFE313" s="117"/>
      <c r="AFF313" s="117"/>
      <c r="AFG313" s="117"/>
      <c r="AFH313" s="117"/>
      <c r="AFI313" s="117"/>
      <c r="AFJ313" s="117"/>
      <c r="AFK313" s="117"/>
      <c r="AFL313" s="117"/>
      <c r="AFM313" s="117"/>
      <c r="AFN313" s="117"/>
      <c r="AFO313" s="117"/>
      <c r="AFP313" s="117"/>
      <c r="AFQ313" s="117"/>
      <c r="AFR313" s="117"/>
      <c r="AFS313" s="117"/>
      <c r="AFT313" s="117"/>
      <c r="AFU313" s="117"/>
      <c r="AFV313" s="117"/>
      <c r="AFW313" s="117"/>
      <c r="AFX313" s="117"/>
      <c r="AFY313" s="117"/>
      <c r="AFZ313" s="117"/>
      <c r="AGA313" s="117"/>
      <c r="AGB313" s="117"/>
      <c r="AGC313" s="117"/>
      <c r="AGD313" s="117"/>
      <c r="AGE313" s="117"/>
      <c r="AGF313" s="117"/>
      <c r="AGG313" s="117"/>
      <c r="AGH313" s="117"/>
      <c r="AGI313" s="117"/>
      <c r="AGJ313" s="117"/>
      <c r="AGK313" s="117"/>
      <c r="AGL313" s="117"/>
      <c r="AGM313" s="117"/>
      <c r="AGN313" s="117"/>
      <c r="AGO313" s="117"/>
      <c r="AGP313" s="117"/>
      <c r="AGQ313" s="117"/>
      <c r="AGR313" s="117"/>
      <c r="AGS313" s="117"/>
      <c r="AGT313" s="117"/>
      <c r="AGU313" s="117"/>
      <c r="AGV313" s="117"/>
      <c r="AGW313" s="117"/>
      <c r="AGX313" s="117"/>
      <c r="AGY313" s="117"/>
      <c r="AGZ313" s="117"/>
      <c r="AHA313" s="117"/>
      <c r="AHB313" s="117"/>
      <c r="AHC313" s="117"/>
      <c r="AHD313" s="117"/>
      <c r="AHE313" s="117"/>
      <c r="AHF313" s="117"/>
      <c r="AHG313" s="117"/>
      <c r="AHH313" s="117"/>
      <c r="AHI313" s="117"/>
      <c r="AHJ313" s="117"/>
      <c r="AHK313" s="117"/>
      <c r="AHL313" s="117"/>
      <c r="AHM313" s="117"/>
      <c r="AHN313" s="117"/>
      <c r="AHO313" s="117"/>
      <c r="AHP313" s="117"/>
      <c r="AHQ313" s="117"/>
      <c r="AHR313" s="117"/>
      <c r="AHS313" s="117"/>
      <c r="AHT313" s="117"/>
      <c r="AHU313" s="117"/>
      <c r="AHV313" s="117"/>
      <c r="AHW313" s="117"/>
      <c r="AHX313" s="117"/>
      <c r="AHY313" s="117"/>
      <c r="AHZ313" s="117"/>
      <c r="AIA313" s="117"/>
      <c r="AIB313" s="117"/>
      <c r="AIC313" s="117"/>
      <c r="AID313" s="117"/>
      <c r="AIE313" s="117"/>
      <c r="AIF313" s="117"/>
      <c r="AIG313" s="117"/>
      <c r="AIH313" s="117"/>
      <c r="AII313" s="117"/>
      <c r="AIJ313" s="117"/>
      <c r="AIK313" s="117"/>
      <c r="AIL313" s="117"/>
      <c r="AIM313" s="117"/>
      <c r="AIN313" s="117"/>
      <c r="AIO313" s="117"/>
      <c r="AIP313" s="117"/>
      <c r="AIQ313" s="117"/>
      <c r="AIR313" s="117"/>
      <c r="AIS313" s="117"/>
      <c r="AIT313" s="117"/>
      <c r="AIU313" s="117"/>
      <c r="AIV313" s="117"/>
      <c r="AIW313" s="117"/>
      <c r="AIX313" s="117"/>
      <c r="AIY313" s="117"/>
      <c r="AIZ313" s="117"/>
      <c r="AJA313" s="117"/>
      <c r="AJB313" s="117"/>
      <c r="AJC313" s="117"/>
      <c r="AJD313" s="117"/>
      <c r="AJE313" s="117"/>
      <c r="AJF313" s="117"/>
      <c r="AJG313" s="117"/>
      <c r="AJH313" s="117"/>
      <c r="AJI313" s="117"/>
      <c r="AJJ313" s="117"/>
      <c r="AJK313" s="117"/>
      <c r="AJL313" s="117"/>
      <c r="AJM313" s="117"/>
      <c r="AJN313" s="117"/>
      <c r="AJO313" s="117"/>
      <c r="AJP313" s="117"/>
      <c r="AJQ313" s="117"/>
      <c r="AJR313" s="117"/>
      <c r="AJS313" s="117"/>
      <c r="AJT313" s="117"/>
      <c r="AJU313" s="117"/>
      <c r="AJV313" s="117"/>
      <c r="AJW313" s="117"/>
      <c r="AJX313" s="117"/>
      <c r="AJY313" s="117"/>
      <c r="AJZ313" s="117"/>
      <c r="AKA313" s="117"/>
      <c r="AKB313" s="117"/>
      <c r="AKC313" s="117"/>
      <c r="AKD313" s="117"/>
      <c r="AKE313" s="117"/>
      <c r="AKF313" s="117"/>
      <c r="AKG313" s="117"/>
      <c r="AKH313" s="117"/>
      <c r="AKI313" s="117"/>
      <c r="AKJ313" s="117"/>
      <c r="AKK313" s="117"/>
      <c r="AKL313" s="117"/>
      <c r="AKM313" s="117"/>
      <c r="AKN313" s="117"/>
      <c r="AKO313" s="117"/>
      <c r="AKP313" s="117"/>
      <c r="AKQ313" s="117"/>
      <c r="AKR313" s="117"/>
      <c r="AKS313" s="117"/>
      <c r="AKT313" s="117"/>
      <c r="AKU313" s="117"/>
      <c r="AKV313" s="117"/>
      <c r="AKW313" s="117"/>
      <c r="AKX313" s="117"/>
      <c r="AKY313" s="117"/>
      <c r="AKZ313" s="117"/>
      <c r="ALA313" s="117"/>
      <c r="ALB313" s="117"/>
      <c r="ALC313" s="117"/>
      <c r="ALD313" s="117"/>
      <c r="ALE313" s="117"/>
      <c r="ALF313" s="117"/>
      <c r="ALG313" s="117"/>
      <c r="ALH313" s="117"/>
      <c r="ALI313" s="117"/>
      <c r="ALJ313" s="117"/>
      <c r="ALK313" s="117"/>
      <c r="ALL313" s="117"/>
      <c r="ALM313" s="117"/>
      <c r="ALN313" s="117"/>
      <c r="ALO313" s="117"/>
      <c r="ALP313" s="117"/>
      <c r="ALQ313" s="117"/>
      <c r="ALR313" s="117"/>
      <c r="ALS313" s="117"/>
      <c r="ALT313" s="117"/>
      <c r="ALU313" s="117"/>
      <c r="ALV313" s="117"/>
      <c r="ALW313" s="117"/>
      <c r="ALX313" s="117"/>
      <c r="ALY313" s="117"/>
      <c r="ALZ313" s="117"/>
      <c r="AMA313" s="117"/>
      <c r="AMB313" s="117"/>
      <c r="AMC313" s="117"/>
      <c r="AMD313" s="117"/>
      <c r="AME313" s="117"/>
    </row>
    <row r="314" spans="1:1019" s="191" customFormat="1" ht="11.25" customHeight="1">
      <c r="A314" s="139">
        <v>312</v>
      </c>
      <c r="B314" s="139"/>
      <c r="C314" s="140"/>
      <c r="D314" s="190">
        <v>1</v>
      </c>
      <c r="E314" s="190">
        <f t="shared" si="47"/>
        <v>26</v>
      </c>
      <c r="F314" s="173" t="s">
        <v>516</v>
      </c>
      <c r="G314" s="172">
        <f t="shared" si="58"/>
        <v>1240</v>
      </c>
      <c r="H314" s="143">
        <f>INT((G314*Valores!$C$2*100)+0.5)/100</f>
        <v>11581.23</v>
      </c>
      <c r="I314" s="161">
        <v>0</v>
      </c>
      <c r="J314" s="145">
        <f>INT((I314*Valores!$C$2*100)+0.5)/100</f>
        <v>0</v>
      </c>
      <c r="K314" s="160">
        <v>0</v>
      </c>
      <c r="L314" s="145">
        <f>INT((K314*Valores!$C$2*100)+0.5)/100</f>
        <v>0</v>
      </c>
      <c r="M314" s="158">
        <v>0</v>
      </c>
      <c r="N314" s="145">
        <f>INT((M314*Valores!$C$2*100)+0.5)/100</f>
        <v>0</v>
      </c>
      <c r="O314" s="145">
        <f t="shared" si="48"/>
        <v>1819.0845</v>
      </c>
      <c r="P314" s="145">
        <f t="shared" si="49"/>
        <v>0</v>
      </c>
      <c r="Q314" s="159">
        <v>0</v>
      </c>
      <c r="R314" s="159">
        <v>0</v>
      </c>
      <c r="S314" s="145">
        <v>0</v>
      </c>
      <c r="T314" s="148">
        <f>IF($H$5="NO",IF(Valores!$C$46*D314&gt;Valores!$C$44,Valores!$C$44,Valores!$C$46*D314),IF(Valores!$C$46*D314&gt;Valores!$C$44,Valores!$C$44,Valores!$C$46*D314)/2)*8</f>
        <v>546</v>
      </c>
      <c r="U314" s="159">
        <v>0</v>
      </c>
      <c r="V314" s="145">
        <f t="shared" si="57"/>
        <v>0</v>
      </c>
      <c r="W314" s="145">
        <v>0</v>
      </c>
      <c r="X314" s="145">
        <v>0</v>
      </c>
      <c r="Y314" s="165">
        <v>0</v>
      </c>
      <c r="Z314" s="145">
        <v>0</v>
      </c>
      <c r="AA314" s="145">
        <v>0</v>
      </c>
      <c r="AB314" s="148"/>
      <c r="AC314" s="150">
        <v>0</v>
      </c>
      <c r="AD314" s="145">
        <f t="shared" si="51"/>
        <v>0</v>
      </c>
      <c r="AE314" s="145">
        <v>0</v>
      </c>
      <c r="AF314" s="149">
        <v>0</v>
      </c>
      <c r="AG314" s="145">
        <f>INT(((AF314*Valores!$C$2)*100)+0.5)/100</f>
        <v>0</v>
      </c>
      <c r="AH314" s="145"/>
      <c r="AI314" s="145"/>
      <c r="AJ314" s="151">
        <f t="shared" si="52"/>
        <v>13946.3145</v>
      </c>
      <c r="AK314" s="171"/>
      <c r="AL314" s="148">
        <f>Valores!$C$11+AL313</f>
        <v>0</v>
      </c>
      <c r="AM314" s="148">
        <v>0</v>
      </c>
      <c r="AN314" s="148"/>
      <c r="AO314" s="150">
        <v>0</v>
      </c>
      <c r="AP314" s="152">
        <f t="shared" si="50"/>
        <v>0</v>
      </c>
      <c r="AQ314" s="154">
        <f>AJ314*-Valores!$C$68</f>
        <v>-1534.094595</v>
      </c>
      <c r="AR314" s="154">
        <f>AJ314*-Valores!$C$69</f>
        <v>0</v>
      </c>
      <c r="AS314" s="147">
        <f>AJ314*-Valores!$C$70</f>
        <v>-627.5841525</v>
      </c>
      <c r="AT314" s="147">
        <v>-159.43</v>
      </c>
      <c r="AU314" s="147">
        <f t="shared" si="53"/>
        <v>-53.83</v>
      </c>
      <c r="AV314" s="151">
        <f t="shared" si="54"/>
        <v>11571.3757525</v>
      </c>
      <c r="AW314" s="155"/>
      <c r="AX314" s="155"/>
      <c r="AY314" s="140" t="s">
        <v>4</v>
      </c>
      <c r="AZ314" s="117"/>
      <c r="BA314" s="117"/>
      <c r="BB314" s="117"/>
      <c r="BC314" s="117"/>
      <c r="BD314" s="117"/>
      <c r="BE314" s="117"/>
      <c r="BF314" s="117"/>
      <c r="BG314" s="117"/>
      <c r="BH314" s="117"/>
      <c r="BI314" s="117"/>
      <c r="BJ314" s="117"/>
      <c r="BK314" s="117"/>
      <c r="BL314" s="117"/>
      <c r="BM314" s="117"/>
      <c r="BN314" s="117"/>
      <c r="BO314" s="117"/>
      <c r="BP314" s="117"/>
      <c r="BQ314" s="117"/>
      <c r="BR314" s="117"/>
      <c r="BS314" s="117"/>
      <c r="BT314" s="117"/>
      <c r="BU314" s="117"/>
      <c r="BV314" s="117"/>
      <c r="BW314" s="117"/>
      <c r="BX314" s="117"/>
      <c r="BY314" s="117"/>
      <c r="BZ314" s="117"/>
      <c r="CA314" s="117"/>
      <c r="CB314" s="117"/>
      <c r="CC314" s="117"/>
      <c r="CD314" s="117"/>
      <c r="CE314" s="117"/>
      <c r="CF314" s="117"/>
      <c r="CG314" s="117"/>
      <c r="CH314" s="117"/>
      <c r="CI314" s="117"/>
      <c r="CJ314" s="117"/>
      <c r="CK314" s="117"/>
      <c r="CL314" s="117"/>
      <c r="CM314" s="117"/>
      <c r="CN314" s="117"/>
      <c r="CO314" s="117"/>
      <c r="CP314" s="117"/>
      <c r="CQ314" s="117"/>
      <c r="CR314" s="117"/>
      <c r="CS314" s="117"/>
      <c r="CT314" s="117"/>
      <c r="CU314" s="117"/>
      <c r="CV314" s="117"/>
      <c r="CW314" s="117"/>
      <c r="CX314" s="117"/>
      <c r="CY314" s="117"/>
      <c r="CZ314" s="117"/>
      <c r="DA314" s="117"/>
      <c r="DB314" s="117"/>
      <c r="DC314" s="117"/>
      <c r="DD314" s="117"/>
      <c r="DE314" s="117"/>
      <c r="DF314" s="117"/>
      <c r="DG314" s="117"/>
      <c r="DH314" s="117"/>
      <c r="DI314" s="117"/>
      <c r="DJ314" s="117"/>
      <c r="DK314" s="117"/>
      <c r="DL314" s="117"/>
      <c r="DM314" s="117"/>
      <c r="DN314" s="117"/>
      <c r="DO314" s="117"/>
      <c r="DP314" s="117"/>
      <c r="DQ314" s="117"/>
      <c r="DR314" s="117"/>
      <c r="DS314" s="117"/>
      <c r="DT314" s="117"/>
      <c r="DU314" s="117"/>
      <c r="DV314" s="117"/>
      <c r="DW314" s="117"/>
      <c r="DX314" s="117"/>
      <c r="DY314" s="117"/>
      <c r="DZ314" s="117"/>
      <c r="EA314" s="117"/>
      <c r="EB314" s="117"/>
      <c r="EC314" s="117"/>
      <c r="ED314" s="117"/>
      <c r="EE314" s="117"/>
      <c r="EF314" s="117"/>
      <c r="EG314" s="117"/>
      <c r="EH314" s="117"/>
      <c r="EI314" s="117"/>
      <c r="EJ314" s="117"/>
      <c r="EK314" s="117"/>
      <c r="EL314" s="117"/>
      <c r="EM314" s="117"/>
      <c r="EN314" s="117"/>
      <c r="EO314" s="117"/>
      <c r="EP314" s="117"/>
      <c r="EQ314" s="117"/>
      <c r="ER314" s="117"/>
      <c r="ES314" s="117"/>
      <c r="ET314" s="117"/>
      <c r="EU314" s="117"/>
      <c r="EV314" s="117"/>
      <c r="EW314" s="117"/>
      <c r="EX314" s="117"/>
      <c r="EY314" s="117"/>
      <c r="EZ314" s="117"/>
      <c r="FA314" s="117"/>
      <c r="FB314" s="117"/>
      <c r="FC314" s="117"/>
      <c r="FD314" s="117"/>
      <c r="FE314" s="117"/>
      <c r="FF314" s="117"/>
      <c r="FG314" s="117"/>
      <c r="FH314" s="117"/>
      <c r="FI314" s="117"/>
      <c r="FJ314" s="117"/>
      <c r="FK314" s="117"/>
      <c r="FL314" s="117"/>
      <c r="FM314" s="117"/>
      <c r="FN314" s="117"/>
      <c r="FO314" s="117"/>
      <c r="FP314" s="117"/>
      <c r="FQ314" s="117"/>
      <c r="FR314" s="117"/>
      <c r="FS314" s="117"/>
      <c r="FT314" s="117"/>
      <c r="FU314" s="117"/>
      <c r="FV314" s="117"/>
      <c r="FW314" s="117"/>
      <c r="FX314" s="117"/>
      <c r="FY314" s="117"/>
      <c r="FZ314" s="117"/>
      <c r="GA314" s="117"/>
      <c r="GB314" s="117"/>
      <c r="GC314" s="117"/>
      <c r="GD314" s="117"/>
      <c r="GE314" s="117"/>
      <c r="GF314" s="117"/>
      <c r="GG314" s="117"/>
      <c r="GH314" s="117"/>
      <c r="GI314" s="117"/>
      <c r="GJ314" s="117"/>
      <c r="GK314" s="117"/>
      <c r="GL314" s="117"/>
      <c r="GM314" s="117"/>
      <c r="GN314" s="117"/>
      <c r="GO314" s="117"/>
      <c r="GP314" s="117"/>
      <c r="GQ314" s="117"/>
      <c r="GR314" s="117"/>
      <c r="GS314" s="117"/>
      <c r="GT314" s="117"/>
      <c r="GU314" s="117"/>
      <c r="GV314" s="117"/>
      <c r="GW314" s="117"/>
      <c r="GX314" s="117"/>
      <c r="GY314" s="117"/>
      <c r="GZ314" s="117"/>
      <c r="HA314" s="117"/>
      <c r="HB314" s="117"/>
      <c r="HC314" s="117"/>
      <c r="HD314" s="117"/>
      <c r="HE314" s="117"/>
      <c r="HF314" s="117"/>
      <c r="HG314" s="117"/>
      <c r="HH314" s="117"/>
      <c r="HI314" s="117"/>
      <c r="HJ314" s="117"/>
      <c r="HK314" s="117"/>
      <c r="HL314" s="117"/>
      <c r="HM314" s="117"/>
      <c r="HN314" s="117"/>
      <c r="HO314" s="117"/>
      <c r="HP314" s="117"/>
      <c r="HQ314" s="117"/>
      <c r="HR314" s="117"/>
      <c r="HS314" s="117"/>
      <c r="HT314" s="117"/>
      <c r="HU314" s="117"/>
      <c r="HV314" s="117"/>
      <c r="HW314" s="117"/>
      <c r="HX314" s="117"/>
      <c r="HY314" s="117"/>
      <c r="HZ314" s="117"/>
      <c r="IA314" s="117"/>
      <c r="IB314" s="117"/>
      <c r="IC314" s="117"/>
      <c r="ID314" s="117"/>
      <c r="IE314" s="117"/>
      <c r="IF314" s="117"/>
      <c r="IG314" s="117"/>
      <c r="IH314" s="117"/>
      <c r="II314" s="117"/>
      <c r="IJ314" s="117"/>
      <c r="IK314" s="117"/>
      <c r="IL314" s="117"/>
      <c r="IM314" s="117"/>
      <c r="IN314" s="117"/>
      <c r="IO314" s="117"/>
      <c r="IP314" s="117"/>
      <c r="IQ314" s="117"/>
      <c r="IR314" s="117"/>
      <c r="IS314" s="117"/>
      <c r="IT314" s="117"/>
      <c r="IU314" s="117"/>
      <c r="IV314" s="117"/>
      <c r="IW314" s="117"/>
      <c r="IX314" s="117"/>
      <c r="IY314" s="117"/>
      <c r="IZ314" s="117"/>
      <c r="JA314" s="117"/>
      <c r="JB314" s="117"/>
      <c r="JC314" s="117"/>
      <c r="JD314" s="117"/>
      <c r="JE314" s="117"/>
      <c r="JF314" s="117"/>
      <c r="JG314" s="117"/>
      <c r="JH314" s="117"/>
      <c r="JI314" s="117"/>
      <c r="JJ314" s="117"/>
      <c r="JK314" s="117"/>
      <c r="JL314" s="117"/>
      <c r="JM314" s="117"/>
      <c r="JN314" s="117"/>
      <c r="JO314" s="117"/>
      <c r="JP314" s="117"/>
      <c r="JQ314" s="117"/>
      <c r="JR314" s="117"/>
      <c r="JS314" s="117"/>
      <c r="JT314" s="117"/>
      <c r="JU314" s="117"/>
      <c r="JV314" s="117"/>
      <c r="JW314" s="117"/>
      <c r="JX314" s="117"/>
      <c r="JY314" s="117"/>
      <c r="JZ314" s="117"/>
      <c r="KA314" s="117"/>
      <c r="KB314" s="117"/>
      <c r="KC314" s="117"/>
      <c r="KD314" s="117"/>
      <c r="KE314" s="117"/>
      <c r="KF314" s="117"/>
      <c r="KG314" s="117"/>
      <c r="KH314" s="117"/>
      <c r="KI314" s="117"/>
      <c r="KJ314" s="117"/>
      <c r="KK314" s="117"/>
      <c r="KL314" s="117"/>
      <c r="KM314" s="117"/>
      <c r="KN314" s="117"/>
      <c r="KO314" s="117"/>
      <c r="KP314" s="117"/>
      <c r="KQ314" s="117"/>
      <c r="KR314" s="117"/>
      <c r="KS314" s="117"/>
      <c r="KT314" s="117"/>
      <c r="KU314" s="117"/>
      <c r="KV314" s="117"/>
      <c r="KW314" s="117"/>
      <c r="KX314" s="117"/>
      <c r="KY314" s="117"/>
      <c r="KZ314" s="117"/>
      <c r="LA314" s="117"/>
      <c r="LB314" s="117"/>
      <c r="LC314" s="117"/>
      <c r="LD314" s="117"/>
      <c r="LE314" s="117"/>
      <c r="LF314" s="117"/>
      <c r="LG314" s="117"/>
      <c r="LH314" s="117"/>
      <c r="LI314" s="117"/>
      <c r="LJ314" s="117"/>
      <c r="LK314" s="117"/>
      <c r="LL314" s="117"/>
      <c r="LM314" s="117"/>
      <c r="LN314" s="117"/>
      <c r="LO314" s="117"/>
      <c r="LP314" s="117"/>
      <c r="LQ314" s="117"/>
      <c r="LR314" s="117"/>
      <c r="LS314" s="117"/>
      <c r="LT314" s="117"/>
      <c r="LU314" s="117"/>
      <c r="LV314" s="117"/>
      <c r="LW314" s="117"/>
      <c r="LX314" s="117"/>
      <c r="LY314" s="117"/>
      <c r="LZ314" s="117"/>
      <c r="MA314" s="117"/>
      <c r="MB314" s="117"/>
      <c r="MC314" s="117"/>
      <c r="MD314" s="117"/>
      <c r="ME314" s="117"/>
      <c r="MF314" s="117"/>
      <c r="MG314" s="117"/>
      <c r="MH314" s="117"/>
      <c r="MI314" s="117"/>
      <c r="MJ314" s="117"/>
      <c r="MK314" s="117"/>
      <c r="ML314" s="117"/>
      <c r="MM314" s="117"/>
      <c r="MN314" s="117"/>
      <c r="MO314" s="117"/>
      <c r="MP314" s="117"/>
      <c r="MQ314" s="117"/>
      <c r="MR314" s="117"/>
      <c r="MS314" s="117"/>
      <c r="MT314" s="117"/>
      <c r="MU314" s="117"/>
      <c r="MV314" s="117"/>
      <c r="MW314" s="117"/>
      <c r="MX314" s="117"/>
      <c r="MY314" s="117"/>
      <c r="MZ314" s="117"/>
      <c r="NA314" s="117"/>
      <c r="NB314" s="117"/>
      <c r="NC314" s="117"/>
      <c r="ND314" s="117"/>
      <c r="NE314" s="117"/>
      <c r="NF314" s="117"/>
      <c r="NG314" s="117"/>
      <c r="NH314" s="117"/>
      <c r="NI314" s="117"/>
      <c r="NJ314" s="117"/>
      <c r="NK314" s="117"/>
      <c r="NL314" s="117"/>
      <c r="NM314" s="117"/>
      <c r="NN314" s="117"/>
      <c r="NO314" s="117"/>
      <c r="NP314" s="117"/>
      <c r="NQ314" s="117"/>
      <c r="NR314" s="117"/>
      <c r="NS314" s="117"/>
      <c r="NT314" s="117"/>
      <c r="NU314" s="117"/>
      <c r="NV314" s="117"/>
      <c r="NW314" s="117"/>
      <c r="NX314" s="117"/>
      <c r="NY314" s="117"/>
      <c r="NZ314" s="117"/>
      <c r="OA314" s="117"/>
      <c r="OB314" s="117"/>
      <c r="OC314" s="117"/>
      <c r="OD314" s="117"/>
      <c r="OE314" s="117"/>
      <c r="OF314" s="117"/>
      <c r="OG314" s="117"/>
      <c r="OH314" s="117"/>
      <c r="OI314" s="117"/>
      <c r="OJ314" s="117"/>
      <c r="OK314" s="117"/>
      <c r="OL314" s="117"/>
      <c r="OM314" s="117"/>
      <c r="ON314" s="117"/>
      <c r="OO314" s="117"/>
      <c r="OP314" s="117"/>
      <c r="OQ314" s="117"/>
      <c r="OR314" s="117"/>
      <c r="OS314" s="117"/>
      <c r="OT314" s="117"/>
      <c r="OU314" s="117"/>
      <c r="OV314" s="117"/>
      <c r="OW314" s="117"/>
      <c r="OX314" s="117"/>
      <c r="OY314" s="117"/>
      <c r="OZ314" s="117"/>
      <c r="PA314" s="117"/>
      <c r="PB314" s="117"/>
      <c r="PC314" s="117"/>
      <c r="PD314" s="117"/>
      <c r="PE314" s="117"/>
      <c r="PF314" s="117"/>
      <c r="PG314" s="117"/>
      <c r="PH314" s="117"/>
      <c r="PI314" s="117"/>
      <c r="PJ314" s="117"/>
      <c r="PK314" s="117"/>
      <c r="PL314" s="117"/>
      <c r="PM314" s="117"/>
      <c r="PN314" s="117"/>
      <c r="PO314" s="117"/>
      <c r="PP314" s="117"/>
      <c r="PQ314" s="117"/>
      <c r="PR314" s="117"/>
      <c r="PS314" s="117"/>
      <c r="PT314" s="117"/>
      <c r="PU314" s="117"/>
      <c r="PV314" s="117"/>
      <c r="PW314" s="117"/>
      <c r="PX314" s="117"/>
      <c r="PY314" s="117"/>
      <c r="PZ314" s="117"/>
      <c r="QA314" s="117"/>
      <c r="QB314" s="117"/>
      <c r="QC314" s="117"/>
      <c r="QD314" s="117"/>
      <c r="QE314" s="117"/>
      <c r="QF314" s="117"/>
      <c r="QG314" s="117"/>
      <c r="QH314" s="117"/>
      <c r="QI314" s="117"/>
      <c r="QJ314" s="117"/>
      <c r="QK314" s="117"/>
      <c r="QL314" s="117"/>
      <c r="QM314" s="117"/>
      <c r="QN314" s="117"/>
      <c r="QO314" s="117"/>
      <c r="QP314" s="117"/>
      <c r="QQ314" s="117"/>
      <c r="QR314" s="117"/>
      <c r="QS314" s="117"/>
      <c r="QT314" s="117"/>
      <c r="QU314" s="117"/>
      <c r="QV314" s="117"/>
      <c r="QW314" s="117"/>
      <c r="QX314" s="117"/>
      <c r="QY314" s="117"/>
      <c r="QZ314" s="117"/>
      <c r="RA314" s="117"/>
      <c r="RB314" s="117"/>
      <c r="RC314" s="117"/>
      <c r="RD314" s="117"/>
      <c r="RE314" s="117"/>
      <c r="RF314" s="117"/>
      <c r="RG314" s="117"/>
      <c r="RH314" s="117"/>
      <c r="RI314" s="117"/>
      <c r="RJ314" s="117"/>
      <c r="RK314" s="117"/>
      <c r="RL314" s="117"/>
      <c r="RM314" s="117"/>
      <c r="RN314" s="117"/>
      <c r="RO314" s="117"/>
      <c r="RP314" s="117"/>
      <c r="RQ314" s="117"/>
      <c r="RR314" s="117"/>
      <c r="RS314" s="117"/>
      <c r="RT314" s="117"/>
      <c r="RU314" s="117"/>
      <c r="RV314" s="117"/>
      <c r="RW314" s="117"/>
      <c r="RX314" s="117"/>
      <c r="RY314" s="117"/>
      <c r="RZ314" s="117"/>
      <c r="SA314" s="117"/>
      <c r="SB314" s="117"/>
      <c r="SC314" s="117"/>
      <c r="SD314" s="117"/>
      <c r="SE314" s="117"/>
      <c r="SF314" s="117"/>
      <c r="SG314" s="117"/>
      <c r="SH314" s="117"/>
      <c r="SI314" s="117"/>
      <c r="SJ314" s="117"/>
      <c r="SK314" s="117"/>
      <c r="SL314" s="117"/>
      <c r="SM314" s="117"/>
      <c r="SN314" s="117"/>
      <c r="SO314" s="117"/>
      <c r="SP314" s="117"/>
      <c r="SQ314" s="117"/>
      <c r="SR314" s="117"/>
      <c r="SS314" s="117"/>
      <c r="ST314" s="117"/>
      <c r="SU314" s="117"/>
      <c r="SV314" s="117"/>
      <c r="SW314" s="117"/>
      <c r="SX314" s="117"/>
      <c r="SY314" s="117"/>
      <c r="SZ314" s="117"/>
      <c r="TA314" s="117"/>
      <c r="TB314" s="117"/>
      <c r="TC314" s="117"/>
      <c r="TD314" s="117"/>
      <c r="TE314" s="117"/>
      <c r="TF314" s="117"/>
      <c r="TG314" s="117"/>
      <c r="TH314" s="117"/>
      <c r="TI314" s="117"/>
      <c r="TJ314" s="117"/>
      <c r="TK314" s="117"/>
      <c r="TL314" s="117"/>
      <c r="TM314" s="117"/>
      <c r="TN314" s="117"/>
      <c r="TO314" s="117"/>
      <c r="TP314" s="117"/>
      <c r="TQ314" s="117"/>
      <c r="TR314" s="117"/>
      <c r="TS314" s="117"/>
      <c r="TT314" s="117"/>
      <c r="TU314" s="117"/>
      <c r="TV314" s="117"/>
      <c r="TW314" s="117"/>
      <c r="TX314" s="117"/>
      <c r="TY314" s="117"/>
      <c r="TZ314" s="117"/>
      <c r="UA314" s="117"/>
      <c r="UB314" s="117"/>
      <c r="UC314" s="117"/>
      <c r="UD314" s="117"/>
      <c r="UE314" s="117"/>
      <c r="UF314" s="117"/>
      <c r="UG314" s="117"/>
      <c r="UH314" s="117"/>
      <c r="UI314" s="117"/>
      <c r="UJ314" s="117"/>
      <c r="UK314" s="117"/>
      <c r="UL314" s="117"/>
      <c r="UM314" s="117"/>
      <c r="UN314" s="117"/>
      <c r="UO314" s="117"/>
      <c r="UP314" s="117"/>
      <c r="UQ314" s="117"/>
      <c r="UR314" s="117"/>
      <c r="US314" s="117"/>
      <c r="UT314" s="117"/>
      <c r="UU314" s="117"/>
      <c r="UV314" s="117"/>
      <c r="UW314" s="117"/>
      <c r="UX314" s="117"/>
      <c r="UY314" s="117"/>
      <c r="UZ314" s="117"/>
      <c r="VA314" s="117"/>
      <c r="VB314" s="117"/>
      <c r="VC314" s="117"/>
      <c r="VD314" s="117"/>
      <c r="VE314" s="117"/>
      <c r="VF314" s="117"/>
      <c r="VG314" s="117"/>
      <c r="VH314" s="117"/>
      <c r="VI314" s="117"/>
      <c r="VJ314" s="117"/>
      <c r="VK314" s="117"/>
      <c r="VL314" s="117"/>
      <c r="VM314" s="117"/>
      <c r="VN314" s="117"/>
      <c r="VO314" s="117"/>
      <c r="VP314" s="117"/>
      <c r="VQ314" s="117"/>
      <c r="VR314" s="117"/>
      <c r="VS314" s="117"/>
      <c r="VT314" s="117"/>
      <c r="VU314" s="117"/>
      <c r="VV314" s="117"/>
      <c r="VW314" s="117"/>
      <c r="VX314" s="117"/>
      <c r="VY314" s="117"/>
      <c r="VZ314" s="117"/>
      <c r="WA314" s="117"/>
      <c r="WB314" s="117"/>
      <c r="WC314" s="117"/>
      <c r="WD314" s="117"/>
      <c r="WE314" s="117"/>
      <c r="WF314" s="117"/>
      <c r="WG314" s="117"/>
      <c r="WH314" s="117"/>
      <c r="WI314" s="117"/>
      <c r="WJ314" s="117"/>
      <c r="WK314" s="117"/>
      <c r="WL314" s="117"/>
      <c r="WM314" s="117"/>
      <c r="WN314" s="117"/>
      <c r="WO314" s="117"/>
      <c r="WP314" s="117"/>
      <c r="WQ314" s="117"/>
      <c r="WR314" s="117"/>
      <c r="WS314" s="117"/>
      <c r="WT314" s="117"/>
      <c r="WU314" s="117"/>
      <c r="WV314" s="117"/>
      <c r="WW314" s="117"/>
      <c r="WX314" s="117"/>
      <c r="WY314" s="117"/>
      <c r="WZ314" s="117"/>
      <c r="XA314" s="117"/>
      <c r="XB314" s="117"/>
      <c r="XC314" s="117"/>
      <c r="XD314" s="117"/>
      <c r="XE314" s="117"/>
      <c r="XF314" s="117"/>
      <c r="XG314" s="117"/>
      <c r="XH314" s="117"/>
      <c r="XI314" s="117"/>
      <c r="XJ314" s="117"/>
      <c r="XK314" s="117"/>
      <c r="XL314" s="117"/>
      <c r="XM314" s="117"/>
      <c r="XN314" s="117"/>
      <c r="XO314" s="117"/>
      <c r="XP314" s="117"/>
      <c r="XQ314" s="117"/>
      <c r="XR314" s="117"/>
      <c r="XS314" s="117"/>
      <c r="XT314" s="117"/>
      <c r="XU314" s="117"/>
      <c r="XV314" s="117"/>
      <c r="XW314" s="117"/>
      <c r="XX314" s="117"/>
      <c r="XY314" s="117"/>
      <c r="XZ314" s="117"/>
      <c r="YA314" s="117"/>
      <c r="YB314" s="117"/>
      <c r="YC314" s="117"/>
      <c r="YD314" s="117"/>
      <c r="YE314" s="117"/>
      <c r="YF314" s="117"/>
      <c r="YG314" s="117"/>
      <c r="YH314" s="117"/>
      <c r="YI314" s="117"/>
      <c r="YJ314" s="117"/>
      <c r="YK314" s="117"/>
      <c r="YL314" s="117"/>
      <c r="YM314" s="117"/>
      <c r="YN314" s="117"/>
      <c r="YO314" s="117"/>
      <c r="YP314" s="117"/>
      <c r="YQ314" s="117"/>
      <c r="YR314" s="117"/>
      <c r="YS314" s="117"/>
      <c r="YT314" s="117"/>
      <c r="YU314" s="117"/>
      <c r="YV314" s="117"/>
      <c r="YW314" s="117"/>
      <c r="YX314" s="117"/>
      <c r="YY314" s="117"/>
      <c r="YZ314" s="117"/>
      <c r="ZA314" s="117"/>
      <c r="ZB314" s="117"/>
      <c r="ZC314" s="117"/>
      <c r="ZD314" s="117"/>
      <c r="ZE314" s="117"/>
      <c r="ZF314" s="117"/>
      <c r="ZG314" s="117"/>
      <c r="ZH314" s="117"/>
      <c r="ZI314" s="117"/>
      <c r="ZJ314" s="117"/>
      <c r="ZK314" s="117"/>
      <c r="ZL314" s="117"/>
      <c r="ZM314" s="117"/>
      <c r="ZN314" s="117"/>
      <c r="ZO314" s="117"/>
      <c r="ZP314" s="117"/>
      <c r="ZQ314" s="117"/>
      <c r="ZR314" s="117"/>
      <c r="ZS314" s="117"/>
      <c r="ZT314" s="117"/>
      <c r="ZU314" s="117"/>
      <c r="ZV314" s="117"/>
      <c r="ZW314" s="117"/>
      <c r="ZX314" s="117"/>
      <c r="ZY314" s="117"/>
      <c r="ZZ314" s="117"/>
      <c r="AAA314" s="117"/>
      <c r="AAB314" s="117"/>
      <c r="AAC314" s="117"/>
      <c r="AAD314" s="117"/>
      <c r="AAE314" s="117"/>
      <c r="AAF314" s="117"/>
      <c r="AAG314" s="117"/>
      <c r="AAH314" s="117"/>
      <c r="AAI314" s="117"/>
      <c r="AAJ314" s="117"/>
      <c r="AAK314" s="117"/>
      <c r="AAL314" s="117"/>
      <c r="AAM314" s="117"/>
      <c r="AAN314" s="117"/>
      <c r="AAO314" s="117"/>
      <c r="AAP314" s="117"/>
      <c r="AAQ314" s="117"/>
      <c r="AAR314" s="117"/>
      <c r="AAS314" s="117"/>
      <c r="AAT314" s="117"/>
      <c r="AAU314" s="117"/>
      <c r="AAV314" s="117"/>
      <c r="AAW314" s="117"/>
      <c r="AAX314" s="117"/>
      <c r="AAY314" s="117"/>
      <c r="AAZ314" s="117"/>
      <c r="ABA314" s="117"/>
      <c r="ABB314" s="117"/>
      <c r="ABC314" s="117"/>
      <c r="ABD314" s="117"/>
      <c r="ABE314" s="117"/>
      <c r="ABF314" s="117"/>
      <c r="ABG314" s="117"/>
      <c r="ABH314" s="117"/>
      <c r="ABI314" s="117"/>
      <c r="ABJ314" s="117"/>
      <c r="ABK314" s="117"/>
      <c r="ABL314" s="117"/>
      <c r="ABM314" s="117"/>
      <c r="ABN314" s="117"/>
      <c r="ABO314" s="117"/>
      <c r="ABP314" s="117"/>
      <c r="ABQ314" s="117"/>
      <c r="ABR314" s="117"/>
      <c r="ABS314" s="117"/>
      <c r="ABT314" s="117"/>
      <c r="ABU314" s="117"/>
      <c r="ABV314" s="117"/>
      <c r="ABW314" s="117"/>
      <c r="ABX314" s="117"/>
      <c r="ABY314" s="117"/>
      <c r="ABZ314" s="117"/>
      <c r="ACA314" s="117"/>
      <c r="ACB314" s="117"/>
      <c r="ACC314" s="117"/>
      <c r="ACD314" s="117"/>
      <c r="ACE314" s="117"/>
      <c r="ACF314" s="117"/>
      <c r="ACG314" s="117"/>
      <c r="ACH314" s="117"/>
      <c r="ACI314" s="117"/>
      <c r="ACJ314" s="117"/>
      <c r="ACK314" s="117"/>
      <c r="ACL314" s="117"/>
      <c r="ACM314" s="117"/>
      <c r="ACN314" s="117"/>
      <c r="ACO314" s="117"/>
      <c r="ACP314" s="117"/>
      <c r="ACQ314" s="117"/>
      <c r="ACR314" s="117"/>
      <c r="ACS314" s="117"/>
      <c r="ACT314" s="117"/>
      <c r="ACU314" s="117"/>
      <c r="ACV314" s="117"/>
      <c r="ACW314" s="117"/>
      <c r="ACX314" s="117"/>
      <c r="ACY314" s="117"/>
      <c r="ACZ314" s="117"/>
      <c r="ADA314" s="117"/>
      <c r="ADB314" s="117"/>
      <c r="ADC314" s="117"/>
      <c r="ADD314" s="117"/>
      <c r="ADE314" s="117"/>
      <c r="ADF314" s="117"/>
      <c r="ADG314" s="117"/>
      <c r="ADH314" s="117"/>
      <c r="ADI314" s="117"/>
      <c r="ADJ314" s="117"/>
      <c r="ADK314" s="117"/>
      <c r="ADL314" s="117"/>
      <c r="ADM314" s="117"/>
      <c r="ADN314" s="117"/>
      <c r="ADO314" s="117"/>
      <c r="ADP314" s="117"/>
      <c r="ADQ314" s="117"/>
      <c r="ADR314" s="117"/>
      <c r="ADS314" s="117"/>
      <c r="ADT314" s="117"/>
      <c r="ADU314" s="117"/>
      <c r="ADV314" s="117"/>
      <c r="ADW314" s="117"/>
      <c r="ADX314" s="117"/>
      <c r="ADY314" s="117"/>
      <c r="ADZ314" s="117"/>
      <c r="AEA314" s="117"/>
      <c r="AEB314" s="117"/>
      <c r="AEC314" s="117"/>
      <c r="AED314" s="117"/>
      <c r="AEE314" s="117"/>
      <c r="AEF314" s="117"/>
      <c r="AEG314" s="117"/>
      <c r="AEH314" s="117"/>
      <c r="AEI314" s="117"/>
      <c r="AEJ314" s="117"/>
      <c r="AEK314" s="117"/>
      <c r="AEL314" s="117"/>
      <c r="AEM314" s="117"/>
      <c r="AEN314" s="117"/>
      <c r="AEO314" s="117"/>
      <c r="AEP314" s="117"/>
      <c r="AEQ314" s="117"/>
      <c r="AER314" s="117"/>
      <c r="AES314" s="117"/>
      <c r="AET314" s="117"/>
      <c r="AEU314" s="117"/>
      <c r="AEV314" s="117"/>
      <c r="AEW314" s="117"/>
      <c r="AEX314" s="117"/>
      <c r="AEY314" s="117"/>
      <c r="AEZ314" s="117"/>
      <c r="AFA314" s="117"/>
      <c r="AFB314" s="117"/>
      <c r="AFC314" s="117"/>
      <c r="AFD314" s="117"/>
      <c r="AFE314" s="117"/>
      <c r="AFF314" s="117"/>
      <c r="AFG314" s="117"/>
      <c r="AFH314" s="117"/>
      <c r="AFI314" s="117"/>
      <c r="AFJ314" s="117"/>
      <c r="AFK314" s="117"/>
      <c r="AFL314" s="117"/>
      <c r="AFM314" s="117"/>
      <c r="AFN314" s="117"/>
      <c r="AFO314" s="117"/>
      <c r="AFP314" s="117"/>
      <c r="AFQ314" s="117"/>
      <c r="AFR314" s="117"/>
      <c r="AFS314" s="117"/>
      <c r="AFT314" s="117"/>
      <c r="AFU314" s="117"/>
      <c r="AFV314" s="117"/>
      <c r="AFW314" s="117"/>
      <c r="AFX314" s="117"/>
      <c r="AFY314" s="117"/>
      <c r="AFZ314" s="117"/>
      <c r="AGA314" s="117"/>
      <c r="AGB314" s="117"/>
      <c r="AGC314" s="117"/>
      <c r="AGD314" s="117"/>
      <c r="AGE314" s="117"/>
      <c r="AGF314" s="117"/>
      <c r="AGG314" s="117"/>
      <c r="AGH314" s="117"/>
      <c r="AGI314" s="117"/>
      <c r="AGJ314" s="117"/>
      <c r="AGK314" s="117"/>
      <c r="AGL314" s="117"/>
      <c r="AGM314" s="117"/>
      <c r="AGN314" s="117"/>
      <c r="AGO314" s="117"/>
      <c r="AGP314" s="117"/>
      <c r="AGQ314" s="117"/>
      <c r="AGR314" s="117"/>
      <c r="AGS314" s="117"/>
      <c r="AGT314" s="117"/>
      <c r="AGU314" s="117"/>
      <c r="AGV314" s="117"/>
      <c r="AGW314" s="117"/>
      <c r="AGX314" s="117"/>
      <c r="AGY314" s="117"/>
      <c r="AGZ314" s="117"/>
      <c r="AHA314" s="117"/>
      <c r="AHB314" s="117"/>
      <c r="AHC314" s="117"/>
      <c r="AHD314" s="117"/>
      <c r="AHE314" s="117"/>
      <c r="AHF314" s="117"/>
      <c r="AHG314" s="117"/>
      <c r="AHH314" s="117"/>
      <c r="AHI314" s="117"/>
      <c r="AHJ314" s="117"/>
      <c r="AHK314" s="117"/>
      <c r="AHL314" s="117"/>
      <c r="AHM314" s="117"/>
      <c r="AHN314" s="117"/>
      <c r="AHO314" s="117"/>
      <c r="AHP314" s="117"/>
      <c r="AHQ314" s="117"/>
      <c r="AHR314" s="117"/>
      <c r="AHS314" s="117"/>
      <c r="AHT314" s="117"/>
      <c r="AHU314" s="117"/>
      <c r="AHV314" s="117"/>
      <c r="AHW314" s="117"/>
      <c r="AHX314" s="117"/>
      <c r="AHY314" s="117"/>
      <c r="AHZ314" s="117"/>
      <c r="AIA314" s="117"/>
      <c r="AIB314" s="117"/>
      <c r="AIC314" s="117"/>
      <c r="AID314" s="117"/>
      <c r="AIE314" s="117"/>
      <c r="AIF314" s="117"/>
      <c r="AIG314" s="117"/>
      <c r="AIH314" s="117"/>
      <c r="AII314" s="117"/>
      <c r="AIJ314" s="117"/>
      <c r="AIK314" s="117"/>
      <c r="AIL314" s="117"/>
      <c r="AIM314" s="117"/>
      <c r="AIN314" s="117"/>
      <c r="AIO314" s="117"/>
      <c r="AIP314" s="117"/>
      <c r="AIQ314" s="117"/>
      <c r="AIR314" s="117"/>
      <c r="AIS314" s="117"/>
      <c r="AIT314" s="117"/>
      <c r="AIU314" s="117"/>
      <c r="AIV314" s="117"/>
      <c r="AIW314" s="117"/>
      <c r="AIX314" s="117"/>
      <c r="AIY314" s="117"/>
      <c r="AIZ314" s="117"/>
      <c r="AJA314" s="117"/>
      <c r="AJB314" s="117"/>
      <c r="AJC314" s="117"/>
      <c r="AJD314" s="117"/>
      <c r="AJE314" s="117"/>
      <c r="AJF314" s="117"/>
      <c r="AJG314" s="117"/>
      <c r="AJH314" s="117"/>
      <c r="AJI314" s="117"/>
      <c r="AJJ314" s="117"/>
      <c r="AJK314" s="117"/>
      <c r="AJL314" s="117"/>
      <c r="AJM314" s="117"/>
      <c r="AJN314" s="117"/>
      <c r="AJO314" s="117"/>
      <c r="AJP314" s="117"/>
      <c r="AJQ314" s="117"/>
      <c r="AJR314" s="117"/>
      <c r="AJS314" s="117"/>
      <c r="AJT314" s="117"/>
      <c r="AJU314" s="117"/>
      <c r="AJV314" s="117"/>
      <c r="AJW314" s="117"/>
      <c r="AJX314" s="117"/>
      <c r="AJY314" s="117"/>
      <c r="AJZ314" s="117"/>
      <c r="AKA314" s="117"/>
      <c r="AKB314" s="117"/>
      <c r="AKC314" s="117"/>
      <c r="AKD314" s="117"/>
      <c r="AKE314" s="117"/>
      <c r="AKF314" s="117"/>
      <c r="AKG314" s="117"/>
      <c r="AKH314" s="117"/>
      <c r="AKI314" s="117"/>
      <c r="AKJ314" s="117"/>
      <c r="AKK314" s="117"/>
      <c r="AKL314" s="117"/>
      <c r="AKM314" s="117"/>
      <c r="AKN314" s="117"/>
      <c r="AKO314" s="117"/>
      <c r="AKP314" s="117"/>
      <c r="AKQ314" s="117"/>
      <c r="AKR314" s="117"/>
      <c r="AKS314" s="117"/>
      <c r="AKT314" s="117"/>
      <c r="AKU314" s="117"/>
      <c r="AKV314" s="117"/>
      <c r="AKW314" s="117"/>
      <c r="AKX314" s="117"/>
      <c r="AKY314" s="117"/>
      <c r="AKZ314" s="117"/>
      <c r="ALA314" s="117"/>
      <c r="ALB314" s="117"/>
      <c r="ALC314" s="117"/>
      <c r="ALD314" s="117"/>
      <c r="ALE314" s="117"/>
      <c r="ALF314" s="117"/>
      <c r="ALG314" s="117"/>
      <c r="ALH314" s="117"/>
      <c r="ALI314" s="117"/>
      <c r="ALJ314" s="117"/>
      <c r="ALK314" s="117"/>
      <c r="ALL314" s="117"/>
      <c r="ALM314" s="117"/>
      <c r="ALN314" s="117"/>
      <c r="ALO314" s="117"/>
      <c r="ALP314" s="117"/>
      <c r="ALQ314" s="117"/>
      <c r="ALR314" s="117"/>
      <c r="ALS314" s="117"/>
      <c r="ALT314" s="117"/>
      <c r="ALU314" s="117"/>
      <c r="ALV314" s="117"/>
      <c r="ALW314" s="117"/>
      <c r="ALX314" s="117"/>
      <c r="ALY314" s="117"/>
      <c r="ALZ314" s="117"/>
      <c r="AMA314" s="117"/>
      <c r="AMB314" s="117"/>
      <c r="AMC314" s="117"/>
      <c r="AMD314" s="117"/>
      <c r="AME314" s="117"/>
    </row>
    <row r="315" spans="1:1019" s="191" customFormat="1" ht="11.25" customHeight="1">
      <c r="A315" s="139">
        <v>313</v>
      </c>
      <c r="B315" s="139"/>
      <c r="C315" s="140"/>
      <c r="D315" s="190">
        <v>1</v>
      </c>
      <c r="E315" s="190">
        <f t="shared" si="47"/>
        <v>26</v>
      </c>
      <c r="F315" s="173" t="s">
        <v>517</v>
      </c>
      <c r="G315" s="172">
        <f t="shared" si="58"/>
        <v>1395</v>
      </c>
      <c r="H315" s="143">
        <f>INT((G315*Valores!$C$2*100)+0.5)/100</f>
        <v>13028.88</v>
      </c>
      <c r="I315" s="161">
        <v>0</v>
      </c>
      <c r="J315" s="145">
        <f>INT((I315*Valores!$C$2*100)+0.5)/100</f>
        <v>0</v>
      </c>
      <c r="K315" s="160">
        <v>0</v>
      </c>
      <c r="L315" s="145">
        <f>INT((K315*Valores!$C$2*100)+0.5)/100</f>
        <v>0</v>
      </c>
      <c r="M315" s="158">
        <v>0</v>
      </c>
      <c r="N315" s="145">
        <f>INT((M315*Valores!$C$2*100)+0.5)/100</f>
        <v>0</v>
      </c>
      <c r="O315" s="145">
        <f t="shared" si="48"/>
        <v>2046.4694999999997</v>
      </c>
      <c r="P315" s="145">
        <f t="shared" si="49"/>
        <v>0</v>
      </c>
      <c r="Q315" s="159">
        <v>0</v>
      </c>
      <c r="R315" s="159">
        <v>0</v>
      </c>
      <c r="S315" s="145">
        <v>0</v>
      </c>
      <c r="T315" s="148">
        <f>IF($H$5="NO",IF(Valores!$C$46*D315&gt;Valores!$C$44,Valores!$C$44,Valores!$C$46*D315),IF(Valores!$C$46*D315&gt;Valores!$C$44,Valores!$C$44,Valores!$C$46*D315)/2)*9</f>
        <v>614.25</v>
      </c>
      <c r="U315" s="148">
        <v>0</v>
      </c>
      <c r="V315" s="145">
        <f t="shared" si="57"/>
        <v>0</v>
      </c>
      <c r="W315" s="145">
        <v>0</v>
      </c>
      <c r="X315" s="145">
        <v>0</v>
      </c>
      <c r="Y315" s="165">
        <v>0</v>
      </c>
      <c r="Z315" s="145">
        <v>0</v>
      </c>
      <c r="AA315" s="145">
        <v>0</v>
      </c>
      <c r="AB315" s="148"/>
      <c r="AC315" s="150">
        <v>0</v>
      </c>
      <c r="AD315" s="145">
        <f t="shared" si="51"/>
        <v>0</v>
      </c>
      <c r="AE315" s="145">
        <v>0</v>
      </c>
      <c r="AF315" s="149">
        <v>0</v>
      </c>
      <c r="AG315" s="145">
        <f>INT(((AF315*Valores!$C$2)*100)+0.5)/100</f>
        <v>0</v>
      </c>
      <c r="AH315" s="145"/>
      <c r="AI315" s="145"/>
      <c r="AJ315" s="151">
        <f t="shared" si="52"/>
        <v>15689.599499999998</v>
      </c>
      <c r="AK315" s="171"/>
      <c r="AL315" s="148">
        <f>Valores!$C$11+AL314</f>
        <v>0</v>
      </c>
      <c r="AM315" s="148">
        <v>0</v>
      </c>
      <c r="AN315" s="148"/>
      <c r="AO315" s="150">
        <v>0</v>
      </c>
      <c r="AP315" s="152">
        <f t="shared" si="50"/>
        <v>0</v>
      </c>
      <c r="AQ315" s="154">
        <f>AJ315*-Valores!$C$68</f>
        <v>-1725.8559449999998</v>
      </c>
      <c r="AR315" s="154">
        <f>AJ315*-Valores!$C$69</f>
        <v>0</v>
      </c>
      <c r="AS315" s="147">
        <f>AJ315*-Valores!$C$70</f>
        <v>-706.0319774999999</v>
      </c>
      <c r="AT315" s="147">
        <v>-159.43</v>
      </c>
      <c r="AU315" s="147">
        <f t="shared" si="53"/>
        <v>-53.83</v>
      </c>
      <c r="AV315" s="151">
        <f t="shared" si="54"/>
        <v>13044.451577499998</v>
      </c>
      <c r="AW315" s="155"/>
      <c r="AX315" s="155"/>
      <c r="AY315" s="140"/>
      <c r="AZ315" s="117"/>
      <c r="BA315" s="117"/>
      <c r="BB315" s="117"/>
      <c r="BC315" s="117"/>
      <c r="BD315" s="117"/>
      <c r="BE315" s="117"/>
      <c r="BF315" s="117"/>
      <c r="BG315" s="117"/>
      <c r="BH315" s="117"/>
      <c r="BI315" s="117"/>
      <c r="BJ315" s="117"/>
      <c r="BK315" s="117"/>
      <c r="BL315" s="117"/>
      <c r="BM315" s="117"/>
      <c r="BN315" s="117"/>
      <c r="BO315" s="117"/>
      <c r="BP315" s="117"/>
      <c r="BQ315" s="117"/>
      <c r="BR315" s="117"/>
      <c r="BS315" s="117"/>
      <c r="BT315" s="117"/>
      <c r="BU315" s="117"/>
      <c r="BV315" s="117"/>
      <c r="BW315" s="117"/>
      <c r="BX315" s="117"/>
      <c r="BY315" s="117"/>
      <c r="BZ315" s="117"/>
      <c r="CA315" s="117"/>
      <c r="CB315" s="117"/>
      <c r="CC315" s="117"/>
      <c r="CD315" s="117"/>
      <c r="CE315" s="117"/>
      <c r="CF315" s="117"/>
      <c r="CG315" s="117"/>
      <c r="CH315" s="117"/>
      <c r="CI315" s="117"/>
      <c r="CJ315" s="117"/>
      <c r="CK315" s="117"/>
      <c r="CL315" s="117"/>
      <c r="CM315" s="117"/>
      <c r="CN315" s="117"/>
      <c r="CO315" s="117"/>
      <c r="CP315" s="117"/>
      <c r="CQ315" s="117"/>
      <c r="CR315" s="117"/>
      <c r="CS315" s="117"/>
      <c r="CT315" s="117"/>
      <c r="CU315" s="117"/>
      <c r="CV315" s="117"/>
      <c r="CW315" s="117"/>
      <c r="CX315" s="117"/>
      <c r="CY315" s="117"/>
      <c r="CZ315" s="117"/>
      <c r="DA315" s="117"/>
      <c r="DB315" s="117"/>
      <c r="DC315" s="117"/>
      <c r="DD315" s="117"/>
      <c r="DE315" s="117"/>
      <c r="DF315" s="117"/>
      <c r="DG315" s="117"/>
      <c r="DH315" s="117"/>
      <c r="DI315" s="117"/>
      <c r="DJ315" s="117"/>
      <c r="DK315" s="117"/>
      <c r="DL315" s="117"/>
      <c r="DM315" s="117"/>
      <c r="DN315" s="117"/>
      <c r="DO315" s="117"/>
      <c r="DP315" s="117"/>
      <c r="DQ315" s="117"/>
      <c r="DR315" s="117"/>
      <c r="DS315" s="117"/>
      <c r="DT315" s="117"/>
      <c r="DU315" s="117"/>
      <c r="DV315" s="117"/>
      <c r="DW315" s="117"/>
      <c r="DX315" s="117"/>
      <c r="DY315" s="117"/>
      <c r="DZ315" s="117"/>
      <c r="EA315" s="117"/>
      <c r="EB315" s="117"/>
      <c r="EC315" s="117"/>
      <c r="ED315" s="117"/>
      <c r="EE315" s="117"/>
      <c r="EF315" s="117"/>
      <c r="EG315" s="117"/>
      <c r="EH315" s="117"/>
      <c r="EI315" s="117"/>
      <c r="EJ315" s="117"/>
      <c r="EK315" s="117"/>
      <c r="EL315" s="117"/>
      <c r="EM315" s="117"/>
      <c r="EN315" s="117"/>
      <c r="EO315" s="117"/>
      <c r="EP315" s="117"/>
      <c r="EQ315" s="117"/>
      <c r="ER315" s="117"/>
      <c r="ES315" s="117"/>
      <c r="ET315" s="117"/>
      <c r="EU315" s="117"/>
      <c r="EV315" s="117"/>
      <c r="EW315" s="117"/>
      <c r="EX315" s="117"/>
      <c r="EY315" s="117"/>
      <c r="EZ315" s="117"/>
      <c r="FA315" s="117"/>
      <c r="FB315" s="117"/>
      <c r="FC315" s="117"/>
      <c r="FD315" s="117"/>
      <c r="FE315" s="117"/>
      <c r="FF315" s="117"/>
      <c r="FG315" s="117"/>
      <c r="FH315" s="117"/>
      <c r="FI315" s="117"/>
      <c r="FJ315" s="117"/>
      <c r="FK315" s="117"/>
      <c r="FL315" s="117"/>
      <c r="FM315" s="117"/>
      <c r="FN315" s="117"/>
      <c r="FO315" s="117"/>
      <c r="FP315" s="117"/>
      <c r="FQ315" s="117"/>
      <c r="FR315" s="117"/>
      <c r="FS315" s="117"/>
      <c r="FT315" s="117"/>
      <c r="FU315" s="117"/>
      <c r="FV315" s="117"/>
      <c r="FW315" s="117"/>
      <c r="FX315" s="117"/>
      <c r="FY315" s="117"/>
      <c r="FZ315" s="117"/>
      <c r="GA315" s="117"/>
      <c r="GB315" s="117"/>
      <c r="GC315" s="117"/>
      <c r="GD315" s="117"/>
      <c r="GE315" s="117"/>
      <c r="GF315" s="117"/>
      <c r="GG315" s="117"/>
      <c r="GH315" s="117"/>
      <c r="GI315" s="117"/>
      <c r="GJ315" s="117"/>
      <c r="GK315" s="117"/>
      <c r="GL315" s="117"/>
      <c r="GM315" s="117"/>
      <c r="GN315" s="117"/>
      <c r="GO315" s="117"/>
      <c r="GP315" s="117"/>
      <c r="GQ315" s="117"/>
      <c r="GR315" s="117"/>
      <c r="GS315" s="117"/>
      <c r="GT315" s="117"/>
      <c r="GU315" s="117"/>
      <c r="GV315" s="117"/>
      <c r="GW315" s="117"/>
      <c r="GX315" s="117"/>
      <c r="GY315" s="117"/>
      <c r="GZ315" s="117"/>
      <c r="HA315" s="117"/>
      <c r="HB315" s="117"/>
      <c r="HC315" s="117"/>
      <c r="HD315" s="117"/>
      <c r="HE315" s="117"/>
      <c r="HF315" s="117"/>
      <c r="HG315" s="117"/>
      <c r="HH315" s="117"/>
      <c r="HI315" s="117"/>
      <c r="HJ315" s="117"/>
      <c r="HK315" s="117"/>
      <c r="HL315" s="117"/>
      <c r="HM315" s="117"/>
      <c r="HN315" s="117"/>
      <c r="HO315" s="117"/>
      <c r="HP315" s="117"/>
      <c r="HQ315" s="117"/>
      <c r="HR315" s="117"/>
      <c r="HS315" s="117"/>
      <c r="HT315" s="117"/>
      <c r="HU315" s="117"/>
      <c r="HV315" s="117"/>
      <c r="HW315" s="117"/>
      <c r="HX315" s="117"/>
      <c r="HY315" s="117"/>
      <c r="HZ315" s="117"/>
      <c r="IA315" s="117"/>
      <c r="IB315" s="117"/>
      <c r="IC315" s="117"/>
      <c r="ID315" s="117"/>
      <c r="IE315" s="117"/>
      <c r="IF315" s="117"/>
      <c r="IG315" s="117"/>
      <c r="IH315" s="117"/>
      <c r="II315" s="117"/>
      <c r="IJ315" s="117"/>
      <c r="IK315" s="117"/>
      <c r="IL315" s="117"/>
      <c r="IM315" s="117"/>
      <c r="IN315" s="117"/>
      <c r="IO315" s="117"/>
      <c r="IP315" s="117"/>
      <c r="IQ315" s="117"/>
      <c r="IR315" s="117"/>
      <c r="IS315" s="117"/>
      <c r="IT315" s="117"/>
      <c r="IU315" s="117"/>
      <c r="IV315" s="117"/>
      <c r="IW315" s="117"/>
      <c r="IX315" s="117"/>
      <c r="IY315" s="117"/>
      <c r="IZ315" s="117"/>
      <c r="JA315" s="117"/>
      <c r="JB315" s="117"/>
      <c r="JC315" s="117"/>
      <c r="JD315" s="117"/>
      <c r="JE315" s="117"/>
      <c r="JF315" s="117"/>
      <c r="JG315" s="117"/>
      <c r="JH315" s="117"/>
      <c r="JI315" s="117"/>
      <c r="JJ315" s="117"/>
      <c r="JK315" s="117"/>
      <c r="JL315" s="117"/>
      <c r="JM315" s="117"/>
      <c r="JN315" s="117"/>
      <c r="JO315" s="117"/>
      <c r="JP315" s="117"/>
      <c r="JQ315" s="117"/>
      <c r="JR315" s="117"/>
      <c r="JS315" s="117"/>
      <c r="JT315" s="117"/>
      <c r="JU315" s="117"/>
      <c r="JV315" s="117"/>
      <c r="JW315" s="117"/>
      <c r="JX315" s="117"/>
      <c r="JY315" s="117"/>
      <c r="JZ315" s="117"/>
      <c r="KA315" s="117"/>
      <c r="KB315" s="117"/>
      <c r="KC315" s="117"/>
      <c r="KD315" s="117"/>
      <c r="KE315" s="117"/>
      <c r="KF315" s="117"/>
      <c r="KG315" s="117"/>
      <c r="KH315" s="117"/>
      <c r="KI315" s="117"/>
      <c r="KJ315" s="117"/>
      <c r="KK315" s="117"/>
      <c r="KL315" s="117"/>
      <c r="KM315" s="117"/>
      <c r="KN315" s="117"/>
      <c r="KO315" s="117"/>
      <c r="KP315" s="117"/>
      <c r="KQ315" s="117"/>
      <c r="KR315" s="117"/>
      <c r="KS315" s="117"/>
      <c r="KT315" s="117"/>
      <c r="KU315" s="117"/>
      <c r="KV315" s="117"/>
      <c r="KW315" s="117"/>
      <c r="KX315" s="117"/>
      <c r="KY315" s="117"/>
      <c r="KZ315" s="117"/>
      <c r="LA315" s="117"/>
      <c r="LB315" s="117"/>
      <c r="LC315" s="117"/>
      <c r="LD315" s="117"/>
      <c r="LE315" s="117"/>
      <c r="LF315" s="117"/>
      <c r="LG315" s="117"/>
      <c r="LH315" s="117"/>
      <c r="LI315" s="117"/>
      <c r="LJ315" s="117"/>
      <c r="LK315" s="117"/>
      <c r="LL315" s="117"/>
      <c r="LM315" s="117"/>
      <c r="LN315" s="117"/>
      <c r="LO315" s="117"/>
      <c r="LP315" s="117"/>
      <c r="LQ315" s="117"/>
      <c r="LR315" s="117"/>
      <c r="LS315" s="117"/>
      <c r="LT315" s="117"/>
      <c r="LU315" s="117"/>
      <c r="LV315" s="117"/>
      <c r="LW315" s="117"/>
      <c r="LX315" s="117"/>
      <c r="LY315" s="117"/>
      <c r="LZ315" s="117"/>
      <c r="MA315" s="117"/>
      <c r="MB315" s="117"/>
      <c r="MC315" s="117"/>
      <c r="MD315" s="117"/>
      <c r="ME315" s="117"/>
      <c r="MF315" s="117"/>
      <c r="MG315" s="117"/>
      <c r="MH315" s="117"/>
      <c r="MI315" s="117"/>
      <c r="MJ315" s="117"/>
      <c r="MK315" s="117"/>
      <c r="ML315" s="117"/>
      <c r="MM315" s="117"/>
      <c r="MN315" s="117"/>
      <c r="MO315" s="117"/>
      <c r="MP315" s="117"/>
      <c r="MQ315" s="117"/>
      <c r="MR315" s="117"/>
      <c r="MS315" s="117"/>
      <c r="MT315" s="117"/>
      <c r="MU315" s="117"/>
      <c r="MV315" s="117"/>
      <c r="MW315" s="117"/>
      <c r="MX315" s="117"/>
      <c r="MY315" s="117"/>
      <c r="MZ315" s="117"/>
      <c r="NA315" s="117"/>
      <c r="NB315" s="117"/>
      <c r="NC315" s="117"/>
      <c r="ND315" s="117"/>
      <c r="NE315" s="117"/>
      <c r="NF315" s="117"/>
      <c r="NG315" s="117"/>
      <c r="NH315" s="117"/>
      <c r="NI315" s="117"/>
      <c r="NJ315" s="117"/>
      <c r="NK315" s="117"/>
      <c r="NL315" s="117"/>
      <c r="NM315" s="117"/>
      <c r="NN315" s="117"/>
      <c r="NO315" s="117"/>
      <c r="NP315" s="117"/>
      <c r="NQ315" s="117"/>
      <c r="NR315" s="117"/>
      <c r="NS315" s="117"/>
      <c r="NT315" s="117"/>
      <c r="NU315" s="117"/>
      <c r="NV315" s="117"/>
      <c r="NW315" s="117"/>
      <c r="NX315" s="117"/>
      <c r="NY315" s="117"/>
      <c r="NZ315" s="117"/>
      <c r="OA315" s="117"/>
      <c r="OB315" s="117"/>
      <c r="OC315" s="117"/>
      <c r="OD315" s="117"/>
      <c r="OE315" s="117"/>
      <c r="OF315" s="117"/>
      <c r="OG315" s="117"/>
      <c r="OH315" s="117"/>
      <c r="OI315" s="117"/>
      <c r="OJ315" s="117"/>
      <c r="OK315" s="117"/>
      <c r="OL315" s="117"/>
      <c r="OM315" s="117"/>
      <c r="ON315" s="117"/>
      <c r="OO315" s="117"/>
      <c r="OP315" s="117"/>
      <c r="OQ315" s="117"/>
      <c r="OR315" s="117"/>
      <c r="OS315" s="117"/>
      <c r="OT315" s="117"/>
      <c r="OU315" s="117"/>
      <c r="OV315" s="117"/>
      <c r="OW315" s="117"/>
      <c r="OX315" s="117"/>
      <c r="OY315" s="117"/>
      <c r="OZ315" s="117"/>
      <c r="PA315" s="117"/>
      <c r="PB315" s="117"/>
      <c r="PC315" s="117"/>
      <c r="PD315" s="117"/>
      <c r="PE315" s="117"/>
      <c r="PF315" s="117"/>
      <c r="PG315" s="117"/>
      <c r="PH315" s="117"/>
      <c r="PI315" s="117"/>
      <c r="PJ315" s="117"/>
      <c r="PK315" s="117"/>
      <c r="PL315" s="117"/>
      <c r="PM315" s="117"/>
      <c r="PN315" s="117"/>
      <c r="PO315" s="117"/>
      <c r="PP315" s="117"/>
      <c r="PQ315" s="117"/>
      <c r="PR315" s="117"/>
      <c r="PS315" s="117"/>
      <c r="PT315" s="117"/>
      <c r="PU315" s="117"/>
      <c r="PV315" s="117"/>
      <c r="PW315" s="117"/>
      <c r="PX315" s="117"/>
      <c r="PY315" s="117"/>
      <c r="PZ315" s="117"/>
      <c r="QA315" s="117"/>
      <c r="QB315" s="117"/>
      <c r="QC315" s="117"/>
      <c r="QD315" s="117"/>
      <c r="QE315" s="117"/>
      <c r="QF315" s="117"/>
      <c r="QG315" s="117"/>
      <c r="QH315" s="117"/>
      <c r="QI315" s="117"/>
      <c r="QJ315" s="117"/>
      <c r="QK315" s="117"/>
      <c r="QL315" s="117"/>
      <c r="QM315" s="117"/>
      <c r="QN315" s="117"/>
      <c r="QO315" s="117"/>
      <c r="QP315" s="117"/>
      <c r="QQ315" s="117"/>
      <c r="QR315" s="117"/>
      <c r="QS315" s="117"/>
      <c r="QT315" s="117"/>
      <c r="QU315" s="117"/>
      <c r="QV315" s="117"/>
      <c r="QW315" s="117"/>
      <c r="QX315" s="117"/>
      <c r="QY315" s="117"/>
      <c r="QZ315" s="117"/>
      <c r="RA315" s="117"/>
      <c r="RB315" s="117"/>
      <c r="RC315" s="117"/>
      <c r="RD315" s="117"/>
      <c r="RE315" s="117"/>
      <c r="RF315" s="117"/>
      <c r="RG315" s="117"/>
      <c r="RH315" s="117"/>
      <c r="RI315" s="117"/>
      <c r="RJ315" s="117"/>
      <c r="RK315" s="117"/>
      <c r="RL315" s="117"/>
      <c r="RM315" s="117"/>
      <c r="RN315" s="117"/>
      <c r="RO315" s="117"/>
      <c r="RP315" s="117"/>
      <c r="RQ315" s="117"/>
      <c r="RR315" s="117"/>
      <c r="RS315" s="117"/>
      <c r="RT315" s="117"/>
      <c r="RU315" s="117"/>
      <c r="RV315" s="117"/>
      <c r="RW315" s="117"/>
      <c r="RX315" s="117"/>
      <c r="RY315" s="117"/>
      <c r="RZ315" s="117"/>
      <c r="SA315" s="117"/>
      <c r="SB315" s="117"/>
      <c r="SC315" s="117"/>
      <c r="SD315" s="117"/>
      <c r="SE315" s="117"/>
      <c r="SF315" s="117"/>
      <c r="SG315" s="117"/>
      <c r="SH315" s="117"/>
      <c r="SI315" s="117"/>
      <c r="SJ315" s="117"/>
      <c r="SK315" s="117"/>
      <c r="SL315" s="117"/>
      <c r="SM315" s="117"/>
      <c r="SN315" s="117"/>
      <c r="SO315" s="117"/>
      <c r="SP315" s="117"/>
      <c r="SQ315" s="117"/>
      <c r="SR315" s="117"/>
      <c r="SS315" s="117"/>
      <c r="ST315" s="117"/>
      <c r="SU315" s="117"/>
      <c r="SV315" s="117"/>
      <c r="SW315" s="117"/>
      <c r="SX315" s="117"/>
      <c r="SY315" s="117"/>
      <c r="SZ315" s="117"/>
      <c r="TA315" s="117"/>
      <c r="TB315" s="117"/>
      <c r="TC315" s="117"/>
      <c r="TD315" s="117"/>
      <c r="TE315" s="117"/>
      <c r="TF315" s="117"/>
      <c r="TG315" s="117"/>
      <c r="TH315" s="117"/>
      <c r="TI315" s="117"/>
      <c r="TJ315" s="117"/>
      <c r="TK315" s="117"/>
      <c r="TL315" s="117"/>
      <c r="TM315" s="117"/>
      <c r="TN315" s="117"/>
      <c r="TO315" s="117"/>
      <c r="TP315" s="117"/>
      <c r="TQ315" s="117"/>
      <c r="TR315" s="117"/>
      <c r="TS315" s="117"/>
      <c r="TT315" s="117"/>
      <c r="TU315" s="117"/>
      <c r="TV315" s="117"/>
      <c r="TW315" s="117"/>
      <c r="TX315" s="117"/>
      <c r="TY315" s="117"/>
      <c r="TZ315" s="117"/>
      <c r="UA315" s="117"/>
      <c r="UB315" s="117"/>
      <c r="UC315" s="117"/>
      <c r="UD315" s="117"/>
      <c r="UE315" s="117"/>
      <c r="UF315" s="117"/>
      <c r="UG315" s="117"/>
      <c r="UH315" s="117"/>
      <c r="UI315" s="117"/>
      <c r="UJ315" s="117"/>
      <c r="UK315" s="117"/>
      <c r="UL315" s="117"/>
      <c r="UM315" s="117"/>
      <c r="UN315" s="117"/>
      <c r="UO315" s="117"/>
      <c r="UP315" s="117"/>
      <c r="UQ315" s="117"/>
      <c r="UR315" s="117"/>
      <c r="US315" s="117"/>
      <c r="UT315" s="117"/>
      <c r="UU315" s="117"/>
      <c r="UV315" s="117"/>
      <c r="UW315" s="117"/>
      <c r="UX315" s="117"/>
      <c r="UY315" s="117"/>
      <c r="UZ315" s="117"/>
      <c r="VA315" s="117"/>
      <c r="VB315" s="117"/>
      <c r="VC315" s="117"/>
      <c r="VD315" s="117"/>
      <c r="VE315" s="117"/>
      <c r="VF315" s="117"/>
      <c r="VG315" s="117"/>
      <c r="VH315" s="117"/>
      <c r="VI315" s="117"/>
      <c r="VJ315" s="117"/>
      <c r="VK315" s="117"/>
      <c r="VL315" s="117"/>
      <c r="VM315" s="117"/>
      <c r="VN315" s="117"/>
      <c r="VO315" s="117"/>
      <c r="VP315" s="117"/>
      <c r="VQ315" s="117"/>
      <c r="VR315" s="117"/>
      <c r="VS315" s="117"/>
      <c r="VT315" s="117"/>
      <c r="VU315" s="117"/>
      <c r="VV315" s="117"/>
      <c r="VW315" s="117"/>
      <c r="VX315" s="117"/>
      <c r="VY315" s="117"/>
      <c r="VZ315" s="117"/>
      <c r="WA315" s="117"/>
      <c r="WB315" s="117"/>
      <c r="WC315" s="117"/>
      <c r="WD315" s="117"/>
      <c r="WE315" s="117"/>
      <c r="WF315" s="117"/>
      <c r="WG315" s="117"/>
      <c r="WH315" s="117"/>
      <c r="WI315" s="117"/>
      <c r="WJ315" s="117"/>
      <c r="WK315" s="117"/>
      <c r="WL315" s="117"/>
      <c r="WM315" s="117"/>
      <c r="WN315" s="117"/>
      <c r="WO315" s="117"/>
      <c r="WP315" s="117"/>
      <c r="WQ315" s="117"/>
      <c r="WR315" s="117"/>
      <c r="WS315" s="117"/>
      <c r="WT315" s="117"/>
      <c r="WU315" s="117"/>
      <c r="WV315" s="117"/>
      <c r="WW315" s="117"/>
      <c r="WX315" s="117"/>
      <c r="WY315" s="117"/>
      <c r="WZ315" s="117"/>
      <c r="XA315" s="117"/>
      <c r="XB315" s="117"/>
      <c r="XC315" s="117"/>
      <c r="XD315" s="117"/>
      <c r="XE315" s="117"/>
      <c r="XF315" s="117"/>
      <c r="XG315" s="117"/>
      <c r="XH315" s="117"/>
      <c r="XI315" s="117"/>
      <c r="XJ315" s="117"/>
      <c r="XK315" s="117"/>
      <c r="XL315" s="117"/>
      <c r="XM315" s="117"/>
      <c r="XN315" s="117"/>
      <c r="XO315" s="117"/>
      <c r="XP315" s="117"/>
      <c r="XQ315" s="117"/>
      <c r="XR315" s="117"/>
      <c r="XS315" s="117"/>
      <c r="XT315" s="117"/>
      <c r="XU315" s="117"/>
      <c r="XV315" s="117"/>
      <c r="XW315" s="117"/>
      <c r="XX315" s="117"/>
      <c r="XY315" s="117"/>
      <c r="XZ315" s="117"/>
      <c r="YA315" s="117"/>
      <c r="YB315" s="117"/>
      <c r="YC315" s="117"/>
      <c r="YD315" s="117"/>
      <c r="YE315" s="117"/>
      <c r="YF315" s="117"/>
      <c r="YG315" s="117"/>
      <c r="YH315" s="117"/>
      <c r="YI315" s="117"/>
      <c r="YJ315" s="117"/>
      <c r="YK315" s="117"/>
      <c r="YL315" s="117"/>
      <c r="YM315" s="117"/>
      <c r="YN315" s="117"/>
      <c r="YO315" s="117"/>
      <c r="YP315" s="117"/>
      <c r="YQ315" s="117"/>
      <c r="YR315" s="117"/>
      <c r="YS315" s="117"/>
      <c r="YT315" s="117"/>
      <c r="YU315" s="117"/>
      <c r="YV315" s="117"/>
      <c r="YW315" s="117"/>
      <c r="YX315" s="117"/>
      <c r="YY315" s="117"/>
      <c r="YZ315" s="117"/>
      <c r="ZA315" s="117"/>
      <c r="ZB315" s="117"/>
      <c r="ZC315" s="117"/>
      <c r="ZD315" s="117"/>
      <c r="ZE315" s="117"/>
      <c r="ZF315" s="117"/>
      <c r="ZG315" s="117"/>
      <c r="ZH315" s="117"/>
      <c r="ZI315" s="117"/>
      <c r="ZJ315" s="117"/>
      <c r="ZK315" s="117"/>
      <c r="ZL315" s="117"/>
      <c r="ZM315" s="117"/>
      <c r="ZN315" s="117"/>
      <c r="ZO315" s="117"/>
      <c r="ZP315" s="117"/>
      <c r="ZQ315" s="117"/>
      <c r="ZR315" s="117"/>
      <c r="ZS315" s="117"/>
      <c r="ZT315" s="117"/>
      <c r="ZU315" s="117"/>
      <c r="ZV315" s="117"/>
      <c r="ZW315" s="117"/>
      <c r="ZX315" s="117"/>
      <c r="ZY315" s="117"/>
      <c r="ZZ315" s="117"/>
      <c r="AAA315" s="117"/>
      <c r="AAB315" s="117"/>
      <c r="AAC315" s="117"/>
      <c r="AAD315" s="117"/>
      <c r="AAE315" s="117"/>
      <c r="AAF315" s="117"/>
      <c r="AAG315" s="117"/>
      <c r="AAH315" s="117"/>
      <c r="AAI315" s="117"/>
      <c r="AAJ315" s="117"/>
      <c r="AAK315" s="117"/>
      <c r="AAL315" s="117"/>
      <c r="AAM315" s="117"/>
      <c r="AAN315" s="117"/>
      <c r="AAO315" s="117"/>
      <c r="AAP315" s="117"/>
      <c r="AAQ315" s="117"/>
      <c r="AAR315" s="117"/>
      <c r="AAS315" s="117"/>
      <c r="AAT315" s="117"/>
      <c r="AAU315" s="117"/>
      <c r="AAV315" s="117"/>
      <c r="AAW315" s="117"/>
      <c r="AAX315" s="117"/>
      <c r="AAY315" s="117"/>
      <c r="AAZ315" s="117"/>
      <c r="ABA315" s="117"/>
      <c r="ABB315" s="117"/>
      <c r="ABC315" s="117"/>
      <c r="ABD315" s="117"/>
      <c r="ABE315" s="117"/>
      <c r="ABF315" s="117"/>
      <c r="ABG315" s="117"/>
      <c r="ABH315" s="117"/>
      <c r="ABI315" s="117"/>
      <c r="ABJ315" s="117"/>
      <c r="ABK315" s="117"/>
      <c r="ABL315" s="117"/>
      <c r="ABM315" s="117"/>
      <c r="ABN315" s="117"/>
      <c r="ABO315" s="117"/>
      <c r="ABP315" s="117"/>
      <c r="ABQ315" s="117"/>
      <c r="ABR315" s="117"/>
      <c r="ABS315" s="117"/>
      <c r="ABT315" s="117"/>
      <c r="ABU315" s="117"/>
      <c r="ABV315" s="117"/>
      <c r="ABW315" s="117"/>
      <c r="ABX315" s="117"/>
      <c r="ABY315" s="117"/>
      <c r="ABZ315" s="117"/>
      <c r="ACA315" s="117"/>
      <c r="ACB315" s="117"/>
      <c r="ACC315" s="117"/>
      <c r="ACD315" s="117"/>
      <c r="ACE315" s="117"/>
      <c r="ACF315" s="117"/>
      <c r="ACG315" s="117"/>
      <c r="ACH315" s="117"/>
      <c r="ACI315" s="117"/>
      <c r="ACJ315" s="117"/>
      <c r="ACK315" s="117"/>
      <c r="ACL315" s="117"/>
      <c r="ACM315" s="117"/>
      <c r="ACN315" s="117"/>
      <c r="ACO315" s="117"/>
      <c r="ACP315" s="117"/>
      <c r="ACQ315" s="117"/>
      <c r="ACR315" s="117"/>
      <c r="ACS315" s="117"/>
      <c r="ACT315" s="117"/>
      <c r="ACU315" s="117"/>
      <c r="ACV315" s="117"/>
      <c r="ACW315" s="117"/>
      <c r="ACX315" s="117"/>
      <c r="ACY315" s="117"/>
      <c r="ACZ315" s="117"/>
      <c r="ADA315" s="117"/>
      <c r="ADB315" s="117"/>
      <c r="ADC315" s="117"/>
      <c r="ADD315" s="117"/>
      <c r="ADE315" s="117"/>
      <c r="ADF315" s="117"/>
      <c r="ADG315" s="117"/>
      <c r="ADH315" s="117"/>
      <c r="ADI315" s="117"/>
      <c r="ADJ315" s="117"/>
      <c r="ADK315" s="117"/>
      <c r="ADL315" s="117"/>
      <c r="ADM315" s="117"/>
      <c r="ADN315" s="117"/>
      <c r="ADO315" s="117"/>
      <c r="ADP315" s="117"/>
      <c r="ADQ315" s="117"/>
      <c r="ADR315" s="117"/>
      <c r="ADS315" s="117"/>
      <c r="ADT315" s="117"/>
      <c r="ADU315" s="117"/>
      <c r="ADV315" s="117"/>
      <c r="ADW315" s="117"/>
      <c r="ADX315" s="117"/>
      <c r="ADY315" s="117"/>
      <c r="ADZ315" s="117"/>
      <c r="AEA315" s="117"/>
      <c r="AEB315" s="117"/>
      <c r="AEC315" s="117"/>
      <c r="AED315" s="117"/>
      <c r="AEE315" s="117"/>
      <c r="AEF315" s="117"/>
      <c r="AEG315" s="117"/>
      <c r="AEH315" s="117"/>
      <c r="AEI315" s="117"/>
      <c r="AEJ315" s="117"/>
      <c r="AEK315" s="117"/>
      <c r="AEL315" s="117"/>
      <c r="AEM315" s="117"/>
      <c r="AEN315" s="117"/>
      <c r="AEO315" s="117"/>
      <c r="AEP315" s="117"/>
      <c r="AEQ315" s="117"/>
      <c r="AER315" s="117"/>
      <c r="AES315" s="117"/>
      <c r="AET315" s="117"/>
      <c r="AEU315" s="117"/>
      <c r="AEV315" s="117"/>
      <c r="AEW315" s="117"/>
      <c r="AEX315" s="117"/>
      <c r="AEY315" s="117"/>
      <c r="AEZ315" s="117"/>
      <c r="AFA315" s="117"/>
      <c r="AFB315" s="117"/>
      <c r="AFC315" s="117"/>
      <c r="AFD315" s="117"/>
      <c r="AFE315" s="117"/>
      <c r="AFF315" s="117"/>
      <c r="AFG315" s="117"/>
      <c r="AFH315" s="117"/>
      <c r="AFI315" s="117"/>
      <c r="AFJ315" s="117"/>
      <c r="AFK315" s="117"/>
      <c r="AFL315" s="117"/>
      <c r="AFM315" s="117"/>
      <c r="AFN315" s="117"/>
      <c r="AFO315" s="117"/>
      <c r="AFP315" s="117"/>
      <c r="AFQ315" s="117"/>
      <c r="AFR315" s="117"/>
      <c r="AFS315" s="117"/>
      <c r="AFT315" s="117"/>
      <c r="AFU315" s="117"/>
      <c r="AFV315" s="117"/>
      <c r="AFW315" s="117"/>
      <c r="AFX315" s="117"/>
      <c r="AFY315" s="117"/>
      <c r="AFZ315" s="117"/>
      <c r="AGA315" s="117"/>
      <c r="AGB315" s="117"/>
      <c r="AGC315" s="117"/>
      <c r="AGD315" s="117"/>
      <c r="AGE315" s="117"/>
      <c r="AGF315" s="117"/>
      <c r="AGG315" s="117"/>
      <c r="AGH315" s="117"/>
      <c r="AGI315" s="117"/>
      <c r="AGJ315" s="117"/>
      <c r="AGK315" s="117"/>
      <c r="AGL315" s="117"/>
      <c r="AGM315" s="117"/>
      <c r="AGN315" s="117"/>
      <c r="AGO315" s="117"/>
      <c r="AGP315" s="117"/>
      <c r="AGQ315" s="117"/>
      <c r="AGR315" s="117"/>
      <c r="AGS315" s="117"/>
      <c r="AGT315" s="117"/>
      <c r="AGU315" s="117"/>
      <c r="AGV315" s="117"/>
      <c r="AGW315" s="117"/>
      <c r="AGX315" s="117"/>
      <c r="AGY315" s="117"/>
      <c r="AGZ315" s="117"/>
      <c r="AHA315" s="117"/>
      <c r="AHB315" s="117"/>
      <c r="AHC315" s="117"/>
      <c r="AHD315" s="117"/>
      <c r="AHE315" s="117"/>
      <c r="AHF315" s="117"/>
      <c r="AHG315" s="117"/>
      <c r="AHH315" s="117"/>
      <c r="AHI315" s="117"/>
      <c r="AHJ315" s="117"/>
      <c r="AHK315" s="117"/>
      <c r="AHL315" s="117"/>
      <c r="AHM315" s="117"/>
      <c r="AHN315" s="117"/>
      <c r="AHO315" s="117"/>
      <c r="AHP315" s="117"/>
      <c r="AHQ315" s="117"/>
      <c r="AHR315" s="117"/>
      <c r="AHS315" s="117"/>
      <c r="AHT315" s="117"/>
      <c r="AHU315" s="117"/>
      <c r="AHV315" s="117"/>
      <c r="AHW315" s="117"/>
      <c r="AHX315" s="117"/>
      <c r="AHY315" s="117"/>
      <c r="AHZ315" s="117"/>
      <c r="AIA315" s="117"/>
      <c r="AIB315" s="117"/>
      <c r="AIC315" s="117"/>
      <c r="AID315" s="117"/>
      <c r="AIE315" s="117"/>
      <c r="AIF315" s="117"/>
      <c r="AIG315" s="117"/>
      <c r="AIH315" s="117"/>
      <c r="AII315" s="117"/>
      <c r="AIJ315" s="117"/>
      <c r="AIK315" s="117"/>
      <c r="AIL315" s="117"/>
      <c r="AIM315" s="117"/>
      <c r="AIN315" s="117"/>
      <c r="AIO315" s="117"/>
      <c r="AIP315" s="117"/>
      <c r="AIQ315" s="117"/>
      <c r="AIR315" s="117"/>
      <c r="AIS315" s="117"/>
      <c r="AIT315" s="117"/>
      <c r="AIU315" s="117"/>
      <c r="AIV315" s="117"/>
      <c r="AIW315" s="117"/>
      <c r="AIX315" s="117"/>
      <c r="AIY315" s="117"/>
      <c r="AIZ315" s="117"/>
      <c r="AJA315" s="117"/>
      <c r="AJB315" s="117"/>
      <c r="AJC315" s="117"/>
      <c r="AJD315" s="117"/>
      <c r="AJE315" s="117"/>
      <c r="AJF315" s="117"/>
      <c r="AJG315" s="117"/>
      <c r="AJH315" s="117"/>
      <c r="AJI315" s="117"/>
      <c r="AJJ315" s="117"/>
      <c r="AJK315" s="117"/>
      <c r="AJL315" s="117"/>
      <c r="AJM315" s="117"/>
      <c r="AJN315" s="117"/>
      <c r="AJO315" s="117"/>
      <c r="AJP315" s="117"/>
      <c r="AJQ315" s="117"/>
      <c r="AJR315" s="117"/>
      <c r="AJS315" s="117"/>
      <c r="AJT315" s="117"/>
      <c r="AJU315" s="117"/>
      <c r="AJV315" s="117"/>
      <c r="AJW315" s="117"/>
      <c r="AJX315" s="117"/>
      <c r="AJY315" s="117"/>
      <c r="AJZ315" s="117"/>
      <c r="AKA315" s="117"/>
      <c r="AKB315" s="117"/>
      <c r="AKC315" s="117"/>
      <c r="AKD315" s="117"/>
      <c r="AKE315" s="117"/>
      <c r="AKF315" s="117"/>
      <c r="AKG315" s="117"/>
      <c r="AKH315" s="117"/>
      <c r="AKI315" s="117"/>
      <c r="AKJ315" s="117"/>
      <c r="AKK315" s="117"/>
      <c r="AKL315" s="117"/>
      <c r="AKM315" s="117"/>
      <c r="AKN315" s="117"/>
      <c r="AKO315" s="117"/>
      <c r="AKP315" s="117"/>
      <c r="AKQ315" s="117"/>
      <c r="AKR315" s="117"/>
      <c r="AKS315" s="117"/>
      <c r="AKT315" s="117"/>
      <c r="AKU315" s="117"/>
      <c r="AKV315" s="117"/>
      <c r="AKW315" s="117"/>
      <c r="AKX315" s="117"/>
      <c r="AKY315" s="117"/>
      <c r="AKZ315" s="117"/>
      <c r="ALA315" s="117"/>
      <c r="ALB315" s="117"/>
      <c r="ALC315" s="117"/>
      <c r="ALD315" s="117"/>
      <c r="ALE315" s="117"/>
      <c r="ALF315" s="117"/>
      <c r="ALG315" s="117"/>
      <c r="ALH315" s="117"/>
      <c r="ALI315" s="117"/>
      <c r="ALJ315" s="117"/>
      <c r="ALK315" s="117"/>
      <c r="ALL315" s="117"/>
      <c r="ALM315" s="117"/>
      <c r="ALN315" s="117"/>
      <c r="ALO315" s="117"/>
      <c r="ALP315" s="117"/>
      <c r="ALQ315" s="117"/>
      <c r="ALR315" s="117"/>
      <c r="ALS315" s="117"/>
      <c r="ALT315" s="117"/>
      <c r="ALU315" s="117"/>
      <c r="ALV315" s="117"/>
      <c r="ALW315" s="117"/>
      <c r="ALX315" s="117"/>
      <c r="ALY315" s="117"/>
      <c r="ALZ315" s="117"/>
      <c r="AMA315" s="117"/>
      <c r="AMB315" s="117"/>
      <c r="AMC315" s="117"/>
      <c r="AMD315" s="117"/>
      <c r="AME315" s="117"/>
    </row>
    <row r="316" spans="1:1019" s="191" customFormat="1" ht="11.25" customHeight="1">
      <c r="A316" s="139">
        <v>314</v>
      </c>
      <c r="B316" s="139"/>
      <c r="C316" s="140"/>
      <c r="D316" s="190">
        <v>1</v>
      </c>
      <c r="E316" s="190">
        <f t="shared" si="47"/>
        <v>26</v>
      </c>
      <c r="F316" s="173" t="s">
        <v>518</v>
      </c>
      <c r="G316" s="172">
        <f t="shared" si="58"/>
        <v>1550</v>
      </c>
      <c r="H316" s="143">
        <f>INT((G316*Valores!$C$2*100)+0.5)/100</f>
        <v>14476.54</v>
      </c>
      <c r="I316" s="161">
        <v>0</v>
      </c>
      <c r="J316" s="145">
        <f>INT((I316*Valores!$C$2*100)+0.5)/100</f>
        <v>0</v>
      </c>
      <c r="K316" s="160">
        <v>0</v>
      </c>
      <c r="L316" s="145">
        <f>INT((K316*Valores!$C$2*100)+0.5)/100</f>
        <v>0</v>
      </c>
      <c r="M316" s="158">
        <v>0</v>
      </c>
      <c r="N316" s="145">
        <f>INT((M316*Valores!$C$2*100)+0.5)/100</f>
        <v>0</v>
      </c>
      <c r="O316" s="145">
        <f t="shared" si="48"/>
        <v>2273.856</v>
      </c>
      <c r="P316" s="145">
        <f t="shared" si="49"/>
        <v>0</v>
      </c>
      <c r="Q316" s="159">
        <v>0</v>
      </c>
      <c r="R316" s="159">
        <v>0</v>
      </c>
      <c r="S316" s="145">
        <v>0</v>
      </c>
      <c r="T316" s="148">
        <f>IF($H$5="NO",IF(Valores!$C$46*D316&gt;Valores!$C$44,Valores!$C$44,Valores!$C$46*D316),IF(Valores!$C$46*D316&gt;Valores!$C$44,Valores!$C$44,Valores!$C$46*D316)/2)*10</f>
        <v>682.5</v>
      </c>
      <c r="U316" s="159">
        <v>0</v>
      </c>
      <c r="V316" s="145">
        <f t="shared" si="57"/>
        <v>0</v>
      </c>
      <c r="W316" s="145">
        <v>0</v>
      </c>
      <c r="X316" s="145">
        <v>0</v>
      </c>
      <c r="Y316" s="165">
        <v>0</v>
      </c>
      <c r="Z316" s="145">
        <v>0</v>
      </c>
      <c r="AA316" s="145">
        <v>0</v>
      </c>
      <c r="AB316" s="148"/>
      <c r="AC316" s="150">
        <v>0</v>
      </c>
      <c r="AD316" s="145">
        <f t="shared" si="51"/>
        <v>0</v>
      </c>
      <c r="AE316" s="145">
        <v>0</v>
      </c>
      <c r="AF316" s="149">
        <v>0</v>
      </c>
      <c r="AG316" s="145">
        <f>INT(((AF316*Valores!$C$2)*100)+0.5)/100</f>
        <v>0</v>
      </c>
      <c r="AH316" s="145"/>
      <c r="AI316" s="145"/>
      <c r="AJ316" s="151">
        <f t="shared" si="52"/>
        <v>17432.896</v>
      </c>
      <c r="AK316" s="171"/>
      <c r="AL316" s="148">
        <f>Valores!$C$11+AL315</f>
        <v>0</v>
      </c>
      <c r="AM316" s="148">
        <v>0</v>
      </c>
      <c r="AN316" s="148"/>
      <c r="AO316" s="150">
        <v>0</v>
      </c>
      <c r="AP316" s="152">
        <f t="shared" si="50"/>
        <v>0</v>
      </c>
      <c r="AQ316" s="154">
        <f>AJ316*-Valores!$C$68</f>
        <v>-1917.6185600000001</v>
      </c>
      <c r="AR316" s="154">
        <f>AJ316*-Valores!$C$69</f>
        <v>0</v>
      </c>
      <c r="AS316" s="147">
        <f>AJ316*-Valores!$C$70</f>
        <v>-784.48032</v>
      </c>
      <c r="AT316" s="147">
        <v>-159.43</v>
      </c>
      <c r="AU316" s="147">
        <f t="shared" si="53"/>
        <v>-53.83</v>
      </c>
      <c r="AV316" s="151">
        <f t="shared" si="54"/>
        <v>14517.53712</v>
      </c>
      <c r="AW316" s="155"/>
      <c r="AX316" s="155"/>
      <c r="AY316" s="140"/>
      <c r="AZ316" s="117"/>
      <c r="BA316" s="117"/>
      <c r="BB316" s="117"/>
      <c r="BC316" s="117"/>
      <c r="BD316" s="117"/>
      <c r="BE316" s="117"/>
      <c r="BF316" s="117"/>
      <c r="BG316" s="117"/>
      <c r="BH316" s="117"/>
      <c r="BI316" s="117"/>
      <c r="BJ316" s="117"/>
      <c r="BK316" s="117"/>
      <c r="BL316" s="117"/>
      <c r="BM316" s="117"/>
      <c r="BN316" s="117"/>
      <c r="BO316" s="117"/>
      <c r="BP316" s="117"/>
      <c r="BQ316" s="117"/>
      <c r="BR316" s="117"/>
      <c r="BS316" s="117"/>
      <c r="BT316" s="117"/>
      <c r="BU316" s="117"/>
      <c r="BV316" s="117"/>
      <c r="BW316" s="117"/>
      <c r="BX316" s="117"/>
      <c r="BY316" s="117"/>
      <c r="BZ316" s="117"/>
      <c r="CA316" s="117"/>
      <c r="CB316" s="117"/>
      <c r="CC316" s="117"/>
      <c r="CD316" s="117"/>
      <c r="CE316" s="117"/>
      <c r="CF316" s="117"/>
      <c r="CG316" s="117"/>
      <c r="CH316" s="117"/>
      <c r="CI316" s="117"/>
      <c r="CJ316" s="117"/>
      <c r="CK316" s="117"/>
      <c r="CL316" s="117"/>
      <c r="CM316" s="117"/>
      <c r="CN316" s="117"/>
      <c r="CO316" s="117"/>
      <c r="CP316" s="117"/>
      <c r="CQ316" s="117"/>
      <c r="CR316" s="117"/>
      <c r="CS316" s="117"/>
      <c r="CT316" s="117"/>
      <c r="CU316" s="117"/>
      <c r="CV316" s="117"/>
      <c r="CW316" s="117"/>
      <c r="CX316" s="117"/>
      <c r="CY316" s="117"/>
      <c r="CZ316" s="117"/>
      <c r="DA316" s="117"/>
      <c r="DB316" s="117"/>
      <c r="DC316" s="117"/>
      <c r="DD316" s="117"/>
      <c r="DE316" s="117"/>
      <c r="DF316" s="117"/>
      <c r="DG316" s="117"/>
      <c r="DH316" s="117"/>
      <c r="DI316" s="117"/>
      <c r="DJ316" s="117"/>
      <c r="DK316" s="117"/>
      <c r="DL316" s="117"/>
      <c r="DM316" s="117"/>
      <c r="DN316" s="117"/>
      <c r="DO316" s="117"/>
      <c r="DP316" s="117"/>
      <c r="DQ316" s="117"/>
      <c r="DR316" s="117"/>
      <c r="DS316" s="117"/>
      <c r="DT316" s="117"/>
      <c r="DU316" s="117"/>
      <c r="DV316" s="117"/>
      <c r="DW316" s="117"/>
      <c r="DX316" s="117"/>
      <c r="DY316" s="117"/>
      <c r="DZ316" s="117"/>
      <c r="EA316" s="117"/>
      <c r="EB316" s="117"/>
      <c r="EC316" s="117"/>
      <c r="ED316" s="117"/>
      <c r="EE316" s="117"/>
      <c r="EF316" s="117"/>
      <c r="EG316" s="117"/>
      <c r="EH316" s="117"/>
      <c r="EI316" s="117"/>
      <c r="EJ316" s="117"/>
      <c r="EK316" s="117"/>
      <c r="EL316" s="117"/>
      <c r="EM316" s="117"/>
      <c r="EN316" s="117"/>
      <c r="EO316" s="117"/>
      <c r="EP316" s="117"/>
      <c r="EQ316" s="117"/>
      <c r="ER316" s="117"/>
      <c r="ES316" s="117"/>
      <c r="ET316" s="117"/>
      <c r="EU316" s="117"/>
      <c r="EV316" s="117"/>
      <c r="EW316" s="117"/>
      <c r="EX316" s="117"/>
      <c r="EY316" s="117"/>
      <c r="EZ316" s="117"/>
      <c r="FA316" s="117"/>
      <c r="FB316" s="117"/>
      <c r="FC316" s="117"/>
      <c r="FD316" s="117"/>
      <c r="FE316" s="117"/>
      <c r="FF316" s="117"/>
      <c r="FG316" s="117"/>
      <c r="FH316" s="117"/>
      <c r="FI316" s="117"/>
      <c r="FJ316" s="117"/>
      <c r="FK316" s="117"/>
      <c r="FL316" s="117"/>
      <c r="FM316" s="117"/>
      <c r="FN316" s="117"/>
      <c r="FO316" s="117"/>
      <c r="FP316" s="117"/>
      <c r="FQ316" s="117"/>
      <c r="FR316" s="117"/>
      <c r="FS316" s="117"/>
      <c r="FT316" s="117"/>
      <c r="FU316" s="117"/>
      <c r="FV316" s="117"/>
      <c r="FW316" s="117"/>
      <c r="FX316" s="117"/>
      <c r="FY316" s="117"/>
      <c r="FZ316" s="117"/>
      <c r="GA316" s="117"/>
      <c r="GB316" s="117"/>
      <c r="GC316" s="117"/>
      <c r="GD316" s="117"/>
      <c r="GE316" s="117"/>
      <c r="GF316" s="117"/>
      <c r="GG316" s="117"/>
      <c r="GH316" s="117"/>
      <c r="GI316" s="117"/>
      <c r="GJ316" s="117"/>
      <c r="GK316" s="117"/>
      <c r="GL316" s="117"/>
      <c r="GM316" s="117"/>
      <c r="GN316" s="117"/>
      <c r="GO316" s="117"/>
      <c r="GP316" s="117"/>
      <c r="GQ316" s="117"/>
      <c r="GR316" s="117"/>
      <c r="GS316" s="117"/>
      <c r="GT316" s="117"/>
      <c r="GU316" s="117"/>
      <c r="GV316" s="117"/>
      <c r="GW316" s="117"/>
      <c r="GX316" s="117"/>
      <c r="GY316" s="117"/>
      <c r="GZ316" s="117"/>
      <c r="HA316" s="117"/>
      <c r="HB316" s="117"/>
      <c r="HC316" s="117"/>
      <c r="HD316" s="117"/>
      <c r="HE316" s="117"/>
      <c r="HF316" s="117"/>
      <c r="HG316" s="117"/>
      <c r="HH316" s="117"/>
      <c r="HI316" s="117"/>
      <c r="HJ316" s="117"/>
      <c r="HK316" s="117"/>
      <c r="HL316" s="117"/>
      <c r="HM316" s="117"/>
      <c r="HN316" s="117"/>
      <c r="HO316" s="117"/>
      <c r="HP316" s="117"/>
      <c r="HQ316" s="117"/>
      <c r="HR316" s="117"/>
      <c r="HS316" s="117"/>
      <c r="HT316" s="117"/>
      <c r="HU316" s="117"/>
      <c r="HV316" s="117"/>
      <c r="HW316" s="117"/>
      <c r="HX316" s="117"/>
      <c r="HY316" s="117"/>
      <c r="HZ316" s="117"/>
      <c r="IA316" s="117"/>
      <c r="IB316" s="117"/>
      <c r="IC316" s="117"/>
      <c r="ID316" s="117"/>
      <c r="IE316" s="117"/>
      <c r="IF316" s="117"/>
      <c r="IG316" s="117"/>
      <c r="IH316" s="117"/>
      <c r="II316" s="117"/>
      <c r="IJ316" s="117"/>
      <c r="IK316" s="117"/>
      <c r="IL316" s="117"/>
      <c r="IM316" s="117"/>
      <c r="IN316" s="117"/>
      <c r="IO316" s="117"/>
      <c r="IP316" s="117"/>
      <c r="IQ316" s="117"/>
      <c r="IR316" s="117"/>
      <c r="IS316" s="117"/>
      <c r="IT316" s="117"/>
      <c r="IU316" s="117"/>
      <c r="IV316" s="117"/>
      <c r="IW316" s="117"/>
      <c r="IX316" s="117"/>
      <c r="IY316" s="117"/>
      <c r="IZ316" s="117"/>
      <c r="JA316" s="117"/>
      <c r="JB316" s="117"/>
      <c r="JC316" s="117"/>
      <c r="JD316" s="117"/>
      <c r="JE316" s="117"/>
      <c r="JF316" s="117"/>
      <c r="JG316" s="117"/>
      <c r="JH316" s="117"/>
      <c r="JI316" s="117"/>
      <c r="JJ316" s="117"/>
      <c r="JK316" s="117"/>
      <c r="JL316" s="117"/>
      <c r="JM316" s="117"/>
      <c r="JN316" s="117"/>
      <c r="JO316" s="117"/>
      <c r="JP316" s="117"/>
      <c r="JQ316" s="117"/>
      <c r="JR316" s="117"/>
      <c r="JS316" s="117"/>
      <c r="JT316" s="117"/>
      <c r="JU316" s="117"/>
      <c r="JV316" s="117"/>
      <c r="JW316" s="117"/>
      <c r="JX316" s="117"/>
      <c r="JY316" s="117"/>
      <c r="JZ316" s="117"/>
      <c r="KA316" s="117"/>
      <c r="KB316" s="117"/>
      <c r="KC316" s="117"/>
      <c r="KD316" s="117"/>
      <c r="KE316" s="117"/>
      <c r="KF316" s="117"/>
      <c r="KG316" s="117"/>
      <c r="KH316" s="117"/>
      <c r="KI316" s="117"/>
      <c r="KJ316" s="117"/>
      <c r="KK316" s="117"/>
      <c r="KL316" s="117"/>
      <c r="KM316" s="117"/>
      <c r="KN316" s="117"/>
      <c r="KO316" s="117"/>
      <c r="KP316" s="117"/>
      <c r="KQ316" s="117"/>
      <c r="KR316" s="117"/>
      <c r="KS316" s="117"/>
      <c r="KT316" s="117"/>
      <c r="KU316" s="117"/>
      <c r="KV316" s="117"/>
      <c r="KW316" s="117"/>
      <c r="KX316" s="117"/>
      <c r="KY316" s="117"/>
      <c r="KZ316" s="117"/>
      <c r="LA316" s="117"/>
      <c r="LB316" s="117"/>
      <c r="LC316" s="117"/>
      <c r="LD316" s="117"/>
      <c r="LE316" s="117"/>
      <c r="LF316" s="117"/>
      <c r="LG316" s="117"/>
      <c r="LH316" s="117"/>
      <c r="LI316" s="117"/>
      <c r="LJ316" s="117"/>
      <c r="LK316" s="117"/>
      <c r="LL316" s="117"/>
      <c r="LM316" s="117"/>
      <c r="LN316" s="117"/>
      <c r="LO316" s="117"/>
      <c r="LP316" s="117"/>
      <c r="LQ316" s="117"/>
      <c r="LR316" s="117"/>
      <c r="LS316" s="117"/>
      <c r="LT316" s="117"/>
      <c r="LU316" s="117"/>
      <c r="LV316" s="117"/>
      <c r="LW316" s="117"/>
      <c r="LX316" s="117"/>
      <c r="LY316" s="117"/>
      <c r="LZ316" s="117"/>
      <c r="MA316" s="117"/>
      <c r="MB316" s="117"/>
      <c r="MC316" s="117"/>
      <c r="MD316" s="117"/>
      <c r="ME316" s="117"/>
      <c r="MF316" s="117"/>
      <c r="MG316" s="117"/>
      <c r="MH316" s="117"/>
      <c r="MI316" s="117"/>
      <c r="MJ316" s="117"/>
      <c r="MK316" s="117"/>
      <c r="ML316" s="117"/>
      <c r="MM316" s="117"/>
      <c r="MN316" s="117"/>
      <c r="MO316" s="117"/>
      <c r="MP316" s="117"/>
      <c r="MQ316" s="117"/>
      <c r="MR316" s="117"/>
      <c r="MS316" s="117"/>
      <c r="MT316" s="117"/>
      <c r="MU316" s="117"/>
      <c r="MV316" s="117"/>
      <c r="MW316" s="117"/>
      <c r="MX316" s="117"/>
      <c r="MY316" s="117"/>
      <c r="MZ316" s="117"/>
      <c r="NA316" s="117"/>
      <c r="NB316" s="117"/>
      <c r="NC316" s="117"/>
      <c r="ND316" s="117"/>
      <c r="NE316" s="117"/>
      <c r="NF316" s="117"/>
      <c r="NG316" s="117"/>
      <c r="NH316" s="117"/>
      <c r="NI316" s="117"/>
      <c r="NJ316" s="117"/>
      <c r="NK316" s="117"/>
      <c r="NL316" s="117"/>
      <c r="NM316" s="117"/>
      <c r="NN316" s="117"/>
      <c r="NO316" s="117"/>
      <c r="NP316" s="117"/>
      <c r="NQ316" s="117"/>
      <c r="NR316" s="117"/>
      <c r="NS316" s="117"/>
      <c r="NT316" s="117"/>
      <c r="NU316" s="117"/>
      <c r="NV316" s="117"/>
      <c r="NW316" s="117"/>
      <c r="NX316" s="117"/>
      <c r="NY316" s="117"/>
      <c r="NZ316" s="117"/>
      <c r="OA316" s="117"/>
      <c r="OB316" s="117"/>
      <c r="OC316" s="117"/>
      <c r="OD316" s="117"/>
      <c r="OE316" s="117"/>
      <c r="OF316" s="117"/>
      <c r="OG316" s="117"/>
      <c r="OH316" s="117"/>
      <c r="OI316" s="117"/>
      <c r="OJ316" s="117"/>
      <c r="OK316" s="117"/>
      <c r="OL316" s="117"/>
      <c r="OM316" s="117"/>
      <c r="ON316" s="117"/>
      <c r="OO316" s="117"/>
      <c r="OP316" s="117"/>
      <c r="OQ316" s="117"/>
      <c r="OR316" s="117"/>
      <c r="OS316" s="117"/>
      <c r="OT316" s="117"/>
      <c r="OU316" s="117"/>
      <c r="OV316" s="117"/>
      <c r="OW316" s="117"/>
      <c r="OX316" s="117"/>
      <c r="OY316" s="117"/>
      <c r="OZ316" s="117"/>
      <c r="PA316" s="117"/>
      <c r="PB316" s="117"/>
      <c r="PC316" s="117"/>
      <c r="PD316" s="117"/>
      <c r="PE316" s="117"/>
      <c r="PF316" s="117"/>
      <c r="PG316" s="117"/>
      <c r="PH316" s="117"/>
      <c r="PI316" s="117"/>
      <c r="PJ316" s="117"/>
      <c r="PK316" s="117"/>
      <c r="PL316" s="117"/>
      <c r="PM316" s="117"/>
      <c r="PN316" s="117"/>
      <c r="PO316" s="117"/>
      <c r="PP316" s="117"/>
      <c r="PQ316" s="117"/>
      <c r="PR316" s="117"/>
      <c r="PS316" s="117"/>
      <c r="PT316" s="117"/>
      <c r="PU316" s="117"/>
      <c r="PV316" s="117"/>
      <c r="PW316" s="117"/>
      <c r="PX316" s="117"/>
      <c r="PY316" s="117"/>
      <c r="PZ316" s="117"/>
      <c r="QA316" s="117"/>
      <c r="QB316" s="117"/>
      <c r="QC316" s="117"/>
      <c r="QD316" s="117"/>
      <c r="QE316" s="117"/>
      <c r="QF316" s="117"/>
      <c r="QG316" s="117"/>
      <c r="QH316" s="117"/>
      <c r="QI316" s="117"/>
      <c r="QJ316" s="117"/>
      <c r="QK316" s="117"/>
      <c r="QL316" s="117"/>
      <c r="QM316" s="117"/>
      <c r="QN316" s="117"/>
      <c r="QO316" s="117"/>
      <c r="QP316" s="117"/>
      <c r="QQ316" s="117"/>
      <c r="QR316" s="117"/>
      <c r="QS316" s="117"/>
      <c r="QT316" s="117"/>
      <c r="QU316" s="117"/>
      <c r="QV316" s="117"/>
      <c r="QW316" s="117"/>
      <c r="QX316" s="117"/>
      <c r="QY316" s="117"/>
      <c r="QZ316" s="117"/>
      <c r="RA316" s="117"/>
      <c r="RB316" s="117"/>
      <c r="RC316" s="117"/>
      <c r="RD316" s="117"/>
      <c r="RE316" s="117"/>
      <c r="RF316" s="117"/>
      <c r="RG316" s="117"/>
      <c r="RH316" s="117"/>
      <c r="RI316" s="117"/>
      <c r="RJ316" s="117"/>
      <c r="RK316" s="117"/>
      <c r="RL316" s="117"/>
      <c r="RM316" s="117"/>
      <c r="RN316" s="117"/>
      <c r="RO316" s="117"/>
      <c r="RP316" s="117"/>
      <c r="RQ316" s="117"/>
      <c r="RR316" s="117"/>
      <c r="RS316" s="117"/>
      <c r="RT316" s="117"/>
      <c r="RU316" s="117"/>
      <c r="RV316" s="117"/>
      <c r="RW316" s="117"/>
      <c r="RX316" s="117"/>
      <c r="RY316" s="117"/>
      <c r="RZ316" s="117"/>
      <c r="SA316" s="117"/>
      <c r="SB316" s="117"/>
      <c r="SC316" s="117"/>
      <c r="SD316" s="117"/>
      <c r="SE316" s="117"/>
      <c r="SF316" s="117"/>
      <c r="SG316" s="117"/>
      <c r="SH316" s="117"/>
      <c r="SI316" s="117"/>
      <c r="SJ316" s="117"/>
      <c r="SK316" s="117"/>
      <c r="SL316" s="117"/>
      <c r="SM316" s="117"/>
      <c r="SN316" s="117"/>
      <c r="SO316" s="117"/>
      <c r="SP316" s="117"/>
      <c r="SQ316" s="117"/>
      <c r="SR316" s="117"/>
      <c r="SS316" s="117"/>
      <c r="ST316" s="117"/>
      <c r="SU316" s="117"/>
      <c r="SV316" s="117"/>
      <c r="SW316" s="117"/>
      <c r="SX316" s="117"/>
      <c r="SY316" s="117"/>
      <c r="SZ316" s="117"/>
      <c r="TA316" s="117"/>
      <c r="TB316" s="117"/>
      <c r="TC316" s="117"/>
      <c r="TD316" s="117"/>
      <c r="TE316" s="117"/>
      <c r="TF316" s="117"/>
      <c r="TG316" s="117"/>
      <c r="TH316" s="117"/>
      <c r="TI316" s="117"/>
      <c r="TJ316" s="117"/>
      <c r="TK316" s="117"/>
      <c r="TL316" s="117"/>
      <c r="TM316" s="117"/>
      <c r="TN316" s="117"/>
      <c r="TO316" s="117"/>
      <c r="TP316" s="117"/>
      <c r="TQ316" s="117"/>
      <c r="TR316" s="117"/>
      <c r="TS316" s="117"/>
      <c r="TT316" s="117"/>
      <c r="TU316" s="117"/>
      <c r="TV316" s="117"/>
      <c r="TW316" s="117"/>
      <c r="TX316" s="117"/>
      <c r="TY316" s="117"/>
      <c r="TZ316" s="117"/>
      <c r="UA316" s="117"/>
      <c r="UB316" s="117"/>
      <c r="UC316" s="117"/>
      <c r="UD316" s="117"/>
      <c r="UE316" s="117"/>
      <c r="UF316" s="117"/>
      <c r="UG316" s="117"/>
      <c r="UH316" s="117"/>
      <c r="UI316" s="117"/>
      <c r="UJ316" s="117"/>
      <c r="UK316" s="117"/>
      <c r="UL316" s="117"/>
      <c r="UM316" s="117"/>
      <c r="UN316" s="117"/>
      <c r="UO316" s="117"/>
      <c r="UP316" s="117"/>
      <c r="UQ316" s="117"/>
      <c r="UR316" s="117"/>
      <c r="US316" s="117"/>
      <c r="UT316" s="117"/>
      <c r="UU316" s="117"/>
      <c r="UV316" s="117"/>
      <c r="UW316" s="117"/>
      <c r="UX316" s="117"/>
      <c r="UY316" s="117"/>
      <c r="UZ316" s="117"/>
      <c r="VA316" s="117"/>
      <c r="VB316" s="117"/>
      <c r="VC316" s="117"/>
      <c r="VD316" s="117"/>
      <c r="VE316" s="117"/>
      <c r="VF316" s="117"/>
      <c r="VG316" s="117"/>
      <c r="VH316" s="117"/>
      <c r="VI316" s="117"/>
      <c r="VJ316" s="117"/>
      <c r="VK316" s="117"/>
      <c r="VL316" s="117"/>
      <c r="VM316" s="117"/>
      <c r="VN316" s="117"/>
      <c r="VO316" s="117"/>
      <c r="VP316" s="117"/>
      <c r="VQ316" s="117"/>
      <c r="VR316" s="117"/>
      <c r="VS316" s="117"/>
      <c r="VT316" s="117"/>
      <c r="VU316" s="117"/>
      <c r="VV316" s="117"/>
      <c r="VW316" s="117"/>
      <c r="VX316" s="117"/>
      <c r="VY316" s="117"/>
      <c r="VZ316" s="117"/>
      <c r="WA316" s="117"/>
      <c r="WB316" s="117"/>
      <c r="WC316" s="117"/>
      <c r="WD316" s="117"/>
      <c r="WE316" s="117"/>
      <c r="WF316" s="117"/>
      <c r="WG316" s="117"/>
      <c r="WH316" s="117"/>
      <c r="WI316" s="117"/>
      <c r="WJ316" s="117"/>
      <c r="WK316" s="117"/>
      <c r="WL316" s="117"/>
      <c r="WM316" s="117"/>
      <c r="WN316" s="117"/>
      <c r="WO316" s="117"/>
      <c r="WP316" s="117"/>
      <c r="WQ316" s="117"/>
      <c r="WR316" s="117"/>
      <c r="WS316" s="117"/>
      <c r="WT316" s="117"/>
      <c r="WU316" s="117"/>
      <c r="WV316" s="117"/>
      <c r="WW316" s="117"/>
      <c r="WX316" s="117"/>
      <c r="WY316" s="117"/>
      <c r="WZ316" s="117"/>
      <c r="XA316" s="117"/>
      <c r="XB316" s="117"/>
      <c r="XC316" s="117"/>
      <c r="XD316" s="117"/>
      <c r="XE316" s="117"/>
      <c r="XF316" s="117"/>
      <c r="XG316" s="117"/>
      <c r="XH316" s="117"/>
      <c r="XI316" s="117"/>
      <c r="XJ316" s="117"/>
      <c r="XK316" s="117"/>
      <c r="XL316" s="117"/>
      <c r="XM316" s="117"/>
      <c r="XN316" s="117"/>
      <c r="XO316" s="117"/>
      <c r="XP316" s="117"/>
      <c r="XQ316" s="117"/>
      <c r="XR316" s="117"/>
      <c r="XS316" s="117"/>
      <c r="XT316" s="117"/>
      <c r="XU316" s="117"/>
      <c r="XV316" s="117"/>
      <c r="XW316" s="117"/>
      <c r="XX316" s="117"/>
      <c r="XY316" s="117"/>
      <c r="XZ316" s="117"/>
      <c r="YA316" s="117"/>
      <c r="YB316" s="117"/>
      <c r="YC316" s="117"/>
      <c r="YD316" s="117"/>
      <c r="YE316" s="117"/>
      <c r="YF316" s="117"/>
      <c r="YG316" s="117"/>
      <c r="YH316" s="117"/>
      <c r="YI316" s="117"/>
      <c r="YJ316" s="117"/>
      <c r="YK316" s="117"/>
      <c r="YL316" s="117"/>
      <c r="YM316" s="117"/>
      <c r="YN316" s="117"/>
      <c r="YO316" s="117"/>
      <c r="YP316" s="117"/>
      <c r="YQ316" s="117"/>
      <c r="YR316" s="117"/>
      <c r="YS316" s="117"/>
      <c r="YT316" s="117"/>
      <c r="YU316" s="117"/>
      <c r="YV316" s="117"/>
      <c r="YW316" s="117"/>
      <c r="YX316" s="117"/>
      <c r="YY316" s="117"/>
      <c r="YZ316" s="117"/>
      <c r="ZA316" s="117"/>
      <c r="ZB316" s="117"/>
      <c r="ZC316" s="117"/>
      <c r="ZD316" s="117"/>
      <c r="ZE316" s="117"/>
      <c r="ZF316" s="117"/>
      <c r="ZG316" s="117"/>
      <c r="ZH316" s="117"/>
      <c r="ZI316" s="117"/>
      <c r="ZJ316" s="117"/>
      <c r="ZK316" s="117"/>
      <c r="ZL316" s="117"/>
      <c r="ZM316" s="117"/>
      <c r="ZN316" s="117"/>
      <c r="ZO316" s="117"/>
      <c r="ZP316" s="117"/>
      <c r="ZQ316" s="117"/>
      <c r="ZR316" s="117"/>
      <c r="ZS316" s="117"/>
      <c r="ZT316" s="117"/>
      <c r="ZU316" s="117"/>
      <c r="ZV316" s="117"/>
      <c r="ZW316" s="117"/>
      <c r="ZX316" s="117"/>
      <c r="ZY316" s="117"/>
      <c r="ZZ316" s="117"/>
      <c r="AAA316" s="117"/>
      <c r="AAB316" s="117"/>
      <c r="AAC316" s="117"/>
      <c r="AAD316" s="117"/>
      <c r="AAE316" s="117"/>
      <c r="AAF316" s="117"/>
      <c r="AAG316" s="117"/>
      <c r="AAH316" s="117"/>
      <c r="AAI316" s="117"/>
      <c r="AAJ316" s="117"/>
      <c r="AAK316" s="117"/>
      <c r="AAL316" s="117"/>
      <c r="AAM316" s="117"/>
      <c r="AAN316" s="117"/>
      <c r="AAO316" s="117"/>
      <c r="AAP316" s="117"/>
      <c r="AAQ316" s="117"/>
      <c r="AAR316" s="117"/>
      <c r="AAS316" s="117"/>
      <c r="AAT316" s="117"/>
      <c r="AAU316" s="117"/>
      <c r="AAV316" s="117"/>
      <c r="AAW316" s="117"/>
      <c r="AAX316" s="117"/>
      <c r="AAY316" s="117"/>
      <c r="AAZ316" s="117"/>
      <c r="ABA316" s="117"/>
      <c r="ABB316" s="117"/>
      <c r="ABC316" s="117"/>
      <c r="ABD316" s="117"/>
      <c r="ABE316" s="117"/>
      <c r="ABF316" s="117"/>
      <c r="ABG316" s="117"/>
      <c r="ABH316" s="117"/>
      <c r="ABI316" s="117"/>
      <c r="ABJ316" s="117"/>
      <c r="ABK316" s="117"/>
      <c r="ABL316" s="117"/>
      <c r="ABM316" s="117"/>
      <c r="ABN316" s="117"/>
      <c r="ABO316" s="117"/>
      <c r="ABP316" s="117"/>
      <c r="ABQ316" s="117"/>
      <c r="ABR316" s="117"/>
      <c r="ABS316" s="117"/>
      <c r="ABT316" s="117"/>
      <c r="ABU316" s="117"/>
      <c r="ABV316" s="117"/>
      <c r="ABW316" s="117"/>
      <c r="ABX316" s="117"/>
      <c r="ABY316" s="117"/>
      <c r="ABZ316" s="117"/>
      <c r="ACA316" s="117"/>
      <c r="ACB316" s="117"/>
      <c r="ACC316" s="117"/>
      <c r="ACD316" s="117"/>
      <c r="ACE316" s="117"/>
      <c r="ACF316" s="117"/>
      <c r="ACG316" s="117"/>
      <c r="ACH316" s="117"/>
      <c r="ACI316" s="117"/>
      <c r="ACJ316" s="117"/>
      <c r="ACK316" s="117"/>
      <c r="ACL316" s="117"/>
      <c r="ACM316" s="117"/>
      <c r="ACN316" s="117"/>
      <c r="ACO316" s="117"/>
      <c r="ACP316" s="117"/>
      <c r="ACQ316" s="117"/>
      <c r="ACR316" s="117"/>
      <c r="ACS316" s="117"/>
      <c r="ACT316" s="117"/>
      <c r="ACU316" s="117"/>
      <c r="ACV316" s="117"/>
      <c r="ACW316" s="117"/>
      <c r="ACX316" s="117"/>
      <c r="ACY316" s="117"/>
      <c r="ACZ316" s="117"/>
      <c r="ADA316" s="117"/>
      <c r="ADB316" s="117"/>
      <c r="ADC316" s="117"/>
      <c r="ADD316" s="117"/>
      <c r="ADE316" s="117"/>
      <c r="ADF316" s="117"/>
      <c r="ADG316" s="117"/>
      <c r="ADH316" s="117"/>
      <c r="ADI316" s="117"/>
      <c r="ADJ316" s="117"/>
      <c r="ADK316" s="117"/>
      <c r="ADL316" s="117"/>
      <c r="ADM316" s="117"/>
      <c r="ADN316" s="117"/>
      <c r="ADO316" s="117"/>
      <c r="ADP316" s="117"/>
      <c r="ADQ316" s="117"/>
      <c r="ADR316" s="117"/>
      <c r="ADS316" s="117"/>
      <c r="ADT316" s="117"/>
      <c r="ADU316" s="117"/>
      <c r="ADV316" s="117"/>
      <c r="ADW316" s="117"/>
      <c r="ADX316" s="117"/>
      <c r="ADY316" s="117"/>
      <c r="ADZ316" s="117"/>
      <c r="AEA316" s="117"/>
      <c r="AEB316" s="117"/>
      <c r="AEC316" s="117"/>
      <c r="AED316" s="117"/>
      <c r="AEE316" s="117"/>
      <c r="AEF316" s="117"/>
      <c r="AEG316" s="117"/>
      <c r="AEH316" s="117"/>
      <c r="AEI316" s="117"/>
      <c r="AEJ316" s="117"/>
      <c r="AEK316" s="117"/>
      <c r="AEL316" s="117"/>
      <c r="AEM316" s="117"/>
      <c r="AEN316" s="117"/>
      <c r="AEO316" s="117"/>
      <c r="AEP316" s="117"/>
      <c r="AEQ316" s="117"/>
      <c r="AER316" s="117"/>
      <c r="AES316" s="117"/>
      <c r="AET316" s="117"/>
      <c r="AEU316" s="117"/>
      <c r="AEV316" s="117"/>
      <c r="AEW316" s="117"/>
      <c r="AEX316" s="117"/>
      <c r="AEY316" s="117"/>
      <c r="AEZ316" s="117"/>
      <c r="AFA316" s="117"/>
      <c r="AFB316" s="117"/>
      <c r="AFC316" s="117"/>
      <c r="AFD316" s="117"/>
      <c r="AFE316" s="117"/>
      <c r="AFF316" s="117"/>
      <c r="AFG316" s="117"/>
      <c r="AFH316" s="117"/>
      <c r="AFI316" s="117"/>
      <c r="AFJ316" s="117"/>
      <c r="AFK316" s="117"/>
      <c r="AFL316" s="117"/>
      <c r="AFM316" s="117"/>
      <c r="AFN316" s="117"/>
      <c r="AFO316" s="117"/>
      <c r="AFP316" s="117"/>
      <c r="AFQ316" s="117"/>
      <c r="AFR316" s="117"/>
      <c r="AFS316" s="117"/>
      <c r="AFT316" s="117"/>
      <c r="AFU316" s="117"/>
      <c r="AFV316" s="117"/>
      <c r="AFW316" s="117"/>
      <c r="AFX316" s="117"/>
      <c r="AFY316" s="117"/>
      <c r="AFZ316" s="117"/>
      <c r="AGA316" s="117"/>
      <c r="AGB316" s="117"/>
      <c r="AGC316" s="117"/>
      <c r="AGD316" s="117"/>
      <c r="AGE316" s="117"/>
      <c r="AGF316" s="117"/>
      <c r="AGG316" s="117"/>
      <c r="AGH316" s="117"/>
      <c r="AGI316" s="117"/>
      <c r="AGJ316" s="117"/>
      <c r="AGK316" s="117"/>
      <c r="AGL316" s="117"/>
      <c r="AGM316" s="117"/>
      <c r="AGN316" s="117"/>
      <c r="AGO316" s="117"/>
      <c r="AGP316" s="117"/>
      <c r="AGQ316" s="117"/>
      <c r="AGR316" s="117"/>
      <c r="AGS316" s="117"/>
      <c r="AGT316" s="117"/>
      <c r="AGU316" s="117"/>
      <c r="AGV316" s="117"/>
      <c r="AGW316" s="117"/>
      <c r="AGX316" s="117"/>
      <c r="AGY316" s="117"/>
      <c r="AGZ316" s="117"/>
      <c r="AHA316" s="117"/>
      <c r="AHB316" s="117"/>
      <c r="AHC316" s="117"/>
      <c r="AHD316" s="117"/>
      <c r="AHE316" s="117"/>
      <c r="AHF316" s="117"/>
      <c r="AHG316" s="117"/>
      <c r="AHH316" s="117"/>
      <c r="AHI316" s="117"/>
      <c r="AHJ316" s="117"/>
      <c r="AHK316" s="117"/>
      <c r="AHL316" s="117"/>
      <c r="AHM316" s="117"/>
      <c r="AHN316" s="117"/>
      <c r="AHO316" s="117"/>
      <c r="AHP316" s="117"/>
      <c r="AHQ316" s="117"/>
      <c r="AHR316" s="117"/>
      <c r="AHS316" s="117"/>
      <c r="AHT316" s="117"/>
      <c r="AHU316" s="117"/>
      <c r="AHV316" s="117"/>
      <c r="AHW316" s="117"/>
      <c r="AHX316" s="117"/>
      <c r="AHY316" s="117"/>
      <c r="AHZ316" s="117"/>
      <c r="AIA316" s="117"/>
      <c r="AIB316" s="117"/>
      <c r="AIC316" s="117"/>
      <c r="AID316" s="117"/>
      <c r="AIE316" s="117"/>
      <c r="AIF316" s="117"/>
      <c r="AIG316" s="117"/>
      <c r="AIH316" s="117"/>
      <c r="AII316" s="117"/>
      <c r="AIJ316" s="117"/>
      <c r="AIK316" s="117"/>
      <c r="AIL316" s="117"/>
      <c r="AIM316" s="117"/>
      <c r="AIN316" s="117"/>
      <c r="AIO316" s="117"/>
      <c r="AIP316" s="117"/>
      <c r="AIQ316" s="117"/>
      <c r="AIR316" s="117"/>
      <c r="AIS316" s="117"/>
      <c r="AIT316" s="117"/>
      <c r="AIU316" s="117"/>
      <c r="AIV316" s="117"/>
      <c r="AIW316" s="117"/>
      <c r="AIX316" s="117"/>
      <c r="AIY316" s="117"/>
      <c r="AIZ316" s="117"/>
      <c r="AJA316" s="117"/>
      <c r="AJB316" s="117"/>
      <c r="AJC316" s="117"/>
      <c r="AJD316" s="117"/>
      <c r="AJE316" s="117"/>
      <c r="AJF316" s="117"/>
      <c r="AJG316" s="117"/>
      <c r="AJH316" s="117"/>
      <c r="AJI316" s="117"/>
      <c r="AJJ316" s="117"/>
      <c r="AJK316" s="117"/>
      <c r="AJL316" s="117"/>
      <c r="AJM316" s="117"/>
      <c r="AJN316" s="117"/>
      <c r="AJO316" s="117"/>
      <c r="AJP316" s="117"/>
      <c r="AJQ316" s="117"/>
      <c r="AJR316" s="117"/>
      <c r="AJS316" s="117"/>
      <c r="AJT316" s="117"/>
      <c r="AJU316" s="117"/>
      <c r="AJV316" s="117"/>
      <c r="AJW316" s="117"/>
      <c r="AJX316" s="117"/>
      <c r="AJY316" s="117"/>
      <c r="AJZ316" s="117"/>
      <c r="AKA316" s="117"/>
      <c r="AKB316" s="117"/>
      <c r="AKC316" s="117"/>
      <c r="AKD316" s="117"/>
      <c r="AKE316" s="117"/>
      <c r="AKF316" s="117"/>
      <c r="AKG316" s="117"/>
      <c r="AKH316" s="117"/>
      <c r="AKI316" s="117"/>
      <c r="AKJ316" s="117"/>
      <c r="AKK316" s="117"/>
      <c r="AKL316" s="117"/>
      <c r="AKM316" s="117"/>
      <c r="AKN316" s="117"/>
      <c r="AKO316" s="117"/>
      <c r="AKP316" s="117"/>
      <c r="AKQ316" s="117"/>
      <c r="AKR316" s="117"/>
      <c r="AKS316" s="117"/>
      <c r="AKT316" s="117"/>
      <c r="AKU316" s="117"/>
      <c r="AKV316" s="117"/>
      <c r="AKW316" s="117"/>
      <c r="AKX316" s="117"/>
      <c r="AKY316" s="117"/>
      <c r="AKZ316" s="117"/>
      <c r="ALA316" s="117"/>
      <c r="ALB316" s="117"/>
      <c r="ALC316" s="117"/>
      <c r="ALD316" s="117"/>
      <c r="ALE316" s="117"/>
      <c r="ALF316" s="117"/>
      <c r="ALG316" s="117"/>
      <c r="ALH316" s="117"/>
      <c r="ALI316" s="117"/>
      <c r="ALJ316" s="117"/>
      <c r="ALK316" s="117"/>
      <c r="ALL316" s="117"/>
      <c r="ALM316" s="117"/>
      <c r="ALN316" s="117"/>
      <c r="ALO316" s="117"/>
      <c r="ALP316" s="117"/>
      <c r="ALQ316" s="117"/>
      <c r="ALR316" s="117"/>
      <c r="ALS316" s="117"/>
      <c r="ALT316" s="117"/>
      <c r="ALU316" s="117"/>
      <c r="ALV316" s="117"/>
      <c r="ALW316" s="117"/>
      <c r="ALX316" s="117"/>
      <c r="ALY316" s="117"/>
      <c r="ALZ316" s="117"/>
      <c r="AMA316" s="117"/>
      <c r="AMB316" s="117"/>
      <c r="AMC316" s="117"/>
      <c r="AMD316" s="117"/>
      <c r="AME316" s="117"/>
    </row>
    <row r="317" spans="1:1019" s="191" customFormat="1" ht="11.25" customHeight="1">
      <c r="A317" s="157">
        <v>315</v>
      </c>
      <c r="B317" s="157" t="s">
        <v>143</v>
      </c>
      <c r="C317" s="140"/>
      <c r="D317" s="190">
        <v>1</v>
      </c>
      <c r="E317" s="190">
        <f t="shared" si="47"/>
        <v>26</v>
      </c>
      <c r="F317" s="173" t="s">
        <v>519</v>
      </c>
      <c r="G317" s="172">
        <f t="shared" si="58"/>
        <v>1705</v>
      </c>
      <c r="H317" s="143">
        <f>INT((G317*Valores!$C$2*100)+0.5)/100</f>
        <v>15924.19</v>
      </c>
      <c r="I317" s="161">
        <v>0</v>
      </c>
      <c r="J317" s="145">
        <f>INT((I317*Valores!$C$2*100)+0.5)/100</f>
        <v>0</v>
      </c>
      <c r="K317" s="160">
        <v>0</v>
      </c>
      <c r="L317" s="145">
        <f>INT((K317*Valores!$C$2*100)+0.5)/100</f>
        <v>0</v>
      </c>
      <c r="M317" s="158">
        <v>0</v>
      </c>
      <c r="N317" s="145">
        <f>INT((M317*Valores!$C$2*100)+0.5)/100</f>
        <v>0</v>
      </c>
      <c r="O317" s="145">
        <f t="shared" si="48"/>
        <v>2501.2410000000004</v>
      </c>
      <c r="P317" s="145">
        <f t="shared" si="49"/>
        <v>0</v>
      </c>
      <c r="Q317" s="159">
        <v>0</v>
      </c>
      <c r="R317" s="159">
        <v>0</v>
      </c>
      <c r="S317" s="145">
        <v>0</v>
      </c>
      <c r="T317" s="148">
        <f>IF($H$5="NO",IF(Valores!$C$46*D317&gt;Valores!$C$44,Valores!$C$44,Valores!$C$46*D317),IF(Valores!$C$46*D317&gt;Valores!$C$44,Valores!$C$44,Valores!$C$46*D317)/2)*11</f>
        <v>750.75</v>
      </c>
      <c r="U317" s="159">
        <v>0</v>
      </c>
      <c r="V317" s="145">
        <f t="shared" si="57"/>
        <v>0</v>
      </c>
      <c r="W317" s="145">
        <v>0</v>
      </c>
      <c r="X317" s="145">
        <v>0</v>
      </c>
      <c r="Y317" s="165">
        <v>0</v>
      </c>
      <c r="Z317" s="145">
        <v>0</v>
      </c>
      <c r="AA317" s="145">
        <v>0</v>
      </c>
      <c r="AB317" s="148"/>
      <c r="AC317" s="150">
        <v>0</v>
      </c>
      <c r="AD317" s="145">
        <f t="shared" si="51"/>
        <v>0</v>
      </c>
      <c r="AE317" s="145">
        <v>0</v>
      </c>
      <c r="AF317" s="149">
        <v>0</v>
      </c>
      <c r="AG317" s="145">
        <f>INT(((AF317*Valores!$C$2)*100)+0.5)/100</f>
        <v>0</v>
      </c>
      <c r="AH317" s="145"/>
      <c r="AI317" s="145"/>
      <c r="AJ317" s="151">
        <f t="shared" si="52"/>
        <v>19176.181</v>
      </c>
      <c r="AK317" s="171"/>
      <c r="AL317" s="148">
        <f>Valores!$C$11+AL316</f>
        <v>0</v>
      </c>
      <c r="AM317" s="148">
        <v>0</v>
      </c>
      <c r="AN317" s="148"/>
      <c r="AO317" s="150">
        <v>0</v>
      </c>
      <c r="AP317" s="152">
        <f t="shared" si="50"/>
        <v>0</v>
      </c>
      <c r="AQ317" s="154">
        <f>AJ317*-Valores!$C$68</f>
        <v>-2109.37991</v>
      </c>
      <c r="AR317" s="154">
        <f>AJ317*-Valores!$C$69</f>
        <v>0</v>
      </c>
      <c r="AS317" s="147">
        <f>AJ317*-Valores!$C$70</f>
        <v>-862.928145</v>
      </c>
      <c r="AT317" s="147">
        <v>-159.43</v>
      </c>
      <c r="AU317" s="147">
        <f t="shared" si="53"/>
        <v>-53.83</v>
      </c>
      <c r="AV317" s="151">
        <f t="shared" si="54"/>
        <v>15990.612944999999</v>
      </c>
      <c r="AW317" s="155"/>
      <c r="AX317" s="155"/>
      <c r="AY317" s="140"/>
      <c r="AZ317" s="117"/>
      <c r="BA317" s="117"/>
      <c r="BB317" s="117"/>
      <c r="BC317" s="117"/>
      <c r="BD317" s="117"/>
      <c r="BE317" s="117"/>
      <c r="BF317" s="117"/>
      <c r="BG317" s="117"/>
      <c r="BH317" s="117"/>
      <c r="BI317" s="117"/>
      <c r="BJ317" s="117"/>
      <c r="BK317" s="117"/>
      <c r="BL317" s="117"/>
      <c r="BM317" s="117"/>
      <c r="BN317" s="117"/>
      <c r="BO317" s="117"/>
      <c r="BP317" s="117"/>
      <c r="BQ317" s="117"/>
      <c r="BR317" s="117"/>
      <c r="BS317" s="117"/>
      <c r="BT317" s="117"/>
      <c r="BU317" s="117"/>
      <c r="BV317" s="117"/>
      <c r="BW317" s="117"/>
      <c r="BX317" s="117"/>
      <c r="BY317" s="117"/>
      <c r="BZ317" s="117"/>
      <c r="CA317" s="117"/>
      <c r="CB317" s="117"/>
      <c r="CC317" s="117"/>
      <c r="CD317" s="117"/>
      <c r="CE317" s="117"/>
      <c r="CF317" s="117"/>
      <c r="CG317" s="117"/>
      <c r="CH317" s="117"/>
      <c r="CI317" s="117"/>
      <c r="CJ317" s="117"/>
      <c r="CK317" s="117"/>
      <c r="CL317" s="117"/>
      <c r="CM317" s="117"/>
      <c r="CN317" s="117"/>
      <c r="CO317" s="117"/>
      <c r="CP317" s="117"/>
      <c r="CQ317" s="117"/>
      <c r="CR317" s="117"/>
      <c r="CS317" s="117"/>
      <c r="CT317" s="117"/>
      <c r="CU317" s="117"/>
      <c r="CV317" s="117"/>
      <c r="CW317" s="117"/>
      <c r="CX317" s="117"/>
      <c r="CY317" s="117"/>
      <c r="CZ317" s="117"/>
      <c r="DA317" s="117"/>
      <c r="DB317" s="117"/>
      <c r="DC317" s="117"/>
      <c r="DD317" s="117"/>
      <c r="DE317" s="117"/>
      <c r="DF317" s="117"/>
      <c r="DG317" s="117"/>
      <c r="DH317" s="117"/>
      <c r="DI317" s="117"/>
      <c r="DJ317" s="117"/>
      <c r="DK317" s="117"/>
      <c r="DL317" s="117"/>
      <c r="DM317" s="117"/>
      <c r="DN317" s="117"/>
      <c r="DO317" s="117"/>
      <c r="DP317" s="117"/>
      <c r="DQ317" s="117"/>
      <c r="DR317" s="117"/>
      <c r="DS317" s="117"/>
      <c r="DT317" s="117"/>
      <c r="DU317" s="117"/>
      <c r="DV317" s="117"/>
      <c r="DW317" s="117"/>
      <c r="DX317" s="117"/>
      <c r="DY317" s="117"/>
      <c r="DZ317" s="117"/>
      <c r="EA317" s="117"/>
      <c r="EB317" s="117"/>
      <c r="EC317" s="117"/>
      <c r="ED317" s="117"/>
      <c r="EE317" s="117"/>
      <c r="EF317" s="117"/>
      <c r="EG317" s="117"/>
      <c r="EH317" s="117"/>
      <c r="EI317" s="117"/>
      <c r="EJ317" s="117"/>
      <c r="EK317" s="117"/>
      <c r="EL317" s="117"/>
      <c r="EM317" s="117"/>
      <c r="EN317" s="117"/>
      <c r="EO317" s="117"/>
      <c r="EP317" s="117"/>
      <c r="EQ317" s="117"/>
      <c r="ER317" s="117"/>
      <c r="ES317" s="117"/>
      <c r="ET317" s="117"/>
      <c r="EU317" s="117"/>
      <c r="EV317" s="117"/>
      <c r="EW317" s="117"/>
      <c r="EX317" s="117"/>
      <c r="EY317" s="117"/>
      <c r="EZ317" s="117"/>
      <c r="FA317" s="117"/>
      <c r="FB317" s="117"/>
      <c r="FC317" s="117"/>
      <c r="FD317" s="117"/>
      <c r="FE317" s="117"/>
      <c r="FF317" s="117"/>
      <c r="FG317" s="117"/>
      <c r="FH317" s="117"/>
      <c r="FI317" s="117"/>
      <c r="FJ317" s="117"/>
      <c r="FK317" s="117"/>
      <c r="FL317" s="117"/>
      <c r="FM317" s="117"/>
      <c r="FN317" s="117"/>
      <c r="FO317" s="117"/>
      <c r="FP317" s="117"/>
      <c r="FQ317" s="117"/>
      <c r="FR317" s="117"/>
      <c r="FS317" s="117"/>
      <c r="FT317" s="117"/>
      <c r="FU317" s="117"/>
      <c r="FV317" s="117"/>
      <c r="FW317" s="117"/>
      <c r="FX317" s="117"/>
      <c r="FY317" s="117"/>
      <c r="FZ317" s="117"/>
      <c r="GA317" s="117"/>
      <c r="GB317" s="117"/>
      <c r="GC317" s="117"/>
      <c r="GD317" s="117"/>
      <c r="GE317" s="117"/>
      <c r="GF317" s="117"/>
      <c r="GG317" s="117"/>
      <c r="GH317" s="117"/>
      <c r="GI317" s="117"/>
      <c r="GJ317" s="117"/>
      <c r="GK317" s="117"/>
      <c r="GL317" s="117"/>
      <c r="GM317" s="117"/>
      <c r="GN317" s="117"/>
      <c r="GO317" s="117"/>
      <c r="GP317" s="117"/>
      <c r="GQ317" s="117"/>
      <c r="GR317" s="117"/>
      <c r="GS317" s="117"/>
      <c r="GT317" s="117"/>
      <c r="GU317" s="117"/>
      <c r="GV317" s="117"/>
      <c r="GW317" s="117"/>
      <c r="GX317" s="117"/>
      <c r="GY317" s="117"/>
      <c r="GZ317" s="117"/>
      <c r="HA317" s="117"/>
      <c r="HB317" s="117"/>
      <c r="HC317" s="117"/>
      <c r="HD317" s="117"/>
      <c r="HE317" s="117"/>
      <c r="HF317" s="117"/>
      <c r="HG317" s="117"/>
      <c r="HH317" s="117"/>
      <c r="HI317" s="117"/>
      <c r="HJ317" s="117"/>
      <c r="HK317" s="117"/>
      <c r="HL317" s="117"/>
      <c r="HM317" s="117"/>
      <c r="HN317" s="117"/>
      <c r="HO317" s="117"/>
      <c r="HP317" s="117"/>
      <c r="HQ317" s="117"/>
      <c r="HR317" s="117"/>
      <c r="HS317" s="117"/>
      <c r="HT317" s="117"/>
      <c r="HU317" s="117"/>
      <c r="HV317" s="117"/>
      <c r="HW317" s="117"/>
      <c r="HX317" s="117"/>
      <c r="HY317" s="117"/>
      <c r="HZ317" s="117"/>
      <c r="IA317" s="117"/>
      <c r="IB317" s="117"/>
      <c r="IC317" s="117"/>
      <c r="ID317" s="117"/>
      <c r="IE317" s="117"/>
      <c r="IF317" s="117"/>
      <c r="IG317" s="117"/>
      <c r="IH317" s="117"/>
      <c r="II317" s="117"/>
      <c r="IJ317" s="117"/>
      <c r="IK317" s="117"/>
      <c r="IL317" s="117"/>
      <c r="IM317" s="117"/>
      <c r="IN317" s="117"/>
      <c r="IO317" s="117"/>
      <c r="IP317" s="117"/>
      <c r="IQ317" s="117"/>
      <c r="IR317" s="117"/>
      <c r="IS317" s="117"/>
      <c r="IT317" s="117"/>
      <c r="IU317" s="117"/>
      <c r="IV317" s="117"/>
      <c r="IW317" s="117"/>
      <c r="IX317" s="117"/>
      <c r="IY317" s="117"/>
      <c r="IZ317" s="117"/>
      <c r="JA317" s="117"/>
      <c r="JB317" s="117"/>
      <c r="JC317" s="117"/>
      <c r="JD317" s="117"/>
      <c r="JE317" s="117"/>
      <c r="JF317" s="117"/>
      <c r="JG317" s="117"/>
      <c r="JH317" s="117"/>
      <c r="JI317" s="117"/>
      <c r="JJ317" s="117"/>
      <c r="JK317" s="117"/>
      <c r="JL317" s="117"/>
      <c r="JM317" s="117"/>
      <c r="JN317" s="117"/>
      <c r="JO317" s="117"/>
      <c r="JP317" s="117"/>
      <c r="JQ317" s="117"/>
      <c r="JR317" s="117"/>
      <c r="JS317" s="117"/>
      <c r="JT317" s="117"/>
      <c r="JU317" s="117"/>
      <c r="JV317" s="117"/>
      <c r="JW317" s="117"/>
      <c r="JX317" s="117"/>
      <c r="JY317" s="117"/>
      <c r="JZ317" s="117"/>
      <c r="KA317" s="117"/>
      <c r="KB317" s="117"/>
      <c r="KC317" s="117"/>
      <c r="KD317" s="117"/>
      <c r="KE317" s="117"/>
      <c r="KF317" s="117"/>
      <c r="KG317" s="117"/>
      <c r="KH317" s="117"/>
      <c r="KI317" s="117"/>
      <c r="KJ317" s="117"/>
      <c r="KK317" s="117"/>
      <c r="KL317" s="117"/>
      <c r="KM317" s="117"/>
      <c r="KN317" s="117"/>
      <c r="KO317" s="117"/>
      <c r="KP317" s="117"/>
      <c r="KQ317" s="117"/>
      <c r="KR317" s="117"/>
      <c r="KS317" s="117"/>
      <c r="KT317" s="117"/>
      <c r="KU317" s="117"/>
      <c r="KV317" s="117"/>
      <c r="KW317" s="117"/>
      <c r="KX317" s="117"/>
      <c r="KY317" s="117"/>
      <c r="KZ317" s="117"/>
      <c r="LA317" s="117"/>
      <c r="LB317" s="117"/>
      <c r="LC317" s="117"/>
      <c r="LD317" s="117"/>
      <c r="LE317" s="117"/>
      <c r="LF317" s="117"/>
      <c r="LG317" s="117"/>
      <c r="LH317" s="117"/>
      <c r="LI317" s="117"/>
      <c r="LJ317" s="117"/>
      <c r="LK317" s="117"/>
      <c r="LL317" s="117"/>
      <c r="LM317" s="117"/>
      <c r="LN317" s="117"/>
      <c r="LO317" s="117"/>
      <c r="LP317" s="117"/>
      <c r="LQ317" s="117"/>
      <c r="LR317" s="117"/>
      <c r="LS317" s="117"/>
      <c r="LT317" s="117"/>
      <c r="LU317" s="117"/>
      <c r="LV317" s="117"/>
      <c r="LW317" s="117"/>
      <c r="LX317" s="117"/>
      <c r="LY317" s="117"/>
      <c r="LZ317" s="117"/>
      <c r="MA317" s="117"/>
      <c r="MB317" s="117"/>
      <c r="MC317" s="117"/>
      <c r="MD317" s="117"/>
      <c r="ME317" s="117"/>
      <c r="MF317" s="117"/>
      <c r="MG317" s="117"/>
      <c r="MH317" s="117"/>
      <c r="MI317" s="117"/>
      <c r="MJ317" s="117"/>
      <c r="MK317" s="117"/>
      <c r="ML317" s="117"/>
      <c r="MM317" s="117"/>
      <c r="MN317" s="117"/>
      <c r="MO317" s="117"/>
      <c r="MP317" s="117"/>
      <c r="MQ317" s="117"/>
      <c r="MR317" s="117"/>
      <c r="MS317" s="117"/>
      <c r="MT317" s="117"/>
      <c r="MU317" s="117"/>
      <c r="MV317" s="117"/>
      <c r="MW317" s="117"/>
      <c r="MX317" s="117"/>
      <c r="MY317" s="117"/>
      <c r="MZ317" s="117"/>
      <c r="NA317" s="117"/>
      <c r="NB317" s="117"/>
      <c r="NC317" s="117"/>
      <c r="ND317" s="117"/>
      <c r="NE317" s="117"/>
      <c r="NF317" s="117"/>
      <c r="NG317" s="117"/>
      <c r="NH317" s="117"/>
      <c r="NI317" s="117"/>
      <c r="NJ317" s="117"/>
      <c r="NK317" s="117"/>
      <c r="NL317" s="117"/>
      <c r="NM317" s="117"/>
      <c r="NN317" s="117"/>
      <c r="NO317" s="117"/>
      <c r="NP317" s="117"/>
      <c r="NQ317" s="117"/>
      <c r="NR317" s="117"/>
      <c r="NS317" s="117"/>
      <c r="NT317" s="117"/>
      <c r="NU317" s="117"/>
      <c r="NV317" s="117"/>
      <c r="NW317" s="117"/>
      <c r="NX317" s="117"/>
      <c r="NY317" s="117"/>
      <c r="NZ317" s="117"/>
      <c r="OA317" s="117"/>
      <c r="OB317" s="117"/>
      <c r="OC317" s="117"/>
      <c r="OD317" s="117"/>
      <c r="OE317" s="117"/>
      <c r="OF317" s="117"/>
      <c r="OG317" s="117"/>
      <c r="OH317" s="117"/>
      <c r="OI317" s="117"/>
      <c r="OJ317" s="117"/>
      <c r="OK317" s="117"/>
      <c r="OL317" s="117"/>
      <c r="OM317" s="117"/>
      <c r="ON317" s="117"/>
      <c r="OO317" s="117"/>
      <c r="OP317" s="117"/>
      <c r="OQ317" s="117"/>
      <c r="OR317" s="117"/>
      <c r="OS317" s="117"/>
      <c r="OT317" s="117"/>
      <c r="OU317" s="117"/>
      <c r="OV317" s="117"/>
      <c r="OW317" s="117"/>
      <c r="OX317" s="117"/>
      <c r="OY317" s="117"/>
      <c r="OZ317" s="117"/>
      <c r="PA317" s="117"/>
      <c r="PB317" s="117"/>
      <c r="PC317" s="117"/>
      <c r="PD317" s="117"/>
      <c r="PE317" s="117"/>
      <c r="PF317" s="117"/>
      <c r="PG317" s="117"/>
      <c r="PH317" s="117"/>
      <c r="PI317" s="117"/>
      <c r="PJ317" s="117"/>
      <c r="PK317" s="117"/>
      <c r="PL317" s="117"/>
      <c r="PM317" s="117"/>
      <c r="PN317" s="117"/>
      <c r="PO317" s="117"/>
      <c r="PP317" s="117"/>
      <c r="PQ317" s="117"/>
      <c r="PR317" s="117"/>
      <c r="PS317" s="117"/>
      <c r="PT317" s="117"/>
      <c r="PU317" s="117"/>
      <c r="PV317" s="117"/>
      <c r="PW317" s="117"/>
      <c r="PX317" s="117"/>
      <c r="PY317" s="117"/>
      <c r="PZ317" s="117"/>
      <c r="QA317" s="117"/>
      <c r="QB317" s="117"/>
      <c r="QC317" s="117"/>
      <c r="QD317" s="117"/>
      <c r="QE317" s="117"/>
      <c r="QF317" s="117"/>
      <c r="QG317" s="117"/>
      <c r="QH317" s="117"/>
      <c r="QI317" s="117"/>
      <c r="QJ317" s="117"/>
      <c r="QK317" s="117"/>
      <c r="QL317" s="117"/>
      <c r="QM317" s="117"/>
      <c r="QN317" s="117"/>
      <c r="QO317" s="117"/>
      <c r="QP317" s="117"/>
      <c r="QQ317" s="117"/>
      <c r="QR317" s="117"/>
      <c r="QS317" s="117"/>
      <c r="QT317" s="117"/>
      <c r="QU317" s="117"/>
      <c r="QV317" s="117"/>
      <c r="QW317" s="117"/>
      <c r="QX317" s="117"/>
      <c r="QY317" s="117"/>
      <c r="QZ317" s="117"/>
      <c r="RA317" s="117"/>
      <c r="RB317" s="117"/>
      <c r="RC317" s="117"/>
      <c r="RD317" s="117"/>
      <c r="RE317" s="117"/>
      <c r="RF317" s="117"/>
      <c r="RG317" s="117"/>
      <c r="RH317" s="117"/>
      <c r="RI317" s="117"/>
      <c r="RJ317" s="117"/>
      <c r="RK317" s="117"/>
      <c r="RL317" s="117"/>
      <c r="RM317" s="117"/>
      <c r="RN317" s="117"/>
      <c r="RO317" s="117"/>
      <c r="RP317" s="117"/>
      <c r="RQ317" s="117"/>
      <c r="RR317" s="117"/>
      <c r="RS317" s="117"/>
      <c r="RT317" s="117"/>
      <c r="RU317" s="117"/>
      <c r="RV317" s="117"/>
      <c r="RW317" s="117"/>
      <c r="RX317" s="117"/>
      <c r="RY317" s="117"/>
      <c r="RZ317" s="117"/>
      <c r="SA317" s="117"/>
      <c r="SB317" s="117"/>
      <c r="SC317" s="117"/>
      <c r="SD317" s="117"/>
      <c r="SE317" s="117"/>
      <c r="SF317" s="117"/>
      <c r="SG317" s="117"/>
      <c r="SH317" s="117"/>
      <c r="SI317" s="117"/>
      <c r="SJ317" s="117"/>
      <c r="SK317" s="117"/>
      <c r="SL317" s="117"/>
      <c r="SM317" s="117"/>
      <c r="SN317" s="117"/>
      <c r="SO317" s="117"/>
      <c r="SP317" s="117"/>
      <c r="SQ317" s="117"/>
      <c r="SR317" s="117"/>
      <c r="SS317" s="117"/>
      <c r="ST317" s="117"/>
      <c r="SU317" s="117"/>
      <c r="SV317" s="117"/>
      <c r="SW317" s="117"/>
      <c r="SX317" s="117"/>
      <c r="SY317" s="117"/>
      <c r="SZ317" s="117"/>
      <c r="TA317" s="117"/>
      <c r="TB317" s="117"/>
      <c r="TC317" s="117"/>
      <c r="TD317" s="117"/>
      <c r="TE317" s="117"/>
      <c r="TF317" s="117"/>
      <c r="TG317" s="117"/>
      <c r="TH317" s="117"/>
      <c r="TI317" s="117"/>
      <c r="TJ317" s="117"/>
      <c r="TK317" s="117"/>
      <c r="TL317" s="117"/>
      <c r="TM317" s="117"/>
      <c r="TN317" s="117"/>
      <c r="TO317" s="117"/>
      <c r="TP317" s="117"/>
      <c r="TQ317" s="117"/>
      <c r="TR317" s="117"/>
      <c r="TS317" s="117"/>
      <c r="TT317" s="117"/>
      <c r="TU317" s="117"/>
      <c r="TV317" s="117"/>
      <c r="TW317" s="117"/>
      <c r="TX317" s="117"/>
      <c r="TY317" s="117"/>
      <c r="TZ317" s="117"/>
      <c r="UA317" s="117"/>
      <c r="UB317" s="117"/>
      <c r="UC317" s="117"/>
      <c r="UD317" s="117"/>
      <c r="UE317" s="117"/>
      <c r="UF317" s="117"/>
      <c r="UG317" s="117"/>
      <c r="UH317" s="117"/>
      <c r="UI317" s="117"/>
      <c r="UJ317" s="117"/>
      <c r="UK317" s="117"/>
      <c r="UL317" s="117"/>
      <c r="UM317" s="117"/>
      <c r="UN317" s="117"/>
      <c r="UO317" s="117"/>
      <c r="UP317" s="117"/>
      <c r="UQ317" s="117"/>
      <c r="UR317" s="117"/>
      <c r="US317" s="117"/>
      <c r="UT317" s="117"/>
      <c r="UU317" s="117"/>
      <c r="UV317" s="117"/>
      <c r="UW317" s="117"/>
      <c r="UX317" s="117"/>
      <c r="UY317" s="117"/>
      <c r="UZ317" s="117"/>
      <c r="VA317" s="117"/>
      <c r="VB317" s="117"/>
      <c r="VC317" s="117"/>
      <c r="VD317" s="117"/>
      <c r="VE317" s="117"/>
      <c r="VF317" s="117"/>
      <c r="VG317" s="117"/>
      <c r="VH317" s="117"/>
      <c r="VI317" s="117"/>
      <c r="VJ317" s="117"/>
      <c r="VK317" s="117"/>
      <c r="VL317" s="117"/>
      <c r="VM317" s="117"/>
      <c r="VN317" s="117"/>
      <c r="VO317" s="117"/>
      <c r="VP317" s="117"/>
      <c r="VQ317" s="117"/>
      <c r="VR317" s="117"/>
      <c r="VS317" s="117"/>
      <c r="VT317" s="117"/>
      <c r="VU317" s="117"/>
      <c r="VV317" s="117"/>
      <c r="VW317" s="117"/>
      <c r="VX317" s="117"/>
      <c r="VY317" s="117"/>
      <c r="VZ317" s="117"/>
      <c r="WA317" s="117"/>
      <c r="WB317" s="117"/>
      <c r="WC317" s="117"/>
      <c r="WD317" s="117"/>
      <c r="WE317" s="117"/>
      <c r="WF317" s="117"/>
      <c r="WG317" s="117"/>
      <c r="WH317" s="117"/>
      <c r="WI317" s="117"/>
      <c r="WJ317" s="117"/>
      <c r="WK317" s="117"/>
      <c r="WL317" s="117"/>
      <c r="WM317" s="117"/>
      <c r="WN317" s="117"/>
      <c r="WO317" s="117"/>
      <c r="WP317" s="117"/>
      <c r="WQ317" s="117"/>
      <c r="WR317" s="117"/>
      <c r="WS317" s="117"/>
      <c r="WT317" s="117"/>
      <c r="WU317" s="117"/>
      <c r="WV317" s="117"/>
      <c r="WW317" s="117"/>
      <c r="WX317" s="117"/>
      <c r="WY317" s="117"/>
      <c r="WZ317" s="117"/>
      <c r="XA317" s="117"/>
      <c r="XB317" s="117"/>
      <c r="XC317" s="117"/>
      <c r="XD317" s="117"/>
      <c r="XE317" s="117"/>
      <c r="XF317" s="117"/>
      <c r="XG317" s="117"/>
      <c r="XH317" s="117"/>
      <c r="XI317" s="117"/>
      <c r="XJ317" s="117"/>
      <c r="XK317" s="117"/>
      <c r="XL317" s="117"/>
      <c r="XM317" s="117"/>
      <c r="XN317" s="117"/>
      <c r="XO317" s="117"/>
      <c r="XP317" s="117"/>
      <c r="XQ317" s="117"/>
      <c r="XR317" s="117"/>
      <c r="XS317" s="117"/>
      <c r="XT317" s="117"/>
      <c r="XU317" s="117"/>
      <c r="XV317" s="117"/>
      <c r="XW317" s="117"/>
      <c r="XX317" s="117"/>
      <c r="XY317" s="117"/>
      <c r="XZ317" s="117"/>
      <c r="YA317" s="117"/>
      <c r="YB317" s="117"/>
      <c r="YC317" s="117"/>
      <c r="YD317" s="117"/>
      <c r="YE317" s="117"/>
      <c r="YF317" s="117"/>
      <c r="YG317" s="117"/>
      <c r="YH317" s="117"/>
      <c r="YI317" s="117"/>
      <c r="YJ317" s="117"/>
      <c r="YK317" s="117"/>
      <c r="YL317" s="117"/>
      <c r="YM317" s="117"/>
      <c r="YN317" s="117"/>
      <c r="YO317" s="117"/>
      <c r="YP317" s="117"/>
      <c r="YQ317" s="117"/>
      <c r="YR317" s="117"/>
      <c r="YS317" s="117"/>
      <c r="YT317" s="117"/>
      <c r="YU317" s="117"/>
      <c r="YV317" s="117"/>
      <c r="YW317" s="117"/>
      <c r="YX317" s="117"/>
      <c r="YY317" s="117"/>
      <c r="YZ317" s="117"/>
      <c r="ZA317" s="117"/>
      <c r="ZB317" s="117"/>
      <c r="ZC317" s="117"/>
      <c r="ZD317" s="117"/>
      <c r="ZE317" s="117"/>
      <c r="ZF317" s="117"/>
      <c r="ZG317" s="117"/>
      <c r="ZH317" s="117"/>
      <c r="ZI317" s="117"/>
      <c r="ZJ317" s="117"/>
      <c r="ZK317" s="117"/>
      <c r="ZL317" s="117"/>
      <c r="ZM317" s="117"/>
      <c r="ZN317" s="117"/>
      <c r="ZO317" s="117"/>
      <c r="ZP317" s="117"/>
      <c r="ZQ317" s="117"/>
      <c r="ZR317" s="117"/>
      <c r="ZS317" s="117"/>
      <c r="ZT317" s="117"/>
      <c r="ZU317" s="117"/>
      <c r="ZV317" s="117"/>
      <c r="ZW317" s="117"/>
      <c r="ZX317" s="117"/>
      <c r="ZY317" s="117"/>
      <c r="ZZ317" s="117"/>
      <c r="AAA317" s="117"/>
      <c r="AAB317" s="117"/>
      <c r="AAC317" s="117"/>
      <c r="AAD317" s="117"/>
      <c r="AAE317" s="117"/>
      <c r="AAF317" s="117"/>
      <c r="AAG317" s="117"/>
      <c r="AAH317" s="117"/>
      <c r="AAI317" s="117"/>
      <c r="AAJ317" s="117"/>
      <c r="AAK317" s="117"/>
      <c r="AAL317" s="117"/>
      <c r="AAM317" s="117"/>
      <c r="AAN317" s="117"/>
      <c r="AAO317" s="117"/>
      <c r="AAP317" s="117"/>
      <c r="AAQ317" s="117"/>
      <c r="AAR317" s="117"/>
      <c r="AAS317" s="117"/>
      <c r="AAT317" s="117"/>
      <c r="AAU317" s="117"/>
      <c r="AAV317" s="117"/>
      <c r="AAW317" s="117"/>
      <c r="AAX317" s="117"/>
      <c r="AAY317" s="117"/>
      <c r="AAZ317" s="117"/>
      <c r="ABA317" s="117"/>
      <c r="ABB317" s="117"/>
      <c r="ABC317" s="117"/>
      <c r="ABD317" s="117"/>
      <c r="ABE317" s="117"/>
      <c r="ABF317" s="117"/>
      <c r="ABG317" s="117"/>
      <c r="ABH317" s="117"/>
      <c r="ABI317" s="117"/>
      <c r="ABJ317" s="117"/>
      <c r="ABK317" s="117"/>
      <c r="ABL317" s="117"/>
      <c r="ABM317" s="117"/>
      <c r="ABN317" s="117"/>
      <c r="ABO317" s="117"/>
      <c r="ABP317" s="117"/>
      <c r="ABQ317" s="117"/>
      <c r="ABR317" s="117"/>
      <c r="ABS317" s="117"/>
      <c r="ABT317" s="117"/>
      <c r="ABU317" s="117"/>
      <c r="ABV317" s="117"/>
      <c r="ABW317" s="117"/>
      <c r="ABX317" s="117"/>
      <c r="ABY317" s="117"/>
      <c r="ABZ317" s="117"/>
      <c r="ACA317" s="117"/>
      <c r="ACB317" s="117"/>
      <c r="ACC317" s="117"/>
      <c r="ACD317" s="117"/>
      <c r="ACE317" s="117"/>
      <c r="ACF317" s="117"/>
      <c r="ACG317" s="117"/>
      <c r="ACH317" s="117"/>
      <c r="ACI317" s="117"/>
      <c r="ACJ317" s="117"/>
      <c r="ACK317" s="117"/>
      <c r="ACL317" s="117"/>
      <c r="ACM317" s="117"/>
      <c r="ACN317" s="117"/>
      <c r="ACO317" s="117"/>
      <c r="ACP317" s="117"/>
      <c r="ACQ317" s="117"/>
      <c r="ACR317" s="117"/>
      <c r="ACS317" s="117"/>
      <c r="ACT317" s="117"/>
      <c r="ACU317" s="117"/>
      <c r="ACV317" s="117"/>
      <c r="ACW317" s="117"/>
      <c r="ACX317" s="117"/>
      <c r="ACY317" s="117"/>
      <c r="ACZ317" s="117"/>
      <c r="ADA317" s="117"/>
      <c r="ADB317" s="117"/>
      <c r="ADC317" s="117"/>
      <c r="ADD317" s="117"/>
      <c r="ADE317" s="117"/>
      <c r="ADF317" s="117"/>
      <c r="ADG317" s="117"/>
      <c r="ADH317" s="117"/>
      <c r="ADI317" s="117"/>
      <c r="ADJ317" s="117"/>
      <c r="ADK317" s="117"/>
      <c r="ADL317" s="117"/>
      <c r="ADM317" s="117"/>
      <c r="ADN317" s="117"/>
      <c r="ADO317" s="117"/>
      <c r="ADP317" s="117"/>
      <c r="ADQ317" s="117"/>
      <c r="ADR317" s="117"/>
      <c r="ADS317" s="117"/>
      <c r="ADT317" s="117"/>
      <c r="ADU317" s="117"/>
      <c r="ADV317" s="117"/>
      <c r="ADW317" s="117"/>
      <c r="ADX317" s="117"/>
      <c r="ADY317" s="117"/>
      <c r="ADZ317" s="117"/>
      <c r="AEA317" s="117"/>
      <c r="AEB317" s="117"/>
      <c r="AEC317" s="117"/>
      <c r="AED317" s="117"/>
      <c r="AEE317" s="117"/>
      <c r="AEF317" s="117"/>
      <c r="AEG317" s="117"/>
      <c r="AEH317" s="117"/>
      <c r="AEI317" s="117"/>
      <c r="AEJ317" s="117"/>
      <c r="AEK317" s="117"/>
      <c r="AEL317" s="117"/>
      <c r="AEM317" s="117"/>
      <c r="AEN317" s="117"/>
      <c r="AEO317" s="117"/>
      <c r="AEP317" s="117"/>
      <c r="AEQ317" s="117"/>
      <c r="AER317" s="117"/>
      <c r="AES317" s="117"/>
      <c r="AET317" s="117"/>
      <c r="AEU317" s="117"/>
      <c r="AEV317" s="117"/>
      <c r="AEW317" s="117"/>
      <c r="AEX317" s="117"/>
      <c r="AEY317" s="117"/>
      <c r="AEZ317" s="117"/>
      <c r="AFA317" s="117"/>
      <c r="AFB317" s="117"/>
      <c r="AFC317" s="117"/>
      <c r="AFD317" s="117"/>
      <c r="AFE317" s="117"/>
      <c r="AFF317" s="117"/>
      <c r="AFG317" s="117"/>
      <c r="AFH317" s="117"/>
      <c r="AFI317" s="117"/>
      <c r="AFJ317" s="117"/>
      <c r="AFK317" s="117"/>
      <c r="AFL317" s="117"/>
      <c r="AFM317" s="117"/>
      <c r="AFN317" s="117"/>
      <c r="AFO317" s="117"/>
      <c r="AFP317" s="117"/>
      <c r="AFQ317" s="117"/>
      <c r="AFR317" s="117"/>
      <c r="AFS317" s="117"/>
      <c r="AFT317" s="117"/>
      <c r="AFU317" s="117"/>
      <c r="AFV317" s="117"/>
      <c r="AFW317" s="117"/>
      <c r="AFX317" s="117"/>
      <c r="AFY317" s="117"/>
      <c r="AFZ317" s="117"/>
      <c r="AGA317" s="117"/>
      <c r="AGB317" s="117"/>
      <c r="AGC317" s="117"/>
      <c r="AGD317" s="117"/>
      <c r="AGE317" s="117"/>
      <c r="AGF317" s="117"/>
      <c r="AGG317" s="117"/>
      <c r="AGH317" s="117"/>
      <c r="AGI317" s="117"/>
      <c r="AGJ317" s="117"/>
      <c r="AGK317" s="117"/>
      <c r="AGL317" s="117"/>
      <c r="AGM317" s="117"/>
      <c r="AGN317" s="117"/>
      <c r="AGO317" s="117"/>
      <c r="AGP317" s="117"/>
      <c r="AGQ317" s="117"/>
      <c r="AGR317" s="117"/>
      <c r="AGS317" s="117"/>
      <c r="AGT317" s="117"/>
      <c r="AGU317" s="117"/>
      <c r="AGV317" s="117"/>
      <c r="AGW317" s="117"/>
      <c r="AGX317" s="117"/>
      <c r="AGY317" s="117"/>
      <c r="AGZ317" s="117"/>
      <c r="AHA317" s="117"/>
      <c r="AHB317" s="117"/>
      <c r="AHC317" s="117"/>
      <c r="AHD317" s="117"/>
      <c r="AHE317" s="117"/>
      <c r="AHF317" s="117"/>
      <c r="AHG317" s="117"/>
      <c r="AHH317" s="117"/>
      <c r="AHI317" s="117"/>
      <c r="AHJ317" s="117"/>
      <c r="AHK317" s="117"/>
      <c r="AHL317" s="117"/>
      <c r="AHM317" s="117"/>
      <c r="AHN317" s="117"/>
      <c r="AHO317" s="117"/>
      <c r="AHP317" s="117"/>
      <c r="AHQ317" s="117"/>
      <c r="AHR317" s="117"/>
      <c r="AHS317" s="117"/>
      <c r="AHT317" s="117"/>
      <c r="AHU317" s="117"/>
      <c r="AHV317" s="117"/>
      <c r="AHW317" s="117"/>
      <c r="AHX317" s="117"/>
      <c r="AHY317" s="117"/>
      <c r="AHZ317" s="117"/>
      <c r="AIA317" s="117"/>
      <c r="AIB317" s="117"/>
      <c r="AIC317" s="117"/>
      <c r="AID317" s="117"/>
      <c r="AIE317" s="117"/>
      <c r="AIF317" s="117"/>
      <c r="AIG317" s="117"/>
      <c r="AIH317" s="117"/>
      <c r="AII317" s="117"/>
      <c r="AIJ317" s="117"/>
      <c r="AIK317" s="117"/>
      <c r="AIL317" s="117"/>
      <c r="AIM317" s="117"/>
      <c r="AIN317" s="117"/>
      <c r="AIO317" s="117"/>
      <c r="AIP317" s="117"/>
      <c r="AIQ317" s="117"/>
      <c r="AIR317" s="117"/>
      <c r="AIS317" s="117"/>
      <c r="AIT317" s="117"/>
      <c r="AIU317" s="117"/>
      <c r="AIV317" s="117"/>
      <c r="AIW317" s="117"/>
      <c r="AIX317" s="117"/>
      <c r="AIY317" s="117"/>
      <c r="AIZ317" s="117"/>
      <c r="AJA317" s="117"/>
      <c r="AJB317" s="117"/>
      <c r="AJC317" s="117"/>
      <c r="AJD317" s="117"/>
      <c r="AJE317" s="117"/>
      <c r="AJF317" s="117"/>
      <c r="AJG317" s="117"/>
      <c r="AJH317" s="117"/>
      <c r="AJI317" s="117"/>
      <c r="AJJ317" s="117"/>
      <c r="AJK317" s="117"/>
      <c r="AJL317" s="117"/>
      <c r="AJM317" s="117"/>
      <c r="AJN317" s="117"/>
      <c r="AJO317" s="117"/>
      <c r="AJP317" s="117"/>
      <c r="AJQ317" s="117"/>
      <c r="AJR317" s="117"/>
      <c r="AJS317" s="117"/>
      <c r="AJT317" s="117"/>
      <c r="AJU317" s="117"/>
      <c r="AJV317" s="117"/>
      <c r="AJW317" s="117"/>
      <c r="AJX317" s="117"/>
      <c r="AJY317" s="117"/>
      <c r="AJZ317" s="117"/>
      <c r="AKA317" s="117"/>
      <c r="AKB317" s="117"/>
      <c r="AKC317" s="117"/>
      <c r="AKD317" s="117"/>
      <c r="AKE317" s="117"/>
      <c r="AKF317" s="117"/>
      <c r="AKG317" s="117"/>
      <c r="AKH317" s="117"/>
      <c r="AKI317" s="117"/>
      <c r="AKJ317" s="117"/>
      <c r="AKK317" s="117"/>
      <c r="AKL317" s="117"/>
      <c r="AKM317" s="117"/>
      <c r="AKN317" s="117"/>
      <c r="AKO317" s="117"/>
      <c r="AKP317" s="117"/>
      <c r="AKQ317" s="117"/>
      <c r="AKR317" s="117"/>
      <c r="AKS317" s="117"/>
      <c r="AKT317" s="117"/>
      <c r="AKU317" s="117"/>
      <c r="AKV317" s="117"/>
      <c r="AKW317" s="117"/>
      <c r="AKX317" s="117"/>
      <c r="AKY317" s="117"/>
      <c r="AKZ317" s="117"/>
      <c r="ALA317" s="117"/>
      <c r="ALB317" s="117"/>
      <c r="ALC317" s="117"/>
      <c r="ALD317" s="117"/>
      <c r="ALE317" s="117"/>
      <c r="ALF317" s="117"/>
      <c r="ALG317" s="117"/>
      <c r="ALH317" s="117"/>
      <c r="ALI317" s="117"/>
      <c r="ALJ317" s="117"/>
      <c r="ALK317" s="117"/>
      <c r="ALL317" s="117"/>
      <c r="ALM317" s="117"/>
      <c r="ALN317" s="117"/>
      <c r="ALO317" s="117"/>
      <c r="ALP317" s="117"/>
      <c r="ALQ317" s="117"/>
      <c r="ALR317" s="117"/>
      <c r="ALS317" s="117"/>
      <c r="ALT317" s="117"/>
      <c r="ALU317" s="117"/>
      <c r="ALV317" s="117"/>
      <c r="ALW317" s="117"/>
      <c r="ALX317" s="117"/>
      <c r="ALY317" s="117"/>
      <c r="ALZ317" s="117"/>
      <c r="AMA317" s="117"/>
      <c r="AMB317" s="117"/>
      <c r="AMC317" s="117"/>
      <c r="AMD317" s="117"/>
      <c r="AME317" s="117"/>
    </row>
    <row r="318" spans="1:1019" s="191" customFormat="1" ht="11.25" customHeight="1">
      <c r="A318" s="139">
        <v>316</v>
      </c>
      <c r="B318" s="139"/>
      <c r="C318" s="140"/>
      <c r="D318" s="190">
        <v>1</v>
      </c>
      <c r="E318" s="190">
        <f t="shared" si="47"/>
        <v>26</v>
      </c>
      <c r="F318" s="173" t="s">
        <v>520</v>
      </c>
      <c r="G318" s="172">
        <f t="shared" si="58"/>
        <v>1860</v>
      </c>
      <c r="H318" s="143">
        <f>INT((G318*Valores!$C$2*100)+0.5)/100</f>
        <v>17371.84</v>
      </c>
      <c r="I318" s="161">
        <v>0</v>
      </c>
      <c r="J318" s="145">
        <f>INT((I318*Valores!$C$2*100)+0.5)/100</f>
        <v>0</v>
      </c>
      <c r="K318" s="160">
        <v>0</v>
      </c>
      <c r="L318" s="145">
        <f>INT((K318*Valores!$C$2*100)+0.5)/100</f>
        <v>0</v>
      </c>
      <c r="M318" s="158">
        <v>0</v>
      </c>
      <c r="N318" s="145">
        <f>INT((M318*Valores!$C$2*100)+0.5)/100</f>
        <v>0</v>
      </c>
      <c r="O318" s="145">
        <f t="shared" si="48"/>
        <v>2728.6259999999997</v>
      </c>
      <c r="P318" s="145">
        <f t="shared" si="49"/>
        <v>0</v>
      </c>
      <c r="Q318" s="159">
        <v>0</v>
      </c>
      <c r="R318" s="159">
        <v>0</v>
      </c>
      <c r="S318" s="145">
        <v>0</v>
      </c>
      <c r="T318" s="148">
        <f>IF($H$5="NO",IF(Valores!$C$46*D318&gt;Valores!$C$44,Valores!$C$44,Valores!$C$46*D318),IF(Valores!$C$46*D318&gt;Valores!$C$44,Valores!$C$44,Valores!$C$46*D318)/2)*12</f>
        <v>819</v>
      </c>
      <c r="U318" s="159">
        <v>0</v>
      </c>
      <c r="V318" s="145">
        <f t="shared" si="57"/>
        <v>0</v>
      </c>
      <c r="W318" s="145">
        <v>0</v>
      </c>
      <c r="X318" s="145">
        <v>0</v>
      </c>
      <c r="Y318" s="165">
        <v>0</v>
      </c>
      <c r="Z318" s="145">
        <v>0</v>
      </c>
      <c r="AA318" s="145">
        <v>0</v>
      </c>
      <c r="AB318" s="148"/>
      <c r="AC318" s="150">
        <v>0</v>
      </c>
      <c r="AD318" s="145">
        <f t="shared" si="51"/>
        <v>0</v>
      </c>
      <c r="AE318" s="145">
        <v>0</v>
      </c>
      <c r="AF318" s="149">
        <v>0</v>
      </c>
      <c r="AG318" s="145">
        <f>INT(((AF318*Valores!$C$2)*100)+0.5)/100</f>
        <v>0</v>
      </c>
      <c r="AH318" s="145"/>
      <c r="AI318" s="145"/>
      <c r="AJ318" s="151">
        <f t="shared" si="52"/>
        <v>20919.466</v>
      </c>
      <c r="AK318" s="171"/>
      <c r="AL318" s="148">
        <f>Valores!$C$11+AL317</f>
        <v>0</v>
      </c>
      <c r="AM318" s="148">
        <v>0</v>
      </c>
      <c r="AN318" s="148"/>
      <c r="AO318" s="150">
        <v>0</v>
      </c>
      <c r="AP318" s="152">
        <f t="shared" si="50"/>
        <v>0</v>
      </c>
      <c r="AQ318" s="154">
        <f>AJ318*-Valores!$C$68</f>
        <v>-2301.14126</v>
      </c>
      <c r="AR318" s="154">
        <f>AJ318*-Valores!$C$69</f>
        <v>0</v>
      </c>
      <c r="AS318" s="147">
        <f>AJ318*-Valores!$C$70</f>
        <v>-941.3759699999999</v>
      </c>
      <c r="AT318" s="147">
        <v>-159.43</v>
      </c>
      <c r="AU318" s="147">
        <f t="shared" si="53"/>
        <v>-53.83</v>
      </c>
      <c r="AV318" s="151">
        <f t="shared" si="54"/>
        <v>17463.688769999997</v>
      </c>
      <c r="AW318" s="155"/>
      <c r="AX318" s="155"/>
      <c r="AY318" s="140"/>
      <c r="AZ318" s="117"/>
      <c r="BA318" s="117"/>
      <c r="BB318" s="117"/>
      <c r="BC318" s="117"/>
      <c r="BD318" s="117"/>
      <c r="BE318" s="117"/>
      <c r="BF318" s="117"/>
      <c r="BG318" s="117"/>
      <c r="BH318" s="117"/>
      <c r="BI318" s="117"/>
      <c r="BJ318" s="117"/>
      <c r="BK318" s="117"/>
      <c r="BL318" s="117"/>
      <c r="BM318" s="117"/>
      <c r="BN318" s="117"/>
      <c r="BO318" s="117"/>
      <c r="BP318" s="117"/>
      <c r="BQ318" s="117"/>
      <c r="BR318" s="117"/>
      <c r="BS318" s="117"/>
      <c r="BT318" s="117"/>
      <c r="BU318" s="117"/>
      <c r="BV318" s="117"/>
      <c r="BW318" s="117"/>
      <c r="BX318" s="117"/>
      <c r="BY318" s="117"/>
      <c r="BZ318" s="117"/>
      <c r="CA318" s="117"/>
      <c r="CB318" s="117"/>
      <c r="CC318" s="117"/>
      <c r="CD318" s="117"/>
      <c r="CE318" s="117"/>
      <c r="CF318" s="117"/>
      <c r="CG318" s="117"/>
      <c r="CH318" s="117"/>
      <c r="CI318" s="117"/>
      <c r="CJ318" s="117"/>
      <c r="CK318" s="117"/>
      <c r="CL318" s="117"/>
      <c r="CM318" s="117"/>
      <c r="CN318" s="117"/>
      <c r="CO318" s="117"/>
      <c r="CP318" s="117"/>
      <c r="CQ318" s="117"/>
      <c r="CR318" s="117"/>
      <c r="CS318" s="117"/>
      <c r="CT318" s="117"/>
      <c r="CU318" s="117"/>
      <c r="CV318" s="117"/>
      <c r="CW318" s="117"/>
      <c r="CX318" s="117"/>
      <c r="CY318" s="117"/>
      <c r="CZ318" s="117"/>
      <c r="DA318" s="117"/>
      <c r="DB318" s="117"/>
      <c r="DC318" s="117"/>
      <c r="DD318" s="117"/>
      <c r="DE318" s="117"/>
      <c r="DF318" s="117"/>
      <c r="DG318" s="117"/>
      <c r="DH318" s="117"/>
      <c r="DI318" s="117"/>
      <c r="DJ318" s="117"/>
      <c r="DK318" s="117"/>
      <c r="DL318" s="117"/>
      <c r="DM318" s="117"/>
      <c r="DN318" s="117"/>
      <c r="DO318" s="117"/>
      <c r="DP318" s="117"/>
      <c r="DQ318" s="117"/>
      <c r="DR318" s="117"/>
      <c r="DS318" s="117"/>
      <c r="DT318" s="117"/>
      <c r="DU318" s="117"/>
      <c r="DV318" s="117"/>
      <c r="DW318" s="117"/>
      <c r="DX318" s="117"/>
      <c r="DY318" s="117"/>
      <c r="DZ318" s="117"/>
      <c r="EA318" s="117"/>
      <c r="EB318" s="117"/>
      <c r="EC318" s="117"/>
      <c r="ED318" s="117"/>
      <c r="EE318" s="117"/>
      <c r="EF318" s="117"/>
      <c r="EG318" s="117"/>
      <c r="EH318" s="117"/>
      <c r="EI318" s="117"/>
      <c r="EJ318" s="117"/>
      <c r="EK318" s="117"/>
      <c r="EL318" s="117"/>
      <c r="EM318" s="117"/>
      <c r="EN318" s="117"/>
      <c r="EO318" s="117"/>
      <c r="EP318" s="117"/>
      <c r="EQ318" s="117"/>
      <c r="ER318" s="117"/>
      <c r="ES318" s="117"/>
      <c r="ET318" s="117"/>
      <c r="EU318" s="117"/>
      <c r="EV318" s="117"/>
      <c r="EW318" s="117"/>
      <c r="EX318" s="117"/>
      <c r="EY318" s="117"/>
      <c r="EZ318" s="117"/>
      <c r="FA318" s="117"/>
      <c r="FB318" s="117"/>
      <c r="FC318" s="117"/>
      <c r="FD318" s="117"/>
      <c r="FE318" s="117"/>
      <c r="FF318" s="117"/>
      <c r="FG318" s="117"/>
      <c r="FH318" s="117"/>
      <c r="FI318" s="117"/>
      <c r="FJ318" s="117"/>
      <c r="FK318" s="117"/>
      <c r="FL318" s="117"/>
      <c r="FM318" s="117"/>
      <c r="FN318" s="117"/>
      <c r="FO318" s="117"/>
      <c r="FP318" s="117"/>
      <c r="FQ318" s="117"/>
      <c r="FR318" s="117"/>
      <c r="FS318" s="117"/>
      <c r="FT318" s="117"/>
      <c r="FU318" s="117"/>
      <c r="FV318" s="117"/>
      <c r="FW318" s="117"/>
      <c r="FX318" s="117"/>
      <c r="FY318" s="117"/>
      <c r="FZ318" s="117"/>
      <c r="GA318" s="117"/>
      <c r="GB318" s="117"/>
      <c r="GC318" s="117"/>
      <c r="GD318" s="117"/>
      <c r="GE318" s="117"/>
      <c r="GF318" s="117"/>
      <c r="GG318" s="117"/>
      <c r="GH318" s="117"/>
      <c r="GI318" s="117"/>
      <c r="GJ318" s="117"/>
      <c r="GK318" s="117"/>
      <c r="GL318" s="117"/>
      <c r="GM318" s="117"/>
      <c r="GN318" s="117"/>
      <c r="GO318" s="117"/>
      <c r="GP318" s="117"/>
      <c r="GQ318" s="117"/>
      <c r="GR318" s="117"/>
      <c r="GS318" s="117"/>
      <c r="GT318" s="117"/>
      <c r="GU318" s="117"/>
      <c r="GV318" s="117"/>
      <c r="GW318" s="117"/>
      <c r="GX318" s="117"/>
      <c r="GY318" s="117"/>
      <c r="GZ318" s="117"/>
      <c r="HA318" s="117"/>
      <c r="HB318" s="117"/>
      <c r="HC318" s="117"/>
      <c r="HD318" s="117"/>
      <c r="HE318" s="117"/>
      <c r="HF318" s="117"/>
      <c r="HG318" s="117"/>
      <c r="HH318" s="117"/>
      <c r="HI318" s="117"/>
      <c r="HJ318" s="117"/>
      <c r="HK318" s="117"/>
      <c r="HL318" s="117"/>
      <c r="HM318" s="117"/>
      <c r="HN318" s="117"/>
      <c r="HO318" s="117"/>
      <c r="HP318" s="117"/>
      <c r="HQ318" s="117"/>
      <c r="HR318" s="117"/>
      <c r="HS318" s="117"/>
      <c r="HT318" s="117"/>
      <c r="HU318" s="117"/>
      <c r="HV318" s="117"/>
      <c r="HW318" s="117"/>
      <c r="HX318" s="117"/>
      <c r="HY318" s="117"/>
      <c r="HZ318" s="117"/>
      <c r="IA318" s="117"/>
      <c r="IB318" s="117"/>
      <c r="IC318" s="117"/>
      <c r="ID318" s="117"/>
      <c r="IE318" s="117"/>
      <c r="IF318" s="117"/>
      <c r="IG318" s="117"/>
      <c r="IH318" s="117"/>
      <c r="II318" s="117"/>
      <c r="IJ318" s="117"/>
      <c r="IK318" s="117"/>
      <c r="IL318" s="117"/>
      <c r="IM318" s="117"/>
      <c r="IN318" s="117"/>
      <c r="IO318" s="117"/>
      <c r="IP318" s="117"/>
      <c r="IQ318" s="117"/>
      <c r="IR318" s="117"/>
      <c r="IS318" s="117"/>
      <c r="IT318" s="117"/>
      <c r="IU318" s="117"/>
      <c r="IV318" s="117"/>
      <c r="IW318" s="117"/>
      <c r="IX318" s="117"/>
      <c r="IY318" s="117"/>
      <c r="IZ318" s="117"/>
      <c r="JA318" s="117"/>
      <c r="JB318" s="117"/>
      <c r="JC318" s="117"/>
      <c r="JD318" s="117"/>
      <c r="JE318" s="117"/>
      <c r="JF318" s="117"/>
      <c r="JG318" s="117"/>
      <c r="JH318" s="117"/>
      <c r="JI318" s="117"/>
      <c r="JJ318" s="117"/>
      <c r="JK318" s="117"/>
      <c r="JL318" s="117"/>
      <c r="JM318" s="117"/>
      <c r="JN318" s="117"/>
      <c r="JO318" s="117"/>
      <c r="JP318" s="117"/>
      <c r="JQ318" s="117"/>
      <c r="JR318" s="117"/>
      <c r="JS318" s="117"/>
      <c r="JT318" s="117"/>
      <c r="JU318" s="117"/>
      <c r="JV318" s="117"/>
      <c r="JW318" s="117"/>
      <c r="JX318" s="117"/>
      <c r="JY318" s="117"/>
      <c r="JZ318" s="117"/>
      <c r="KA318" s="117"/>
      <c r="KB318" s="117"/>
      <c r="KC318" s="117"/>
      <c r="KD318" s="117"/>
      <c r="KE318" s="117"/>
      <c r="KF318" s="117"/>
      <c r="KG318" s="117"/>
      <c r="KH318" s="117"/>
      <c r="KI318" s="117"/>
      <c r="KJ318" s="117"/>
      <c r="KK318" s="117"/>
      <c r="KL318" s="117"/>
      <c r="KM318" s="117"/>
      <c r="KN318" s="117"/>
      <c r="KO318" s="117"/>
      <c r="KP318" s="117"/>
      <c r="KQ318" s="117"/>
      <c r="KR318" s="117"/>
      <c r="KS318" s="117"/>
      <c r="KT318" s="117"/>
      <c r="KU318" s="117"/>
      <c r="KV318" s="117"/>
      <c r="KW318" s="117"/>
      <c r="KX318" s="117"/>
      <c r="KY318" s="117"/>
      <c r="KZ318" s="117"/>
      <c r="LA318" s="117"/>
      <c r="LB318" s="117"/>
      <c r="LC318" s="117"/>
      <c r="LD318" s="117"/>
      <c r="LE318" s="117"/>
      <c r="LF318" s="117"/>
      <c r="LG318" s="117"/>
      <c r="LH318" s="117"/>
      <c r="LI318" s="117"/>
      <c r="LJ318" s="117"/>
      <c r="LK318" s="117"/>
      <c r="LL318" s="117"/>
      <c r="LM318" s="117"/>
      <c r="LN318" s="117"/>
      <c r="LO318" s="117"/>
      <c r="LP318" s="117"/>
      <c r="LQ318" s="117"/>
      <c r="LR318" s="117"/>
      <c r="LS318" s="117"/>
      <c r="LT318" s="117"/>
      <c r="LU318" s="117"/>
      <c r="LV318" s="117"/>
      <c r="LW318" s="117"/>
      <c r="LX318" s="117"/>
      <c r="LY318" s="117"/>
      <c r="LZ318" s="117"/>
      <c r="MA318" s="117"/>
      <c r="MB318" s="117"/>
      <c r="MC318" s="117"/>
      <c r="MD318" s="117"/>
      <c r="ME318" s="117"/>
      <c r="MF318" s="117"/>
      <c r="MG318" s="117"/>
      <c r="MH318" s="117"/>
      <c r="MI318" s="117"/>
      <c r="MJ318" s="117"/>
      <c r="MK318" s="117"/>
      <c r="ML318" s="117"/>
      <c r="MM318" s="117"/>
      <c r="MN318" s="117"/>
      <c r="MO318" s="117"/>
      <c r="MP318" s="117"/>
      <c r="MQ318" s="117"/>
      <c r="MR318" s="117"/>
      <c r="MS318" s="117"/>
      <c r="MT318" s="117"/>
      <c r="MU318" s="117"/>
      <c r="MV318" s="117"/>
      <c r="MW318" s="117"/>
      <c r="MX318" s="117"/>
      <c r="MY318" s="117"/>
      <c r="MZ318" s="117"/>
      <c r="NA318" s="117"/>
      <c r="NB318" s="117"/>
      <c r="NC318" s="117"/>
      <c r="ND318" s="117"/>
      <c r="NE318" s="117"/>
      <c r="NF318" s="117"/>
      <c r="NG318" s="117"/>
      <c r="NH318" s="117"/>
      <c r="NI318" s="117"/>
      <c r="NJ318" s="117"/>
      <c r="NK318" s="117"/>
      <c r="NL318" s="117"/>
      <c r="NM318" s="117"/>
      <c r="NN318" s="117"/>
      <c r="NO318" s="117"/>
      <c r="NP318" s="117"/>
      <c r="NQ318" s="117"/>
      <c r="NR318" s="117"/>
      <c r="NS318" s="117"/>
      <c r="NT318" s="117"/>
      <c r="NU318" s="117"/>
      <c r="NV318" s="117"/>
      <c r="NW318" s="117"/>
      <c r="NX318" s="117"/>
      <c r="NY318" s="117"/>
      <c r="NZ318" s="117"/>
      <c r="OA318" s="117"/>
      <c r="OB318" s="117"/>
      <c r="OC318" s="117"/>
      <c r="OD318" s="117"/>
      <c r="OE318" s="117"/>
      <c r="OF318" s="117"/>
      <c r="OG318" s="117"/>
      <c r="OH318" s="117"/>
      <c r="OI318" s="117"/>
      <c r="OJ318" s="117"/>
      <c r="OK318" s="117"/>
      <c r="OL318" s="117"/>
      <c r="OM318" s="117"/>
      <c r="ON318" s="117"/>
      <c r="OO318" s="117"/>
      <c r="OP318" s="117"/>
      <c r="OQ318" s="117"/>
      <c r="OR318" s="117"/>
      <c r="OS318" s="117"/>
      <c r="OT318" s="117"/>
      <c r="OU318" s="117"/>
      <c r="OV318" s="117"/>
      <c r="OW318" s="117"/>
      <c r="OX318" s="117"/>
      <c r="OY318" s="117"/>
      <c r="OZ318" s="117"/>
      <c r="PA318" s="117"/>
      <c r="PB318" s="117"/>
      <c r="PC318" s="117"/>
      <c r="PD318" s="117"/>
      <c r="PE318" s="117"/>
      <c r="PF318" s="117"/>
      <c r="PG318" s="117"/>
      <c r="PH318" s="117"/>
      <c r="PI318" s="117"/>
      <c r="PJ318" s="117"/>
      <c r="PK318" s="117"/>
      <c r="PL318" s="117"/>
      <c r="PM318" s="117"/>
      <c r="PN318" s="117"/>
      <c r="PO318" s="117"/>
      <c r="PP318" s="117"/>
      <c r="PQ318" s="117"/>
      <c r="PR318" s="117"/>
      <c r="PS318" s="117"/>
      <c r="PT318" s="117"/>
      <c r="PU318" s="117"/>
      <c r="PV318" s="117"/>
      <c r="PW318" s="117"/>
      <c r="PX318" s="117"/>
      <c r="PY318" s="117"/>
      <c r="PZ318" s="117"/>
      <c r="QA318" s="117"/>
      <c r="QB318" s="117"/>
      <c r="QC318" s="117"/>
      <c r="QD318" s="117"/>
      <c r="QE318" s="117"/>
      <c r="QF318" s="117"/>
      <c r="QG318" s="117"/>
      <c r="QH318" s="117"/>
      <c r="QI318" s="117"/>
      <c r="QJ318" s="117"/>
      <c r="QK318" s="117"/>
      <c r="QL318" s="117"/>
      <c r="QM318" s="117"/>
      <c r="QN318" s="117"/>
      <c r="QO318" s="117"/>
      <c r="QP318" s="117"/>
      <c r="QQ318" s="117"/>
      <c r="QR318" s="117"/>
      <c r="QS318" s="117"/>
      <c r="QT318" s="117"/>
      <c r="QU318" s="117"/>
      <c r="QV318" s="117"/>
      <c r="QW318" s="117"/>
      <c r="QX318" s="117"/>
      <c r="QY318" s="117"/>
      <c r="QZ318" s="117"/>
      <c r="RA318" s="117"/>
      <c r="RB318" s="117"/>
      <c r="RC318" s="117"/>
      <c r="RD318" s="117"/>
      <c r="RE318" s="117"/>
      <c r="RF318" s="117"/>
      <c r="RG318" s="117"/>
      <c r="RH318" s="117"/>
      <c r="RI318" s="117"/>
      <c r="RJ318" s="117"/>
      <c r="RK318" s="117"/>
      <c r="RL318" s="117"/>
      <c r="RM318" s="117"/>
      <c r="RN318" s="117"/>
      <c r="RO318" s="117"/>
      <c r="RP318" s="117"/>
      <c r="RQ318" s="117"/>
      <c r="RR318" s="117"/>
      <c r="RS318" s="117"/>
      <c r="RT318" s="117"/>
      <c r="RU318" s="117"/>
      <c r="RV318" s="117"/>
      <c r="RW318" s="117"/>
      <c r="RX318" s="117"/>
      <c r="RY318" s="117"/>
      <c r="RZ318" s="117"/>
      <c r="SA318" s="117"/>
      <c r="SB318" s="117"/>
      <c r="SC318" s="117"/>
      <c r="SD318" s="117"/>
      <c r="SE318" s="117"/>
      <c r="SF318" s="117"/>
      <c r="SG318" s="117"/>
      <c r="SH318" s="117"/>
      <c r="SI318" s="117"/>
      <c r="SJ318" s="117"/>
      <c r="SK318" s="117"/>
      <c r="SL318" s="117"/>
      <c r="SM318" s="117"/>
      <c r="SN318" s="117"/>
      <c r="SO318" s="117"/>
      <c r="SP318" s="117"/>
      <c r="SQ318" s="117"/>
      <c r="SR318" s="117"/>
      <c r="SS318" s="117"/>
      <c r="ST318" s="117"/>
      <c r="SU318" s="117"/>
      <c r="SV318" s="117"/>
      <c r="SW318" s="117"/>
      <c r="SX318" s="117"/>
      <c r="SY318" s="117"/>
      <c r="SZ318" s="117"/>
      <c r="TA318" s="117"/>
      <c r="TB318" s="117"/>
      <c r="TC318" s="117"/>
      <c r="TD318" s="117"/>
      <c r="TE318" s="117"/>
      <c r="TF318" s="117"/>
      <c r="TG318" s="117"/>
      <c r="TH318" s="117"/>
      <c r="TI318" s="117"/>
      <c r="TJ318" s="117"/>
      <c r="TK318" s="117"/>
      <c r="TL318" s="117"/>
      <c r="TM318" s="117"/>
      <c r="TN318" s="117"/>
      <c r="TO318" s="117"/>
      <c r="TP318" s="117"/>
      <c r="TQ318" s="117"/>
      <c r="TR318" s="117"/>
      <c r="TS318" s="117"/>
      <c r="TT318" s="117"/>
      <c r="TU318" s="117"/>
      <c r="TV318" s="117"/>
      <c r="TW318" s="117"/>
      <c r="TX318" s="117"/>
      <c r="TY318" s="117"/>
      <c r="TZ318" s="117"/>
      <c r="UA318" s="117"/>
      <c r="UB318" s="117"/>
      <c r="UC318" s="117"/>
      <c r="UD318" s="117"/>
      <c r="UE318" s="117"/>
      <c r="UF318" s="117"/>
      <c r="UG318" s="117"/>
      <c r="UH318" s="117"/>
      <c r="UI318" s="117"/>
      <c r="UJ318" s="117"/>
      <c r="UK318" s="117"/>
      <c r="UL318" s="117"/>
      <c r="UM318" s="117"/>
      <c r="UN318" s="117"/>
      <c r="UO318" s="117"/>
      <c r="UP318" s="117"/>
      <c r="UQ318" s="117"/>
      <c r="UR318" s="117"/>
      <c r="US318" s="117"/>
      <c r="UT318" s="117"/>
      <c r="UU318" s="117"/>
      <c r="UV318" s="117"/>
      <c r="UW318" s="117"/>
      <c r="UX318" s="117"/>
      <c r="UY318" s="117"/>
      <c r="UZ318" s="117"/>
      <c r="VA318" s="117"/>
      <c r="VB318" s="117"/>
      <c r="VC318" s="117"/>
      <c r="VD318" s="117"/>
      <c r="VE318" s="117"/>
      <c r="VF318" s="117"/>
      <c r="VG318" s="117"/>
      <c r="VH318" s="117"/>
      <c r="VI318" s="117"/>
      <c r="VJ318" s="117"/>
      <c r="VK318" s="117"/>
      <c r="VL318" s="117"/>
      <c r="VM318" s="117"/>
      <c r="VN318" s="117"/>
      <c r="VO318" s="117"/>
      <c r="VP318" s="117"/>
      <c r="VQ318" s="117"/>
      <c r="VR318" s="117"/>
      <c r="VS318" s="117"/>
      <c r="VT318" s="117"/>
      <c r="VU318" s="117"/>
      <c r="VV318" s="117"/>
      <c r="VW318" s="117"/>
      <c r="VX318" s="117"/>
      <c r="VY318" s="117"/>
      <c r="VZ318" s="117"/>
      <c r="WA318" s="117"/>
      <c r="WB318" s="117"/>
      <c r="WC318" s="117"/>
      <c r="WD318" s="117"/>
      <c r="WE318" s="117"/>
      <c r="WF318" s="117"/>
      <c r="WG318" s="117"/>
      <c r="WH318" s="117"/>
      <c r="WI318" s="117"/>
      <c r="WJ318" s="117"/>
      <c r="WK318" s="117"/>
      <c r="WL318" s="117"/>
      <c r="WM318" s="117"/>
      <c r="WN318" s="117"/>
      <c r="WO318" s="117"/>
      <c r="WP318" s="117"/>
      <c r="WQ318" s="117"/>
      <c r="WR318" s="117"/>
      <c r="WS318" s="117"/>
      <c r="WT318" s="117"/>
      <c r="WU318" s="117"/>
      <c r="WV318" s="117"/>
      <c r="WW318" s="117"/>
      <c r="WX318" s="117"/>
      <c r="WY318" s="117"/>
      <c r="WZ318" s="117"/>
      <c r="XA318" s="117"/>
      <c r="XB318" s="117"/>
      <c r="XC318" s="117"/>
      <c r="XD318" s="117"/>
      <c r="XE318" s="117"/>
      <c r="XF318" s="117"/>
      <c r="XG318" s="117"/>
      <c r="XH318" s="117"/>
      <c r="XI318" s="117"/>
      <c r="XJ318" s="117"/>
      <c r="XK318" s="117"/>
      <c r="XL318" s="117"/>
      <c r="XM318" s="117"/>
      <c r="XN318" s="117"/>
      <c r="XO318" s="117"/>
      <c r="XP318" s="117"/>
      <c r="XQ318" s="117"/>
      <c r="XR318" s="117"/>
      <c r="XS318" s="117"/>
      <c r="XT318" s="117"/>
      <c r="XU318" s="117"/>
      <c r="XV318" s="117"/>
      <c r="XW318" s="117"/>
      <c r="XX318" s="117"/>
      <c r="XY318" s="117"/>
      <c r="XZ318" s="117"/>
      <c r="YA318" s="117"/>
      <c r="YB318" s="117"/>
      <c r="YC318" s="117"/>
      <c r="YD318" s="117"/>
      <c r="YE318" s="117"/>
      <c r="YF318" s="117"/>
      <c r="YG318" s="117"/>
      <c r="YH318" s="117"/>
      <c r="YI318" s="117"/>
      <c r="YJ318" s="117"/>
      <c r="YK318" s="117"/>
      <c r="YL318" s="117"/>
      <c r="YM318" s="117"/>
      <c r="YN318" s="117"/>
      <c r="YO318" s="117"/>
      <c r="YP318" s="117"/>
      <c r="YQ318" s="117"/>
      <c r="YR318" s="117"/>
      <c r="YS318" s="117"/>
      <c r="YT318" s="117"/>
      <c r="YU318" s="117"/>
      <c r="YV318" s="117"/>
      <c r="YW318" s="117"/>
      <c r="YX318" s="117"/>
      <c r="YY318" s="117"/>
      <c r="YZ318" s="117"/>
      <c r="ZA318" s="117"/>
      <c r="ZB318" s="117"/>
      <c r="ZC318" s="117"/>
      <c r="ZD318" s="117"/>
      <c r="ZE318" s="117"/>
      <c r="ZF318" s="117"/>
      <c r="ZG318" s="117"/>
      <c r="ZH318" s="117"/>
      <c r="ZI318" s="117"/>
      <c r="ZJ318" s="117"/>
      <c r="ZK318" s="117"/>
      <c r="ZL318" s="117"/>
      <c r="ZM318" s="117"/>
      <c r="ZN318" s="117"/>
      <c r="ZO318" s="117"/>
      <c r="ZP318" s="117"/>
      <c r="ZQ318" s="117"/>
      <c r="ZR318" s="117"/>
      <c r="ZS318" s="117"/>
      <c r="ZT318" s="117"/>
      <c r="ZU318" s="117"/>
      <c r="ZV318" s="117"/>
      <c r="ZW318" s="117"/>
      <c r="ZX318" s="117"/>
      <c r="ZY318" s="117"/>
      <c r="ZZ318" s="117"/>
      <c r="AAA318" s="117"/>
      <c r="AAB318" s="117"/>
      <c r="AAC318" s="117"/>
      <c r="AAD318" s="117"/>
      <c r="AAE318" s="117"/>
      <c r="AAF318" s="117"/>
      <c r="AAG318" s="117"/>
      <c r="AAH318" s="117"/>
      <c r="AAI318" s="117"/>
      <c r="AAJ318" s="117"/>
      <c r="AAK318" s="117"/>
      <c r="AAL318" s="117"/>
      <c r="AAM318" s="117"/>
      <c r="AAN318" s="117"/>
      <c r="AAO318" s="117"/>
      <c r="AAP318" s="117"/>
      <c r="AAQ318" s="117"/>
      <c r="AAR318" s="117"/>
      <c r="AAS318" s="117"/>
      <c r="AAT318" s="117"/>
      <c r="AAU318" s="117"/>
      <c r="AAV318" s="117"/>
      <c r="AAW318" s="117"/>
      <c r="AAX318" s="117"/>
      <c r="AAY318" s="117"/>
      <c r="AAZ318" s="117"/>
      <c r="ABA318" s="117"/>
      <c r="ABB318" s="117"/>
      <c r="ABC318" s="117"/>
      <c r="ABD318" s="117"/>
      <c r="ABE318" s="117"/>
      <c r="ABF318" s="117"/>
      <c r="ABG318" s="117"/>
      <c r="ABH318" s="117"/>
      <c r="ABI318" s="117"/>
      <c r="ABJ318" s="117"/>
      <c r="ABK318" s="117"/>
      <c r="ABL318" s="117"/>
      <c r="ABM318" s="117"/>
      <c r="ABN318" s="117"/>
      <c r="ABO318" s="117"/>
      <c r="ABP318" s="117"/>
      <c r="ABQ318" s="117"/>
      <c r="ABR318" s="117"/>
      <c r="ABS318" s="117"/>
      <c r="ABT318" s="117"/>
      <c r="ABU318" s="117"/>
      <c r="ABV318" s="117"/>
      <c r="ABW318" s="117"/>
      <c r="ABX318" s="117"/>
      <c r="ABY318" s="117"/>
      <c r="ABZ318" s="117"/>
      <c r="ACA318" s="117"/>
      <c r="ACB318" s="117"/>
      <c r="ACC318" s="117"/>
      <c r="ACD318" s="117"/>
      <c r="ACE318" s="117"/>
      <c r="ACF318" s="117"/>
      <c r="ACG318" s="117"/>
      <c r="ACH318" s="117"/>
      <c r="ACI318" s="117"/>
      <c r="ACJ318" s="117"/>
      <c r="ACK318" s="117"/>
      <c r="ACL318" s="117"/>
      <c r="ACM318" s="117"/>
      <c r="ACN318" s="117"/>
      <c r="ACO318" s="117"/>
      <c r="ACP318" s="117"/>
      <c r="ACQ318" s="117"/>
      <c r="ACR318" s="117"/>
      <c r="ACS318" s="117"/>
      <c r="ACT318" s="117"/>
      <c r="ACU318" s="117"/>
      <c r="ACV318" s="117"/>
      <c r="ACW318" s="117"/>
      <c r="ACX318" s="117"/>
      <c r="ACY318" s="117"/>
      <c r="ACZ318" s="117"/>
      <c r="ADA318" s="117"/>
      <c r="ADB318" s="117"/>
      <c r="ADC318" s="117"/>
      <c r="ADD318" s="117"/>
      <c r="ADE318" s="117"/>
      <c r="ADF318" s="117"/>
      <c r="ADG318" s="117"/>
      <c r="ADH318" s="117"/>
      <c r="ADI318" s="117"/>
      <c r="ADJ318" s="117"/>
      <c r="ADK318" s="117"/>
      <c r="ADL318" s="117"/>
      <c r="ADM318" s="117"/>
      <c r="ADN318" s="117"/>
      <c r="ADO318" s="117"/>
      <c r="ADP318" s="117"/>
      <c r="ADQ318" s="117"/>
      <c r="ADR318" s="117"/>
      <c r="ADS318" s="117"/>
      <c r="ADT318" s="117"/>
      <c r="ADU318" s="117"/>
      <c r="ADV318" s="117"/>
      <c r="ADW318" s="117"/>
      <c r="ADX318" s="117"/>
      <c r="ADY318" s="117"/>
      <c r="ADZ318" s="117"/>
      <c r="AEA318" s="117"/>
      <c r="AEB318" s="117"/>
      <c r="AEC318" s="117"/>
      <c r="AED318" s="117"/>
      <c r="AEE318" s="117"/>
      <c r="AEF318" s="117"/>
      <c r="AEG318" s="117"/>
      <c r="AEH318" s="117"/>
      <c r="AEI318" s="117"/>
      <c r="AEJ318" s="117"/>
      <c r="AEK318" s="117"/>
      <c r="AEL318" s="117"/>
      <c r="AEM318" s="117"/>
      <c r="AEN318" s="117"/>
      <c r="AEO318" s="117"/>
      <c r="AEP318" s="117"/>
      <c r="AEQ318" s="117"/>
      <c r="AER318" s="117"/>
      <c r="AES318" s="117"/>
      <c r="AET318" s="117"/>
      <c r="AEU318" s="117"/>
      <c r="AEV318" s="117"/>
      <c r="AEW318" s="117"/>
      <c r="AEX318" s="117"/>
      <c r="AEY318" s="117"/>
      <c r="AEZ318" s="117"/>
      <c r="AFA318" s="117"/>
      <c r="AFB318" s="117"/>
      <c r="AFC318" s="117"/>
      <c r="AFD318" s="117"/>
      <c r="AFE318" s="117"/>
      <c r="AFF318" s="117"/>
      <c r="AFG318" s="117"/>
      <c r="AFH318" s="117"/>
      <c r="AFI318" s="117"/>
      <c r="AFJ318" s="117"/>
      <c r="AFK318" s="117"/>
      <c r="AFL318" s="117"/>
      <c r="AFM318" s="117"/>
      <c r="AFN318" s="117"/>
      <c r="AFO318" s="117"/>
      <c r="AFP318" s="117"/>
      <c r="AFQ318" s="117"/>
      <c r="AFR318" s="117"/>
      <c r="AFS318" s="117"/>
      <c r="AFT318" s="117"/>
      <c r="AFU318" s="117"/>
      <c r="AFV318" s="117"/>
      <c r="AFW318" s="117"/>
      <c r="AFX318" s="117"/>
      <c r="AFY318" s="117"/>
      <c r="AFZ318" s="117"/>
      <c r="AGA318" s="117"/>
      <c r="AGB318" s="117"/>
      <c r="AGC318" s="117"/>
      <c r="AGD318" s="117"/>
      <c r="AGE318" s="117"/>
      <c r="AGF318" s="117"/>
      <c r="AGG318" s="117"/>
      <c r="AGH318" s="117"/>
      <c r="AGI318" s="117"/>
      <c r="AGJ318" s="117"/>
      <c r="AGK318" s="117"/>
      <c r="AGL318" s="117"/>
      <c r="AGM318" s="117"/>
      <c r="AGN318" s="117"/>
      <c r="AGO318" s="117"/>
      <c r="AGP318" s="117"/>
      <c r="AGQ318" s="117"/>
      <c r="AGR318" s="117"/>
      <c r="AGS318" s="117"/>
      <c r="AGT318" s="117"/>
      <c r="AGU318" s="117"/>
      <c r="AGV318" s="117"/>
      <c r="AGW318" s="117"/>
      <c r="AGX318" s="117"/>
      <c r="AGY318" s="117"/>
      <c r="AGZ318" s="117"/>
      <c r="AHA318" s="117"/>
      <c r="AHB318" s="117"/>
      <c r="AHC318" s="117"/>
      <c r="AHD318" s="117"/>
      <c r="AHE318" s="117"/>
      <c r="AHF318" s="117"/>
      <c r="AHG318" s="117"/>
      <c r="AHH318" s="117"/>
      <c r="AHI318" s="117"/>
      <c r="AHJ318" s="117"/>
      <c r="AHK318" s="117"/>
      <c r="AHL318" s="117"/>
      <c r="AHM318" s="117"/>
      <c r="AHN318" s="117"/>
      <c r="AHO318" s="117"/>
      <c r="AHP318" s="117"/>
      <c r="AHQ318" s="117"/>
      <c r="AHR318" s="117"/>
      <c r="AHS318" s="117"/>
      <c r="AHT318" s="117"/>
      <c r="AHU318" s="117"/>
      <c r="AHV318" s="117"/>
      <c r="AHW318" s="117"/>
      <c r="AHX318" s="117"/>
      <c r="AHY318" s="117"/>
      <c r="AHZ318" s="117"/>
      <c r="AIA318" s="117"/>
      <c r="AIB318" s="117"/>
      <c r="AIC318" s="117"/>
      <c r="AID318" s="117"/>
      <c r="AIE318" s="117"/>
      <c r="AIF318" s="117"/>
      <c r="AIG318" s="117"/>
      <c r="AIH318" s="117"/>
      <c r="AII318" s="117"/>
      <c r="AIJ318" s="117"/>
      <c r="AIK318" s="117"/>
      <c r="AIL318" s="117"/>
      <c r="AIM318" s="117"/>
      <c r="AIN318" s="117"/>
      <c r="AIO318" s="117"/>
      <c r="AIP318" s="117"/>
      <c r="AIQ318" s="117"/>
      <c r="AIR318" s="117"/>
      <c r="AIS318" s="117"/>
      <c r="AIT318" s="117"/>
      <c r="AIU318" s="117"/>
      <c r="AIV318" s="117"/>
      <c r="AIW318" s="117"/>
      <c r="AIX318" s="117"/>
      <c r="AIY318" s="117"/>
      <c r="AIZ318" s="117"/>
      <c r="AJA318" s="117"/>
      <c r="AJB318" s="117"/>
      <c r="AJC318" s="117"/>
      <c r="AJD318" s="117"/>
      <c r="AJE318" s="117"/>
      <c r="AJF318" s="117"/>
      <c r="AJG318" s="117"/>
      <c r="AJH318" s="117"/>
      <c r="AJI318" s="117"/>
      <c r="AJJ318" s="117"/>
      <c r="AJK318" s="117"/>
      <c r="AJL318" s="117"/>
      <c r="AJM318" s="117"/>
      <c r="AJN318" s="117"/>
      <c r="AJO318" s="117"/>
      <c r="AJP318" s="117"/>
      <c r="AJQ318" s="117"/>
      <c r="AJR318" s="117"/>
      <c r="AJS318" s="117"/>
      <c r="AJT318" s="117"/>
      <c r="AJU318" s="117"/>
      <c r="AJV318" s="117"/>
      <c r="AJW318" s="117"/>
      <c r="AJX318" s="117"/>
      <c r="AJY318" s="117"/>
      <c r="AJZ318" s="117"/>
      <c r="AKA318" s="117"/>
      <c r="AKB318" s="117"/>
      <c r="AKC318" s="117"/>
      <c r="AKD318" s="117"/>
      <c r="AKE318" s="117"/>
      <c r="AKF318" s="117"/>
      <c r="AKG318" s="117"/>
      <c r="AKH318" s="117"/>
      <c r="AKI318" s="117"/>
      <c r="AKJ318" s="117"/>
      <c r="AKK318" s="117"/>
      <c r="AKL318" s="117"/>
      <c r="AKM318" s="117"/>
      <c r="AKN318" s="117"/>
      <c r="AKO318" s="117"/>
      <c r="AKP318" s="117"/>
      <c r="AKQ318" s="117"/>
      <c r="AKR318" s="117"/>
      <c r="AKS318" s="117"/>
      <c r="AKT318" s="117"/>
      <c r="AKU318" s="117"/>
      <c r="AKV318" s="117"/>
      <c r="AKW318" s="117"/>
      <c r="AKX318" s="117"/>
      <c r="AKY318" s="117"/>
      <c r="AKZ318" s="117"/>
      <c r="ALA318" s="117"/>
      <c r="ALB318" s="117"/>
      <c r="ALC318" s="117"/>
      <c r="ALD318" s="117"/>
      <c r="ALE318" s="117"/>
      <c r="ALF318" s="117"/>
      <c r="ALG318" s="117"/>
      <c r="ALH318" s="117"/>
      <c r="ALI318" s="117"/>
      <c r="ALJ318" s="117"/>
      <c r="ALK318" s="117"/>
      <c r="ALL318" s="117"/>
      <c r="ALM318" s="117"/>
      <c r="ALN318" s="117"/>
      <c r="ALO318" s="117"/>
      <c r="ALP318" s="117"/>
      <c r="ALQ318" s="117"/>
      <c r="ALR318" s="117"/>
      <c r="ALS318" s="117"/>
      <c r="ALT318" s="117"/>
      <c r="ALU318" s="117"/>
      <c r="ALV318" s="117"/>
      <c r="ALW318" s="117"/>
      <c r="ALX318" s="117"/>
      <c r="ALY318" s="117"/>
      <c r="ALZ318" s="117"/>
      <c r="AMA318" s="117"/>
      <c r="AMB318" s="117"/>
      <c r="AMC318" s="117"/>
      <c r="AMD318" s="117"/>
      <c r="AME318" s="117"/>
    </row>
    <row r="319" spans="1:1019" s="191" customFormat="1" ht="11.25" customHeight="1">
      <c r="A319" s="139">
        <v>317</v>
      </c>
      <c r="B319" s="139"/>
      <c r="C319" s="140"/>
      <c r="D319" s="190">
        <v>1</v>
      </c>
      <c r="E319" s="190">
        <f t="shared" si="47"/>
        <v>26</v>
      </c>
      <c r="F319" s="173" t="s">
        <v>521</v>
      </c>
      <c r="G319" s="172">
        <f t="shared" si="58"/>
        <v>2015</v>
      </c>
      <c r="H319" s="143">
        <f>INT((G319*Valores!$C$2*100)+0.5)/100</f>
        <v>18819.5</v>
      </c>
      <c r="I319" s="161">
        <v>0</v>
      </c>
      <c r="J319" s="145">
        <f>INT((I319*Valores!$C$2*100)+0.5)/100</f>
        <v>0</v>
      </c>
      <c r="K319" s="160">
        <v>0</v>
      </c>
      <c r="L319" s="145">
        <f>INT((K319*Valores!$C$2*100)+0.5)/100</f>
        <v>0</v>
      </c>
      <c r="M319" s="158">
        <v>0</v>
      </c>
      <c r="N319" s="145">
        <f>INT((M319*Valores!$C$2*100)+0.5)/100</f>
        <v>0</v>
      </c>
      <c r="O319" s="145">
        <f t="shared" si="48"/>
        <v>2956.0125</v>
      </c>
      <c r="P319" s="145">
        <f t="shared" si="49"/>
        <v>0</v>
      </c>
      <c r="Q319" s="159">
        <v>0</v>
      </c>
      <c r="R319" s="159">
        <v>0</v>
      </c>
      <c r="S319" s="145">
        <v>0</v>
      </c>
      <c r="T319" s="148">
        <f>IF($H$5="NO",IF(Valores!$C$46*D319&gt;Valores!$C$44,Valores!$C$44,Valores!$C$46*D319),IF(Valores!$C$46*D319&gt;Valores!$C$44,Valores!$C$44,Valores!$C$46*D319)/2)*13</f>
        <v>887.25</v>
      </c>
      <c r="U319" s="159">
        <v>0</v>
      </c>
      <c r="V319" s="145">
        <f t="shared" si="57"/>
        <v>0</v>
      </c>
      <c r="W319" s="145">
        <v>0</v>
      </c>
      <c r="X319" s="145">
        <v>0</v>
      </c>
      <c r="Y319" s="165">
        <v>0</v>
      </c>
      <c r="Z319" s="145">
        <v>0</v>
      </c>
      <c r="AA319" s="145">
        <v>0</v>
      </c>
      <c r="AB319" s="148"/>
      <c r="AC319" s="150">
        <v>0</v>
      </c>
      <c r="AD319" s="145">
        <f t="shared" si="51"/>
        <v>0</v>
      </c>
      <c r="AE319" s="145">
        <v>0</v>
      </c>
      <c r="AF319" s="149">
        <v>0</v>
      </c>
      <c r="AG319" s="145">
        <f>INT(((AF319*Valores!$C$2)*100)+0.5)/100</f>
        <v>0</v>
      </c>
      <c r="AH319" s="145"/>
      <c r="AI319" s="145"/>
      <c r="AJ319" s="151">
        <f t="shared" si="52"/>
        <v>22662.7625</v>
      </c>
      <c r="AK319" s="171"/>
      <c r="AL319" s="148">
        <f>Valores!$C$11+AL318</f>
        <v>0</v>
      </c>
      <c r="AM319" s="148">
        <v>0</v>
      </c>
      <c r="AN319" s="148"/>
      <c r="AO319" s="150">
        <v>0</v>
      </c>
      <c r="AP319" s="152">
        <f t="shared" si="50"/>
        <v>0</v>
      </c>
      <c r="AQ319" s="154">
        <f>AJ319*-Valores!$C$68</f>
        <v>-2492.903875</v>
      </c>
      <c r="AR319" s="154">
        <f>AJ319*-Valores!$C$69</f>
        <v>0</v>
      </c>
      <c r="AS319" s="147">
        <f>AJ319*-Valores!$C$70</f>
        <v>-1019.8243125</v>
      </c>
      <c r="AT319" s="147">
        <v>-159.43</v>
      </c>
      <c r="AU319" s="147">
        <f t="shared" si="53"/>
        <v>-53.83</v>
      </c>
      <c r="AV319" s="151">
        <f t="shared" si="54"/>
        <v>18936.774312499998</v>
      </c>
      <c r="AW319" s="155"/>
      <c r="AX319" s="155"/>
      <c r="AY319" s="140"/>
      <c r="AZ319" s="117"/>
      <c r="BA319" s="117"/>
      <c r="BB319" s="117"/>
      <c r="BC319" s="117"/>
      <c r="BD319" s="117"/>
      <c r="BE319" s="117"/>
      <c r="BF319" s="117"/>
      <c r="BG319" s="117"/>
      <c r="BH319" s="117"/>
      <c r="BI319" s="117"/>
      <c r="BJ319" s="117"/>
      <c r="BK319" s="117"/>
      <c r="BL319" s="117"/>
      <c r="BM319" s="117"/>
      <c r="BN319" s="117"/>
      <c r="BO319" s="117"/>
      <c r="BP319" s="117"/>
      <c r="BQ319" s="117"/>
      <c r="BR319" s="117"/>
      <c r="BS319" s="117"/>
      <c r="BT319" s="117"/>
      <c r="BU319" s="117"/>
      <c r="BV319" s="117"/>
      <c r="BW319" s="117"/>
      <c r="BX319" s="117"/>
      <c r="BY319" s="117"/>
      <c r="BZ319" s="117"/>
      <c r="CA319" s="117"/>
      <c r="CB319" s="117"/>
      <c r="CC319" s="117"/>
      <c r="CD319" s="117"/>
      <c r="CE319" s="117"/>
      <c r="CF319" s="117"/>
      <c r="CG319" s="117"/>
      <c r="CH319" s="117"/>
      <c r="CI319" s="117"/>
      <c r="CJ319" s="117"/>
      <c r="CK319" s="117"/>
      <c r="CL319" s="117"/>
      <c r="CM319" s="117"/>
      <c r="CN319" s="117"/>
      <c r="CO319" s="117"/>
      <c r="CP319" s="117"/>
      <c r="CQ319" s="117"/>
      <c r="CR319" s="117"/>
      <c r="CS319" s="117"/>
      <c r="CT319" s="117"/>
      <c r="CU319" s="117"/>
      <c r="CV319" s="117"/>
      <c r="CW319" s="117"/>
      <c r="CX319" s="117"/>
      <c r="CY319" s="117"/>
      <c r="CZ319" s="117"/>
      <c r="DA319" s="117"/>
      <c r="DB319" s="117"/>
      <c r="DC319" s="117"/>
      <c r="DD319" s="117"/>
      <c r="DE319" s="117"/>
      <c r="DF319" s="117"/>
      <c r="DG319" s="117"/>
      <c r="DH319" s="117"/>
      <c r="DI319" s="117"/>
      <c r="DJ319" s="117"/>
      <c r="DK319" s="117"/>
      <c r="DL319" s="117"/>
      <c r="DM319" s="117"/>
      <c r="DN319" s="117"/>
      <c r="DO319" s="117"/>
      <c r="DP319" s="117"/>
      <c r="DQ319" s="117"/>
      <c r="DR319" s="117"/>
      <c r="DS319" s="117"/>
      <c r="DT319" s="117"/>
      <c r="DU319" s="117"/>
      <c r="DV319" s="117"/>
      <c r="DW319" s="117"/>
      <c r="DX319" s="117"/>
      <c r="DY319" s="117"/>
      <c r="DZ319" s="117"/>
      <c r="EA319" s="117"/>
      <c r="EB319" s="117"/>
      <c r="EC319" s="117"/>
      <c r="ED319" s="117"/>
      <c r="EE319" s="117"/>
      <c r="EF319" s="117"/>
      <c r="EG319" s="117"/>
      <c r="EH319" s="117"/>
      <c r="EI319" s="117"/>
      <c r="EJ319" s="117"/>
      <c r="EK319" s="117"/>
      <c r="EL319" s="117"/>
      <c r="EM319" s="117"/>
      <c r="EN319" s="117"/>
      <c r="EO319" s="117"/>
      <c r="EP319" s="117"/>
      <c r="EQ319" s="117"/>
      <c r="ER319" s="117"/>
      <c r="ES319" s="117"/>
      <c r="ET319" s="117"/>
      <c r="EU319" s="117"/>
      <c r="EV319" s="117"/>
      <c r="EW319" s="117"/>
      <c r="EX319" s="117"/>
      <c r="EY319" s="117"/>
      <c r="EZ319" s="117"/>
      <c r="FA319" s="117"/>
      <c r="FB319" s="117"/>
      <c r="FC319" s="117"/>
      <c r="FD319" s="117"/>
      <c r="FE319" s="117"/>
      <c r="FF319" s="117"/>
      <c r="FG319" s="117"/>
      <c r="FH319" s="117"/>
      <c r="FI319" s="117"/>
      <c r="FJ319" s="117"/>
      <c r="FK319" s="117"/>
      <c r="FL319" s="117"/>
      <c r="FM319" s="117"/>
      <c r="FN319" s="117"/>
      <c r="FO319" s="117"/>
      <c r="FP319" s="117"/>
      <c r="FQ319" s="117"/>
      <c r="FR319" s="117"/>
      <c r="FS319" s="117"/>
      <c r="FT319" s="117"/>
      <c r="FU319" s="117"/>
      <c r="FV319" s="117"/>
      <c r="FW319" s="117"/>
      <c r="FX319" s="117"/>
      <c r="FY319" s="117"/>
      <c r="FZ319" s="117"/>
      <c r="GA319" s="117"/>
      <c r="GB319" s="117"/>
      <c r="GC319" s="117"/>
      <c r="GD319" s="117"/>
      <c r="GE319" s="117"/>
      <c r="GF319" s="117"/>
      <c r="GG319" s="117"/>
      <c r="GH319" s="117"/>
      <c r="GI319" s="117"/>
      <c r="GJ319" s="117"/>
      <c r="GK319" s="117"/>
      <c r="GL319" s="117"/>
      <c r="GM319" s="117"/>
      <c r="GN319" s="117"/>
      <c r="GO319" s="117"/>
      <c r="GP319" s="117"/>
      <c r="GQ319" s="117"/>
      <c r="GR319" s="117"/>
      <c r="GS319" s="117"/>
      <c r="GT319" s="117"/>
      <c r="GU319" s="117"/>
      <c r="GV319" s="117"/>
      <c r="GW319" s="117"/>
      <c r="GX319" s="117"/>
      <c r="GY319" s="117"/>
      <c r="GZ319" s="117"/>
      <c r="HA319" s="117"/>
      <c r="HB319" s="117"/>
      <c r="HC319" s="117"/>
      <c r="HD319" s="117"/>
      <c r="HE319" s="117"/>
      <c r="HF319" s="117"/>
      <c r="HG319" s="117"/>
      <c r="HH319" s="117"/>
      <c r="HI319" s="117"/>
      <c r="HJ319" s="117"/>
      <c r="HK319" s="117"/>
      <c r="HL319" s="117"/>
      <c r="HM319" s="117"/>
      <c r="HN319" s="117"/>
      <c r="HO319" s="117"/>
      <c r="HP319" s="117"/>
      <c r="HQ319" s="117"/>
      <c r="HR319" s="117"/>
      <c r="HS319" s="117"/>
      <c r="HT319" s="117"/>
      <c r="HU319" s="117"/>
      <c r="HV319" s="117"/>
      <c r="HW319" s="117"/>
      <c r="HX319" s="117"/>
      <c r="HY319" s="117"/>
      <c r="HZ319" s="117"/>
      <c r="IA319" s="117"/>
      <c r="IB319" s="117"/>
      <c r="IC319" s="117"/>
      <c r="ID319" s="117"/>
      <c r="IE319" s="117"/>
      <c r="IF319" s="117"/>
      <c r="IG319" s="117"/>
      <c r="IH319" s="117"/>
      <c r="II319" s="117"/>
      <c r="IJ319" s="117"/>
      <c r="IK319" s="117"/>
      <c r="IL319" s="117"/>
      <c r="IM319" s="117"/>
      <c r="IN319" s="117"/>
      <c r="IO319" s="117"/>
      <c r="IP319" s="117"/>
      <c r="IQ319" s="117"/>
      <c r="IR319" s="117"/>
      <c r="IS319" s="117"/>
      <c r="IT319" s="117"/>
      <c r="IU319" s="117"/>
      <c r="IV319" s="117"/>
      <c r="IW319" s="117"/>
      <c r="IX319" s="117"/>
      <c r="IY319" s="117"/>
      <c r="IZ319" s="117"/>
      <c r="JA319" s="117"/>
      <c r="JB319" s="117"/>
      <c r="JC319" s="117"/>
      <c r="JD319" s="117"/>
      <c r="JE319" s="117"/>
      <c r="JF319" s="117"/>
      <c r="JG319" s="117"/>
      <c r="JH319" s="117"/>
      <c r="JI319" s="117"/>
      <c r="JJ319" s="117"/>
      <c r="JK319" s="117"/>
      <c r="JL319" s="117"/>
      <c r="JM319" s="117"/>
      <c r="JN319" s="117"/>
      <c r="JO319" s="117"/>
      <c r="JP319" s="117"/>
      <c r="JQ319" s="117"/>
      <c r="JR319" s="117"/>
      <c r="JS319" s="117"/>
      <c r="JT319" s="117"/>
      <c r="JU319" s="117"/>
      <c r="JV319" s="117"/>
      <c r="JW319" s="117"/>
      <c r="JX319" s="117"/>
      <c r="JY319" s="117"/>
      <c r="JZ319" s="117"/>
      <c r="KA319" s="117"/>
      <c r="KB319" s="117"/>
      <c r="KC319" s="117"/>
      <c r="KD319" s="117"/>
      <c r="KE319" s="117"/>
      <c r="KF319" s="117"/>
      <c r="KG319" s="117"/>
      <c r="KH319" s="117"/>
      <c r="KI319" s="117"/>
      <c r="KJ319" s="117"/>
      <c r="KK319" s="117"/>
      <c r="KL319" s="117"/>
      <c r="KM319" s="117"/>
      <c r="KN319" s="117"/>
      <c r="KO319" s="117"/>
      <c r="KP319" s="117"/>
      <c r="KQ319" s="117"/>
      <c r="KR319" s="117"/>
      <c r="KS319" s="117"/>
      <c r="KT319" s="117"/>
      <c r="KU319" s="117"/>
      <c r="KV319" s="117"/>
      <c r="KW319" s="117"/>
      <c r="KX319" s="117"/>
      <c r="KY319" s="117"/>
      <c r="KZ319" s="117"/>
      <c r="LA319" s="117"/>
      <c r="LB319" s="117"/>
      <c r="LC319" s="117"/>
      <c r="LD319" s="117"/>
      <c r="LE319" s="117"/>
      <c r="LF319" s="117"/>
      <c r="LG319" s="117"/>
      <c r="LH319" s="117"/>
      <c r="LI319" s="117"/>
      <c r="LJ319" s="117"/>
      <c r="LK319" s="117"/>
      <c r="LL319" s="117"/>
      <c r="LM319" s="117"/>
      <c r="LN319" s="117"/>
      <c r="LO319" s="117"/>
      <c r="LP319" s="117"/>
      <c r="LQ319" s="117"/>
      <c r="LR319" s="117"/>
      <c r="LS319" s="117"/>
      <c r="LT319" s="117"/>
      <c r="LU319" s="117"/>
      <c r="LV319" s="117"/>
      <c r="LW319" s="117"/>
      <c r="LX319" s="117"/>
      <c r="LY319" s="117"/>
      <c r="LZ319" s="117"/>
      <c r="MA319" s="117"/>
      <c r="MB319" s="117"/>
      <c r="MC319" s="117"/>
      <c r="MD319" s="117"/>
      <c r="ME319" s="117"/>
      <c r="MF319" s="117"/>
      <c r="MG319" s="117"/>
      <c r="MH319" s="117"/>
      <c r="MI319" s="117"/>
      <c r="MJ319" s="117"/>
      <c r="MK319" s="117"/>
      <c r="ML319" s="117"/>
      <c r="MM319" s="117"/>
      <c r="MN319" s="117"/>
      <c r="MO319" s="117"/>
      <c r="MP319" s="117"/>
      <c r="MQ319" s="117"/>
      <c r="MR319" s="117"/>
      <c r="MS319" s="117"/>
      <c r="MT319" s="117"/>
      <c r="MU319" s="117"/>
      <c r="MV319" s="117"/>
      <c r="MW319" s="117"/>
      <c r="MX319" s="117"/>
      <c r="MY319" s="117"/>
      <c r="MZ319" s="117"/>
      <c r="NA319" s="117"/>
      <c r="NB319" s="117"/>
      <c r="NC319" s="117"/>
      <c r="ND319" s="117"/>
      <c r="NE319" s="117"/>
      <c r="NF319" s="117"/>
      <c r="NG319" s="117"/>
      <c r="NH319" s="117"/>
      <c r="NI319" s="117"/>
      <c r="NJ319" s="117"/>
      <c r="NK319" s="117"/>
      <c r="NL319" s="117"/>
      <c r="NM319" s="117"/>
      <c r="NN319" s="117"/>
      <c r="NO319" s="117"/>
      <c r="NP319" s="117"/>
      <c r="NQ319" s="117"/>
      <c r="NR319" s="117"/>
      <c r="NS319" s="117"/>
      <c r="NT319" s="117"/>
      <c r="NU319" s="117"/>
      <c r="NV319" s="117"/>
      <c r="NW319" s="117"/>
      <c r="NX319" s="117"/>
      <c r="NY319" s="117"/>
      <c r="NZ319" s="117"/>
      <c r="OA319" s="117"/>
      <c r="OB319" s="117"/>
      <c r="OC319" s="117"/>
      <c r="OD319" s="117"/>
      <c r="OE319" s="117"/>
      <c r="OF319" s="117"/>
      <c r="OG319" s="117"/>
      <c r="OH319" s="117"/>
      <c r="OI319" s="117"/>
      <c r="OJ319" s="117"/>
      <c r="OK319" s="117"/>
      <c r="OL319" s="117"/>
      <c r="OM319" s="117"/>
      <c r="ON319" s="117"/>
      <c r="OO319" s="117"/>
      <c r="OP319" s="117"/>
      <c r="OQ319" s="117"/>
      <c r="OR319" s="117"/>
      <c r="OS319" s="117"/>
      <c r="OT319" s="117"/>
      <c r="OU319" s="117"/>
      <c r="OV319" s="117"/>
      <c r="OW319" s="117"/>
      <c r="OX319" s="117"/>
      <c r="OY319" s="117"/>
      <c r="OZ319" s="117"/>
      <c r="PA319" s="117"/>
      <c r="PB319" s="117"/>
      <c r="PC319" s="117"/>
      <c r="PD319" s="117"/>
      <c r="PE319" s="117"/>
      <c r="PF319" s="117"/>
      <c r="PG319" s="117"/>
      <c r="PH319" s="117"/>
      <c r="PI319" s="117"/>
      <c r="PJ319" s="117"/>
      <c r="PK319" s="117"/>
      <c r="PL319" s="117"/>
      <c r="PM319" s="117"/>
      <c r="PN319" s="117"/>
      <c r="PO319" s="117"/>
      <c r="PP319" s="117"/>
      <c r="PQ319" s="117"/>
      <c r="PR319" s="117"/>
      <c r="PS319" s="117"/>
      <c r="PT319" s="117"/>
      <c r="PU319" s="117"/>
      <c r="PV319" s="117"/>
      <c r="PW319" s="117"/>
      <c r="PX319" s="117"/>
      <c r="PY319" s="117"/>
      <c r="PZ319" s="117"/>
      <c r="QA319" s="117"/>
      <c r="QB319" s="117"/>
      <c r="QC319" s="117"/>
      <c r="QD319" s="117"/>
      <c r="QE319" s="117"/>
      <c r="QF319" s="117"/>
      <c r="QG319" s="117"/>
      <c r="QH319" s="117"/>
      <c r="QI319" s="117"/>
      <c r="QJ319" s="117"/>
      <c r="QK319" s="117"/>
      <c r="QL319" s="117"/>
      <c r="QM319" s="117"/>
      <c r="QN319" s="117"/>
      <c r="QO319" s="117"/>
      <c r="QP319" s="117"/>
      <c r="QQ319" s="117"/>
      <c r="QR319" s="117"/>
      <c r="QS319" s="117"/>
      <c r="QT319" s="117"/>
      <c r="QU319" s="117"/>
      <c r="QV319" s="117"/>
      <c r="QW319" s="117"/>
      <c r="QX319" s="117"/>
      <c r="QY319" s="117"/>
      <c r="QZ319" s="117"/>
      <c r="RA319" s="117"/>
      <c r="RB319" s="117"/>
      <c r="RC319" s="117"/>
      <c r="RD319" s="117"/>
      <c r="RE319" s="117"/>
      <c r="RF319" s="117"/>
      <c r="RG319" s="117"/>
      <c r="RH319" s="117"/>
      <c r="RI319" s="117"/>
      <c r="RJ319" s="117"/>
      <c r="RK319" s="117"/>
      <c r="RL319" s="117"/>
      <c r="RM319" s="117"/>
      <c r="RN319" s="117"/>
      <c r="RO319" s="117"/>
      <c r="RP319" s="117"/>
      <c r="RQ319" s="117"/>
      <c r="RR319" s="117"/>
      <c r="RS319" s="117"/>
      <c r="RT319" s="117"/>
      <c r="RU319" s="117"/>
      <c r="RV319" s="117"/>
      <c r="RW319" s="117"/>
      <c r="RX319" s="117"/>
      <c r="RY319" s="117"/>
      <c r="RZ319" s="117"/>
      <c r="SA319" s="117"/>
      <c r="SB319" s="117"/>
      <c r="SC319" s="117"/>
      <c r="SD319" s="117"/>
      <c r="SE319" s="117"/>
      <c r="SF319" s="117"/>
      <c r="SG319" s="117"/>
      <c r="SH319" s="117"/>
      <c r="SI319" s="117"/>
      <c r="SJ319" s="117"/>
      <c r="SK319" s="117"/>
      <c r="SL319" s="117"/>
      <c r="SM319" s="117"/>
      <c r="SN319" s="117"/>
      <c r="SO319" s="117"/>
      <c r="SP319" s="117"/>
      <c r="SQ319" s="117"/>
      <c r="SR319" s="117"/>
      <c r="SS319" s="117"/>
      <c r="ST319" s="117"/>
      <c r="SU319" s="117"/>
      <c r="SV319" s="117"/>
      <c r="SW319" s="117"/>
      <c r="SX319" s="117"/>
      <c r="SY319" s="117"/>
      <c r="SZ319" s="117"/>
      <c r="TA319" s="117"/>
      <c r="TB319" s="117"/>
      <c r="TC319" s="117"/>
      <c r="TD319" s="117"/>
      <c r="TE319" s="117"/>
      <c r="TF319" s="117"/>
      <c r="TG319" s="117"/>
      <c r="TH319" s="117"/>
      <c r="TI319" s="117"/>
      <c r="TJ319" s="117"/>
      <c r="TK319" s="117"/>
      <c r="TL319" s="117"/>
      <c r="TM319" s="117"/>
      <c r="TN319" s="117"/>
      <c r="TO319" s="117"/>
      <c r="TP319" s="117"/>
      <c r="TQ319" s="117"/>
      <c r="TR319" s="117"/>
      <c r="TS319" s="117"/>
      <c r="TT319" s="117"/>
      <c r="TU319" s="117"/>
      <c r="TV319" s="117"/>
      <c r="TW319" s="117"/>
      <c r="TX319" s="117"/>
      <c r="TY319" s="117"/>
      <c r="TZ319" s="117"/>
      <c r="UA319" s="117"/>
      <c r="UB319" s="117"/>
      <c r="UC319" s="117"/>
      <c r="UD319" s="117"/>
      <c r="UE319" s="117"/>
      <c r="UF319" s="117"/>
      <c r="UG319" s="117"/>
      <c r="UH319" s="117"/>
      <c r="UI319" s="117"/>
      <c r="UJ319" s="117"/>
      <c r="UK319" s="117"/>
      <c r="UL319" s="117"/>
      <c r="UM319" s="117"/>
      <c r="UN319" s="117"/>
      <c r="UO319" s="117"/>
      <c r="UP319" s="117"/>
      <c r="UQ319" s="117"/>
      <c r="UR319" s="117"/>
      <c r="US319" s="117"/>
      <c r="UT319" s="117"/>
      <c r="UU319" s="117"/>
      <c r="UV319" s="117"/>
      <c r="UW319" s="117"/>
      <c r="UX319" s="117"/>
      <c r="UY319" s="117"/>
      <c r="UZ319" s="117"/>
      <c r="VA319" s="117"/>
      <c r="VB319" s="117"/>
      <c r="VC319" s="117"/>
      <c r="VD319" s="117"/>
      <c r="VE319" s="117"/>
      <c r="VF319" s="117"/>
      <c r="VG319" s="117"/>
      <c r="VH319" s="117"/>
      <c r="VI319" s="117"/>
      <c r="VJ319" s="117"/>
      <c r="VK319" s="117"/>
      <c r="VL319" s="117"/>
      <c r="VM319" s="117"/>
      <c r="VN319" s="117"/>
      <c r="VO319" s="117"/>
      <c r="VP319" s="117"/>
      <c r="VQ319" s="117"/>
      <c r="VR319" s="117"/>
      <c r="VS319" s="117"/>
      <c r="VT319" s="117"/>
      <c r="VU319" s="117"/>
      <c r="VV319" s="117"/>
      <c r="VW319" s="117"/>
      <c r="VX319" s="117"/>
      <c r="VY319" s="117"/>
      <c r="VZ319" s="117"/>
      <c r="WA319" s="117"/>
      <c r="WB319" s="117"/>
      <c r="WC319" s="117"/>
      <c r="WD319" s="117"/>
      <c r="WE319" s="117"/>
      <c r="WF319" s="117"/>
      <c r="WG319" s="117"/>
      <c r="WH319" s="117"/>
      <c r="WI319" s="117"/>
      <c r="WJ319" s="117"/>
      <c r="WK319" s="117"/>
      <c r="WL319" s="117"/>
      <c r="WM319" s="117"/>
      <c r="WN319" s="117"/>
      <c r="WO319" s="117"/>
      <c r="WP319" s="117"/>
      <c r="WQ319" s="117"/>
      <c r="WR319" s="117"/>
      <c r="WS319" s="117"/>
      <c r="WT319" s="117"/>
      <c r="WU319" s="117"/>
      <c r="WV319" s="117"/>
      <c r="WW319" s="117"/>
      <c r="WX319" s="117"/>
      <c r="WY319" s="117"/>
      <c r="WZ319" s="117"/>
      <c r="XA319" s="117"/>
      <c r="XB319" s="117"/>
      <c r="XC319" s="117"/>
      <c r="XD319" s="117"/>
      <c r="XE319" s="117"/>
      <c r="XF319" s="117"/>
      <c r="XG319" s="117"/>
      <c r="XH319" s="117"/>
      <c r="XI319" s="117"/>
      <c r="XJ319" s="117"/>
      <c r="XK319" s="117"/>
      <c r="XL319" s="117"/>
      <c r="XM319" s="117"/>
      <c r="XN319" s="117"/>
      <c r="XO319" s="117"/>
      <c r="XP319" s="117"/>
      <c r="XQ319" s="117"/>
      <c r="XR319" s="117"/>
      <c r="XS319" s="117"/>
      <c r="XT319" s="117"/>
      <c r="XU319" s="117"/>
      <c r="XV319" s="117"/>
      <c r="XW319" s="117"/>
      <c r="XX319" s="117"/>
      <c r="XY319" s="117"/>
      <c r="XZ319" s="117"/>
      <c r="YA319" s="117"/>
      <c r="YB319" s="117"/>
      <c r="YC319" s="117"/>
      <c r="YD319" s="117"/>
      <c r="YE319" s="117"/>
      <c r="YF319" s="117"/>
      <c r="YG319" s="117"/>
      <c r="YH319" s="117"/>
      <c r="YI319" s="117"/>
      <c r="YJ319" s="117"/>
      <c r="YK319" s="117"/>
      <c r="YL319" s="117"/>
      <c r="YM319" s="117"/>
      <c r="YN319" s="117"/>
      <c r="YO319" s="117"/>
      <c r="YP319" s="117"/>
      <c r="YQ319" s="117"/>
      <c r="YR319" s="117"/>
      <c r="YS319" s="117"/>
      <c r="YT319" s="117"/>
      <c r="YU319" s="117"/>
      <c r="YV319" s="117"/>
      <c r="YW319" s="117"/>
      <c r="YX319" s="117"/>
      <c r="YY319" s="117"/>
      <c r="YZ319" s="117"/>
      <c r="ZA319" s="117"/>
      <c r="ZB319" s="117"/>
      <c r="ZC319" s="117"/>
      <c r="ZD319" s="117"/>
      <c r="ZE319" s="117"/>
      <c r="ZF319" s="117"/>
      <c r="ZG319" s="117"/>
      <c r="ZH319" s="117"/>
      <c r="ZI319" s="117"/>
      <c r="ZJ319" s="117"/>
      <c r="ZK319" s="117"/>
      <c r="ZL319" s="117"/>
      <c r="ZM319" s="117"/>
      <c r="ZN319" s="117"/>
      <c r="ZO319" s="117"/>
      <c r="ZP319" s="117"/>
      <c r="ZQ319" s="117"/>
      <c r="ZR319" s="117"/>
      <c r="ZS319" s="117"/>
      <c r="ZT319" s="117"/>
      <c r="ZU319" s="117"/>
      <c r="ZV319" s="117"/>
      <c r="ZW319" s="117"/>
      <c r="ZX319" s="117"/>
      <c r="ZY319" s="117"/>
      <c r="ZZ319" s="117"/>
      <c r="AAA319" s="117"/>
      <c r="AAB319" s="117"/>
      <c r="AAC319" s="117"/>
      <c r="AAD319" s="117"/>
      <c r="AAE319" s="117"/>
      <c r="AAF319" s="117"/>
      <c r="AAG319" s="117"/>
      <c r="AAH319" s="117"/>
      <c r="AAI319" s="117"/>
      <c r="AAJ319" s="117"/>
      <c r="AAK319" s="117"/>
      <c r="AAL319" s="117"/>
      <c r="AAM319" s="117"/>
      <c r="AAN319" s="117"/>
      <c r="AAO319" s="117"/>
      <c r="AAP319" s="117"/>
      <c r="AAQ319" s="117"/>
      <c r="AAR319" s="117"/>
      <c r="AAS319" s="117"/>
      <c r="AAT319" s="117"/>
      <c r="AAU319" s="117"/>
      <c r="AAV319" s="117"/>
      <c r="AAW319" s="117"/>
      <c r="AAX319" s="117"/>
      <c r="AAY319" s="117"/>
      <c r="AAZ319" s="117"/>
      <c r="ABA319" s="117"/>
      <c r="ABB319" s="117"/>
      <c r="ABC319" s="117"/>
      <c r="ABD319" s="117"/>
      <c r="ABE319" s="117"/>
      <c r="ABF319" s="117"/>
      <c r="ABG319" s="117"/>
      <c r="ABH319" s="117"/>
      <c r="ABI319" s="117"/>
      <c r="ABJ319" s="117"/>
      <c r="ABK319" s="117"/>
      <c r="ABL319" s="117"/>
      <c r="ABM319" s="117"/>
      <c r="ABN319" s="117"/>
      <c r="ABO319" s="117"/>
      <c r="ABP319" s="117"/>
      <c r="ABQ319" s="117"/>
      <c r="ABR319" s="117"/>
      <c r="ABS319" s="117"/>
      <c r="ABT319" s="117"/>
      <c r="ABU319" s="117"/>
      <c r="ABV319" s="117"/>
      <c r="ABW319" s="117"/>
      <c r="ABX319" s="117"/>
      <c r="ABY319" s="117"/>
      <c r="ABZ319" s="117"/>
      <c r="ACA319" s="117"/>
      <c r="ACB319" s="117"/>
      <c r="ACC319" s="117"/>
      <c r="ACD319" s="117"/>
      <c r="ACE319" s="117"/>
      <c r="ACF319" s="117"/>
      <c r="ACG319" s="117"/>
      <c r="ACH319" s="117"/>
      <c r="ACI319" s="117"/>
      <c r="ACJ319" s="117"/>
      <c r="ACK319" s="117"/>
      <c r="ACL319" s="117"/>
      <c r="ACM319" s="117"/>
      <c r="ACN319" s="117"/>
      <c r="ACO319" s="117"/>
      <c r="ACP319" s="117"/>
      <c r="ACQ319" s="117"/>
      <c r="ACR319" s="117"/>
      <c r="ACS319" s="117"/>
      <c r="ACT319" s="117"/>
      <c r="ACU319" s="117"/>
      <c r="ACV319" s="117"/>
      <c r="ACW319" s="117"/>
      <c r="ACX319" s="117"/>
      <c r="ACY319" s="117"/>
      <c r="ACZ319" s="117"/>
      <c r="ADA319" s="117"/>
      <c r="ADB319" s="117"/>
      <c r="ADC319" s="117"/>
      <c r="ADD319" s="117"/>
      <c r="ADE319" s="117"/>
      <c r="ADF319" s="117"/>
      <c r="ADG319" s="117"/>
      <c r="ADH319" s="117"/>
      <c r="ADI319" s="117"/>
      <c r="ADJ319" s="117"/>
      <c r="ADK319" s="117"/>
      <c r="ADL319" s="117"/>
      <c r="ADM319" s="117"/>
      <c r="ADN319" s="117"/>
      <c r="ADO319" s="117"/>
      <c r="ADP319" s="117"/>
      <c r="ADQ319" s="117"/>
      <c r="ADR319" s="117"/>
      <c r="ADS319" s="117"/>
      <c r="ADT319" s="117"/>
      <c r="ADU319" s="117"/>
      <c r="ADV319" s="117"/>
      <c r="ADW319" s="117"/>
      <c r="ADX319" s="117"/>
      <c r="ADY319" s="117"/>
      <c r="ADZ319" s="117"/>
      <c r="AEA319" s="117"/>
      <c r="AEB319" s="117"/>
      <c r="AEC319" s="117"/>
      <c r="AED319" s="117"/>
      <c r="AEE319" s="117"/>
      <c r="AEF319" s="117"/>
      <c r="AEG319" s="117"/>
      <c r="AEH319" s="117"/>
      <c r="AEI319" s="117"/>
      <c r="AEJ319" s="117"/>
      <c r="AEK319" s="117"/>
      <c r="AEL319" s="117"/>
      <c r="AEM319" s="117"/>
      <c r="AEN319" s="117"/>
      <c r="AEO319" s="117"/>
      <c r="AEP319" s="117"/>
      <c r="AEQ319" s="117"/>
      <c r="AER319" s="117"/>
      <c r="AES319" s="117"/>
      <c r="AET319" s="117"/>
      <c r="AEU319" s="117"/>
      <c r="AEV319" s="117"/>
      <c r="AEW319" s="117"/>
      <c r="AEX319" s="117"/>
      <c r="AEY319" s="117"/>
      <c r="AEZ319" s="117"/>
      <c r="AFA319" s="117"/>
      <c r="AFB319" s="117"/>
      <c r="AFC319" s="117"/>
      <c r="AFD319" s="117"/>
      <c r="AFE319" s="117"/>
      <c r="AFF319" s="117"/>
      <c r="AFG319" s="117"/>
      <c r="AFH319" s="117"/>
      <c r="AFI319" s="117"/>
      <c r="AFJ319" s="117"/>
      <c r="AFK319" s="117"/>
      <c r="AFL319" s="117"/>
      <c r="AFM319" s="117"/>
      <c r="AFN319" s="117"/>
      <c r="AFO319" s="117"/>
      <c r="AFP319" s="117"/>
      <c r="AFQ319" s="117"/>
      <c r="AFR319" s="117"/>
      <c r="AFS319" s="117"/>
      <c r="AFT319" s="117"/>
      <c r="AFU319" s="117"/>
      <c r="AFV319" s="117"/>
      <c r="AFW319" s="117"/>
      <c r="AFX319" s="117"/>
      <c r="AFY319" s="117"/>
      <c r="AFZ319" s="117"/>
      <c r="AGA319" s="117"/>
      <c r="AGB319" s="117"/>
      <c r="AGC319" s="117"/>
      <c r="AGD319" s="117"/>
      <c r="AGE319" s="117"/>
      <c r="AGF319" s="117"/>
      <c r="AGG319" s="117"/>
      <c r="AGH319" s="117"/>
      <c r="AGI319" s="117"/>
      <c r="AGJ319" s="117"/>
      <c r="AGK319" s="117"/>
      <c r="AGL319" s="117"/>
      <c r="AGM319" s="117"/>
      <c r="AGN319" s="117"/>
      <c r="AGO319" s="117"/>
      <c r="AGP319" s="117"/>
      <c r="AGQ319" s="117"/>
      <c r="AGR319" s="117"/>
      <c r="AGS319" s="117"/>
      <c r="AGT319" s="117"/>
      <c r="AGU319" s="117"/>
      <c r="AGV319" s="117"/>
      <c r="AGW319" s="117"/>
      <c r="AGX319" s="117"/>
      <c r="AGY319" s="117"/>
      <c r="AGZ319" s="117"/>
      <c r="AHA319" s="117"/>
      <c r="AHB319" s="117"/>
      <c r="AHC319" s="117"/>
      <c r="AHD319" s="117"/>
      <c r="AHE319" s="117"/>
      <c r="AHF319" s="117"/>
      <c r="AHG319" s="117"/>
      <c r="AHH319" s="117"/>
      <c r="AHI319" s="117"/>
      <c r="AHJ319" s="117"/>
      <c r="AHK319" s="117"/>
      <c r="AHL319" s="117"/>
      <c r="AHM319" s="117"/>
      <c r="AHN319" s="117"/>
      <c r="AHO319" s="117"/>
      <c r="AHP319" s="117"/>
      <c r="AHQ319" s="117"/>
      <c r="AHR319" s="117"/>
      <c r="AHS319" s="117"/>
      <c r="AHT319" s="117"/>
      <c r="AHU319" s="117"/>
      <c r="AHV319" s="117"/>
      <c r="AHW319" s="117"/>
      <c r="AHX319" s="117"/>
      <c r="AHY319" s="117"/>
      <c r="AHZ319" s="117"/>
      <c r="AIA319" s="117"/>
      <c r="AIB319" s="117"/>
      <c r="AIC319" s="117"/>
      <c r="AID319" s="117"/>
      <c r="AIE319" s="117"/>
      <c r="AIF319" s="117"/>
      <c r="AIG319" s="117"/>
      <c r="AIH319" s="117"/>
      <c r="AII319" s="117"/>
      <c r="AIJ319" s="117"/>
      <c r="AIK319" s="117"/>
      <c r="AIL319" s="117"/>
      <c r="AIM319" s="117"/>
      <c r="AIN319" s="117"/>
      <c r="AIO319" s="117"/>
      <c r="AIP319" s="117"/>
      <c r="AIQ319" s="117"/>
      <c r="AIR319" s="117"/>
      <c r="AIS319" s="117"/>
      <c r="AIT319" s="117"/>
      <c r="AIU319" s="117"/>
      <c r="AIV319" s="117"/>
      <c r="AIW319" s="117"/>
      <c r="AIX319" s="117"/>
      <c r="AIY319" s="117"/>
      <c r="AIZ319" s="117"/>
      <c r="AJA319" s="117"/>
      <c r="AJB319" s="117"/>
      <c r="AJC319" s="117"/>
      <c r="AJD319" s="117"/>
      <c r="AJE319" s="117"/>
      <c r="AJF319" s="117"/>
      <c r="AJG319" s="117"/>
      <c r="AJH319" s="117"/>
      <c r="AJI319" s="117"/>
      <c r="AJJ319" s="117"/>
      <c r="AJK319" s="117"/>
      <c r="AJL319" s="117"/>
      <c r="AJM319" s="117"/>
      <c r="AJN319" s="117"/>
      <c r="AJO319" s="117"/>
      <c r="AJP319" s="117"/>
      <c r="AJQ319" s="117"/>
      <c r="AJR319" s="117"/>
      <c r="AJS319" s="117"/>
      <c r="AJT319" s="117"/>
      <c r="AJU319" s="117"/>
      <c r="AJV319" s="117"/>
      <c r="AJW319" s="117"/>
      <c r="AJX319" s="117"/>
      <c r="AJY319" s="117"/>
      <c r="AJZ319" s="117"/>
      <c r="AKA319" s="117"/>
      <c r="AKB319" s="117"/>
      <c r="AKC319" s="117"/>
      <c r="AKD319" s="117"/>
      <c r="AKE319" s="117"/>
      <c r="AKF319" s="117"/>
      <c r="AKG319" s="117"/>
      <c r="AKH319" s="117"/>
      <c r="AKI319" s="117"/>
      <c r="AKJ319" s="117"/>
      <c r="AKK319" s="117"/>
      <c r="AKL319" s="117"/>
      <c r="AKM319" s="117"/>
      <c r="AKN319" s="117"/>
      <c r="AKO319" s="117"/>
      <c r="AKP319" s="117"/>
      <c r="AKQ319" s="117"/>
      <c r="AKR319" s="117"/>
      <c r="AKS319" s="117"/>
      <c r="AKT319" s="117"/>
      <c r="AKU319" s="117"/>
      <c r="AKV319" s="117"/>
      <c r="AKW319" s="117"/>
      <c r="AKX319" s="117"/>
      <c r="AKY319" s="117"/>
      <c r="AKZ319" s="117"/>
      <c r="ALA319" s="117"/>
      <c r="ALB319" s="117"/>
      <c r="ALC319" s="117"/>
      <c r="ALD319" s="117"/>
      <c r="ALE319" s="117"/>
      <c r="ALF319" s="117"/>
      <c r="ALG319" s="117"/>
      <c r="ALH319" s="117"/>
      <c r="ALI319" s="117"/>
      <c r="ALJ319" s="117"/>
      <c r="ALK319" s="117"/>
      <c r="ALL319" s="117"/>
      <c r="ALM319" s="117"/>
      <c r="ALN319" s="117"/>
      <c r="ALO319" s="117"/>
      <c r="ALP319" s="117"/>
      <c r="ALQ319" s="117"/>
      <c r="ALR319" s="117"/>
      <c r="ALS319" s="117"/>
      <c r="ALT319" s="117"/>
      <c r="ALU319" s="117"/>
      <c r="ALV319" s="117"/>
      <c r="ALW319" s="117"/>
      <c r="ALX319" s="117"/>
      <c r="ALY319" s="117"/>
      <c r="ALZ319" s="117"/>
      <c r="AMA319" s="117"/>
      <c r="AMB319" s="117"/>
      <c r="AMC319" s="117"/>
      <c r="AMD319" s="117"/>
      <c r="AME319" s="117"/>
    </row>
    <row r="320" spans="1:1019" s="191" customFormat="1" ht="11.25" customHeight="1">
      <c r="A320" s="139">
        <v>318</v>
      </c>
      <c r="B320" s="139"/>
      <c r="C320" s="140"/>
      <c r="D320" s="190">
        <v>1</v>
      </c>
      <c r="E320" s="190">
        <f t="shared" si="47"/>
        <v>26</v>
      </c>
      <c r="F320" s="173" t="s">
        <v>522</v>
      </c>
      <c r="G320" s="172">
        <f t="shared" si="58"/>
        <v>2170</v>
      </c>
      <c r="H320" s="143">
        <f>INT((G320*Valores!$C$2*100)+0.5)/100</f>
        <v>20267.15</v>
      </c>
      <c r="I320" s="161">
        <v>0</v>
      </c>
      <c r="J320" s="145">
        <f>INT((I320*Valores!$C$2*100)+0.5)/100</f>
        <v>0</v>
      </c>
      <c r="K320" s="160">
        <v>0</v>
      </c>
      <c r="L320" s="145">
        <f>INT((K320*Valores!$C$2*100)+0.5)/100</f>
        <v>0</v>
      </c>
      <c r="M320" s="158">
        <v>0</v>
      </c>
      <c r="N320" s="145">
        <f>INT((M320*Valores!$C$2*100)+0.5)/100</f>
        <v>0</v>
      </c>
      <c r="O320" s="145">
        <f t="shared" si="48"/>
        <v>3183.3975</v>
      </c>
      <c r="P320" s="145">
        <f t="shared" si="49"/>
        <v>0</v>
      </c>
      <c r="Q320" s="159">
        <v>0</v>
      </c>
      <c r="R320" s="159">
        <v>0</v>
      </c>
      <c r="S320" s="145">
        <v>0</v>
      </c>
      <c r="T320" s="148">
        <f>IF($H$5="NO",IF(Valores!$C$46*D320&gt;Valores!$C$44,Valores!$C$44,Valores!$C$46*D320),IF(Valores!$C$46*D320&gt;Valores!$C$44,Valores!$C$44,Valores!$C$46*D320)/2)*14</f>
        <v>955.5</v>
      </c>
      <c r="U320" s="148">
        <v>0</v>
      </c>
      <c r="V320" s="145">
        <f t="shared" si="57"/>
        <v>0</v>
      </c>
      <c r="W320" s="145">
        <v>0</v>
      </c>
      <c r="X320" s="145">
        <v>0</v>
      </c>
      <c r="Y320" s="165">
        <v>0</v>
      </c>
      <c r="Z320" s="145">
        <v>0</v>
      </c>
      <c r="AA320" s="145">
        <v>0</v>
      </c>
      <c r="AB320" s="148"/>
      <c r="AC320" s="150">
        <v>0</v>
      </c>
      <c r="AD320" s="145">
        <f t="shared" si="51"/>
        <v>0</v>
      </c>
      <c r="AE320" s="145">
        <v>0</v>
      </c>
      <c r="AF320" s="149">
        <v>0</v>
      </c>
      <c r="AG320" s="145">
        <f>INT(((AF320*Valores!$C$2)*100)+0.5)/100</f>
        <v>0</v>
      </c>
      <c r="AH320" s="145"/>
      <c r="AI320" s="145"/>
      <c r="AJ320" s="151">
        <f t="shared" si="52"/>
        <v>24406.0475</v>
      </c>
      <c r="AK320" s="171"/>
      <c r="AL320" s="148">
        <f>Valores!$C$11+AL319</f>
        <v>0</v>
      </c>
      <c r="AM320" s="148">
        <v>0</v>
      </c>
      <c r="AN320" s="148"/>
      <c r="AO320" s="150">
        <v>0</v>
      </c>
      <c r="AP320" s="152">
        <f t="shared" si="50"/>
        <v>0</v>
      </c>
      <c r="AQ320" s="154">
        <f>AJ320*-Valores!$C$68</f>
        <v>-2684.665225</v>
      </c>
      <c r="AR320" s="154">
        <f>AJ320*-Valores!$C$69</f>
        <v>0</v>
      </c>
      <c r="AS320" s="147">
        <f>AJ320*-Valores!$C$70</f>
        <v>-1098.2721375</v>
      </c>
      <c r="AT320" s="147">
        <v>-159.43</v>
      </c>
      <c r="AU320" s="147">
        <f t="shared" si="53"/>
        <v>-53.83</v>
      </c>
      <c r="AV320" s="151">
        <f t="shared" si="54"/>
        <v>20409.850137499998</v>
      </c>
      <c r="AW320" s="155"/>
      <c r="AX320" s="155"/>
      <c r="AY320" s="140"/>
      <c r="AZ320" s="117"/>
      <c r="BA320" s="117"/>
      <c r="BB320" s="117"/>
      <c r="BC320" s="117"/>
      <c r="BD320" s="117"/>
      <c r="BE320" s="117"/>
      <c r="BF320" s="117"/>
      <c r="BG320" s="117"/>
      <c r="BH320" s="117"/>
      <c r="BI320" s="117"/>
      <c r="BJ320" s="117"/>
      <c r="BK320" s="117"/>
      <c r="BL320" s="117"/>
      <c r="BM320" s="117"/>
      <c r="BN320" s="117"/>
      <c r="BO320" s="117"/>
      <c r="BP320" s="117"/>
      <c r="BQ320" s="117"/>
      <c r="BR320" s="117"/>
      <c r="BS320" s="117"/>
      <c r="BT320" s="117"/>
      <c r="BU320" s="117"/>
      <c r="BV320" s="117"/>
      <c r="BW320" s="117"/>
      <c r="BX320" s="117"/>
      <c r="BY320" s="117"/>
      <c r="BZ320" s="117"/>
      <c r="CA320" s="117"/>
      <c r="CB320" s="117"/>
      <c r="CC320" s="117"/>
      <c r="CD320" s="117"/>
      <c r="CE320" s="117"/>
      <c r="CF320" s="117"/>
      <c r="CG320" s="117"/>
      <c r="CH320" s="117"/>
      <c r="CI320" s="117"/>
      <c r="CJ320" s="117"/>
      <c r="CK320" s="117"/>
      <c r="CL320" s="117"/>
      <c r="CM320" s="117"/>
      <c r="CN320" s="117"/>
      <c r="CO320" s="117"/>
      <c r="CP320" s="117"/>
      <c r="CQ320" s="117"/>
      <c r="CR320" s="117"/>
      <c r="CS320" s="117"/>
      <c r="CT320" s="117"/>
      <c r="CU320" s="117"/>
      <c r="CV320" s="117"/>
      <c r="CW320" s="117"/>
      <c r="CX320" s="117"/>
      <c r="CY320" s="117"/>
      <c r="CZ320" s="117"/>
      <c r="DA320" s="117"/>
      <c r="DB320" s="117"/>
      <c r="DC320" s="117"/>
      <c r="DD320" s="117"/>
      <c r="DE320" s="117"/>
      <c r="DF320" s="117"/>
      <c r="DG320" s="117"/>
      <c r="DH320" s="117"/>
      <c r="DI320" s="117"/>
      <c r="DJ320" s="117"/>
      <c r="DK320" s="117"/>
      <c r="DL320" s="117"/>
      <c r="DM320" s="117"/>
      <c r="DN320" s="117"/>
      <c r="DO320" s="117"/>
      <c r="DP320" s="117"/>
      <c r="DQ320" s="117"/>
      <c r="DR320" s="117"/>
      <c r="DS320" s="117"/>
      <c r="DT320" s="117"/>
      <c r="DU320" s="117"/>
      <c r="DV320" s="117"/>
      <c r="DW320" s="117"/>
      <c r="DX320" s="117"/>
      <c r="DY320" s="117"/>
      <c r="DZ320" s="117"/>
      <c r="EA320" s="117"/>
      <c r="EB320" s="117"/>
      <c r="EC320" s="117"/>
      <c r="ED320" s="117"/>
      <c r="EE320" s="117"/>
      <c r="EF320" s="117"/>
      <c r="EG320" s="117"/>
      <c r="EH320" s="117"/>
      <c r="EI320" s="117"/>
      <c r="EJ320" s="117"/>
      <c r="EK320" s="117"/>
      <c r="EL320" s="117"/>
      <c r="EM320" s="117"/>
      <c r="EN320" s="117"/>
      <c r="EO320" s="117"/>
      <c r="EP320" s="117"/>
      <c r="EQ320" s="117"/>
      <c r="ER320" s="117"/>
      <c r="ES320" s="117"/>
      <c r="ET320" s="117"/>
      <c r="EU320" s="117"/>
      <c r="EV320" s="117"/>
      <c r="EW320" s="117"/>
      <c r="EX320" s="117"/>
      <c r="EY320" s="117"/>
      <c r="EZ320" s="117"/>
      <c r="FA320" s="117"/>
      <c r="FB320" s="117"/>
      <c r="FC320" s="117"/>
      <c r="FD320" s="117"/>
      <c r="FE320" s="117"/>
      <c r="FF320" s="117"/>
      <c r="FG320" s="117"/>
      <c r="FH320" s="117"/>
      <c r="FI320" s="117"/>
      <c r="FJ320" s="117"/>
      <c r="FK320" s="117"/>
      <c r="FL320" s="117"/>
      <c r="FM320" s="117"/>
      <c r="FN320" s="117"/>
      <c r="FO320" s="117"/>
      <c r="FP320" s="117"/>
      <c r="FQ320" s="117"/>
      <c r="FR320" s="117"/>
      <c r="FS320" s="117"/>
      <c r="FT320" s="117"/>
      <c r="FU320" s="117"/>
      <c r="FV320" s="117"/>
      <c r="FW320" s="117"/>
      <c r="FX320" s="117"/>
      <c r="FY320" s="117"/>
      <c r="FZ320" s="117"/>
      <c r="GA320" s="117"/>
      <c r="GB320" s="117"/>
      <c r="GC320" s="117"/>
      <c r="GD320" s="117"/>
      <c r="GE320" s="117"/>
      <c r="GF320" s="117"/>
      <c r="GG320" s="117"/>
      <c r="GH320" s="117"/>
      <c r="GI320" s="117"/>
      <c r="GJ320" s="117"/>
      <c r="GK320" s="117"/>
      <c r="GL320" s="117"/>
      <c r="GM320" s="117"/>
      <c r="GN320" s="117"/>
      <c r="GO320" s="117"/>
      <c r="GP320" s="117"/>
      <c r="GQ320" s="117"/>
      <c r="GR320" s="117"/>
      <c r="GS320" s="117"/>
      <c r="GT320" s="117"/>
      <c r="GU320" s="117"/>
      <c r="GV320" s="117"/>
      <c r="GW320" s="117"/>
      <c r="GX320" s="117"/>
      <c r="GY320" s="117"/>
      <c r="GZ320" s="117"/>
      <c r="HA320" s="117"/>
      <c r="HB320" s="117"/>
      <c r="HC320" s="117"/>
      <c r="HD320" s="117"/>
      <c r="HE320" s="117"/>
      <c r="HF320" s="117"/>
      <c r="HG320" s="117"/>
      <c r="HH320" s="117"/>
      <c r="HI320" s="117"/>
      <c r="HJ320" s="117"/>
      <c r="HK320" s="117"/>
      <c r="HL320" s="117"/>
      <c r="HM320" s="117"/>
      <c r="HN320" s="117"/>
      <c r="HO320" s="117"/>
      <c r="HP320" s="117"/>
      <c r="HQ320" s="117"/>
      <c r="HR320" s="117"/>
      <c r="HS320" s="117"/>
      <c r="HT320" s="117"/>
      <c r="HU320" s="117"/>
      <c r="HV320" s="117"/>
      <c r="HW320" s="117"/>
      <c r="HX320" s="117"/>
      <c r="HY320" s="117"/>
      <c r="HZ320" s="117"/>
      <c r="IA320" s="117"/>
      <c r="IB320" s="117"/>
      <c r="IC320" s="117"/>
      <c r="ID320" s="117"/>
      <c r="IE320" s="117"/>
      <c r="IF320" s="117"/>
      <c r="IG320" s="117"/>
      <c r="IH320" s="117"/>
      <c r="II320" s="117"/>
      <c r="IJ320" s="117"/>
      <c r="IK320" s="117"/>
      <c r="IL320" s="117"/>
      <c r="IM320" s="117"/>
      <c r="IN320" s="117"/>
      <c r="IO320" s="117"/>
      <c r="IP320" s="117"/>
      <c r="IQ320" s="117"/>
      <c r="IR320" s="117"/>
      <c r="IS320" s="117"/>
      <c r="IT320" s="117"/>
      <c r="IU320" s="117"/>
      <c r="IV320" s="117"/>
      <c r="IW320" s="117"/>
      <c r="IX320" s="117"/>
      <c r="IY320" s="117"/>
      <c r="IZ320" s="117"/>
      <c r="JA320" s="117"/>
      <c r="JB320" s="117"/>
      <c r="JC320" s="117"/>
      <c r="JD320" s="117"/>
      <c r="JE320" s="117"/>
      <c r="JF320" s="117"/>
      <c r="JG320" s="117"/>
      <c r="JH320" s="117"/>
      <c r="JI320" s="117"/>
      <c r="JJ320" s="117"/>
      <c r="JK320" s="117"/>
      <c r="JL320" s="117"/>
      <c r="JM320" s="117"/>
      <c r="JN320" s="117"/>
      <c r="JO320" s="117"/>
      <c r="JP320" s="117"/>
      <c r="JQ320" s="117"/>
      <c r="JR320" s="117"/>
      <c r="JS320" s="117"/>
      <c r="JT320" s="117"/>
      <c r="JU320" s="117"/>
      <c r="JV320" s="117"/>
      <c r="JW320" s="117"/>
      <c r="JX320" s="117"/>
      <c r="JY320" s="117"/>
      <c r="JZ320" s="117"/>
      <c r="KA320" s="117"/>
      <c r="KB320" s="117"/>
      <c r="KC320" s="117"/>
      <c r="KD320" s="117"/>
      <c r="KE320" s="117"/>
      <c r="KF320" s="117"/>
      <c r="KG320" s="117"/>
      <c r="KH320" s="117"/>
      <c r="KI320" s="117"/>
      <c r="KJ320" s="117"/>
      <c r="KK320" s="117"/>
      <c r="KL320" s="117"/>
      <c r="KM320" s="117"/>
      <c r="KN320" s="117"/>
      <c r="KO320" s="117"/>
      <c r="KP320" s="117"/>
      <c r="KQ320" s="117"/>
      <c r="KR320" s="117"/>
      <c r="KS320" s="117"/>
      <c r="KT320" s="117"/>
      <c r="KU320" s="117"/>
      <c r="KV320" s="117"/>
      <c r="KW320" s="117"/>
      <c r="KX320" s="117"/>
      <c r="KY320" s="117"/>
      <c r="KZ320" s="117"/>
      <c r="LA320" s="117"/>
      <c r="LB320" s="117"/>
      <c r="LC320" s="117"/>
      <c r="LD320" s="117"/>
      <c r="LE320" s="117"/>
      <c r="LF320" s="117"/>
      <c r="LG320" s="117"/>
      <c r="LH320" s="117"/>
      <c r="LI320" s="117"/>
      <c r="LJ320" s="117"/>
      <c r="LK320" s="117"/>
      <c r="LL320" s="117"/>
      <c r="LM320" s="117"/>
      <c r="LN320" s="117"/>
      <c r="LO320" s="117"/>
      <c r="LP320" s="117"/>
      <c r="LQ320" s="117"/>
      <c r="LR320" s="117"/>
      <c r="LS320" s="117"/>
      <c r="LT320" s="117"/>
      <c r="LU320" s="117"/>
      <c r="LV320" s="117"/>
      <c r="LW320" s="117"/>
      <c r="LX320" s="117"/>
      <c r="LY320" s="117"/>
      <c r="LZ320" s="117"/>
      <c r="MA320" s="117"/>
      <c r="MB320" s="117"/>
      <c r="MC320" s="117"/>
      <c r="MD320" s="117"/>
      <c r="ME320" s="117"/>
      <c r="MF320" s="117"/>
      <c r="MG320" s="117"/>
      <c r="MH320" s="117"/>
      <c r="MI320" s="117"/>
      <c r="MJ320" s="117"/>
      <c r="MK320" s="117"/>
      <c r="ML320" s="117"/>
      <c r="MM320" s="117"/>
      <c r="MN320" s="117"/>
      <c r="MO320" s="117"/>
      <c r="MP320" s="117"/>
      <c r="MQ320" s="117"/>
      <c r="MR320" s="117"/>
      <c r="MS320" s="117"/>
      <c r="MT320" s="117"/>
      <c r="MU320" s="117"/>
      <c r="MV320" s="117"/>
      <c r="MW320" s="117"/>
      <c r="MX320" s="117"/>
      <c r="MY320" s="117"/>
      <c r="MZ320" s="117"/>
      <c r="NA320" s="117"/>
      <c r="NB320" s="117"/>
      <c r="NC320" s="117"/>
      <c r="ND320" s="117"/>
      <c r="NE320" s="117"/>
      <c r="NF320" s="117"/>
      <c r="NG320" s="117"/>
      <c r="NH320" s="117"/>
      <c r="NI320" s="117"/>
      <c r="NJ320" s="117"/>
      <c r="NK320" s="117"/>
      <c r="NL320" s="117"/>
      <c r="NM320" s="117"/>
      <c r="NN320" s="117"/>
      <c r="NO320" s="117"/>
      <c r="NP320" s="117"/>
      <c r="NQ320" s="117"/>
      <c r="NR320" s="117"/>
      <c r="NS320" s="117"/>
      <c r="NT320" s="117"/>
      <c r="NU320" s="117"/>
      <c r="NV320" s="117"/>
      <c r="NW320" s="117"/>
      <c r="NX320" s="117"/>
      <c r="NY320" s="117"/>
      <c r="NZ320" s="117"/>
      <c r="OA320" s="117"/>
      <c r="OB320" s="117"/>
      <c r="OC320" s="117"/>
      <c r="OD320" s="117"/>
      <c r="OE320" s="117"/>
      <c r="OF320" s="117"/>
      <c r="OG320" s="117"/>
      <c r="OH320" s="117"/>
      <c r="OI320" s="117"/>
      <c r="OJ320" s="117"/>
      <c r="OK320" s="117"/>
      <c r="OL320" s="117"/>
      <c r="OM320" s="117"/>
      <c r="ON320" s="117"/>
      <c r="OO320" s="117"/>
      <c r="OP320" s="117"/>
      <c r="OQ320" s="117"/>
      <c r="OR320" s="117"/>
      <c r="OS320" s="117"/>
      <c r="OT320" s="117"/>
      <c r="OU320" s="117"/>
      <c r="OV320" s="117"/>
      <c r="OW320" s="117"/>
      <c r="OX320" s="117"/>
      <c r="OY320" s="117"/>
      <c r="OZ320" s="117"/>
      <c r="PA320" s="117"/>
      <c r="PB320" s="117"/>
      <c r="PC320" s="117"/>
      <c r="PD320" s="117"/>
      <c r="PE320" s="117"/>
      <c r="PF320" s="117"/>
      <c r="PG320" s="117"/>
      <c r="PH320" s="117"/>
      <c r="PI320" s="117"/>
      <c r="PJ320" s="117"/>
      <c r="PK320" s="117"/>
      <c r="PL320" s="117"/>
      <c r="PM320" s="117"/>
      <c r="PN320" s="117"/>
      <c r="PO320" s="117"/>
      <c r="PP320" s="117"/>
      <c r="PQ320" s="117"/>
      <c r="PR320" s="117"/>
      <c r="PS320" s="117"/>
      <c r="PT320" s="117"/>
      <c r="PU320" s="117"/>
      <c r="PV320" s="117"/>
      <c r="PW320" s="117"/>
      <c r="PX320" s="117"/>
      <c r="PY320" s="117"/>
      <c r="PZ320" s="117"/>
      <c r="QA320" s="117"/>
      <c r="QB320" s="117"/>
      <c r="QC320" s="117"/>
      <c r="QD320" s="117"/>
      <c r="QE320" s="117"/>
      <c r="QF320" s="117"/>
      <c r="QG320" s="117"/>
      <c r="QH320" s="117"/>
      <c r="QI320" s="117"/>
      <c r="QJ320" s="117"/>
      <c r="QK320" s="117"/>
      <c r="QL320" s="117"/>
      <c r="QM320" s="117"/>
      <c r="QN320" s="117"/>
      <c r="QO320" s="117"/>
      <c r="QP320" s="117"/>
      <c r="QQ320" s="117"/>
      <c r="QR320" s="117"/>
      <c r="QS320" s="117"/>
      <c r="QT320" s="117"/>
      <c r="QU320" s="117"/>
      <c r="QV320" s="117"/>
      <c r="QW320" s="117"/>
      <c r="QX320" s="117"/>
      <c r="QY320" s="117"/>
      <c r="QZ320" s="117"/>
      <c r="RA320" s="117"/>
      <c r="RB320" s="117"/>
      <c r="RC320" s="117"/>
      <c r="RD320" s="117"/>
      <c r="RE320" s="117"/>
      <c r="RF320" s="117"/>
      <c r="RG320" s="117"/>
      <c r="RH320" s="117"/>
      <c r="RI320" s="117"/>
      <c r="RJ320" s="117"/>
      <c r="RK320" s="117"/>
      <c r="RL320" s="117"/>
      <c r="RM320" s="117"/>
      <c r="RN320" s="117"/>
      <c r="RO320" s="117"/>
      <c r="RP320" s="117"/>
      <c r="RQ320" s="117"/>
      <c r="RR320" s="117"/>
      <c r="RS320" s="117"/>
      <c r="RT320" s="117"/>
      <c r="RU320" s="117"/>
      <c r="RV320" s="117"/>
      <c r="RW320" s="117"/>
      <c r="RX320" s="117"/>
      <c r="RY320" s="117"/>
      <c r="RZ320" s="117"/>
      <c r="SA320" s="117"/>
      <c r="SB320" s="117"/>
      <c r="SC320" s="117"/>
      <c r="SD320" s="117"/>
      <c r="SE320" s="117"/>
      <c r="SF320" s="117"/>
      <c r="SG320" s="117"/>
      <c r="SH320" s="117"/>
      <c r="SI320" s="117"/>
      <c r="SJ320" s="117"/>
      <c r="SK320" s="117"/>
      <c r="SL320" s="117"/>
      <c r="SM320" s="117"/>
      <c r="SN320" s="117"/>
      <c r="SO320" s="117"/>
      <c r="SP320" s="117"/>
      <c r="SQ320" s="117"/>
      <c r="SR320" s="117"/>
      <c r="SS320" s="117"/>
      <c r="ST320" s="117"/>
      <c r="SU320" s="117"/>
      <c r="SV320" s="117"/>
      <c r="SW320" s="117"/>
      <c r="SX320" s="117"/>
      <c r="SY320" s="117"/>
      <c r="SZ320" s="117"/>
      <c r="TA320" s="117"/>
      <c r="TB320" s="117"/>
      <c r="TC320" s="117"/>
      <c r="TD320" s="117"/>
      <c r="TE320" s="117"/>
      <c r="TF320" s="117"/>
      <c r="TG320" s="117"/>
      <c r="TH320" s="117"/>
      <c r="TI320" s="117"/>
      <c r="TJ320" s="117"/>
      <c r="TK320" s="117"/>
      <c r="TL320" s="117"/>
      <c r="TM320" s="117"/>
      <c r="TN320" s="117"/>
      <c r="TO320" s="117"/>
      <c r="TP320" s="117"/>
      <c r="TQ320" s="117"/>
      <c r="TR320" s="117"/>
      <c r="TS320" s="117"/>
      <c r="TT320" s="117"/>
      <c r="TU320" s="117"/>
      <c r="TV320" s="117"/>
      <c r="TW320" s="117"/>
      <c r="TX320" s="117"/>
      <c r="TY320" s="117"/>
      <c r="TZ320" s="117"/>
      <c r="UA320" s="117"/>
      <c r="UB320" s="117"/>
      <c r="UC320" s="117"/>
      <c r="UD320" s="117"/>
      <c r="UE320" s="117"/>
      <c r="UF320" s="117"/>
      <c r="UG320" s="117"/>
      <c r="UH320" s="117"/>
      <c r="UI320" s="117"/>
      <c r="UJ320" s="117"/>
      <c r="UK320" s="117"/>
      <c r="UL320" s="117"/>
      <c r="UM320" s="117"/>
      <c r="UN320" s="117"/>
      <c r="UO320" s="117"/>
      <c r="UP320" s="117"/>
      <c r="UQ320" s="117"/>
      <c r="UR320" s="117"/>
      <c r="US320" s="117"/>
      <c r="UT320" s="117"/>
      <c r="UU320" s="117"/>
      <c r="UV320" s="117"/>
      <c r="UW320" s="117"/>
      <c r="UX320" s="117"/>
      <c r="UY320" s="117"/>
      <c r="UZ320" s="117"/>
      <c r="VA320" s="117"/>
      <c r="VB320" s="117"/>
      <c r="VC320" s="117"/>
      <c r="VD320" s="117"/>
      <c r="VE320" s="117"/>
      <c r="VF320" s="117"/>
      <c r="VG320" s="117"/>
      <c r="VH320" s="117"/>
      <c r="VI320" s="117"/>
      <c r="VJ320" s="117"/>
      <c r="VK320" s="117"/>
      <c r="VL320" s="117"/>
      <c r="VM320" s="117"/>
      <c r="VN320" s="117"/>
      <c r="VO320" s="117"/>
      <c r="VP320" s="117"/>
      <c r="VQ320" s="117"/>
      <c r="VR320" s="117"/>
      <c r="VS320" s="117"/>
      <c r="VT320" s="117"/>
      <c r="VU320" s="117"/>
      <c r="VV320" s="117"/>
      <c r="VW320" s="117"/>
      <c r="VX320" s="117"/>
      <c r="VY320" s="117"/>
      <c r="VZ320" s="117"/>
      <c r="WA320" s="117"/>
      <c r="WB320" s="117"/>
      <c r="WC320" s="117"/>
      <c r="WD320" s="117"/>
      <c r="WE320" s="117"/>
      <c r="WF320" s="117"/>
      <c r="WG320" s="117"/>
      <c r="WH320" s="117"/>
      <c r="WI320" s="117"/>
      <c r="WJ320" s="117"/>
      <c r="WK320" s="117"/>
      <c r="WL320" s="117"/>
      <c r="WM320" s="117"/>
      <c r="WN320" s="117"/>
      <c r="WO320" s="117"/>
      <c r="WP320" s="117"/>
      <c r="WQ320" s="117"/>
      <c r="WR320" s="117"/>
      <c r="WS320" s="117"/>
      <c r="WT320" s="117"/>
      <c r="WU320" s="117"/>
      <c r="WV320" s="117"/>
      <c r="WW320" s="117"/>
      <c r="WX320" s="117"/>
      <c r="WY320" s="117"/>
      <c r="WZ320" s="117"/>
      <c r="XA320" s="117"/>
      <c r="XB320" s="117"/>
      <c r="XC320" s="117"/>
      <c r="XD320" s="117"/>
      <c r="XE320" s="117"/>
      <c r="XF320" s="117"/>
      <c r="XG320" s="117"/>
      <c r="XH320" s="117"/>
      <c r="XI320" s="117"/>
      <c r="XJ320" s="117"/>
      <c r="XK320" s="117"/>
      <c r="XL320" s="117"/>
      <c r="XM320" s="117"/>
      <c r="XN320" s="117"/>
      <c r="XO320" s="117"/>
      <c r="XP320" s="117"/>
      <c r="XQ320" s="117"/>
      <c r="XR320" s="117"/>
      <c r="XS320" s="117"/>
      <c r="XT320" s="117"/>
      <c r="XU320" s="117"/>
      <c r="XV320" s="117"/>
      <c r="XW320" s="117"/>
      <c r="XX320" s="117"/>
      <c r="XY320" s="117"/>
      <c r="XZ320" s="117"/>
      <c r="YA320" s="117"/>
      <c r="YB320" s="117"/>
      <c r="YC320" s="117"/>
      <c r="YD320" s="117"/>
      <c r="YE320" s="117"/>
      <c r="YF320" s="117"/>
      <c r="YG320" s="117"/>
      <c r="YH320" s="117"/>
      <c r="YI320" s="117"/>
      <c r="YJ320" s="117"/>
      <c r="YK320" s="117"/>
      <c r="YL320" s="117"/>
      <c r="YM320" s="117"/>
      <c r="YN320" s="117"/>
      <c r="YO320" s="117"/>
      <c r="YP320" s="117"/>
      <c r="YQ320" s="117"/>
      <c r="YR320" s="117"/>
      <c r="YS320" s="117"/>
      <c r="YT320" s="117"/>
      <c r="YU320" s="117"/>
      <c r="YV320" s="117"/>
      <c r="YW320" s="117"/>
      <c r="YX320" s="117"/>
      <c r="YY320" s="117"/>
      <c r="YZ320" s="117"/>
      <c r="ZA320" s="117"/>
      <c r="ZB320" s="117"/>
      <c r="ZC320" s="117"/>
      <c r="ZD320" s="117"/>
      <c r="ZE320" s="117"/>
      <c r="ZF320" s="117"/>
      <c r="ZG320" s="117"/>
      <c r="ZH320" s="117"/>
      <c r="ZI320" s="117"/>
      <c r="ZJ320" s="117"/>
      <c r="ZK320" s="117"/>
      <c r="ZL320" s="117"/>
      <c r="ZM320" s="117"/>
      <c r="ZN320" s="117"/>
      <c r="ZO320" s="117"/>
      <c r="ZP320" s="117"/>
      <c r="ZQ320" s="117"/>
      <c r="ZR320" s="117"/>
      <c r="ZS320" s="117"/>
      <c r="ZT320" s="117"/>
      <c r="ZU320" s="117"/>
      <c r="ZV320" s="117"/>
      <c r="ZW320" s="117"/>
      <c r="ZX320" s="117"/>
      <c r="ZY320" s="117"/>
      <c r="ZZ320" s="117"/>
      <c r="AAA320" s="117"/>
      <c r="AAB320" s="117"/>
      <c r="AAC320" s="117"/>
      <c r="AAD320" s="117"/>
      <c r="AAE320" s="117"/>
      <c r="AAF320" s="117"/>
      <c r="AAG320" s="117"/>
      <c r="AAH320" s="117"/>
      <c r="AAI320" s="117"/>
      <c r="AAJ320" s="117"/>
      <c r="AAK320" s="117"/>
      <c r="AAL320" s="117"/>
      <c r="AAM320" s="117"/>
      <c r="AAN320" s="117"/>
      <c r="AAO320" s="117"/>
      <c r="AAP320" s="117"/>
      <c r="AAQ320" s="117"/>
      <c r="AAR320" s="117"/>
      <c r="AAS320" s="117"/>
      <c r="AAT320" s="117"/>
      <c r="AAU320" s="117"/>
      <c r="AAV320" s="117"/>
      <c r="AAW320" s="117"/>
      <c r="AAX320" s="117"/>
      <c r="AAY320" s="117"/>
      <c r="AAZ320" s="117"/>
      <c r="ABA320" s="117"/>
      <c r="ABB320" s="117"/>
      <c r="ABC320" s="117"/>
      <c r="ABD320" s="117"/>
      <c r="ABE320" s="117"/>
      <c r="ABF320" s="117"/>
      <c r="ABG320" s="117"/>
      <c r="ABH320" s="117"/>
      <c r="ABI320" s="117"/>
      <c r="ABJ320" s="117"/>
      <c r="ABK320" s="117"/>
      <c r="ABL320" s="117"/>
      <c r="ABM320" s="117"/>
      <c r="ABN320" s="117"/>
      <c r="ABO320" s="117"/>
      <c r="ABP320" s="117"/>
      <c r="ABQ320" s="117"/>
      <c r="ABR320" s="117"/>
      <c r="ABS320" s="117"/>
      <c r="ABT320" s="117"/>
      <c r="ABU320" s="117"/>
      <c r="ABV320" s="117"/>
      <c r="ABW320" s="117"/>
      <c r="ABX320" s="117"/>
      <c r="ABY320" s="117"/>
      <c r="ABZ320" s="117"/>
      <c r="ACA320" s="117"/>
      <c r="ACB320" s="117"/>
      <c r="ACC320" s="117"/>
      <c r="ACD320" s="117"/>
      <c r="ACE320" s="117"/>
      <c r="ACF320" s="117"/>
      <c r="ACG320" s="117"/>
      <c r="ACH320" s="117"/>
      <c r="ACI320" s="117"/>
      <c r="ACJ320" s="117"/>
      <c r="ACK320" s="117"/>
      <c r="ACL320" s="117"/>
      <c r="ACM320" s="117"/>
      <c r="ACN320" s="117"/>
      <c r="ACO320" s="117"/>
      <c r="ACP320" s="117"/>
      <c r="ACQ320" s="117"/>
      <c r="ACR320" s="117"/>
      <c r="ACS320" s="117"/>
      <c r="ACT320" s="117"/>
      <c r="ACU320" s="117"/>
      <c r="ACV320" s="117"/>
      <c r="ACW320" s="117"/>
      <c r="ACX320" s="117"/>
      <c r="ACY320" s="117"/>
      <c r="ACZ320" s="117"/>
      <c r="ADA320" s="117"/>
      <c r="ADB320" s="117"/>
      <c r="ADC320" s="117"/>
      <c r="ADD320" s="117"/>
      <c r="ADE320" s="117"/>
      <c r="ADF320" s="117"/>
      <c r="ADG320" s="117"/>
      <c r="ADH320" s="117"/>
      <c r="ADI320" s="117"/>
      <c r="ADJ320" s="117"/>
      <c r="ADK320" s="117"/>
      <c r="ADL320" s="117"/>
      <c r="ADM320" s="117"/>
      <c r="ADN320" s="117"/>
      <c r="ADO320" s="117"/>
      <c r="ADP320" s="117"/>
      <c r="ADQ320" s="117"/>
      <c r="ADR320" s="117"/>
      <c r="ADS320" s="117"/>
      <c r="ADT320" s="117"/>
      <c r="ADU320" s="117"/>
      <c r="ADV320" s="117"/>
      <c r="ADW320" s="117"/>
      <c r="ADX320" s="117"/>
      <c r="ADY320" s="117"/>
      <c r="ADZ320" s="117"/>
      <c r="AEA320" s="117"/>
      <c r="AEB320" s="117"/>
      <c r="AEC320" s="117"/>
      <c r="AED320" s="117"/>
      <c r="AEE320" s="117"/>
      <c r="AEF320" s="117"/>
      <c r="AEG320" s="117"/>
      <c r="AEH320" s="117"/>
      <c r="AEI320" s="117"/>
      <c r="AEJ320" s="117"/>
      <c r="AEK320" s="117"/>
      <c r="AEL320" s="117"/>
      <c r="AEM320" s="117"/>
      <c r="AEN320" s="117"/>
      <c r="AEO320" s="117"/>
      <c r="AEP320" s="117"/>
      <c r="AEQ320" s="117"/>
      <c r="AER320" s="117"/>
      <c r="AES320" s="117"/>
      <c r="AET320" s="117"/>
      <c r="AEU320" s="117"/>
      <c r="AEV320" s="117"/>
      <c r="AEW320" s="117"/>
      <c r="AEX320" s="117"/>
      <c r="AEY320" s="117"/>
      <c r="AEZ320" s="117"/>
      <c r="AFA320" s="117"/>
      <c r="AFB320" s="117"/>
      <c r="AFC320" s="117"/>
      <c r="AFD320" s="117"/>
      <c r="AFE320" s="117"/>
      <c r="AFF320" s="117"/>
      <c r="AFG320" s="117"/>
      <c r="AFH320" s="117"/>
      <c r="AFI320" s="117"/>
      <c r="AFJ320" s="117"/>
      <c r="AFK320" s="117"/>
      <c r="AFL320" s="117"/>
      <c r="AFM320" s="117"/>
      <c r="AFN320" s="117"/>
      <c r="AFO320" s="117"/>
      <c r="AFP320" s="117"/>
      <c r="AFQ320" s="117"/>
      <c r="AFR320" s="117"/>
      <c r="AFS320" s="117"/>
      <c r="AFT320" s="117"/>
      <c r="AFU320" s="117"/>
      <c r="AFV320" s="117"/>
      <c r="AFW320" s="117"/>
      <c r="AFX320" s="117"/>
      <c r="AFY320" s="117"/>
      <c r="AFZ320" s="117"/>
      <c r="AGA320" s="117"/>
      <c r="AGB320" s="117"/>
      <c r="AGC320" s="117"/>
      <c r="AGD320" s="117"/>
      <c r="AGE320" s="117"/>
      <c r="AGF320" s="117"/>
      <c r="AGG320" s="117"/>
      <c r="AGH320" s="117"/>
      <c r="AGI320" s="117"/>
      <c r="AGJ320" s="117"/>
      <c r="AGK320" s="117"/>
      <c r="AGL320" s="117"/>
      <c r="AGM320" s="117"/>
      <c r="AGN320" s="117"/>
      <c r="AGO320" s="117"/>
      <c r="AGP320" s="117"/>
      <c r="AGQ320" s="117"/>
      <c r="AGR320" s="117"/>
      <c r="AGS320" s="117"/>
      <c r="AGT320" s="117"/>
      <c r="AGU320" s="117"/>
      <c r="AGV320" s="117"/>
      <c r="AGW320" s="117"/>
      <c r="AGX320" s="117"/>
      <c r="AGY320" s="117"/>
      <c r="AGZ320" s="117"/>
      <c r="AHA320" s="117"/>
      <c r="AHB320" s="117"/>
      <c r="AHC320" s="117"/>
      <c r="AHD320" s="117"/>
      <c r="AHE320" s="117"/>
      <c r="AHF320" s="117"/>
      <c r="AHG320" s="117"/>
      <c r="AHH320" s="117"/>
      <c r="AHI320" s="117"/>
      <c r="AHJ320" s="117"/>
      <c r="AHK320" s="117"/>
      <c r="AHL320" s="117"/>
      <c r="AHM320" s="117"/>
      <c r="AHN320" s="117"/>
      <c r="AHO320" s="117"/>
      <c r="AHP320" s="117"/>
      <c r="AHQ320" s="117"/>
      <c r="AHR320" s="117"/>
      <c r="AHS320" s="117"/>
      <c r="AHT320" s="117"/>
      <c r="AHU320" s="117"/>
      <c r="AHV320" s="117"/>
      <c r="AHW320" s="117"/>
      <c r="AHX320" s="117"/>
      <c r="AHY320" s="117"/>
      <c r="AHZ320" s="117"/>
      <c r="AIA320" s="117"/>
      <c r="AIB320" s="117"/>
      <c r="AIC320" s="117"/>
      <c r="AID320" s="117"/>
      <c r="AIE320" s="117"/>
      <c r="AIF320" s="117"/>
      <c r="AIG320" s="117"/>
      <c r="AIH320" s="117"/>
      <c r="AII320" s="117"/>
      <c r="AIJ320" s="117"/>
      <c r="AIK320" s="117"/>
      <c r="AIL320" s="117"/>
      <c r="AIM320" s="117"/>
      <c r="AIN320" s="117"/>
      <c r="AIO320" s="117"/>
      <c r="AIP320" s="117"/>
      <c r="AIQ320" s="117"/>
      <c r="AIR320" s="117"/>
      <c r="AIS320" s="117"/>
      <c r="AIT320" s="117"/>
      <c r="AIU320" s="117"/>
      <c r="AIV320" s="117"/>
      <c r="AIW320" s="117"/>
      <c r="AIX320" s="117"/>
      <c r="AIY320" s="117"/>
      <c r="AIZ320" s="117"/>
      <c r="AJA320" s="117"/>
      <c r="AJB320" s="117"/>
      <c r="AJC320" s="117"/>
      <c r="AJD320" s="117"/>
      <c r="AJE320" s="117"/>
      <c r="AJF320" s="117"/>
      <c r="AJG320" s="117"/>
      <c r="AJH320" s="117"/>
      <c r="AJI320" s="117"/>
      <c r="AJJ320" s="117"/>
      <c r="AJK320" s="117"/>
      <c r="AJL320" s="117"/>
      <c r="AJM320" s="117"/>
      <c r="AJN320" s="117"/>
      <c r="AJO320" s="117"/>
      <c r="AJP320" s="117"/>
      <c r="AJQ320" s="117"/>
      <c r="AJR320" s="117"/>
      <c r="AJS320" s="117"/>
      <c r="AJT320" s="117"/>
      <c r="AJU320" s="117"/>
      <c r="AJV320" s="117"/>
      <c r="AJW320" s="117"/>
      <c r="AJX320" s="117"/>
      <c r="AJY320" s="117"/>
      <c r="AJZ320" s="117"/>
      <c r="AKA320" s="117"/>
      <c r="AKB320" s="117"/>
      <c r="AKC320" s="117"/>
      <c r="AKD320" s="117"/>
      <c r="AKE320" s="117"/>
      <c r="AKF320" s="117"/>
      <c r="AKG320" s="117"/>
      <c r="AKH320" s="117"/>
      <c r="AKI320" s="117"/>
      <c r="AKJ320" s="117"/>
      <c r="AKK320" s="117"/>
      <c r="AKL320" s="117"/>
      <c r="AKM320" s="117"/>
      <c r="AKN320" s="117"/>
      <c r="AKO320" s="117"/>
      <c r="AKP320" s="117"/>
      <c r="AKQ320" s="117"/>
      <c r="AKR320" s="117"/>
      <c r="AKS320" s="117"/>
      <c r="AKT320" s="117"/>
      <c r="AKU320" s="117"/>
      <c r="AKV320" s="117"/>
      <c r="AKW320" s="117"/>
      <c r="AKX320" s="117"/>
      <c r="AKY320" s="117"/>
      <c r="AKZ320" s="117"/>
      <c r="ALA320" s="117"/>
      <c r="ALB320" s="117"/>
      <c r="ALC320" s="117"/>
      <c r="ALD320" s="117"/>
      <c r="ALE320" s="117"/>
      <c r="ALF320" s="117"/>
      <c r="ALG320" s="117"/>
      <c r="ALH320" s="117"/>
      <c r="ALI320" s="117"/>
      <c r="ALJ320" s="117"/>
      <c r="ALK320" s="117"/>
      <c r="ALL320" s="117"/>
      <c r="ALM320" s="117"/>
      <c r="ALN320" s="117"/>
      <c r="ALO320" s="117"/>
      <c r="ALP320" s="117"/>
      <c r="ALQ320" s="117"/>
      <c r="ALR320" s="117"/>
      <c r="ALS320" s="117"/>
      <c r="ALT320" s="117"/>
      <c r="ALU320" s="117"/>
      <c r="ALV320" s="117"/>
      <c r="ALW320" s="117"/>
      <c r="ALX320" s="117"/>
      <c r="ALY320" s="117"/>
      <c r="ALZ320" s="117"/>
      <c r="AMA320" s="117"/>
      <c r="AMB320" s="117"/>
      <c r="AMC320" s="117"/>
      <c r="AMD320" s="117"/>
      <c r="AME320" s="117"/>
    </row>
    <row r="321" spans="1:1019" s="191" customFormat="1" ht="11.25" customHeight="1">
      <c r="A321" s="139">
        <v>319</v>
      </c>
      <c r="B321" s="139"/>
      <c r="C321" s="140"/>
      <c r="D321" s="190">
        <v>1</v>
      </c>
      <c r="E321" s="190">
        <f t="shared" si="47"/>
        <v>26</v>
      </c>
      <c r="F321" s="173" t="s">
        <v>523</v>
      </c>
      <c r="G321" s="172">
        <f t="shared" si="58"/>
        <v>2325</v>
      </c>
      <c r="H321" s="143">
        <f>INT((G321*Valores!$C$2*100)+0.5)/100</f>
        <v>21714.8</v>
      </c>
      <c r="I321" s="161">
        <v>0</v>
      </c>
      <c r="J321" s="145">
        <f>INT((I321*Valores!$C$2*100)+0.5)/100</f>
        <v>0</v>
      </c>
      <c r="K321" s="160">
        <v>0</v>
      </c>
      <c r="L321" s="145">
        <f>INT((K321*Valores!$C$2*100)+0.5)/100</f>
        <v>0</v>
      </c>
      <c r="M321" s="158">
        <v>0</v>
      </c>
      <c r="N321" s="145">
        <f>INT((M321*Valores!$C$2*100)+0.5)/100</f>
        <v>0</v>
      </c>
      <c r="O321" s="145">
        <f t="shared" si="48"/>
        <v>3410.7825</v>
      </c>
      <c r="P321" s="145">
        <f t="shared" si="49"/>
        <v>0</v>
      </c>
      <c r="Q321" s="159">
        <v>0</v>
      </c>
      <c r="R321" s="159">
        <v>0</v>
      </c>
      <c r="S321" s="145">
        <v>0</v>
      </c>
      <c r="T321" s="148">
        <f>IF($H$5="NO",IF(Valores!$C$46*D321&gt;Valores!$C$44,Valores!$C$44,Valores!$C$46*D321),IF(Valores!$C$46*D321&gt;Valores!$C$44,Valores!$C$44,Valores!$C$46*D321)/2)*15</f>
        <v>1023.75</v>
      </c>
      <c r="U321" s="159">
        <v>0</v>
      </c>
      <c r="V321" s="145">
        <f t="shared" si="57"/>
        <v>0</v>
      </c>
      <c r="W321" s="145">
        <v>0</v>
      </c>
      <c r="X321" s="145">
        <v>0</v>
      </c>
      <c r="Y321" s="165">
        <v>0</v>
      </c>
      <c r="Z321" s="145">
        <v>0</v>
      </c>
      <c r="AA321" s="145">
        <v>0</v>
      </c>
      <c r="AB321" s="148"/>
      <c r="AC321" s="150">
        <v>0</v>
      </c>
      <c r="AD321" s="145">
        <f t="shared" si="51"/>
        <v>0</v>
      </c>
      <c r="AE321" s="145">
        <v>0</v>
      </c>
      <c r="AF321" s="149">
        <v>0</v>
      </c>
      <c r="AG321" s="145">
        <f>INT(((AF321*Valores!$C$2)*100)+0.5)/100</f>
        <v>0</v>
      </c>
      <c r="AH321" s="145"/>
      <c r="AI321" s="145"/>
      <c r="AJ321" s="151">
        <f t="shared" si="52"/>
        <v>26149.3325</v>
      </c>
      <c r="AK321" s="171"/>
      <c r="AL321" s="148">
        <f>Valores!$C$11+AL320</f>
        <v>0</v>
      </c>
      <c r="AM321" s="148">
        <v>0</v>
      </c>
      <c r="AN321" s="148"/>
      <c r="AO321" s="150">
        <v>0</v>
      </c>
      <c r="AP321" s="152">
        <f t="shared" si="50"/>
        <v>0</v>
      </c>
      <c r="AQ321" s="154">
        <f>AJ321*-Valores!$C$68</f>
        <v>-2876.426575</v>
      </c>
      <c r="AR321" s="154">
        <f>AJ321*-Valores!$C$69</f>
        <v>0</v>
      </c>
      <c r="AS321" s="147">
        <f>AJ321*-Valores!$C$70</f>
        <v>-1176.7199625</v>
      </c>
      <c r="AT321" s="147">
        <v>-159.43</v>
      </c>
      <c r="AU321" s="147">
        <f t="shared" si="53"/>
        <v>-53.83</v>
      </c>
      <c r="AV321" s="151">
        <f t="shared" si="54"/>
        <v>21882.925962499998</v>
      </c>
      <c r="AW321" s="155"/>
      <c r="AX321" s="155"/>
      <c r="AY321" s="140"/>
      <c r="AZ321" s="117"/>
      <c r="BA321" s="117"/>
      <c r="BB321" s="117"/>
      <c r="BC321" s="117"/>
      <c r="BD321" s="117"/>
      <c r="BE321" s="117"/>
      <c r="BF321" s="117"/>
      <c r="BG321" s="117"/>
      <c r="BH321" s="117"/>
      <c r="BI321" s="117"/>
      <c r="BJ321" s="117"/>
      <c r="BK321" s="117"/>
      <c r="BL321" s="117"/>
      <c r="BM321" s="117"/>
      <c r="BN321" s="117"/>
      <c r="BO321" s="117"/>
      <c r="BP321" s="117"/>
      <c r="BQ321" s="117"/>
      <c r="BR321" s="117"/>
      <c r="BS321" s="117"/>
      <c r="BT321" s="117"/>
      <c r="BU321" s="117"/>
      <c r="BV321" s="117"/>
      <c r="BW321" s="117"/>
      <c r="BX321" s="117"/>
      <c r="BY321" s="117"/>
      <c r="BZ321" s="117"/>
      <c r="CA321" s="117"/>
      <c r="CB321" s="117"/>
      <c r="CC321" s="117"/>
      <c r="CD321" s="117"/>
      <c r="CE321" s="117"/>
      <c r="CF321" s="117"/>
      <c r="CG321" s="117"/>
      <c r="CH321" s="117"/>
      <c r="CI321" s="117"/>
      <c r="CJ321" s="117"/>
      <c r="CK321" s="117"/>
      <c r="CL321" s="117"/>
      <c r="CM321" s="117"/>
      <c r="CN321" s="117"/>
      <c r="CO321" s="117"/>
      <c r="CP321" s="117"/>
      <c r="CQ321" s="117"/>
      <c r="CR321" s="117"/>
      <c r="CS321" s="117"/>
      <c r="CT321" s="117"/>
      <c r="CU321" s="117"/>
      <c r="CV321" s="117"/>
      <c r="CW321" s="117"/>
      <c r="CX321" s="117"/>
      <c r="CY321" s="117"/>
      <c r="CZ321" s="117"/>
      <c r="DA321" s="117"/>
      <c r="DB321" s="117"/>
      <c r="DC321" s="117"/>
      <c r="DD321" s="117"/>
      <c r="DE321" s="117"/>
      <c r="DF321" s="117"/>
      <c r="DG321" s="117"/>
      <c r="DH321" s="117"/>
      <c r="DI321" s="117"/>
      <c r="DJ321" s="117"/>
      <c r="DK321" s="117"/>
      <c r="DL321" s="117"/>
      <c r="DM321" s="117"/>
      <c r="DN321" s="117"/>
      <c r="DO321" s="117"/>
      <c r="DP321" s="117"/>
      <c r="DQ321" s="117"/>
      <c r="DR321" s="117"/>
      <c r="DS321" s="117"/>
      <c r="DT321" s="117"/>
      <c r="DU321" s="117"/>
      <c r="DV321" s="117"/>
      <c r="DW321" s="117"/>
      <c r="DX321" s="117"/>
      <c r="DY321" s="117"/>
      <c r="DZ321" s="117"/>
      <c r="EA321" s="117"/>
      <c r="EB321" s="117"/>
      <c r="EC321" s="117"/>
      <c r="ED321" s="117"/>
      <c r="EE321" s="117"/>
      <c r="EF321" s="117"/>
      <c r="EG321" s="117"/>
      <c r="EH321" s="117"/>
      <c r="EI321" s="117"/>
      <c r="EJ321" s="117"/>
      <c r="EK321" s="117"/>
      <c r="EL321" s="117"/>
      <c r="EM321" s="117"/>
      <c r="EN321" s="117"/>
      <c r="EO321" s="117"/>
      <c r="EP321" s="117"/>
      <c r="EQ321" s="117"/>
      <c r="ER321" s="117"/>
      <c r="ES321" s="117"/>
      <c r="ET321" s="117"/>
      <c r="EU321" s="117"/>
      <c r="EV321" s="117"/>
      <c r="EW321" s="117"/>
      <c r="EX321" s="117"/>
      <c r="EY321" s="117"/>
      <c r="EZ321" s="117"/>
      <c r="FA321" s="117"/>
      <c r="FB321" s="117"/>
      <c r="FC321" s="117"/>
      <c r="FD321" s="117"/>
      <c r="FE321" s="117"/>
      <c r="FF321" s="117"/>
      <c r="FG321" s="117"/>
      <c r="FH321" s="117"/>
      <c r="FI321" s="117"/>
      <c r="FJ321" s="117"/>
      <c r="FK321" s="117"/>
      <c r="FL321" s="117"/>
      <c r="FM321" s="117"/>
      <c r="FN321" s="117"/>
      <c r="FO321" s="117"/>
      <c r="FP321" s="117"/>
      <c r="FQ321" s="117"/>
      <c r="FR321" s="117"/>
      <c r="FS321" s="117"/>
      <c r="FT321" s="117"/>
      <c r="FU321" s="117"/>
      <c r="FV321" s="117"/>
      <c r="FW321" s="117"/>
      <c r="FX321" s="117"/>
      <c r="FY321" s="117"/>
      <c r="FZ321" s="117"/>
      <c r="GA321" s="117"/>
      <c r="GB321" s="117"/>
      <c r="GC321" s="117"/>
      <c r="GD321" s="117"/>
      <c r="GE321" s="117"/>
      <c r="GF321" s="117"/>
      <c r="GG321" s="117"/>
      <c r="GH321" s="117"/>
      <c r="GI321" s="117"/>
      <c r="GJ321" s="117"/>
      <c r="GK321" s="117"/>
      <c r="GL321" s="117"/>
      <c r="GM321" s="117"/>
      <c r="GN321" s="117"/>
      <c r="GO321" s="117"/>
      <c r="GP321" s="117"/>
      <c r="GQ321" s="117"/>
      <c r="GR321" s="117"/>
      <c r="GS321" s="117"/>
      <c r="GT321" s="117"/>
      <c r="GU321" s="117"/>
      <c r="GV321" s="117"/>
      <c r="GW321" s="117"/>
      <c r="GX321" s="117"/>
      <c r="GY321" s="117"/>
      <c r="GZ321" s="117"/>
      <c r="HA321" s="117"/>
      <c r="HB321" s="117"/>
      <c r="HC321" s="117"/>
      <c r="HD321" s="117"/>
      <c r="HE321" s="117"/>
      <c r="HF321" s="117"/>
      <c r="HG321" s="117"/>
      <c r="HH321" s="117"/>
      <c r="HI321" s="117"/>
      <c r="HJ321" s="117"/>
      <c r="HK321" s="117"/>
      <c r="HL321" s="117"/>
      <c r="HM321" s="117"/>
      <c r="HN321" s="117"/>
      <c r="HO321" s="117"/>
      <c r="HP321" s="117"/>
      <c r="HQ321" s="117"/>
      <c r="HR321" s="117"/>
      <c r="HS321" s="117"/>
      <c r="HT321" s="117"/>
      <c r="HU321" s="117"/>
      <c r="HV321" s="117"/>
      <c r="HW321" s="117"/>
      <c r="HX321" s="117"/>
      <c r="HY321" s="117"/>
      <c r="HZ321" s="117"/>
      <c r="IA321" s="117"/>
      <c r="IB321" s="117"/>
      <c r="IC321" s="117"/>
      <c r="ID321" s="117"/>
      <c r="IE321" s="117"/>
      <c r="IF321" s="117"/>
      <c r="IG321" s="117"/>
      <c r="IH321" s="117"/>
      <c r="II321" s="117"/>
      <c r="IJ321" s="117"/>
      <c r="IK321" s="117"/>
      <c r="IL321" s="117"/>
      <c r="IM321" s="117"/>
      <c r="IN321" s="117"/>
      <c r="IO321" s="117"/>
      <c r="IP321" s="117"/>
      <c r="IQ321" s="117"/>
      <c r="IR321" s="117"/>
      <c r="IS321" s="117"/>
      <c r="IT321" s="117"/>
      <c r="IU321" s="117"/>
      <c r="IV321" s="117"/>
      <c r="IW321" s="117"/>
      <c r="IX321" s="117"/>
      <c r="IY321" s="117"/>
      <c r="IZ321" s="117"/>
      <c r="JA321" s="117"/>
      <c r="JB321" s="117"/>
      <c r="JC321" s="117"/>
      <c r="JD321" s="117"/>
      <c r="JE321" s="117"/>
      <c r="JF321" s="117"/>
      <c r="JG321" s="117"/>
      <c r="JH321" s="117"/>
      <c r="JI321" s="117"/>
      <c r="JJ321" s="117"/>
      <c r="JK321" s="117"/>
      <c r="JL321" s="117"/>
      <c r="JM321" s="117"/>
      <c r="JN321" s="117"/>
      <c r="JO321" s="117"/>
      <c r="JP321" s="117"/>
      <c r="JQ321" s="117"/>
      <c r="JR321" s="117"/>
      <c r="JS321" s="117"/>
      <c r="JT321" s="117"/>
      <c r="JU321" s="117"/>
      <c r="JV321" s="117"/>
      <c r="JW321" s="117"/>
      <c r="JX321" s="117"/>
      <c r="JY321" s="117"/>
      <c r="JZ321" s="117"/>
      <c r="KA321" s="117"/>
      <c r="KB321" s="117"/>
      <c r="KC321" s="117"/>
      <c r="KD321" s="117"/>
      <c r="KE321" s="117"/>
      <c r="KF321" s="117"/>
      <c r="KG321" s="117"/>
      <c r="KH321" s="117"/>
      <c r="KI321" s="117"/>
      <c r="KJ321" s="117"/>
      <c r="KK321" s="117"/>
      <c r="KL321" s="117"/>
      <c r="KM321" s="117"/>
      <c r="KN321" s="117"/>
      <c r="KO321" s="117"/>
      <c r="KP321" s="117"/>
      <c r="KQ321" s="117"/>
      <c r="KR321" s="117"/>
      <c r="KS321" s="117"/>
      <c r="KT321" s="117"/>
      <c r="KU321" s="117"/>
      <c r="KV321" s="117"/>
      <c r="KW321" s="117"/>
      <c r="KX321" s="117"/>
      <c r="KY321" s="117"/>
      <c r="KZ321" s="117"/>
      <c r="LA321" s="117"/>
      <c r="LB321" s="117"/>
      <c r="LC321" s="117"/>
      <c r="LD321" s="117"/>
      <c r="LE321" s="117"/>
      <c r="LF321" s="117"/>
      <c r="LG321" s="117"/>
      <c r="LH321" s="117"/>
      <c r="LI321" s="117"/>
      <c r="LJ321" s="117"/>
      <c r="LK321" s="117"/>
      <c r="LL321" s="117"/>
      <c r="LM321" s="117"/>
      <c r="LN321" s="117"/>
      <c r="LO321" s="117"/>
      <c r="LP321" s="117"/>
      <c r="LQ321" s="117"/>
      <c r="LR321" s="117"/>
      <c r="LS321" s="117"/>
      <c r="LT321" s="117"/>
      <c r="LU321" s="117"/>
      <c r="LV321" s="117"/>
      <c r="LW321" s="117"/>
      <c r="LX321" s="117"/>
      <c r="LY321" s="117"/>
      <c r="LZ321" s="117"/>
      <c r="MA321" s="117"/>
      <c r="MB321" s="117"/>
      <c r="MC321" s="117"/>
      <c r="MD321" s="117"/>
      <c r="ME321" s="117"/>
      <c r="MF321" s="117"/>
      <c r="MG321" s="117"/>
      <c r="MH321" s="117"/>
      <c r="MI321" s="117"/>
      <c r="MJ321" s="117"/>
      <c r="MK321" s="117"/>
      <c r="ML321" s="117"/>
      <c r="MM321" s="117"/>
      <c r="MN321" s="117"/>
      <c r="MO321" s="117"/>
      <c r="MP321" s="117"/>
      <c r="MQ321" s="117"/>
      <c r="MR321" s="117"/>
      <c r="MS321" s="117"/>
      <c r="MT321" s="117"/>
      <c r="MU321" s="117"/>
      <c r="MV321" s="117"/>
      <c r="MW321" s="117"/>
      <c r="MX321" s="117"/>
      <c r="MY321" s="117"/>
      <c r="MZ321" s="117"/>
      <c r="NA321" s="117"/>
      <c r="NB321" s="117"/>
      <c r="NC321" s="117"/>
      <c r="ND321" s="117"/>
      <c r="NE321" s="117"/>
      <c r="NF321" s="117"/>
      <c r="NG321" s="117"/>
      <c r="NH321" s="117"/>
      <c r="NI321" s="117"/>
      <c r="NJ321" s="117"/>
      <c r="NK321" s="117"/>
      <c r="NL321" s="117"/>
      <c r="NM321" s="117"/>
      <c r="NN321" s="117"/>
      <c r="NO321" s="117"/>
      <c r="NP321" s="117"/>
      <c r="NQ321" s="117"/>
      <c r="NR321" s="117"/>
      <c r="NS321" s="117"/>
      <c r="NT321" s="117"/>
      <c r="NU321" s="117"/>
      <c r="NV321" s="117"/>
      <c r="NW321" s="117"/>
      <c r="NX321" s="117"/>
      <c r="NY321" s="117"/>
      <c r="NZ321" s="117"/>
      <c r="OA321" s="117"/>
      <c r="OB321" s="117"/>
      <c r="OC321" s="117"/>
      <c r="OD321" s="117"/>
      <c r="OE321" s="117"/>
      <c r="OF321" s="117"/>
      <c r="OG321" s="117"/>
      <c r="OH321" s="117"/>
      <c r="OI321" s="117"/>
      <c r="OJ321" s="117"/>
      <c r="OK321" s="117"/>
      <c r="OL321" s="117"/>
      <c r="OM321" s="117"/>
      <c r="ON321" s="117"/>
      <c r="OO321" s="117"/>
      <c r="OP321" s="117"/>
      <c r="OQ321" s="117"/>
      <c r="OR321" s="117"/>
      <c r="OS321" s="117"/>
      <c r="OT321" s="117"/>
      <c r="OU321" s="117"/>
      <c r="OV321" s="117"/>
      <c r="OW321" s="117"/>
      <c r="OX321" s="117"/>
      <c r="OY321" s="117"/>
      <c r="OZ321" s="117"/>
      <c r="PA321" s="117"/>
      <c r="PB321" s="117"/>
      <c r="PC321" s="117"/>
      <c r="PD321" s="117"/>
      <c r="PE321" s="117"/>
      <c r="PF321" s="117"/>
      <c r="PG321" s="117"/>
      <c r="PH321" s="117"/>
      <c r="PI321" s="117"/>
      <c r="PJ321" s="117"/>
      <c r="PK321" s="117"/>
      <c r="PL321" s="117"/>
      <c r="PM321" s="117"/>
      <c r="PN321" s="117"/>
      <c r="PO321" s="117"/>
      <c r="PP321" s="117"/>
      <c r="PQ321" s="117"/>
      <c r="PR321" s="117"/>
      <c r="PS321" s="117"/>
      <c r="PT321" s="117"/>
      <c r="PU321" s="117"/>
      <c r="PV321" s="117"/>
      <c r="PW321" s="117"/>
      <c r="PX321" s="117"/>
      <c r="PY321" s="117"/>
      <c r="PZ321" s="117"/>
      <c r="QA321" s="117"/>
      <c r="QB321" s="117"/>
      <c r="QC321" s="117"/>
      <c r="QD321" s="117"/>
      <c r="QE321" s="117"/>
      <c r="QF321" s="117"/>
      <c r="QG321" s="117"/>
      <c r="QH321" s="117"/>
      <c r="QI321" s="117"/>
      <c r="QJ321" s="117"/>
      <c r="QK321" s="117"/>
      <c r="QL321" s="117"/>
      <c r="QM321" s="117"/>
      <c r="QN321" s="117"/>
      <c r="QO321" s="117"/>
      <c r="QP321" s="117"/>
      <c r="QQ321" s="117"/>
      <c r="QR321" s="117"/>
      <c r="QS321" s="117"/>
      <c r="QT321" s="117"/>
      <c r="QU321" s="117"/>
      <c r="QV321" s="117"/>
      <c r="QW321" s="117"/>
      <c r="QX321" s="117"/>
      <c r="QY321" s="117"/>
      <c r="QZ321" s="117"/>
      <c r="RA321" s="117"/>
      <c r="RB321" s="117"/>
      <c r="RC321" s="117"/>
      <c r="RD321" s="117"/>
      <c r="RE321" s="117"/>
      <c r="RF321" s="117"/>
      <c r="RG321" s="117"/>
      <c r="RH321" s="117"/>
      <c r="RI321" s="117"/>
      <c r="RJ321" s="117"/>
      <c r="RK321" s="117"/>
      <c r="RL321" s="117"/>
      <c r="RM321" s="117"/>
      <c r="RN321" s="117"/>
      <c r="RO321" s="117"/>
      <c r="RP321" s="117"/>
      <c r="RQ321" s="117"/>
      <c r="RR321" s="117"/>
      <c r="RS321" s="117"/>
      <c r="RT321" s="117"/>
      <c r="RU321" s="117"/>
      <c r="RV321" s="117"/>
      <c r="RW321" s="117"/>
      <c r="RX321" s="117"/>
      <c r="RY321" s="117"/>
      <c r="RZ321" s="117"/>
      <c r="SA321" s="117"/>
      <c r="SB321" s="117"/>
      <c r="SC321" s="117"/>
      <c r="SD321" s="117"/>
      <c r="SE321" s="117"/>
      <c r="SF321" s="117"/>
      <c r="SG321" s="117"/>
      <c r="SH321" s="117"/>
      <c r="SI321" s="117"/>
      <c r="SJ321" s="117"/>
      <c r="SK321" s="117"/>
      <c r="SL321" s="117"/>
      <c r="SM321" s="117"/>
      <c r="SN321" s="117"/>
      <c r="SO321" s="117"/>
      <c r="SP321" s="117"/>
      <c r="SQ321" s="117"/>
      <c r="SR321" s="117"/>
      <c r="SS321" s="117"/>
      <c r="ST321" s="117"/>
      <c r="SU321" s="117"/>
      <c r="SV321" s="117"/>
      <c r="SW321" s="117"/>
      <c r="SX321" s="117"/>
      <c r="SY321" s="117"/>
      <c r="SZ321" s="117"/>
      <c r="TA321" s="117"/>
      <c r="TB321" s="117"/>
      <c r="TC321" s="117"/>
      <c r="TD321" s="117"/>
      <c r="TE321" s="117"/>
      <c r="TF321" s="117"/>
      <c r="TG321" s="117"/>
      <c r="TH321" s="117"/>
      <c r="TI321" s="117"/>
      <c r="TJ321" s="117"/>
      <c r="TK321" s="117"/>
      <c r="TL321" s="117"/>
      <c r="TM321" s="117"/>
      <c r="TN321" s="117"/>
      <c r="TO321" s="117"/>
      <c r="TP321" s="117"/>
      <c r="TQ321" s="117"/>
      <c r="TR321" s="117"/>
      <c r="TS321" s="117"/>
      <c r="TT321" s="117"/>
      <c r="TU321" s="117"/>
      <c r="TV321" s="117"/>
      <c r="TW321" s="117"/>
      <c r="TX321" s="117"/>
      <c r="TY321" s="117"/>
      <c r="TZ321" s="117"/>
      <c r="UA321" s="117"/>
      <c r="UB321" s="117"/>
      <c r="UC321" s="117"/>
      <c r="UD321" s="117"/>
      <c r="UE321" s="117"/>
      <c r="UF321" s="117"/>
      <c r="UG321" s="117"/>
      <c r="UH321" s="117"/>
      <c r="UI321" s="117"/>
      <c r="UJ321" s="117"/>
      <c r="UK321" s="117"/>
      <c r="UL321" s="117"/>
      <c r="UM321" s="117"/>
      <c r="UN321" s="117"/>
      <c r="UO321" s="117"/>
      <c r="UP321" s="117"/>
      <c r="UQ321" s="117"/>
      <c r="UR321" s="117"/>
      <c r="US321" s="117"/>
      <c r="UT321" s="117"/>
      <c r="UU321" s="117"/>
      <c r="UV321" s="117"/>
      <c r="UW321" s="117"/>
      <c r="UX321" s="117"/>
      <c r="UY321" s="117"/>
      <c r="UZ321" s="117"/>
      <c r="VA321" s="117"/>
      <c r="VB321" s="117"/>
      <c r="VC321" s="117"/>
      <c r="VD321" s="117"/>
      <c r="VE321" s="117"/>
      <c r="VF321" s="117"/>
      <c r="VG321" s="117"/>
      <c r="VH321" s="117"/>
      <c r="VI321" s="117"/>
      <c r="VJ321" s="117"/>
      <c r="VK321" s="117"/>
      <c r="VL321" s="117"/>
      <c r="VM321" s="117"/>
      <c r="VN321" s="117"/>
      <c r="VO321" s="117"/>
      <c r="VP321" s="117"/>
      <c r="VQ321" s="117"/>
      <c r="VR321" s="117"/>
      <c r="VS321" s="117"/>
      <c r="VT321" s="117"/>
      <c r="VU321" s="117"/>
      <c r="VV321" s="117"/>
      <c r="VW321" s="117"/>
      <c r="VX321" s="117"/>
      <c r="VY321" s="117"/>
      <c r="VZ321" s="117"/>
      <c r="WA321" s="117"/>
      <c r="WB321" s="117"/>
      <c r="WC321" s="117"/>
      <c r="WD321" s="117"/>
      <c r="WE321" s="117"/>
      <c r="WF321" s="117"/>
      <c r="WG321" s="117"/>
      <c r="WH321" s="117"/>
      <c r="WI321" s="117"/>
      <c r="WJ321" s="117"/>
      <c r="WK321" s="117"/>
      <c r="WL321" s="117"/>
      <c r="WM321" s="117"/>
      <c r="WN321" s="117"/>
      <c r="WO321" s="117"/>
      <c r="WP321" s="117"/>
      <c r="WQ321" s="117"/>
      <c r="WR321" s="117"/>
      <c r="WS321" s="117"/>
      <c r="WT321" s="117"/>
      <c r="WU321" s="117"/>
      <c r="WV321" s="117"/>
      <c r="WW321" s="117"/>
      <c r="WX321" s="117"/>
      <c r="WY321" s="117"/>
      <c r="WZ321" s="117"/>
      <c r="XA321" s="117"/>
      <c r="XB321" s="117"/>
      <c r="XC321" s="117"/>
      <c r="XD321" s="117"/>
      <c r="XE321" s="117"/>
      <c r="XF321" s="117"/>
      <c r="XG321" s="117"/>
      <c r="XH321" s="117"/>
      <c r="XI321" s="117"/>
      <c r="XJ321" s="117"/>
      <c r="XK321" s="117"/>
      <c r="XL321" s="117"/>
      <c r="XM321" s="117"/>
      <c r="XN321" s="117"/>
      <c r="XO321" s="117"/>
      <c r="XP321" s="117"/>
      <c r="XQ321" s="117"/>
      <c r="XR321" s="117"/>
      <c r="XS321" s="117"/>
      <c r="XT321" s="117"/>
      <c r="XU321" s="117"/>
      <c r="XV321" s="117"/>
      <c r="XW321" s="117"/>
      <c r="XX321" s="117"/>
      <c r="XY321" s="117"/>
      <c r="XZ321" s="117"/>
      <c r="YA321" s="117"/>
      <c r="YB321" s="117"/>
      <c r="YC321" s="117"/>
      <c r="YD321" s="117"/>
      <c r="YE321" s="117"/>
      <c r="YF321" s="117"/>
      <c r="YG321" s="117"/>
      <c r="YH321" s="117"/>
      <c r="YI321" s="117"/>
      <c r="YJ321" s="117"/>
      <c r="YK321" s="117"/>
      <c r="YL321" s="117"/>
      <c r="YM321" s="117"/>
      <c r="YN321" s="117"/>
      <c r="YO321" s="117"/>
      <c r="YP321" s="117"/>
      <c r="YQ321" s="117"/>
      <c r="YR321" s="117"/>
      <c r="YS321" s="117"/>
      <c r="YT321" s="117"/>
      <c r="YU321" s="117"/>
      <c r="YV321" s="117"/>
      <c r="YW321" s="117"/>
      <c r="YX321" s="117"/>
      <c r="YY321" s="117"/>
      <c r="YZ321" s="117"/>
      <c r="ZA321" s="117"/>
      <c r="ZB321" s="117"/>
      <c r="ZC321" s="117"/>
      <c r="ZD321" s="117"/>
      <c r="ZE321" s="117"/>
      <c r="ZF321" s="117"/>
      <c r="ZG321" s="117"/>
      <c r="ZH321" s="117"/>
      <c r="ZI321" s="117"/>
      <c r="ZJ321" s="117"/>
      <c r="ZK321" s="117"/>
      <c r="ZL321" s="117"/>
      <c r="ZM321" s="117"/>
      <c r="ZN321" s="117"/>
      <c r="ZO321" s="117"/>
      <c r="ZP321" s="117"/>
      <c r="ZQ321" s="117"/>
      <c r="ZR321" s="117"/>
      <c r="ZS321" s="117"/>
      <c r="ZT321" s="117"/>
      <c r="ZU321" s="117"/>
      <c r="ZV321" s="117"/>
      <c r="ZW321" s="117"/>
      <c r="ZX321" s="117"/>
      <c r="ZY321" s="117"/>
      <c r="ZZ321" s="117"/>
      <c r="AAA321" s="117"/>
      <c r="AAB321" s="117"/>
      <c r="AAC321" s="117"/>
      <c r="AAD321" s="117"/>
      <c r="AAE321" s="117"/>
      <c r="AAF321" s="117"/>
      <c r="AAG321" s="117"/>
      <c r="AAH321" s="117"/>
      <c r="AAI321" s="117"/>
      <c r="AAJ321" s="117"/>
      <c r="AAK321" s="117"/>
      <c r="AAL321" s="117"/>
      <c r="AAM321" s="117"/>
      <c r="AAN321" s="117"/>
      <c r="AAO321" s="117"/>
      <c r="AAP321" s="117"/>
      <c r="AAQ321" s="117"/>
      <c r="AAR321" s="117"/>
      <c r="AAS321" s="117"/>
      <c r="AAT321" s="117"/>
      <c r="AAU321" s="117"/>
      <c r="AAV321" s="117"/>
      <c r="AAW321" s="117"/>
      <c r="AAX321" s="117"/>
      <c r="AAY321" s="117"/>
      <c r="AAZ321" s="117"/>
      <c r="ABA321" s="117"/>
      <c r="ABB321" s="117"/>
      <c r="ABC321" s="117"/>
      <c r="ABD321" s="117"/>
      <c r="ABE321" s="117"/>
      <c r="ABF321" s="117"/>
      <c r="ABG321" s="117"/>
      <c r="ABH321" s="117"/>
      <c r="ABI321" s="117"/>
      <c r="ABJ321" s="117"/>
      <c r="ABK321" s="117"/>
      <c r="ABL321" s="117"/>
      <c r="ABM321" s="117"/>
      <c r="ABN321" s="117"/>
      <c r="ABO321" s="117"/>
      <c r="ABP321" s="117"/>
      <c r="ABQ321" s="117"/>
      <c r="ABR321" s="117"/>
      <c r="ABS321" s="117"/>
      <c r="ABT321" s="117"/>
      <c r="ABU321" s="117"/>
      <c r="ABV321" s="117"/>
      <c r="ABW321" s="117"/>
      <c r="ABX321" s="117"/>
      <c r="ABY321" s="117"/>
      <c r="ABZ321" s="117"/>
      <c r="ACA321" s="117"/>
      <c r="ACB321" s="117"/>
      <c r="ACC321" s="117"/>
      <c r="ACD321" s="117"/>
      <c r="ACE321" s="117"/>
      <c r="ACF321" s="117"/>
      <c r="ACG321" s="117"/>
      <c r="ACH321" s="117"/>
      <c r="ACI321" s="117"/>
      <c r="ACJ321" s="117"/>
      <c r="ACK321" s="117"/>
      <c r="ACL321" s="117"/>
      <c r="ACM321" s="117"/>
      <c r="ACN321" s="117"/>
      <c r="ACO321" s="117"/>
      <c r="ACP321" s="117"/>
      <c r="ACQ321" s="117"/>
      <c r="ACR321" s="117"/>
      <c r="ACS321" s="117"/>
      <c r="ACT321" s="117"/>
      <c r="ACU321" s="117"/>
      <c r="ACV321" s="117"/>
      <c r="ACW321" s="117"/>
      <c r="ACX321" s="117"/>
      <c r="ACY321" s="117"/>
      <c r="ACZ321" s="117"/>
      <c r="ADA321" s="117"/>
      <c r="ADB321" s="117"/>
      <c r="ADC321" s="117"/>
      <c r="ADD321" s="117"/>
      <c r="ADE321" s="117"/>
      <c r="ADF321" s="117"/>
      <c r="ADG321" s="117"/>
      <c r="ADH321" s="117"/>
      <c r="ADI321" s="117"/>
      <c r="ADJ321" s="117"/>
      <c r="ADK321" s="117"/>
      <c r="ADL321" s="117"/>
      <c r="ADM321" s="117"/>
      <c r="ADN321" s="117"/>
      <c r="ADO321" s="117"/>
      <c r="ADP321" s="117"/>
      <c r="ADQ321" s="117"/>
      <c r="ADR321" s="117"/>
      <c r="ADS321" s="117"/>
      <c r="ADT321" s="117"/>
      <c r="ADU321" s="117"/>
      <c r="ADV321" s="117"/>
      <c r="ADW321" s="117"/>
      <c r="ADX321" s="117"/>
      <c r="ADY321" s="117"/>
      <c r="ADZ321" s="117"/>
      <c r="AEA321" s="117"/>
      <c r="AEB321" s="117"/>
      <c r="AEC321" s="117"/>
      <c r="AED321" s="117"/>
      <c r="AEE321" s="117"/>
      <c r="AEF321" s="117"/>
      <c r="AEG321" s="117"/>
      <c r="AEH321" s="117"/>
      <c r="AEI321" s="117"/>
      <c r="AEJ321" s="117"/>
      <c r="AEK321" s="117"/>
      <c r="AEL321" s="117"/>
      <c r="AEM321" s="117"/>
      <c r="AEN321" s="117"/>
      <c r="AEO321" s="117"/>
      <c r="AEP321" s="117"/>
      <c r="AEQ321" s="117"/>
      <c r="AER321" s="117"/>
      <c r="AES321" s="117"/>
      <c r="AET321" s="117"/>
      <c r="AEU321" s="117"/>
      <c r="AEV321" s="117"/>
      <c r="AEW321" s="117"/>
      <c r="AEX321" s="117"/>
      <c r="AEY321" s="117"/>
      <c r="AEZ321" s="117"/>
      <c r="AFA321" s="117"/>
      <c r="AFB321" s="117"/>
      <c r="AFC321" s="117"/>
      <c r="AFD321" s="117"/>
      <c r="AFE321" s="117"/>
      <c r="AFF321" s="117"/>
      <c r="AFG321" s="117"/>
      <c r="AFH321" s="117"/>
      <c r="AFI321" s="117"/>
      <c r="AFJ321" s="117"/>
      <c r="AFK321" s="117"/>
      <c r="AFL321" s="117"/>
      <c r="AFM321" s="117"/>
      <c r="AFN321" s="117"/>
      <c r="AFO321" s="117"/>
      <c r="AFP321" s="117"/>
      <c r="AFQ321" s="117"/>
      <c r="AFR321" s="117"/>
      <c r="AFS321" s="117"/>
      <c r="AFT321" s="117"/>
      <c r="AFU321" s="117"/>
      <c r="AFV321" s="117"/>
      <c r="AFW321" s="117"/>
      <c r="AFX321" s="117"/>
      <c r="AFY321" s="117"/>
      <c r="AFZ321" s="117"/>
      <c r="AGA321" s="117"/>
      <c r="AGB321" s="117"/>
      <c r="AGC321" s="117"/>
      <c r="AGD321" s="117"/>
      <c r="AGE321" s="117"/>
      <c r="AGF321" s="117"/>
      <c r="AGG321" s="117"/>
      <c r="AGH321" s="117"/>
      <c r="AGI321" s="117"/>
      <c r="AGJ321" s="117"/>
      <c r="AGK321" s="117"/>
      <c r="AGL321" s="117"/>
      <c r="AGM321" s="117"/>
      <c r="AGN321" s="117"/>
      <c r="AGO321" s="117"/>
      <c r="AGP321" s="117"/>
      <c r="AGQ321" s="117"/>
      <c r="AGR321" s="117"/>
      <c r="AGS321" s="117"/>
      <c r="AGT321" s="117"/>
      <c r="AGU321" s="117"/>
      <c r="AGV321" s="117"/>
      <c r="AGW321" s="117"/>
      <c r="AGX321" s="117"/>
      <c r="AGY321" s="117"/>
      <c r="AGZ321" s="117"/>
      <c r="AHA321" s="117"/>
      <c r="AHB321" s="117"/>
      <c r="AHC321" s="117"/>
      <c r="AHD321" s="117"/>
      <c r="AHE321" s="117"/>
      <c r="AHF321" s="117"/>
      <c r="AHG321" s="117"/>
      <c r="AHH321" s="117"/>
      <c r="AHI321" s="117"/>
      <c r="AHJ321" s="117"/>
      <c r="AHK321" s="117"/>
      <c r="AHL321" s="117"/>
      <c r="AHM321" s="117"/>
      <c r="AHN321" s="117"/>
      <c r="AHO321" s="117"/>
      <c r="AHP321" s="117"/>
      <c r="AHQ321" s="117"/>
      <c r="AHR321" s="117"/>
      <c r="AHS321" s="117"/>
      <c r="AHT321" s="117"/>
      <c r="AHU321" s="117"/>
      <c r="AHV321" s="117"/>
      <c r="AHW321" s="117"/>
      <c r="AHX321" s="117"/>
      <c r="AHY321" s="117"/>
      <c r="AHZ321" s="117"/>
      <c r="AIA321" s="117"/>
      <c r="AIB321" s="117"/>
      <c r="AIC321" s="117"/>
      <c r="AID321" s="117"/>
      <c r="AIE321" s="117"/>
      <c r="AIF321" s="117"/>
      <c r="AIG321" s="117"/>
      <c r="AIH321" s="117"/>
      <c r="AII321" s="117"/>
      <c r="AIJ321" s="117"/>
      <c r="AIK321" s="117"/>
      <c r="AIL321" s="117"/>
      <c r="AIM321" s="117"/>
      <c r="AIN321" s="117"/>
      <c r="AIO321" s="117"/>
      <c r="AIP321" s="117"/>
      <c r="AIQ321" s="117"/>
      <c r="AIR321" s="117"/>
      <c r="AIS321" s="117"/>
      <c r="AIT321" s="117"/>
      <c r="AIU321" s="117"/>
      <c r="AIV321" s="117"/>
      <c r="AIW321" s="117"/>
      <c r="AIX321" s="117"/>
      <c r="AIY321" s="117"/>
      <c r="AIZ321" s="117"/>
      <c r="AJA321" s="117"/>
      <c r="AJB321" s="117"/>
      <c r="AJC321" s="117"/>
      <c r="AJD321" s="117"/>
      <c r="AJE321" s="117"/>
      <c r="AJF321" s="117"/>
      <c r="AJG321" s="117"/>
      <c r="AJH321" s="117"/>
      <c r="AJI321" s="117"/>
      <c r="AJJ321" s="117"/>
      <c r="AJK321" s="117"/>
      <c r="AJL321" s="117"/>
      <c r="AJM321" s="117"/>
      <c r="AJN321" s="117"/>
      <c r="AJO321" s="117"/>
      <c r="AJP321" s="117"/>
      <c r="AJQ321" s="117"/>
      <c r="AJR321" s="117"/>
      <c r="AJS321" s="117"/>
      <c r="AJT321" s="117"/>
      <c r="AJU321" s="117"/>
      <c r="AJV321" s="117"/>
      <c r="AJW321" s="117"/>
      <c r="AJX321" s="117"/>
      <c r="AJY321" s="117"/>
      <c r="AJZ321" s="117"/>
      <c r="AKA321" s="117"/>
      <c r="AKB321" s="117"/>
      <c r="AKC321" s="117"/>
      <c r="AKD321" s="117"/>
      <c r="AKE321" s="117"/>
      <c r="AKF321" s="117"/>
      <c r="AKG321" s="117"/>
      <c r="AKH321" s="117"/>
      <c r="AKI321" s="117"/>
      <c r="AKJ321" s="117"/>
      <c r="AKK321" s="117"/>
      <c r="AKL321" s="117"/>
      <c r="AKM321" s="117"/>
      <c r="AKN321" s="117"/>
      <c r="AKO321" s="117"/>
      <c r="AKP321" s="117"/>
      <c r="AKQ321" s="117"/>
      <c r="AKR321" s="117"/>
      <c r="AKS321" s="117"/>
      <c r="AKT321" s="117"/>
      <c r="AKU321" s="117"/>
      <c r="AKV321" s="117"/>
      <c r="AKW321" s="117"/>
      <c r="AKX321" s="117"/>
      <c r="AKY321" s="117"/>
      <c r="AKZ321" s="117"/>
      <c r="ALA321" s="117"/>
      <c r="ALB321" s="117"/>
      <c r="ALC321" s="117"/>
      <c r="ALD321" s="117"/>
      <c r="ALE321" s="117"/>
      <c r="ALF321" s="117"/>
      <c r="ALG321" s="117"/>
      <c r="ALH321" s="117"/>
      <c r="ALI321" s="117"/>
      <c r="ALJ321" s="117"/>
      <c r="ALK321" s="117"/>
      <c r="ALL321" s="117"/>
      <c r="ALM321" s="117"/>
      <c r="ALN321" s="117"/>
      <c r="ALO321" s="117"/>
      <c r="ALP321" s="117"/>
      <c r="ALQ321" s="117"/>
      <c r="ALR321" s="117"/>
      <c r="ALS321" s="117"/>
      <c r="ALT321" s="117"/>
      <c r="ALU321" s="117"/>
      <c r="ALV321" s="117"/>
      <c r="ALW321" s="117"/>
      <c r="ALX321" s="117"/>
      <c r="ALY321" s="117"/>
      <c r="ALZ321" s="117"/>
      <c r="AMA321" s="117"/>
      <c r="AMB321" s="117"/>
      <c r="AMC321" s="117"/>
      <c r="AMD321" s="117"/>
      <c r="AME321" s="117"/>
    </row>
    <row r="322" spans="1:1019" s="191" customFormat="1" ht="11.25" customHeight="1">
      <c r="A322" s="157">
        <v>320</v>
      </c>
      <c r="B322" s="157" t="s">
        <v>143</v>
      </c>
      <c r="C322" s="140"/>
      <c r="D322" s="190">
        <v>1</v>
      </c>
      <c r="E322" s="190">
        <f t="shared" si="47"/>
        <v>26</v>
      </c>
      <c r="F322" s="173" t="s">
        <v>524</v>
      </c>
      <c r="G322" s="172">
        <f t="shared" si="58"/>
        <v>2480</v>
      </c>
      <c r="H322" s="143">
        <f>INT((G322*Valores!$C$2*100)+0.5)/100</f>
        <v>23162.46</v>
      </c>
      <c r="I322" s="161">
        <v>0</v>
      </c>
      <c r="J322" s="145">
        <f>INT((I322*Valores!$C$2*100)+0.5)/100</f>
        <v>0</v>
      </c>
      <c r="K322" s="160">
        <v>0</v>
      </c>
      <c r="L322" s="145">
        <f>INT((K322*Valores!$C$2*100)+0.5)/100</f>
        <v>0</v>
      </c>
      <c r="M322" s="158">
        <v>0</v>
      </c>
      <c r="N322" s="145">
        <f>INT((M322*Valores!$C$2*100)+0.5)/100</f>
        <v>0</v>
      </c>
      <c r="O322" s="145">
        <f t="shared" si="48"/>
        <v>3638.169</v>
      </c>
      <c r="P322" s="145">
        <f t="shared" si="49"/>
        <v>0</v>
      </c>
      <c r="Q322" s="159">
        <v>0</v>
      </c>
      <c r="R322" s="159">
        <v>0</v>
      </c>
      <c r="S322" s="145">
        <v>0</v>
      </c>
      <c r="T322" s="148">
        <f>IF($H$5="NO",IF(Valores!$C$46*D322&gt;Valores!$C$44,Valores!$C$44,Valores!$C$46*D322),IF(Valores!$C$46*D322&gt;Valores!$C$44,Valores!$C$44,Valores!$C$46*D322)/2)*16</f>
        <v>1092</v>
      </c>
      <c r="U322" s="159">
        <v>0</v>
      </c>
      <c r="V322" s="145">
        <f t="shared" si="57"/>
        <v>0</v>
      </c>
      <c r="W322" s="145">
        <v>0</v>
      </c>
      <c r="X322" s="145">
        <v>0</v>
      </c>
      <c r="Y322" s="165">
        <v>0</v>
      </c>
      <c r="Z322" s="145">
        <v>0</v>
      </c>
      <c r="AA322" s="145">
        <v>0</v>
      </c>
      <c r="AB322" s="148"/>
      <c r="AC322" s="150">
        <v>0</v>
      </c>
      <c r="AD322" s="145">
        <f t="shared" si="51"/>
        <v>0</v>
      </c>
      <c r="AE322" s="145">
        <v>0</v>
      </c>
      <c r="AF322" s="149">
        <v>0</v>
      </c>
      <c r="AG322" s="145">
        <f>INT(((AF322*Valores!$C$2)*100)+0.5)/100</f>
        <v>0</v>
      </c>
      <c r="AH322" s="145"/>
      <c r="AI322" s="145"/>
      <c r="AJ322" s="151">
        <f t="shared" si="52"/>
        <v>27892.629</v>
      </c>
      <c r="AK322" s="171"/>
      <c r="AL322" s="148">
        <f>Valores!$C$11+AL321</f>
        <v>0</v>
      </c>
      <c r="AM322" s="148">
        <v>0</v>
      </c>
      <c r="AN322" s="148"/>
      <c r="AO322" s="150">
        <v>0</v>
      </c>
      <c r="AP322" s="152">
        <f t="shared" si="50"/>
        <v>0</v>
      </c>
      <c r="AQ322" s="154">
        <f>AJ322*-Valores!$C$68</f>
        <v>-3068.18919</v>
      </c>
      <c r="AR322" s="154">
        <f>AJ322*-Valores!$C$69</f>
        <v>0</v>
      </c>
      <c r="AS322" s="147">
        <f>AJ322*-Valores!$C$70</f>
        <v>-1255.168305</v>
      </c>
      <c r="AT322" s="147">
        <v>-159.43</v>
      </c>
      <c r="AU322" s="147">
        <f t="shared" si="53"/>
        <v>-53.83</v>
      </c>
      <c r="AV322" s="151">
        <f t="shared" si="54"/>
        <v>23356.011505</v>
      </c>
      <c r="AW322" s="155"/>
      <c r="AX322" s="155"/>
      <c r="AY322" s="140" t="s">
        <v>4</v>
      </c>
      <c r="AZ322" s="117"/>
      <c r="BA322" s="117"/>
      <c r="BB322" s="117"/>
      <c r="BC322" s="117"/>
      <c r="BD322" s="117"/>
      <c r="BE322" s="117"/>
      <c r="BF322" s="117"/>
      <c r="BG322" s="117"/>
      <c r="BH322" s="117"/>
      <c r="BI322" s="117"/>
      <c r="BJ322" s="117"/>
      <c r="BK322" s="117"/>
      <c r="BL322" s="117"/>
      <c r="BM322" s="117"/>
      <c r="BN322" s="117"/>
      <c r="BO322" s="117"/>
      <c r="BP322" s="117"/>
      <c r="BQ322" s="117"/>
      <c r="BR322" s="117"/>
      <c r="BS322" s="117"/>
      <c r="BT322" s="117"/>
      <c r="BU322" s="117"/>
      <c r="BV322" s="117"/>
      <c r="BW322" s="117"/>
      <c r="BX322" s="117"/>
      <c r="BY322" s="117"/>
      <c r="BZ322" s="117"/>
      <c r="CA322" s="117"/>
      <c r="CB322" s="117"/>
      <c r="CC322" s="117"/>
      <c r="CD322" s="117"/>
      <c r="CE322" s="117"/>
      <c r="CF322" s="117"/>
      <c r="CG322" s="117"/>
      <c r="CH322" s="117"/>
      <c r="CI322" s="117"/>
      <c r="CJ322" s="117"/>
      <c r="CK322" s="117"/>
      <c r="CL322" s="117"/>
      <c r="CM322" s="117"/>
      <c r="CN322" s="117"/>
      <c r="CO322" s="117"/>
      <c r="CP322" s="117"/>
      <c r="CQ322" s="117"/>
      <c r="CR322" s="117"/>
      <c r="CS322" s="117"/>
      <c r="CT322" s="117"/>
      <c r="CU322" s="117"/>
      <c r="CV322" s="117"/>
      <c r="CW322" s="117"/>
      <c r="CX322" s="117"/>
      <c r="CY322" s="117"/>
      <c r="CZ322" s="117"/>
      <c r="DA322" s="117"/>
      <c r="DB322" s="117"/>
      <c r="DC322" s="117"/>
      <c r="DD322" s="117"/>
      <c r="DE322" s="117"/>
      <c r="DF322" s="117"/>
      <c r="DG322" s="117"/>
      <c r="DH322" s="117"/>
      <c r="DI322" s="117"/>
      <c r="DJ322" s="117"/>
      <c r="DK322" s="117"/>
      <c r="DL322" s="117"/>
      <c r="DM322" s="117"/>
      <c r="DN322" s="117"/>
      <c r="DO322" s="117"/>
      <c r="DP322" s="117"/>
      <c r="DQ322" s="117"/>
      <c r="DR322" s="117"/>
      <c r="DS322" s="117"/>
      <c r="DT322" s="117"/>
      <c r="DU322" s="117"/>
      <c r="DV322" s="117"/>
      <c r="DW322" s="117"/>
      <c r="DX322" s="117"/>
      <c r="DY322" s="117"/>
      <c r="DZ322" s="117"/>
      <c r="EA322" s="117"/>
      <c r="EB322" s="117"/>
      <c r="EC322" s="117"/>
      <c r="ED322" s="117"/>
      <c r="EE322" s="117"/>
      <c r="EF322" s="117"/>
      <c r="EG322" s="117"/>
      <c r="EH322" s="117"/>
      <c r="EI322" s="117"/>
      <c r="EJ322" s="117"/>
      <c r="EK322" s="117"/>
      <c r="EL322" s="117"/>
      <c r="EM322" s="117"/>
      <c r="EN322" s="117"/>
      <c r="EO322" s="117"/>
      <c r="EP322" s="117"/>
      <c r="EQ322" s="117"/>
      <c r="ER322" s="117"/>
      <c r="ES322" s="117"/>
      <c r="ET322" s="117"/>
      <c r="EU322" s="117"/>
      <c r="EV322" s="117"/>
      <c r="EW322" s="117"/>
      <c r="EX322" s="117"/>
      <c r="EY322" s="117"/>
      <c r="EZ322" s="117"/>
      <c r="FA322" s="117"/>
      <c r="FB322" s="117"/>
      <c r="FC322" s="117"/>
      <c r="FD322" s="117"/>
      <c r="FE322" s="117"/>
      <c r="FF322" s="117"/>
      <c r="FG322" s="117"/>
      <c r="FH322" s="117"/>
      <c r="FI322" s="117"/>
      <c r="FJ322" s="117"/>
      <c r="FK322" s="117"/>
      <c r="FL322" s="117"/>
      <c r="FM322" s="117"/>
      <c r="FN322" s="117"/>
      <c r="FO322" s="117"/>
      <c r="FP322" s="117"/>
      <c r="FQ322" s="117"/>
      <c r="FR322" s="117"/>
      <c r="FS322" s="117"/>
      <c r="FT322" s="117"/>
      <c r="FU322" s="117"/>
      <c r="FV322" s="117"/>
      <c r="FW322" s="117"/>
      <c r="FX322" s="117"/>
      <c r="FY322" s="117"/>
      <c r="FZ322" s="117"/>
      <c r="GA322" s="117"/>
      <c r="GB322" s="117"/>
      <c r="GC322" s="117"/>
      <c r="GD322" s="117"/>
      <c r="GE322" s="117"/>
      <c r="GF322" s="117"/>
      <c r="GG322" s="117"/>
      <c r="GH322" s="117"/>
      <c r="GI322" s="117"/>
      <c r="GJ322" s="117"/>
      <c r="GK322" s="117"/>
      <c r="GL322" s="117"/>
      <c r="GM322" s="117"/>
      <c r="GN322" s="117"/>
      <c r="GO322" s="117"/>
      <c r="GP322" s="117"/>
      <c r="GQ322" s="117"/>
      <c r="GR322" s="117"/>
      <c r="GS322" s="117"/>
      <c r="GT322" s="117"/>
      <c r="GU322" s="117"/>
      <c r="GV322" s="117"/>
      <c r="GW322" s="117"/>
      <c r="GX322" s="117"/>
      <c r="GY322" s="117"/>
      <c r="GZ322" s="117"/>
      <c r="HA322" s="117"/>
      <c r="HB322" s="117"/>
      <c r="HC322" s="117"/>
      <c r="HD322" s="117"/>
      <c r="HE322" s="117"/>
      <c r="HF322" s="117"/>
      <c r="HG322" s="117"/>
      <c r="HH322" s="117"/>
      <c r="HI322" s="117"/>
      <c r="HJ322" s="117"/>
      <c r="HK322" s="117"/>
      <c r="HL322" s="117"/>
      <c r="HM322" s="117"/>
      <c r="HN322" s="117"/>
      <c r="HO322" s="117"/>
      <c r="HP322" s="117"/>
      <c r="HQ322" s="117"/>
      <c r="HR322" s="117"/>
      <c r="HS322" s="117"/>
      <c r="HT322" s="117"/>
      <c r="HU322" s="117"/>
      <c r="HV322" s="117"/>
      <c r="HW322" s="117"/>
      <c r="HX322" s="117"/>
      <c r="HY322" s="117"/>
      <c r="HZ322" s="117"/>
      <c r="IA322" s="117"/>
      <c r="IB322" s="117"/>
      <c r="IC322" s="117"/>
      <c r="ID322" s="117"/>
      <c r="IE322" s="117"/>
      <c r="IF322" s="117"/>
      <c r="IG322" s="117"/>
      <c r="IH322" s="117"/>
      <c r="II322" s="117"/>
      <c r="IJ322" s="117"/>
      <c r="IK322" s="117"/>
      <c r="IL322" s="117"/>
      <c r="IM322" s="117"/>
      <c r="IN322" s="117"/>
      <c r="IO322" s="117"/>
      <c r="IP322" s="117"/>
      <c r="IQ322" s="117"/>
      <c r="IR322" s="117"/>
      <c r="IS322" s="117"/>
      <c r="IT322" s="117"/>
      <c r="IU322" s="117"/>
      <c r="IV322" s="117"/>
      <c r="IW322" s="117"/>
      <c r="IX322" s="117"/>
      <c r="IY322" s="117"/>
      <c r="IZ322" s="117"/>
      <c r="JA322" s="117"/>
      <c r="JB322" s="117"/>
      <c r="JC322" s="117"/>
      <c r="JD322" s="117"/>
      <c r="JE322" s="117"/>
      <c r="JF322" s="117"/>
      <c r="JG322" s="117"/>
      <c r="JH322" s="117"/>
      <c r="JI322" s="117"/>
      <c r="JJ322" s="117"/>
      <c r="JK322" s="117"/>
      <c r="JL322" s="117"/>
      <c r="JM322" s="117"/>
      <c r="JN322" s="117"/>
      <c r="JO322" s="117"/>
      <c r="JP322" s="117"/>
      <c r="JQ322" s="117"/>
      <c r="JR322" s="117"/>
      <c r="JS322" s="117"/>
      <c r="JT322" s="117"/>
      <c r="JU322" s="117"/>
      <c r="JV322" s="117"/>
      <c r="JW322" s="117"/>
      <c r="JX322" s="117"/>
      <c r="JY322" s="117"/>
      <c r="JZ322" s="117"/>
      <c r="KA322" s="117"/>
      <c r="KB322" s="117"/>
      <c r="KC322" s="117"/>
      <c r="KD322" s="117"/>
      <c r="KE322" s="117"/>
      <c r="KF322" s="117"/>
      <c r="KG322" s="117"/>
      <c r="KH322" s="117"/>
      <c r="KI322" s="117"/>
      <c r="KJ322" s="117"/>
      <c r="KK322" s="117"/>
      <c r="KL322" s="117"/>
      <c r="KM322" s="117"/>
      <c r="KN322" s="117"/>
      <c r="KO322" s="117"/>
      <c r="KP322" s="117"/>
      <c r="KQ322" s="117"/>
      <c r="KR322" s="117"/>
      <c r="KS322" s="117"/>
      <c r="KT322" s="117"/>
      <c r="KU322" s="117"/>
      <c r="KV322" s="117"/>
      <c r="KW322" s="117"/>
      <c r="KX322" s="117"/>
      <c r="KY322" s="117"/>
      <c r="KZ322" s="117"/>
      <c r="LA322" s="117"/>
      <c r="LB322" s="117"/>
      <c r="LC322" s="117"/>
      <c r="LD322" s="117"/>
      <c r="LE322" s="117"/>
      <c r="LF322" s="117"/>
      <c r="LG322" s="117"/>
      <c r="LH322" s="117"/>
      <c r="LI322" s="117"/>
      <c r="LJ322" s="117"/>
      <c r="LK322" s="117"/>
      <c r="LL322" s="117"/>
      <c r="LM322" s="117"/>
      <c r="LN322" s="117"/>
      <c r="LO322" s="117"/>
      <c r="LP322" s="117"/>
      <c r="LQ322" s="117"/>
      <c r="LR322" s="117"/>
      <c r="LS322" s="117"/>
      <c r="LT322" s="117"/>
      <c r="LU322" s="117"/>
      <c r="LV322" s="117"/>
      <c r="LW322" s="117"/>
      <c r="LX322" s="117"/>
      <c r="LY322" s="117"/>
      <c r="LZ322" s="117"/>
      <c r="MA322" s="117"/>
      <c r="MB322" s="117"/>
      <c r="MC322" s="117"/>
      <c r="MD322" s="117"/>
      <c r="ME322" s="117"/>
      <c r="MF322" s="117"/>
      <c r="MG322" s="117"/>
      <c r="MH322" s="117"/>
      <c r="MI322" s="117"/>
      <c r="MJ322" s="117"/>
      <c r="MK322" s="117"/>
      <c r="ML322" s="117"/>
      <c r="MM322" s="117"/>
      <c r="MN322" s="117"/>
      <c r="MO322" s="117"/>
      <c r="MP322" s="117"/>
      <c r="MQ322" s="117"/>
      <c r="MR322" s="117"/>
      <c r="MS322" s="117"/>
      <c r="MT322" s="117"/>
      <c r="MU322" s="117"/>
      <c r="MV322" s="117"/>
      <c r="MW322" s="117"/>
      <c r="MX322" s="117"/>
      <c r="MY322" s="117"/>
      <c r="MZ322" s="117"/>
      <c r="NA322" s="117"/>
      <c r="NB322" s="117"/>
      <c r="NC322" s="117"/>
      <c r="ND322" s="117"/>
      <c r="NE322" s="117"/>
      <c r="NF322" s="117"/>
      <c r="NG322" s="117"/>
      <c r="NH322" s="117"/>
      <c r="NI322" s="117"/>
      <c r="NJ322" s="117"/>
      <c r="NK322" s="117"/>
      <c r="NL322" s="117"/>
      <c r="NM322" s="117"/>
      <c r="NN322" s="117"/>
      <c r="NO322" s="117"/>
      <c r="NP322" s="117"/>
      <c r="NQ322" s="117"/>
      <c r="NR322" s="117"/>
      <c r="NS322" s="117"/>
      <c r="NT322" s="117"/>
      <c r="NU322" s="117"/>
      <c r="NV322" s="117"/>
      <c r="NW322" s="117"/>
      <c r="NX322" s="117"/>
      <c r="NY322" s="117"/>
      <c r="NZ322" s="117"/>
      <c r="OA322" s="117"/>
      <c r="OB322" s="117"/>
      <c r="OC322" s="117"/>
      <c r="OD322" s="117"/>
      <c r="OE322" s="117"/>
      <c r="OF322" s="117"/>
      <c r="OG322" s="117"/>
      <c r="OH322" s="117"/>
      <c r="OI322" s="117"/>
      <c r="OJ322" s="117"/>
      <c r="OK322" s="117"/>
      <c r="OL322" s="117"/>
      <c r="OM322" s="117"/>
      <c r="ON322" s="117"/>
      <c r="OO322" s="117"/>
      <c r="OP322" s="117"/>
      <c r="OQ322" s="117"/>
      <c r="OR322" s="117"/>
      <c r="OS322" s="117"/>
      <c r="OT322" s="117"/>
      <c r="OU322" s="117"/>
      <c r="OV322" s="117"/>
      <c r="OW322" s="117"/>
      <c r="OX322" s="117"/>
      <c r="OY322" s="117"/>
      <c r="OZ322" s="117"/>
      <c r="PA322" s="117"/>
      <c r="PB322" s="117"/>
      <c r="PC322" s="117"/>
      <c r="PD322" s="117"/>
      <c r="PE322" s="117"/>
      <c r="PF322" s="117"/>
      <c r="PG322" s="117"/>
      <c r="PH322" s="117"/>
      <c r="PI322" s="117"/>
      <c r="PJ322" s="117"/>
      <c r="PK322" s="117"/>
      <c r="PL322" s="117"/>
      <c r="PM322" s="117"/>
      <c r="PN322" s="117"/>
      <c r="PO322" s="117"/>
      <c r="PP322" s="117"/>
      <c r="PQ322" s="117"/>
      <c r="PR322" s="117"/>
      <c r="PS322" s="117"/>
      <c r="PT322" s="117"/>
      <c r="PU322" s="117"/>
      <c r="PV322" s="117"/>
      <c r="PW322" s="117"/>
      <c r="PX322" s="117"/>
      <c r="PY322" s="117"/>
      <c r="PZ322" s="117"/>
      <c r="QA322" s="117"/>
      <c r="QB322" s="117"/>
      <c r="QC322" s="117"/>
      <c r="QD322" s="117"/>
      <c r="QE322" s="117"/>
      <c r="QF322" s="117"/>
      <c r="QG322" s="117"/>
      <c r="QH322" s="117"/>
      <c r="QI322" s="117"/>
      <c r="QJ322" s="117"/>
      <c r="QK322" s="117"/>
      <c r="QL322" s="117"/>
      <c r="QM322" s="117"/>
      <c r="QN322" s="117"/>
      <c r="QO322" s="117"/>
      <c r="QP322" s="117"/>
      <c r="QQ322" s="117"/>
      <c r="QR322" s="117"/>
      <c r="QS322" s="117"/>
      <c r="QT322" s="117"/>
      <c r="QU322" s="117"/>
      <c r="QV322" s="117"/>
      <c r="QW322" s="117"/>
      <c r="QX322" s="117"/>
      <c r="QY322" s="117"/>
      <c r="QZ322" s="117"/>
      <c r="RA322" s="117"/>
      <c r="RB322" s="117"/>
      <c r="RC322" s="117"/>
      <c r="RD322" s="117"/>
      <c r="RE322" s="117"/>
      <c r="RF322" s="117"/>
      <c r="RG322" s="117"/>
      <c r="RH322" s="117"/>
      <c r="RI322" s="117"/>
      <c r="RJ322" s="117"/>
      <c r="RK322" s="117"/>
      <c r="RL322" s="117"/>
      <c r="RM322" s="117"/>
      <c r="RN322" s="117"/>
      <c r="RO322" s="117"/>
      <c r="RP322" s="117"/>
      <c r="RQ322" s="117"/>
      <c r="RR322" s="117"/>
      <c r="RS322" s="117"/>
      <c r="RT322" s="117"/>
      <c r="RU322" s="117"/>
      <c r="RV322" s="117"/>
      <c r="RW322" s="117"/>
      <c r="RX322" s="117"/>
      <c r="RY322" s="117"/>
      <c r="RZ322" s="117"/>
      <c r="SA322" s="117"/>
      <c r="SB322" s="117"/>
      <c r="SC322" s="117"/>
      <c r="SD322" s="117"/>
      <c r="SE322" s="117"/>
      <c r="SF322" s="117"/>
      <c r="SG322" s="117"/>
      <c r="SH322" s="117"/>
      <c r="SI322" s="117"/>
      <c r="SJ322" s="117"/>
      <c r="SK322" s="117"/>
      <c r="SL322" s="117"/>
      <c r="SM322" s="117"/>
      <c r="SN322" s="117"/>
      <c r="SO322" s="117"/>
      <c r="SP322" s="117"/>
      <c r="SQ322" s="117"/>
      <c r="SR322" s="117"/>
      <c r="SS322" s="117"/>
      <c r="ST322" s="117"/>
      <c r="SU322" s="117"/>
      <c r="SV322" s="117"/>
      <c r="SW322" s="117"/>
      <c r="SX322" s="117"/>
      <c r="SY322" s="117"/>
      <c r="SZ322" s="117"/>
      <c r="TA322" s="117"/>
      <c r="TB322" s="117"/>
      <c r="TC322" s="117"/>
      <c r="TD322" s="117"/>
      <c r="TE322" s="117"/>
      <c r="TF322" s="117"/>
      <c r="TG322" s="117"/>
      <c r="TH322" s="117"/>
      <c r="TI322" s="117"/>
      <c r="TJ322" s="117"/>
      <c r="TK322" s="117"/>
      <c r="TL322" s="117"/>
      <c r="TM322" s="117"/>
      <c r="TN322" s="117"/>
      <c r="TO322" s="117"/>
      <c r="TP322" s="117"/>
      <c r="TQ322" s="117"/>
      <c r="TR322" s="117"/>
      <c r="TS322" s="117"/>
      <c r="TT322" s="117"/>
      <c r="TU322" s="117"/>
      <c r="TV322" s="117"/>
      <c r="TW322" s="117"/>
      <c r="TX322" s="117"/>
      <c r="TY322" s="117"/>
      <c r="TZ322" s="117"/>
      <c r="UA322" s="117"/>
      <c r="UB322" s="117"/>
      <c r="UC322" s="117"/>
      <c r="UD322" s="117"/>
      <c r="UE322" s="117"/>
      <c r="UF322" s="117"/>
      <c r="UG322" s="117"/>
      <c r="UH322" s="117"/>
      <c r="UI322" s="117"/>
      <c r="UJ322" s="117"/>
      <c r="UK322" s="117"/>
      <c r="UL322" s="117"/>
      <c r="UM322" s="117"/>
      <c r="UN322" s="117"/>
      <c r="UO322" s="117"/>
      <c r="UP322" s="117"/>
      <c r="UQ322" s="117"/>
      <c r="UR322" s="117"/>
      <c r="US322" s="117"/>
      <c r="UT322" s="117"/>
      <c r="UU322" s="117"/>
      <c r="UV322" s="117"/>
      <c r="UW322" s="117"/>
      <c r="UX322" s="117"/>
      <c r="UY322" s="117"/>
      <c r="UZ322" s="117"/>
      <c r="VA322" s="117"/>
      <c r="VB322" s="117"/>
      <c r="VC322" s="117"/>
      <c r="VD322" s="117"/>
      <c r="VE322" s="117"/>
      <c r="VF322" s="117"/>
      <c r="VG322" s="117"/>
      <c r="VH322" s="117"/>
      <c r="VI322" s="117"/>
      <c r="VJ322" s="117"/>
      <c r="VK322" s="117"/>
      <c r="VL322" s="117"/>
      <c r="VM322" s="117"/>
      <c r="VN322" s="117"/>
      <c r="VO322" s="117"/>
      <c r="VP322" s="117"/>
      <c r="VQ322" s="117"/>
      <c r="VR322" s="117"/>
      <c r="VS322" s="117"/>
      <c r="VT322" s="117"/>
      <c r="VU322" s="117"/>
      <c r="VV322" s="117"/>
      <c r="VW322" s="117"/>
      <c r="VX322" s="117"/>
      <c r="VY322" s="117"/>
      <c r="VZ322" s="117"/>
      <c r="WA322" s="117"/>
      <c r="WB322" s="117"/>
      <c r="WC322" s="117"/>
      <c r="WD322" s="117"/>
      <c r="WE322" s="117"/>
      <c r="WF322" s="117"/>
      <c r="WG322" s="117"/>
      <c r="WH322" s="117"/>
      <c r="WI322" s="117"/>
      <c r="WJ322" s="117"/>
      <c r="WK322" s="117"/>
      <c r="WL322" s="117"/>
      <c r="WM322" s="117"/>
      <c r="WN322" s="117"/>
      <c r="WO322" s="117"/>
      <c r="WP322" s="117"/>
      <c r="WQ322" s="117"/>
      <c r="WR322" s="117"/>
      <c r="WS322" s="117"/>
      <c r="WT322" s="117"/>
      <c r="WU322" s="117"/>
      <c r="WV322" s="117"/>
      <c r="WW322" s="117"/>
      <c r="WX322" s="117"/>
      <c r="WY322" s="117"/>
      <c r="WZ322" s="117"/>
      <c r="XA322" s="117"/>
      <c r="XB322" s="117"/>
      <c r="XC322" s="117"/>
      <c r="XD322" s="117"/>
      <c r="XE322" s="117"/>
      <c r="XF322" s="117"/>
      <c r="XG322" s="117"/>
      <c r="XH322" s="117"/>
      <c r="XI322" s="117"/>
      <c r="XJ322" s="117"/>
      <c r="XK322" s="117"/>
      <c r="XL322" s="117"/>
      <c r="XM322" s="117"/>
      <c r="XN322" s="117"/>
      <c r="XO322" s="117"/>
      <c r="XP322" s="117"/>
      <c r="XQ322" s="117"/>
      <c r="XR322" s="117"/>
      <c r="XS322" s="117"/>
      <c r="XT322" s="117"/>
      <c r="XU322" s="117"/>
      <c r="XV322" s="117"/>
      <c r="XW322" s="117"/>
      <c r="XX322" s="117"/>
      <c r="XY322" s="117"/>
      <c r="XZ322" s="117"/>
      <c r="YA322" s="117"/>
      <c r="YB322" s="117"/>
      <c r="YC322" s="117"/>
      <c r="YD322" s="117"/>
      <c r="YE322" s="117"/>
      <c r="YF322" s="117"/>
      <c r="YG322" s="117"/>
      <c r="YH322" s="117"/>
      <c r="YI322" s="117"/>
      <c r="YJ322" s="117"/>
      <c r="YK322" s="117"/>
      <c r="YL322" s="117"/>
      <c r="YM322" s="117"/>
      <c r="YN322" s="117"/>
      <c r="YO322" s="117"/>
      <c r="YP322" s="117"/>
      <c r="YQ322" s="117"/>
      <c r="YR322" s="117"/>
      <c r="YS322" s="117"/>
      <c r="YT322" s="117"/>
      <c r="YU322" s="117"/>
      <c r="YV322" s="117"/>
      <c r="YW322" s="117"/>
      <c r="YX322" s="117"/>
      <c r="YY322" s="117"/>
      <c r="YZ322" s="117"/>
      <c r="ZA322" s="117"/>
      <c r="ZB322" s="117"/>
      <c r="ZC322" s="117"/>
      <c r="ZD322" s="117"/>
      <c r="ZE322" s="117"/>
      <c r="ZF322" s="117"/>
      <c r="ZG322" s="117"/>
      <c r="ZH322" s="117"/>
      <c r="ZI322" s="117"/>
      <c r="ZJ322" s="117"/>
      <c r="ZK322" s="117"/>
      <c r="ZL322" s="117"/>
      <c r="ZM322" s="117"/>
      <c r="ZN322" s="117"/>
      <c r="ZO322" s="117"/>
      <c r="ZP322" s="117"/>
      <c r="ZQ322" s="117"/>
      <c r="ZR322" s="117"/>
      <c r="ZS322" s="117"/>
      <c r="ZT322" s="117"/>
      <c r="ZU322" s="117"/>
      <c r="ZV322" s="117"/>
      <c r="ZW322" s="117"/>
      <c r="ZX322" s="117"/>
      <c r="ZY322" s="117"/>
      <c r="ZZ322" s="117"/>
      <c r="AAA322" s="117"/>
      <c r="AAB322" s="117"/>
      <c r="AAC322" s="117"/>
      <c r="AAD322" s="117"/>
      <c r="AAE322" s="117"/>
      <c r="AAF322" s="117"/>
      <c r="AAG322" s="117"/>
      <c r="AAH322" s="117"/>
      <c r="AAI322" s="117"/>
      <c r="AAJ322" s="117"/>
      <c r="AAK322" s="117"/>
      <c r="AAL322" s="117"/>
      <c r="AAM322" s="117"/>
      <c r="AAN322" s="117"/>
      <c r="AAO322" s="117"/>
      <c r="AAP322" s="117"/>
      <c r="AAQ322" s="117"/>
      <c r="AAR322" s="117"/>
      <c r="AAS322" s="117"/>
      <c r="AAT322" s="117"/>
      <c r="AAU322" s="117"/>
      <c r="AAV322" s="117"/>
      <c r="AAW322" s="117"/>
      <c r="AAX322" s="117"/>
      <c r="AAY322" s="117"/>
      <c r="AAZ322" s="117"/>
      <c r="ABA322" s="117"/>
      <c r="ABB322" s="117"/>
      <c r="ABC322" s="117"/>
      <c r="ABD322" s="117"/>
      <c r="ABE322" s="117"/>
      <c r="ABF322" s="117"/>
      <c r="ABG322" s="117"/>
      <c r="ABH322" s="117"/>
      <c r="ABI322" s="117"/>
      <c r="ABJ322" s="117"/>
      <c r="ABK322" s="117"/>
      <c r="ABL322" s="117"/>
      <c r="ABM322" s="117"/>
      <c r="ABN322" s="117"/>
      <c r="ABO322" s="117"/>
      <c r="ABP322" s="117"/>
      <c r="ABQ322" s="117"/>
      <c r="ABR322" s="117"/>
      <c r="ABS322" s="117"/>
      <c r="ABT322" s="117"/>
      <c r="ABU322" s="117"/>
      <c r="ABV322" s="117"/>
      <c r="ABW322" s="117"/>
      <c r="ABX322" s="117"/>
      <c r="ABY322" s="117"/>
      <c r="ABZ322" s="117"/>
      <c r="ACA322" s="117"/>
      <c r="ACB322" s="117"/>
      <c r="ACC322" s="117"/>
      <c r="ACD322" s="117"/>
      <c r="ACE322" s="117"/>
      <c r="ACF322" s="117"/>
      <c r="ACG322" s="117"/>
      <c r="ACH322" s="117"/>
      <c r="ACI322" s="117"/>
      <c r="ACJ322" s="117"/>
      <c r="ACK322" s="117"/>
      <c r="ACL322" s="117"/>
      <c r="ACM322" s="117"/>
      <c r="ACN322" s="117"/>
      <c r="ACO322" s="117"/>
      <c r="ACP322" s="117"/>
      <c r="ACQ322" s="117"/>
      <c r="ACR322" s="117"/>
      <c r="ACS322" s="117"/>
      <c r="ACT322" s="117"/>
      <c r="ACU322" s="117"/>
      <c r="ACV322" s="117"/>
      <c r="ACW322" s="117"/>
      <c r="ACX322" s="117"/>
      <c r="ACY322" s="117"/>
      <c r="ACZ322" s="117"/>
      <c r="ADA322" s="117"/>
      <c r="ADB322" s="117"/>
      <c r="ADC322" s="117"/>
      <c r="ADD322" s="117"/>
      <c r="ADE322" s="117"/>
      <c r="ADF322" s="117"/>
      <c r="ADG322" s="117"/>
      <c r="ADH322" s="117"/>
      <c r="ADI322" s="117"/>
      <c r="ADJ322" s="117"/>
      <c r="ADK322" s="117"/>
      <c r="ADL322" s="117"/>
      <c r="ADM322" s="117"/>
      <c r="ADN322" s="117"/>
      <c r="ADO322" s="117"/>
      <c r="ADP322" s="117"/>
      <c r="ADQ322" s="117"/>
      <c r="ADR322" s="117"/>
      <c r="ADS322" s="117"/>
      <c r="ADT322" s="117"/>
      <c r="ADU322" s="117"/>
      <c r="ADV322" s="117"/>
      <c r="ADW322" s="117"/>
      <c r="ADX322" s="117"/>
      <c r="ADY322" s="117"/>
      <c r="ADZ322" s="117"/>
      <c r="AEA322" s="117"/>
      <c r="AEB322" s="117"/>
      <c r="AEC322" s="117"/>
      <c r="AED322" s="117"/>
      <c r="AEE322" s="117"/>
      <c r="AEF322" s="117"/>
      <c r="AEG322" s="117"/>
      <c r="AEH322" s="117"/>
      <c r="AEI322" s="117"/>
      <c r="AEJ322" s="117"/>
      <c r="AEK322" s="117"/>
      <c r="AEL322" s="117"/>
      <c r="AEM322" s="117"/>
      <c r="AEN322" s="117"/>
      <c r="AEO322" s="117"/>
      <c r="AEP322" s="117"/>
      <c r="AEQ322" s="117"/>
      <c r="AER322" s="117"/>
      <c r="AES322" s="117"/>
      <c r="AET322" s="117"/>
      <c r="AEU322" s="117"/>
      <c r="AEV322" s="117"/>
      <c r="AEW322" s="117"/>
      <c r="AEX322" s="117"/>
      <c r="AEY322" s="117"/>
      <c r="AEZ322" s="117"/>
      <c r="AFA322" s="117"/>
      <c r="AFB322" s="117"/>
      <c r="AFC322" s="117"/>
      <c r="AFD322" s="117"/>
      <c r="AFE322" s="117"/>
      <c r="AFF322" s="117"/>
      <c r="AFG322" s="117"/>
      <c r="AFH322" s="117"/>
      <c r="AFI322" s="117"/>
      <c r="AFJ322" s="117"/>
      <c r="AFK322" s="117"/>
      <c r="AFL322" s="117"/>
      <c r="AFM322" s="117"/>
      <c r="AFN322" s="117"/>
      <c r="AFO322" s="117"/>
      <c r="AFP322" s="117"/>
      <c r="AFQ322" s="117"/>
      <c r="AFR322" s="117"/>
      <c r="AFS322" s="117"/>
      <c r="AFT322" s="117"/>
      <c r="AFU322" s="117"/>
      <c r="AFV322" s="117"/>
      <c r="AFW322" s="117"/>
      <c r="AFX322" s="117"/>
      <c r="AFY322" s="117"/>
      <c r="AFZ322" s="117"/>
      <c r="AGA322" s="117"/>
      <c r="AGB322" s="117"/>
      <c r="AGC322" s="117"/>
      <c r="AGD322" s="117"/>
      <c r="AGE322" s="117"/>
      <c r="AGF322" s="117"/>
      <c r="AGG322" s="117"/>
      <c r="AGH322" s="117"/>
      <c r="AGI322" s="117"/>
      <c r="AGJ322" s="117"/>
      <c r="AGK322" s="117"/>
      <c r="AGL322" s="117"/>
      <c r="AGM322" s="117"/>
      <c r="AGN322" s="117"/>
      <c r="AGO322" s="117"/>
      <c r="AGP322" s="117"/>
      <c r="AGQ322" s="117"/>
      <c r="AGR322" s="117"/>
      <c r="AGS322" s="117"/>
      <c r="AGT322" s="117"/>
      <c r="AGU322" s="117"/>
      <c r="AGV322" s="117"/>
      <c r="AGW322" s="117"/>
      <c r="AGX322" s="117"/>
      <c r="AGY322" s="117"/>
      <c r="AGZ322" s="117"/>
      <c r="AHA322" s="117"/>
      <c r="AHB322" s="117"/>
      <c r="AHC322" s="117"/>
      <c r="AHD322" s="117"/>
      <c r="AHE322" s="117"/>
      <c r="AHF322" s="117"/>
      <c r="AHG322" s="117"/>
      <c r="AHH322" s="117"/>
      <c r="AHI322" s="117"/>
      <c r="AHJ322" s="117"/>
      <c r="AHK322" s="117"/>
      <c r="AHL322" s="117"/>
      <c r="AHM322" s="117"/>
      <c r="AHN322" s="117"/>
      <c r="AHO322" s="117"/>
      <c r="AHP322" s="117"/>
      <c r="AHQ322" s="117"/>
      <c r="AHR322" s="117"/>
      <c r="AHS322" s="117"/>
      <c r="AHT322" s="117"/>
      <c r="AHU322" s="117"/>
      <c r="AHV322" s="117"/>
      <c r="AHW322" s="117"/>
      <c r="AHX322" s="117"/>
      <c r="AHY322" s="117"/>
      <c r="AHZ322" s="117"/>
      <c r="AIA322" s="117"/>
      <c r="AIB322" s="117"/>
      <c r="AIC322" s="117"/>
      <c r="AID322" s="117"/>
      <c r="AIE322" s="117"/>
      <c r="AIF322" s="117"/>
      <c r="AIG322" s="117"/>
      <c r="AIH322" s="117"/>
      <c r="AII322" s="117"/>
      <c r="AIJ322" s="117"/>
      <c r="AIK322" s="117"/>
      <c r="AIL322" s="117"/>
      <c r="AIM322" s="117"/>
      <c r="AIN322" s="117"/>
      <c r="AIO322" s="117"/>
      <c r="AIP322" s="117"/>
      <c r="AIQ322" s="117"/>
      <c r="AIR322" s="117"/>
      <c r="AIS322" s="117"/>
      <c r="AIT322" s="117"/>
      <c r="AIU322" s="117"/>
      <c r="AIV322" s="117"/>
      <c r="AIW322" s="117"/>
      <c r="AIX322" s="117"/>
      <c r="AIY322" s="117"/>
      <c r="AIZ322" s="117"/>
      <c r="AJA322" s="117"/>
      <c r="AJB322" s="117"/>
      <c r="AJC322" s="117"/>
      <c r="AJD322" s="117"/>
      <c r="AJE322" s="117"/>
      <c r="AJF322" s="117"/>
      <c r="AJG322" s="117"/>
      <c r="AJH322" s="117"/>
      <c r="AJI322" s="117"/>
      <c r="AJJ322" s="117"/>
      <c r="AJK322" s="117"/>
      <c r="AJL322" s="117"/>
      <c r="AJM322" s="117"/>
      <c r="AJN322" s="117"/>
      <c r="AJO322" s="117"/>
      <c r="AJP322" s="117"/>
      <c r="AJQ322" s="117"/>
      <c r="AJR322" s="117"/>
      <c r="AJS322" s="117"/>
      <c r="AJT322" s="117"/>
      <c r="AJU322" s="117"/>
      <c r="AJV322" s="117"/>
      <c r="AJW322" s="117"/>
      <c r="AJX322" s="117"/>
      <c r="AJY322" s="117"/>
      <c r="AJZ322" s="117"/>
      <c r="AKA322" s="117"/>
      <c r="AKB322" s="117"/>
      <c r="AKC322" s="117"/>
      <c r="AKD322" s="117"/>
      <c r="AKE322" s="117"/>
      <c r="AKF322" s="117"/>
      <c r="AKG322" s="117"/>
      <c r="AKH322" s="117"/>
      <c r="AKI322" s="117"/>
      <c r="AKJ322" s="117"/>
      <c r="AKK322" s="117"/>
      <c r="AKL322" s="117"/>
      <c r="AKM322" s="117"/>
      <c r="AKN322" s="117"/>
      <c r="AKO322" s="117"/>
      <c r="AKP322" s="117"/>
      <c r="AKQ322" s="117"/>
      <c r="AKR322" s="117"/>
      <c r="AKS322" s="117"/>
      <c r="AKT322" s="117"/>
      <c r="AKU322" s="117"/>
      <c r="AKV322" s="117"/>
      <c r="AKW322" s="117"/>
      <c r="AKX322" s="117"/>
      <c r="AKY322" s="117"/>
      <c r="AKZ322" s="117"/>
      <c r="ALA322" s="117"/>
      <c r="ALB322" s="117"/>
      <c r="ALC322" s="117"/>
      <c r="ALD322" s="117"/>
      <c r="ALE322" s="117"/>
      <c r="ALF322" s="117"/>
      <c r="ALG322" s="117"/>
      <c r="ALH322" s="117"/>
      <c r="ALI322" s="117"/>
      <c r="ALJ322" s="117"/>
      <c r="ALK322" s="117"/>
      <c r="ALL322" s="117"/>
      <c r="ALM322" s="117"/>
      <c r="ALN322" s="117"/>
      <c r="ALO322" s="117"/>
      <c r="ALP322" s="117"/>
      <c r="ALQ322" s="117"/>
      <c r="ALR322" s="117"/>
      <c r="ALS322" s="117"/>
      <c r="ALT322" s="117"/>
      <c r="ALU322" s="117"/>
      <c r="ALV322" s="117"/>
      <c r="ALW322" s="117"/>
      <c r="ALX322" s="117"/>
      <c r="ALY322" s="117"/>
      <c r="ALZ322" s="117"/>
      <c r="AMA322" s="117"/>
      <c r="AMB322" s="117"/>
      <c r="AMC322" s="117"/>
      <c r="AMD322" s="117"/>
      <c r="AME322" s="117"/>
    </row>
    <row r="323" spans="1:1019" s="191" customFormat="1" ht="11.25" customHeight="1">
      <c r="A323" s="139">
        <v>321</v>
      </c>
      <c r="B323" s="139"/>
      <c r="C323" s="192" t="s">
        <v>504</v>
      </c>
      <c r="D323" s="190">
        <v>1</v>
      </c>
      <c r="E323" s="190">
        <f t="shared" si="47"/>
        <v>40</v>
      </c>
      <c r="F323" s="173" t="s">
        <v>525</v>
      </c>
      <c r="G323" s="172">
        <v>268</v>
      </c>
      <c r="H323" s="143">
        <f>INT((G323*Valores!$C$2*100)+0.5)/100</f>
        <v>2503.04</v>
      </c>
      <c r="I323" s="161">
        <v>0</v>
      </c>
      <c r="J323" s="145">
        <f>INT((I323*Valores!$C$2*100)+0.5)/100</f>
        <v>0</v>
      </c>
      <c r="K323" s="160">
        <v>0</v>
      </c>
      <c r="L323" s="145">
        <f>INT((K323*Valores!$C$2*100)+0.5)/100</f>
        <v>0</v>
      </c>
      <c r="M323" s="158">
        <v>0</v>
      </c>
      <c r="N323" s="145">
        <f>INT((M323*Valores!$C$2*100)+0.5)/100</f>
        <v>0</v>
      </c>
      <c r="O323" s="145">
        <f t="shared" si="48"/>
        <v>0</v>
      </c>
      <c r="P323" s="145">
        <f t="shared" si="49"/>
        <v>0</v>
      </c>
      <c r="Q323" s="159">
        <v>0</v>
      </c>
      <c r="R323" s="159">
        <v>0</v>
      </c>
      <c r="S323" s="145">
        <v>0</v>
      </c>
      <c r="T323" s="148">
        <f>IF($H$5="NO",Valores!$C$47,Valores!$C$47/2)</f>
        <v>158.98</v>
      </c>
      <c r="U323" s="159">
        <v>0</v>
      </c>
      <c r="V323" s="145">
        <f t="shared" si="57"/>
        <v>0</v>
      </c>
      <c r="W323" s="145">
        <v>0</v>
      </c>
      <c r="X323" s="145">
        <v>0</v>
      </c>
      <c r="Y323" s="165">
        <v>0</v>
      </c>
      <c r="Z323" s="145">
        <v>0</v>
      </c>
      <c r="AA323" s="145">
        <v>0</v>
      </c>
      <c r="AB323" s="148">
        <f>Valores!$C$93</f>
        <v>115.38461538461542</v>
      </c>
      <c r="AC323" s="150">
        <v>0</v>
      </c>
      <c r="AD323" s="145">
        <f t="shared" si="51"/>
        <v>0</v>
      </c>
      <c r="AE323" s="145">
        <v>0</v>
      </c>
      <c r="AF323" s="149">
        <v>0</v>
      </c>
      <c r="AG323" s="145">
        <f>INT(((AF323*Valores!$C$2)*100)+0.5)/100</f>
        <v>0</v>
      </c>
      <c r="AH323" s="145">
        <f>Valores!$C$60</f>
        <v>54.2</v>
      </c>
      <c r="AI323" s="145">
        <f>Valores!$C$62</f>
        <v>15.49</v>
      </c>
      <c r="AJ323" s="151">
        <f t="shared" si="52"/>
        <v>2847.094615384615</v>
      </c>
      <c r="AK323" s="171"/>
      <c r="AL323" s="148">
        <f>Valores!$C$12</f>
        <v>0</v>
      </c>
      <c r="AM323" s="148">
        <f>Valores!$C$88</f>
        <v>227.49999999999997</v>
      </c>
      <c r="AN323" s="148"/>
      <c r="AO323" s="150">
        <v>0</v>
      </c>
      <c r="AP323" s="152">
        <f t="shared" si="50"/>
        <v>227.49999999999997</v>
      </c>
      <c r="AQ323" s="154">
        <f>AJ323*-Valores!$C$68</f>
        <v>-313.18040769230765</v>
      </c>
      <c r="AR323" s="154">
        <f>AJ323*-Valores!$C$69</f>
        <v>0</v>
      </c>
      <c r="AS323" s="147">
        <f>AJ323*-Valores!$C$70</f>
        <v>-128.11925769230766</v>
      </c>
      <c r="AT323" s="147">
        <v>-159.43</v>
      </c>
      <c r="AU323" s="147">
        <f t="shared" si="53"/>
        <v>-53.83</v>
      </c>
      <c r="AV323" s="151">
        <f t="shared" si="54"/>
        <v>2420.0349499999998</v>
      </c>
      <c r="AW323" s="155"/>
      <c r="AX323" s="155"/>
      <c r="AY323" s="140" t="s">
        <v>4</v>
      </c>
      <c r="AZ323" s="117"/>
      <c r="BA323" s="117"/>
      <c r="BB323" s="117"/>
      <c r="BC323" s="117"/>
      <c r="BD323" s="117"/>
      <c r="BE323" s="117"/>
      <c r="BF323" s="117"/>
      <c r="BG323" s="117"/>
      <c r="BH323" s="117"/>
      <c r="BI323" s="117"/>
      <c r="BJ323" s="117"/>
      <c r="BK323" s="117"/>
      <c r="BL323" s="117"/>
      <c r="BM323" s="117"/>
      <c r="BN323" s="117"/>
      <c r="BO323" s="117"/>
      <c r="BP323" s="117"/>
      <c r="BQ323" s="117"/>
      <c r="BR323" s="117"/>
      <c r="BS323" s="117"/>
      <c r="BT323" s="117"/>
      <c r="BU323" s="117"/>
      <c r="BV323" s="117"/>
      <c r="BW323" s="117"/>
      <c r="BX323" s="117"/>
      <c r="BY323" s="117"/>
      <c r="BZ323" s="117"/>
      <c r="CA323" s="117"/>
      <c r="CB323" s="117"/>
      <c r="CC323" s="117"/>
      <c r="CD323" s="117"/>
      <c r="CE323" s="117"/>
      <c r="CF323" s="117"/>
      <c r="CG323" s="117"/>
      <c r="CH323" s="117"/>
      <c r="CI323" s="117"/>
      <c r="CJ323" s="117"/>
      <c r="CK323" s="117"/>
      <c r="CL323" s="117"/>
      <c r="CM323" s="117"/>
      <c r="CN323" s="117"/>
      <c r="CO323" s="117"/>
      <c r="CP323" s="117"/>
      <c r="CQ323" s="117"/>
      <c r="CR323" s="117"/>
      <c r="CS323" s="117"/>
      <c r="CT323" s="117"/>
      <c r="CU323" s="117"/>
      <c r="CV323" s="117"/>
      <c r="CW323" s="117"/>
      <c r="CX323" s="117"/>
      <c r="CY323" s="117"/>
      <c r="CZ323" s="117"/>
      <c r="DA323" s="117"/>
      <c r="DB323" s="117"/>
      <c r="DC323" s="117"/>
      <c r="DD323" s="117"/>
      <c r="DE323" s="117"/>
      <c r="DF323" s="117"/>
      <c r="DG323" s="117"/>
      <c r="DH323" s="117"/>
      <c r="DI323" s="117"/>
      <c r="DJ323" s="117"/>
      <c r="DK323" s="117"/>
      <c r="DL323" s="117"/>
      <c r="DM323" s="117"/>
      <c r="DN323" s="117"/>
      <c r="DO323" s="117"/>
      <c r="DP323" s="117"/>
      <c r="DQ323" s="117"/>
      <c r="DR323" s="117"/>
      <c r="DS323" s="117"/>
      <c r="DT323" s="117"/>
      <c r="DU323" s="117"/>
      <c r="DV323" s="117"/>
      <c r="DW323" s="117"/>
      <c r="DX323" s="117"/>
      <c r="DY323" s="117"/>
      <c r="DZ323" s="117"/>
      <c r="EA323" s="117"/>
      <c r="EB323" s="117"/>
      <c r="EC323" s="117"/>
      <c r="ED323" s="117"/>
      <c r="EE323" s="117"/>
      <c r="EF323" s="117"/>
      <c r="EG323" s="117"/>
      <c r="EH323" s="117"/>
      <c r="EI323" s="117"/>
      <c r="EJ323" s="117"/>
      <c r="EK323" s="117"/>
      <c r="EL323" s="117"/>
      <c r="EM323" s="117"/>
      <c r="EN323" s="117"/>
      <c r="EO323" s="117"/>
      <c r="EP323" s="117"/>
      <c r="EQ323" s="117"/>
      <c r="ER323" s="117"/>
      <c r="ES323" s="117"/>
      <c r="ET323" s="117"/>
      <c r="EU323" s="117"/>
      <c r="EV323" s="117"/>
      <c r="EW323" s="117"/>
      <c r="EX323" s="117"/>
      <c r="EY323" s="117"/>
      <c r="EZ323" s="117"/>
      <c r="FA323" s="117"/>
      <c r="FB323" s="117"/>
      <c r="FC323" s="117"/>
      <c r="FD323" s="117"/>
      <c r="FE323" s="117"/>
      <c r="FF323" s="117"/>
      <c r="FG323" s="117"/>
      <c r="FH323" s="117"/>
      <c r="FI323" s="117"/>
      <c r="FJ323" s="117"/>
      <c r="FK323" s="117"/>
      <c r="FL323" s="117"/>
      <c r="FM323" s="117"/>
      <c r="FN323" s="117"/>
      <c r="FO323" s="117"/>
      <c r="FP323" s="117"/>
      <c r="FQ323" s="117"/>
      <c r="FR323" s="117"/>
      <c r="FS323" s="117"/>
      <c r="FT323" s="117"/>
      <c r="FU323" s="117"/>
      <c r="FV323" s="117"/>
      <c r="FW323" s="117"/>
      <c r="FX323" s="117"/>
      <c r="FY323" s="117"/>
      <c r="FZ323" s="117"/>
      <c r="GA323" s="117"/>
      <c r="GB323" s="117"/>
      <c r="GC323" s="117"/>
      <c r="GD323" s="117"/>
      <c r="GE323" s="117"/>
      <c r="GF323" s="117"/>
      <c r="GG323" s="117"/>
      <c r="GH323" s="117"/>
      <c r="GI323" s="117"/>
      <c r="GJ323" s="117"/>
      <c r="GK323" s="117"/>
      <c r="GL323" s="117"/>
      <c r="GM323" s="117"/>
      <c r="GN323" s="117"/>
      <c r="GO323" s="117"/>
      <c r="GP323" s="117"/>
      <c r="GQ323" s="117"/>
      <c r="GR323" s="117"/>
      <c r="GS323" s="117"/>
      <c r="GT323" s="117"/>
      <c r="GU323" s="117"/>
      <c r="GV323" s="117"/>
      <c r="GW323" s="117"/>
      <c r="GX323" s="117"/>
      <c r="GY323" s="117"/>
      <c r="GZ323" s="117"/>
      <c r="HA323" s="117"/>
      <c r="HB323" s="117"/>
      <c r="HC323" s="117"/>
      <c r="HD323" s="117"/>
      <c r="HE323" s="117"/>
      <c r="HF323" s="117"/>
      <c r="HG323" s="117"/>
      <c r="HH323" s="117"/>
      <c r="HI323" s="117"/>
      <c r="HJ323" s="117"/>
      <c r="HK323" s="117"/>
      <c r="HL323" s="117"/>
      <c r="HM323" s="117"/>
      <c r="HN323" s="117"/>
      <c r="HO323" s="117"/>
      <c r="HP323" s="117"/>
      <c r="HQ323" s="117"/>
      <c r="HR323" s="117"/>
      <c r="HS323" s="117"/>
      <c r="HT323" s="117"/>
      <c r="HU323" s="117"/>
      <c r="HV323" s="117"/>
      <c r="HW323" s="117"/>
      <c r="HX323" s="117"/>
      <c r="HY323" s="117"/>
      <c r="HZ323" s="117"/>
      <c r="IA323" s="117"/>
      <c r="IB323" s="117"/>
      <c r="IC323" s="117"/>
      <c r="ID323" s="117"/>
      <c r="IE323" s="117"/>
      <c r="IF323" s="117"/>
      <c r="IG323" s="117"/>
      <c r="IH323" s="117"/>
      <c r="II323" s="117"/>
      <c r="IJ323" s="117"/>
      <c r="IK323" s="117"/>
      <c r="IL323" s="117"/>
      <c r="IM323" s="117"/>
      <c r="IN323" s="117"/>
      <c r="IO323" s="117"/>
      <c r="IP323" s="117"/>
      <c r="IQ323" s="117"/>
      <c r="IR323" s="117"/>
      <c r="IS323" s="117"/>
      <c r="IT323" s="117"/>
      <c r="IU323" s="117"/>
      <c r="IV323" s="117"/>
      <c r="IW323" s="117"/>
      <c r="IX323" s="117"/>
      <c r="IY323" s="117"/>
      <c r="IZ323" s="117"/>
      <c r="JA323" s="117"/>
      <c r="JB323" s="117"/>
      <c r="JC323" s="117"/>
      <c r="JD323" s="117"/>
      <c r="JE323" s="117"/>
      <c r="JF323" s="117"/>
      <c r="JG323" s="117"/>
      <c r="JH323" s="117"/>
      <c r="JI323" s="117"/>
      <c r="JJ323" s="117"/>
      <c r="JK323" s="117"/>
      <c r="JL323" s="117"/>
      <c r="JM323" s="117"/>
      <c r="JN323" s="117"/>
      <c r="JO323" s="117"/>
      <c r="JP323" s="117"/>
      <c r="JQ323" s="117"/>
      <c r="JR323" s="117"/>
      <c r="JS323" s="117"/>
      <c r="JT323" s="117"/>
      <c r="JU323" s="117"/>
      <c r="JV323" s="117"/>
      <c r="JW323" s="117"/>
      <c r="JX323" s="117"/>
      <c r="JY323" s="117"/>
      <c r="JZ323" s="117"/>
      <c r="KA323" s="117"/>
      <c r="KB323" s="117"/>
      <c r="KC323" s="117"/>
      <c r="KD323" s="117"/>
      <c r="KE323" s="117"/>
      <c r="KF323" s="117"/>
      <c r="KG323" s="117"/>
      <c r="KH323" s="117"/>
      <c r="KI323" s="117"/>
      <c r="KJ323" s="117"/>
      <c r="KK323" s="117"/>
      <c r="KL323" s="117"/>
      <c r="KM323" s="117"/>
      <c r="KN323" s="117"/>
      <c r="KO323" s="117"/>
      <c r="KP323" s="117"/>
      <c r="KQ323" s="117"/>
      <c r="KR323" s="117"/>
      <c r="KS323" s="117"/>
      <c r="KT323" s="117"/>
      <c r="KU323" s="117"/>
      <c r="KV323" s="117"/>
      <c r="KW323" s="117"/>
      <c r="KX323" s="117"/>
      <c r="KY323" s="117"/>
      <c r="KZ323" s="117"/>
      <c r="LA323" s="117"/>
      <c r="LB323" s="117"/>
      <c r="LC323" s="117"/>
      <c r="LD323" s="117"/>
      <c r="LE323" s="117"/>
      <c r="LF323" s="117"/>
      <c r="LG323" s="117"/>
      <c r="LH323" s="117"/>
      <c r="LI323" s="117"/>
      <c r="LJ323" s="117"/>
      <c r="LK323" s="117"/>
      <c r="LL323" s="117"/>
      <c r="LM323" s="117"/>
      <c r="LN323" s="117"/>
      <c r="LO323" s="117"/>
      <c r="LP323" s="117"/>
      <c r="LQ323" s="117"/>
      <c r="LR323" s="117"/>
      <c r="LS323" s="117"/>
      <c r="LT323" s="117"/>
      <c r="LU323" s="117"/>
      <c r="LV323" s="117"/>
      <c r="LW323" s="117"/>
      <c r="LX323" s="117"/>
      <c r="LY323" s="117"/>
      <c r="LZ323" s="117"/>
      <c r="MA323" s="117"/>
      <c r="MB323" s="117"/>
      <c r="MC323" s="117"/>
      <c r="MD323" s="117"/>
      <c r="ME323" s="117"/>
      <c r="MF323" s="117"/>
      <c r="MG323" s="117"/>
      <c r="MH323" s="117"/>
      <c r="MI323" s="117"/>
      <c r="MJ323" s="117"/>
      <c r="MK323" s="117"/>
      <c r="ML323" s="117"/>
      <c r="MM323" s="117"/>
      <c r="MN323" s="117"/>
      <c r="MO323" s="117"/>
      <c r="MP323" s="117"/>
      <c r="MQ323" s="117"/>
      <c r="MR323" s="117"/>
      <c r="MS323" s="117"/>
      <c r="MT323" s="117"/>
      <c r="MU323" s="117"/>
      <c r="MV323" s="117"/>
      <c r="MW323" s="117"/>
      <c r="MX323" s="117"/>
      <c r="MY323" s="117"/>
      <c r="MZ323" s="117"/>
      <c r="NA323" s="117"/>
      <c r="NB323" s="117"/>
      <c r="NC323" s="117"/>
      <c r="ND323" s="117"/>
      <c r="NE323" s="117"/>
      <c r="NF323" s="117"/>
      <c r="NG323" s="117"/>
      <c r="NH323" s="117"/>
      <c r="NI323" s="117"/>
      <c r="NJ323" s="117"/>
      <c r="NK323" s="117"/>
      <c r="NL323" s="117"/>
      <c r="NM323" s="117"/>
      <c r="NN323" s="117"/>
      <c r="NO323" s="117"/>
      <c r="NP323" s="117"/>
      <c r="NQ323" s="117"/>
      <c r="NR323" s="117"/>
      <c r="NS323" s="117"/>
      <c r="NT323" s="117"/>
      <c r="NU323" s="117"/>
      <c r="NV323" s="117"/>
      <c r="NW323" s="117"/>
      <c r="NX323" s="117"/>
      <c r="NY323" s="117"/>
      <c r="NZ323" s="117"/>
      <c r="OA323" s="117"/>
      <c r="OB323" s="117"/>
      <c r="OC323" s="117"/>
      <c r="OD323" s="117"/>
      <c r="OE323" s="117"/>
      <c r="OF323" s="117"/>
      <c r="OG323" s="117"/>
      <c r="OH323" s="117"/>
      <c r="OI323" s="117"/>
      <c r="OJ323" s="117"/>
      <c r="OK323" s="117"/>
      <c r="OL323" s="117"/>
      <c r="OM323" s="117"/>
      <c r="ON323" s="117"/>
      <c r="OO323" s="117"/>
      <c r="OP323" s="117"/>
      <c r="OQ323" s="117"/>
      <c r="OR323" s="117"/>
      <c r="OS323" s="117"/>
      <c r="OT323" s="117"/>
      <c r="OU323" s="117"/>
      <c r="OV323" s="117"/>
      <c r="OW323" s="117"/>
      <c r="OX323" s="117"/>
      <c r="OY323" s="117"/>
      <c r="OZ323" s="117"/>
      <c r="PA323" s="117"/>
      <c r="PB323" s="117"/>
      <c r="PC323" s="117"/>
      <c r="PD323" s="117"/>
      <c r="PE323" s="117"/>
      <c r="PF323" s="117"/>
      <c r="PG323" s="117"/>
      <c r="PH323" s="117"/>
      <c r="PI323" s="117"/>
      <c r="PJ323" s="117"/>
      <c r="PK323" s="117"/>
      <c r="PL323" s="117"/>
      <c r="PM323" s="117"/>
      <c r="PN323" s="117"/>
      <c r="PO323" s="117"/>
      <c r="PP323" s="117"/>
      <c r="PQ323" s="117"/>
      <c r="PR323" s="117"/>
      <c r="PS323" s="117"/>
      <c r="PT323" s="117"/>
      <c r="PU323" s="117"/>
      <c r="PV323" s="117"/>
      <c r="PW323" s="117"/>
      <c r="PX323" s="117"/>
      <c r="PY323" s="117"/>
      <c r="PZ323" s="117"/>
      <c r="QA323" s="117"/>
      <c r="QB323" s="117"/>
      <c r="QC323" s="117"/>
      <c r="QD323" s="117"/>
      <c r="QE323" s="117"/>
      <c r="QF323" s="117"/>
      <c r="QG323" s="117"/>
      <c r="QH323" s="117"/>
      <c r="QI323" s="117"/>
      <c r="QJ323" s="117"/>
      <c r="QK323" s="117"/>
      <c r="QL323" s="117"/>
      <c r="QM323" s="117"/>
      <c r="QN323" s="117"/>
      <c r="QO323" s="117"/>
      <c r="QP323" s="117"/>
      <c r="QQ323" s="117"/>
      <c r="QR323" s="117"/>
      <c r="QS323" s="117"/>
      <c r="QT323" s="117"/>
      <c r="QU323" s="117"/>
      <c r="QV323" s="117"/>
      <c r="QW323" s="117"/>
      <c r="QX323" s="117"/>
      <c r="QY323" s="117"/>
      <c r="QZ323" s="117"/>
      <c r="RA323" s="117"/>
      <c r="RB323" s="117"/>
      <c r="RC323" s="117"/>
      <c r="RD323" s="117"/>
      <c r="RE323" s="117"/>
      <c r="RF323" s="117"/>
      <c r="RG323" s="117"/>
      <c r="RH323" s="117"/>
      <c r="RI323" s="117"/>
      <c r="RJ323" s="117"/>
      <c r="RK323" s="117"/>
      <c r="RL323" s="117"/>
      <c r="RM323" s="117"/>
      <c r="RN323" s="117"/>
      <c r="RO323" s="117"/>
      <c r="RP323" s="117"/>
      <c r="RQ323" s="117"/>
      <c r="RR323" s="117"/>
      <c r="RS323" s="117"/>
      <c r="RT323" s="117"/>
      <c r="RU323" s="117"/>
      <c r="RV323" s="117"/>
      <c r="RW323" s="117"/>
      <c r="RX323" s="117"/>
      <c r="RY323" s="117"/>
      <c r="RZ323" s="117"/>
      <c r="SA323" s="117"/>
      <c r="SB323" s="117"/>
      <c r="SC323" s="117"/>
      <c r="SD323" s="117"/>
      <c r="SE323" s="117"/>
      <c r="SF323" s="117"/>
      <c r="SG323" s="117"/>
      <c r="SH323" s="117"/>
      <c r="SI323" s="117"/>
      <c r="SJ323" s="117"/>
      <c r="SK323" s="117"/>
      <c r="SL323" s="117"/>
      <c r="SM323" s="117"/>
      <c r="SN323" s="117"/>
      <c r="SO323" s="117"/>
      <c r="SP323" s="117"/>
      <c r="SQ323" s="117"/>
      <c r="SR323" s="117"/>
      <c r="SS323" s="117"/>
      <c r="ST323" s="117"/>
      <c r="SU323" s="117"/>
      <c r="SV323" s="117"/>
      <c r="SW323" s="117"/>
      <c r="SX323" s="117"/>
      <c r="SY323" s="117"/>
      <c r="SZ323" s="117"/>
      <c r="TA323" s="117"/>
      <c r="TB323" s="117"/>
      <c r="TC323" s="117"/>
      <c r="TD323" s="117"/>
      <c r="TE323" s="117"/>
      <c r="TF323" s="117"/>
      <c r="TG323" s="117"/>
      <c r="TH323" s="117"/>
      <c r="TI323" s="117"/>
      <c r="TJ323" s="117"/>
      <c r="TK323" s="117"/>
      <c r="TL323" s="117"/>
      <c r="TM323" s="117"/>
      <c r="TN323" s="117"/>
      <c r="TO323" s="117"/>
      <c r="TP323" s="117"/>
      <c r="TQ323" s="117"/>
      <c r="TR323" s="117"/>
      <c r="TS323" s="117"/>
      <c r="TT323" s="117"/>
      <c r="TU323" s="117"/>
      <c r="TV323" s="117"/>
      <c r="TW323" s="117"/>
      <c r="TX323" s="117"/>
      <c r="TY323" s="117"/>
      <c r="TZ323" s="117"/>
      <c r="UA323" s="117"/>
      <c r="UB323" s="117"/>
      <c r="UC323" s="117"/>
      <c r="UD323" s="117"/>
      <c r="UE323" s="117"/>
      <c r="UF323" s="117"/>
      <c r="UG323" s="117"/>
      <c r="UH323" s="117"/>
      <c r="UI323" s="117"/>
      <c r="UJ323" s="117"/>
      <c r="UK323" s="117"/>
      <c r="UL323" s="117"/>
      <c r="UM323" s="117"/>
      <c r="UN323" s="117"/>
      <c r="UO323" s="117"/>
      <c r="UP323" s="117"/>
      <c r="UQ323" s="117"/>
      <c r="UR323" s="117"/>
      <c r="US323" s="117"/>
      <c r="UT323" s="117"/>
      <c r="UU323" s="117"/>
      <c r="UV323" s="117"/>
      <c r="UW323" s="117"/>
      <c r="UX323" s="117"/>
      <c r="UY323" s="117"/>
      <c r="UZ323" s="117"/>
      <c r="VA323" s="117"/>
      <c r="VB323" s="117"/>
      <c r="VC323" s="117"/>
      <c r="VD323" s="117"/>
      <c r="VE323" s="117"/>
      <c r="VF323" s="117"/>
      <c r="VG323" s="117"/>
      <c r="VH323" s="117"/>
      <c r="VI323" s="117"/>
      <c r="VJ323" s="117"/>
      <c r="VK323" s="117"/>
      <c r="VL323" s="117"/>
      <c r="VM323" s="117"/>
      <c r="VN323" s="117"/>
      <c r="VO323" s="117"/>
      <c r="VP323" s="117"/>
      <c r="VQ323" s="117"/>
      <c r="VR323" s="117"/>
      <c r="VS323" s="117"/>
      <c r="VT323" s="117"/>
      <c r="VU323" s="117"/>
      <c r="VV323" s="117"/>
      <c r="VW323" s="117"/>
      <c r="VX323" s="117"/>
      <c r="VY323" s="117"/>
      <c r="VZ323" s="117"/>
      <c r="WA323" s="117"/>
      <c r="WB323" s="117"/>
      <c r="WC323" s="117"/>
      <c r="WD323" s="117"/>
      <c r="WE323" s="117"/>
      <c r="WF323" s="117"/>
      <c r="WG323" s="117"/>
      <c r="WH323" s="117"/>
      <c r="WI323" s="117"/>
      <c r="WJ323" s="117"/>
      <c r="WK323" s="117"/>
      <c r="WL323" s="117"/>
      <c r="WM323" s="117"/>
      <c r="WN323" s="117"/>
      <c r="WO323" s="117"/>
      <c r="WP323" s="117"/>
      <c r="WQ323" s="117"/>
      <c r="WR323" s="117"/>
      <c r="WS323" s="117"/>
      <c r="WT323" s="117"/>
      <c r="WU323" s="117"/>
      <c r="WV323" s="117"/>
      <c r="WW323" s="117"/>
      <c r="WX323" s="117"/>
      <c r="WY323" s="117"/>
      <c r="WZ323" s="117"/>
      <c r="XA323" s="117"/>
      <c r="XB323" s="117"/>
      <c r="XC323" s="117"/>
      <c r="XD323" s="117"/>
      <c r="XE323" s="117"/>
      <c r="XF323" s="117"/>
      <c r="XG323" s="117"/>
      <c r="XH323" s="117"/>
      <c r="XI323" s="117"/>
      <c r="XJ323" s="117"/>
      <c r="XK323" s="117"/>
      <c r="XL323" s="117"/>
      <c r="XM323" s="117"/>
      <c r="XN323" s="117"/>
      <c r="XO323" s="117"/>
      <c r="XP323" s="117"/>
      <c r="XQ323" s="117"/>
      <c r="XR323" s="117"/>
      <c r="XS323" s="117"/>
      <c r="XT323" s="117"/>
      <c r="XU323" s="117"/>
      <c r="XV323" s="117"/>
      <c r="XW323" s="117"/>
      <c r="XX323" s="117"/>
      <c r="XY323" s="117"/>
      <c r="XZ323" s="117"/>
      <c r="YA323" s="117"/>
      <c r="YB323" s="117"/>
      <c r="YC323" s="117"/>
      <c r="YD323" s="117"/>
      <c r="YE323" s="117"/>
      <c r="YF323" s="117"/>
      <c r="YG323" s="117"/>
      <c r="YH323" s="117"/>
      <c r="YI323" s="117"/>
      <c r="YJ323" s="117"/>
      <c r="YK323" s="117"/>
      <c r="YL323" s="117"/>
      <c r="YM323" s="117"/>
      <c r="YN323" s="117"/>
      <c r="YO323" s="117"/>
      <c r="YP323" s="117"/>
      <c r="YQ323" s="117"/>
      <c r="YR323" s="117"/>
      <c r="YS323" s="117"/>
      <c r="YT323" s="117"/>
      <c r="YU323" s="117"/>
      <c r="YV323" s="117"/>
      <c r="YW323" s="117"/>
      <c r="YX323" s="117"/>
      <c r="YY323" s="117"/>
      <c r="YZ323" s="117"/>
      <c r="ZA323" s="117"/>
      <c r="ZB323" s="117"/>
      <c r="ZC323" s="117"/>
      <c r="ZD323" s="117"/>
      <c r="ZE323" s="117"/>
      <c r="ZF323" s="117"/>
      <c r="ZG323" s="117"/>
      <c r="ZH323" s="117"/>
      <c r="ZI323" s="117"/>
      <c r="ZJ323" s="117"/>
      <c r="ZK323" s="117"/>
      <c r="ZL323" s="117"/>
      <c r="ZM323" s="117"/>
      <c r="ZN323" s="117"/>
      <c r="ZO323" s="117"/>
      <c r="ZP323" s="117"/>
      <c r="ZQ323" s="117"/>
      <c r="ZR323" s="117"/>
      <c r="ZS323" s="117"/>
      <c r="ZT323" s="117"/>
      <c r="ZU323" s="117"/>
      <c r="ZV323" s="117"/>
      <c r="ZW323" s="117"/>
      <c r="ZX323" s="117"/>
      <c r="ZY323" s="117"/>
      <c r="ZZ323" s="117"/>
      <c r="AAA323" s="117"/>
      <c r="AAB323" s="117"/>
      <c r="AAC323" s="117"/>
      <c r="AAD323" s="117"/>
      <c r="AAE323" s="117"/>
      <c r="AAF323" s="117"/>
      <c r="AAG323" s="117"/>
      <c r="AAH323" s="117"/>
      <c r="AAI323" s="117"/>
      <c r="AAJ323" s="117"/>
      <c r="AAK323" s="117"/>
      <c r="AAL323" s="117"/>
      <c r="AAM323" s="117"/>
      <c r="AAN323" s="117"/>
      <c r="AAO323" s="117"/>
      <c r="AAP323" s="117"/>
      <c r="AAQ323" s="117"/>
      <c r="AAR323" s="117"/>
      <c r="AAS323" s="117"/>
      <c r="AAT323" s="117"/>
      <c r="AAU323" s="117"/>
      <c r="AAV323" s="117"/>
      <c r="AAW323" s="117"/>
      <c r="AAX323" s="117"/>
      <c r="AAY323" s="117"/>
      <c r="AAZ323" s="117"/>
      <c r="ABA323" s="117"/>
      <c r="ABB323" s="117"/>
      <c r="ABC323" s="117"/>
      <c r="ABD323" s="117"/>
      <c r="ABE323" s="117"/>
      <c r="ABF323" s="117"/>
      <c r="ABG323" s="117"/>
      <c r="ABH323" s="117"/>
      <c r="ABI323" s="117"/>
      <c r="ABJ323" s="117"/>
      <c r="ABK323" s="117"/>
      <c r="ABL323" s="117"/>
      <c r="ABM323" s="117"/>
      <c r="ABN323" s="117"/>
      <c r="ABO323" s="117"/>
      <c r="ABP323" s="117"/>
      <c r="ABQ323" s="117"/>
      <c r="ABR323" s="117"/>
      <c r="ABS323" s="117"/>
      <c r="ABT323" s="117"/>
      <c r="ABU323" s="117"/>
      <c r="ABV323" s="117"/>
      <c r="ABW323" s="117"/>
      <c r="ABX323" s="117"/>
      <c r="ABY323" s="117"/>
      <c r="ABZ323" s="117"/>
      <c r="ACA323" s="117"/>
      <c r="ACB323" s="117"/>
      <c r="ACC323" s="117"/>
      <c r="ACD323" s="117"/>
      <c r="ACE323" s="117"/>
      <c r="ACF323" s="117"/>
      <c r="ACG323" s="117"/>
      <c r="ACH323" s="117"/>
      <c r="ACI323" s="117"/>
      <c r="ACJ323" s="117"/>
      <c r="ACK323" s="117"/>
      <c r="ACL323" s="117"/>
      <c r="ACM323" s="117"/>
      <c r="ACN323" s="117"/>
      <c r="ACO323" s="117"/>
      <c r="ACP323" s="117"/>
      <c r="ACQ323" s="117"/>
      <c r="ACR323" s="117"/>
      <c r="ACS323" s="117"/>
      <c r="ACT323" s="117"/>
      <c r="ACU323" s="117"/>
      <c r="ACV323" s="117"/>
      <c r="ACW323" s="117"/>
      <c r="ACX323" s="117"/>
      <c r="ACY323" s="117"/>
      <c r="ACZ323" s="117"/>
      <c r="ADA323" s="117"/>
      <c r="ADB323" s="117"/>
      <c r="ADC323" s="117"/>
      <c r="ADD323" s="117"/>
      <c r="ADE323" s="117"/>
      <c r="ADF323" s="117"/>
      <c r="ADG323" s="117"/>
      <c r="ADH323" s="117"/>
      <c r="ADI323" s="117"/>
      <c r="ADJ323" s="117"/>
      <c r="ADK323" s="117"/>
      <c r="ADL323" s="117"/>
      <c r="ADM323" s="117"/>
      <c r="ADN323" s="117"/>
      <c r="ADO323" s="117"/>
      <c r="ADP323" s="117"/>
      <c r="ADQ323" s="117"/>
      <c r="ADR323" s="117"/>
      <c r="ADS323" s="117"/>
      <c r="ADT323" s="117"/>
      <c r="ADU323" s="117"/>
      <c r="ADV323" s="117"/>
      <c r="ADW323" s="117"/>
      <c r="ADX323" s="117"/>
      <c r="ADY323" s="117"/>
      <c r="ADZ323" s="117"/>
      <c r="AEA323" s="117"/>
      <c r="AEB323" s="117"/>
      <c r="AEC323" s="117"/>
      <c r="AED323" s="117"/>
      <c r="AEE323" s="117"/>
      <c r="AEF323" s="117"/>
      <c r="AEG323" s="117"/>
      <c r="AEH323" s="117"/>
      <c r="AEI323" s="117"/>
      <c r="AEJ323" s="117"/>
      <c r="AEK323" s="117"/>
      <c r="AEL323" s="117"/>
      <c r="AEM323" s="117"/>
      <c r="AEN323" s="117"/>
      <c r="AEO323" s="117"/>
      <c r="AEP323" s="117"/>
      <c r="AEQ323" s="117"/>
      <c r="AER323" s="117"/>
      <c r="AES323" s="117"/>
      <c r="AET323" s="117"/>
      <c r="AEU323" s="117"/>
      <c r="AEV323" s="117"/>
      <c r="AEW323" s="117"/>
      <c r="AEX323" s="117"/>
      <c r="AEY323" s="117"/>
      <c r="AEZ323" s="117"/>
      <c r="AFA323" s="117"/>
      <c r="AFB323" s="117"/>
      <c r="AFC323" s="117"/>
      <c r="AFD323" s="117"/>
      <c r="AFE323" s="117"/>
      <c r="AFF323" s="117"/>
      <c r="AFG323" s="117"/>
      <c r="AFH323" s="117"/>
      <c r="AFI323" s="117"/>
      <c r="AFJ323" s="117"/>
      <c r="AFK323" s="117"/>
      <c r="AFL323" s="117"/>
      <c r="AFM323" s="117"/>
      <c r="AFN323" s="117"/>
      <c r="AFO323" s="117"/>
      <c r="AFP323" s="117"/>
      <c r="AFQ323" s="117"/>
      <c r="AFR323" s="117"/>
      <c r="AFS323" s="117"/>
      <c r="AFT323" s="117"/>
      <c r="AFU323" s="117"/>
      <c r="AFV323" s="117"/>
      <c r="AFW323" s="117"/>
      <c r="AFX323" s="117"/>
      <c r="AFY323" s="117"/>
      <c r="AFZ323" s="117"/>
      <c r="AGA323" s="117"/>
      <c r="AGB323" s="117"/>
      <c r="AGC323" s="117"/>
      <c r="AGD323" s="117"/>
      <c r="AGE323" s="117"/>
      <c r="AGF323" s="117"/>
      <c r="AGG323" s="117"/>
      <c r="AGH323" s="117"/>
      <c r="AGI323" s="117"/>
      <c r="AGJ323" s="117"/>
      <c r="AGK323" s="117"/>
      <c r="AGL323" s="117"/>
      <c r="AGM323" s="117"/>
      <c r="AGN323" s="117"/>
      <c r="AGO323" s="117"/>
      <c r="AGP323" s="117"/>
      <c r="AGQ323" s="117"/>
      <c r="AGR323" s="117"/>
      <c r="AGS323" s="117"/>
      <c r="AGT323" s="117"/>
      <c r="AGU323" s="117"/>
      <c r="AGV323" s="117"/>
      <c r="AGW323" s="117"/>
      <c r="AGX323" s="117"/>
      <c r="AGY323" s="117"/>
      <c r="AGZ323" s="117"/>
      <c r="AHA323" s="117"/>
      <c r="AHB323" s="117"/>
      <c r="AHC323" s="117"/>
      <c r="AHD323" s="117"/>
      <c r="AHE323" s="117"/>
      <c r="AHF323" s="117"/>
      <c r="AHG323" s="117"/>
      <c r="AHH323" s="117"/>
      <c r="AHI323" s="117"/>
      <c r="AHJ323" s="117"/>
      <c r="AHK323" s="117"/>
      <c r="AHL323" s="117"/>
      <c r="AHM323" s="117"/>
      <c r="AHN323" s="117"/>
      <c r="AHO323" s="117"/>
      <c r="AHP323" s="117"/>
      <c r="AHQ323" s="117"/>
      <c r="AHR323" s="117"/>
      <c r="AHS323" s="117"/>
      <c r="AHT323" s="117"/>
      <c r="AHU323" s="117"/>
      <c r="AHV323" s="117"/>
      <c r="AHW323" s="117"/>
      <c r="AHX323" s="117"/>
      <c r="AHY323" s="117"/>
      <c r="AHZ323" s="117"/>
      <c r="AIA323" s="117"/>
      <c r="AIB323" s="117"/>
      <c r="AIC323" s="117"/>
      <c r="AID323" s="117"/>
      <c r="AIE323" s="117"/>
      <c r="AIF323" s="117"/>
      <c r="AIG323" s="117"/>
      <c r="AIH323" s="117"/>
      <c r="AII323" s="117"/>
      <c r="AIJ323" s="117"/>
      <c r="AIK323" s="117"/>
      <c r="AIL323" s="117"/>
      <c r="AIM323" s="117"/>
      <c r="AIN323" s="117"/>
      <c r="AIO323" s="117"/>
      <c r="AIP323" s="117"/>
      <c r="AIQ323" s="117"/>
      <c r="AIR323" s="117"/>
      <c r="AIS323" s="117"/>
      <c r="AIT323" s="117"/>
      <c r="AIU323" s="117"/>
      <c r="AIV323" s="117"/>
      <c r="AIW323" s="117"/>
      <c r="AIX323" s="117"/>
      <c r="AIY323" s="117"/>
      <c r="AIZ323" s="117"/>
      <c r="AJA323" s="117"/>
      <c r="AJB323" s="117"/>
      <c r="AJC323" s="117"/>
      <c r="AJD323" s="117"/>
      <c r="AJE323" s="117"/>
      <c r="AJF323" s="117"/>
      <c r="AJG323" s="117"/>
      <c r="AJH323" s="117"/>
      <c r="AJI323" s="117"/>
      <c r="AJJ323" s="117"/>
      <c r="AJK323" s="117"/>
      <c r="AJL323" s="117"/>
      <c r="AJM323" s="117"/>
      <c r="AJN323" s="117"/>
      <c r="AJO323" s="117"/>
      <c r="AJP323" s="117"/>
      <c r="AJQ323" s="117"/>
      <c r="AJR323" s="117"/>
      <c r="AJS323" s="117"/>
      <c r="AJT323" s="117"/>
      <c r="AJU323" s="117"/>
      <c r="AJV323" s="117"/>
      <c r="AJW323" s="117"/>
      <c r="AJX323" s="117"/>
      <c r="AJY323" s="117"/>
      <c r="AJZ323" s="117"/>
      <c r="AKA323" s="117"/>
      <c r="AKB323" s="117"/>
      <c r="AKC323" s="117"/>
      <c r="AKD323" s="117"/>
      <c r="AKE323" s="117"/>
      <c r="AKF323" s="117"/>
      <c r="AKG323" s="117"/>
      <c r="AKH323" s="117"/>
      <c r="AKI323" s="117"/>
      <c r="AKJ323" s="117"/>
      <c r="AKK323" s="117"/>
      <c r="AKL323" s="117"/>
      <c r="AKM323" s="117"/>
      <c r="AKN323" s="117"/>
      <c r="AKO323" s="117"/>
      <c r="AKP323" s="117"/>
      <c r="AKQ323" s="117"/>
      <c r="AKR323" s="117"/>
      <c r="AKS323" s="117"/>
      <c r="AKT323" s="117"/>
      <c r="AKU323" s="117"/>
      <c r="AKV323" s="117"/>
      <c r="AKW323" s="117"/>
      <c r="AKX323" s="117"/>
      <c r="AKY323" s="117"/>
      <c r="AKZ323" s="117"/>
      <c r="ALA323" s="117"/>
      <c r="ALB323" s="117"/>
      <c r="ALC323" s="117"/>
      <c r="ALD323" s="117"/>
      <c r="ALE323" s="117"/>
      <c r="ALF323" s="117"/>
      <c r="ALG323" s="117"/>
      <c r="ALH323" s="117"/>
      <c r="ALI323" s="117"/>
      <c r="ALJ323" s="117"/>
      <c r="ALK323" s="117"/>
      <c r="ALL323" s="117"/>
      <c r="ALM323" s="117"/>
      <c r="ALN323" s="117"/>
      <c r="ALO323" s="117"/>
      <c r="ALP323" s="117"/>
      <c r="ALQ323" s="117"/>
      <c r="ALR323" s="117"/>
      <c r="ALS323" s="117"/>
      <c r="ALT323" s="117"/>
      <c r="ALU323" s="117"/>
      <c r="ALV323" s="117"/>
      <c r="ALW323" s="117"/>
      <c r="ALX323" s="117"/>
      <c r="ALY323" s="117"/>
      <c r="ALZ323" s="117"/>
      <c r="AMA323" s="117"/>
      <c r="AMB323" s="117"/>
      <c r="AMC323" s="117"/>
      <c r="AMD323" s="117"/>
      <c r="AME323" s="117"/>
    </row>
    <row r="324" spans="1:1019" s="191" customFormat="1" ht="11.25" customHeight="1">
      <c r="A324" s="139">
        <v>322</v>
      </c>
      <c r="B324" s="139"/>
      <c r="C324" s="193" t="s">
        <v>504</v>
      </c>
      <c r="D324" s="190">
        <v>1</v>
      </c>
      <c r="E324" s="190">
        <f t="shared" si="47"/>
        <v>40</v>
      </c>
      <c r="F324" s="173" t="s">
        <v>526</v>
      </c>
      <c r="G324" s="172">
        <v>242</v>
      </c>
      <c r="H324" s="143">
        <f>INT((G324*Valores!$C$2*100)+0.5)/100</f>
        <v>2260.21</v>
      </c>
      <c r="I324" s="161">
        <v>0</v>
      </c>
      <c r="J324" s="145">
        <f>INT((I324*Valores!$C$2*100)+0.5)/100</f>
        <v>0</v>
      </c>
      <c r="K324" s="160">
        <v>0</v>
      </c>
      <c r="L324" s="145">
        <f>INT((K324*Valores!$C$2*100)+0.5)/100</f>
        <v>0</v>
      </c>
      <c r="M324" s="158">
        <v>0</v>
      </c>
      <c r="N324" s="145">
        <f>INT((M324*Valores!$C$2*100)+0.5)/100</f>
        <v>0</v>
      </c>
      <c r="O324" s="145">
        <f t="shared" si="48"/>
        <v>0</v>
      </c>
      <c r="P324" s="145">
        <f t="shared" si="49"/>
        <v>0</v>
      </c>
      <c r="Q324" s="159">
        <v>0</v>
      </c>
      <c r="R324" s="159">
        <v>0</v>
      </c>
      <c r="S324" s="145">
        <v>0</v>
      </c>
      <c r="T324" s="148">
        <f>IF($H$5="NO",Valores!$C$47,Valores!$C$47/2)</f>
        <v>158.98</v>
      </c>
      <c r="U324" s="159">
        <v>0</v>
      </c>
      <c r="V324" s="145">
        <f t="shared" si="57"/>
        <v>0</v>
      </c>
      <c r="W324" s="145">
        <v>0</v>
      </c>
      <c r="X324" s="145">
        <v>0</v>
      </c>
      <c r="Y324" s="165">
        <v>0</v>
      </c>
      <c r="Z324" s="145">
        <v>0</v>
      </c>
      <c r="AA324" s="145">
        <v>0</v>
      </c>
      <c r="AB324" s="148">
        <f>Valores!$C$93</f>
        <v>115.38461538461542</v>
      </c>
      <c r="AC324" s="150">
        <v>0</v>
      </c>
      <c r="AD324" s="145">
        <f t="shared" si="51"/>
        <v>0</v>
      </c>
      <c r="AE324" s="145">
        <v>0</v>
      </c>
      <c r="AF324" s="149">
        <v>0</v>
      </c>
      <c r="AG324" s="145">
        <f>INT(((AF324*Valores!$C$2)*100)+0.5)/100</f>
        <v>0</v>
      </c>
      <c r="AH324" s="145">
        <f>Valores!$C$60</f>
        <v>54.2</v>
      </c>
      <c r="AI324" s="145">
        <f>Valores!$C$62</f>
        <v>15.49</v>
      </c>
      <c r="AJ324" s="151">
        <f t="shared" si="52"/>
        <v>2604.264615384615</v>
      </c>
      <c r="AK324" s="171"/>
      <c r="AL324" s="148">
        <f>Valores!$C$12</f>
        <v>0</v>
      </c>
      <c r="AM324" s="148">
        <f>Valores!$C$88</f>
        <v>227.49999999999997</v>
      </c>
      <c r="AN324" s="148"/>
      <c r="AO324" s="150">
        <v>0</v>
      </c>
      <c r="AP324" s="152">
        <f t="shared" si="50"/>
        <v>227.49999999999997</v>
      </c>
      <c r="AQ324" s="154">
        <f>AJ324*-Valores!$C$68</f>
        <v>-286.46910769230766</v>
      </c>
      <c r="AR324" s="154">
        <f>AJ324*-Valores!$C$69</f>
        <v>0</v>
      </c>
      <c r="AS324" s="147">
        <f>AJ324*-Valores!$C$70</f>
        <v>-117.19190769230767</v>
      </c>
      <c r="AT324" s="147">
        <v>-159.43</v>
      </c>
      <c r="AU324" s="147">
        <f t="shared" si="53"/>
        <v>-53.83</v>
      </c>
      <c r="AV324" s="151">
        <f t="shared" si="54"/>
        <v>2214.8435999999997</v>
      </c>
      <c r="AW324" s="155"/>
      <c r="AX324" s="155"/>
      <c r="AY324" s="140" t="s">
        <v>4</v>
      </c>
      <c r="AZ324" s="117"/>
      <c r="BA324" s="117"/>
      <c r="BB324" s="117"/>
      <c r="BC324" s="117"/>
      <c r="BD324" s="117"/>
      <c r="BE324" s="117"/>
      <c r="BF324" s="117"/>
      <c r="BG324" s="117"/>
      <c r="BH324" s="117"/>
      <c r="BI324" s="117"/>
      <c r="BJ324" s="117"/>
      <c r="BK324" s="117"/>
      <c r="BL324" s="117"/>
      <c r="BM324" s="117"/>
      <c r="BN324" s="117"/>
      <c r="BO324" s="117"/>
      <c r="BP324" s="117"/>
      <c r="BQ324" s="117"/>
      <c r="BR324" s="117"/>
      <c r="BS324" s="117"/>
      <c r="BT324" s="117"/>
      <c r="BU324" s="117"/>
      <c r="BV324" s="117"/>
      <c r="BW324" s="117"/>
      <c r="BX324" s="117"/>
      <c r="BY324" s="117"/>
      <c r="BZ324" s="117"/>
      <c r="CA324" s="117"/>
      <c r="CB324" s="117"/>
      <c r="CC324" s="117"/>
      <c r="CD324" s="117"/>
      <c r="CE324" s="117"/>
      <c r="CF324" s="117"/>
      <c r="CG324" s="117"/>
      <c r="CH324" s="117"/>
      <c r="CI324" s="117"/>
      <c r="CJ324" s="117"/>
      <c r="CK324" s="117"/>
      <c r="CL324" s="117"/>
      <c r="CM324" s="117"/>
      <c r="CN324" s="117"/>
      <c r="CO324" s="117"/>
      <c r="CP324" s="117"/>
      <c r="CQ324" s="117"/>
      <c r="CR324" s="117"/>
      <c r="CS324" s="117"/>
      <c r="CT324" s="117"/>
      <c r="CU324" s="117"/>
      <c r="CV324" s="117"/>
      <c r="CW324" s="117"/>
      <c r="CX324" s="117"/>
      <c r="CY324" s="117"/>
      <c r="CZ324" s="117"/>
      <c r="DA324" s="117"/>
      <c r="DB324" s="117"/>
      <c r="DC324" s="117"/>
      <c r="DD324" s="117"/>
      <c r="DE324" s="117"/>
      <c r="DF324" s="117"/>
      <c r="DG324" s="117"/>
      <c r="DH324" s="117"/>
      <c r="DI324" s="117"/>
      <c r="DJ324" s="117"/>
      <c r="DK324" s="117"/>
      <c r="DL324" s="117"/>
      <c r="DM324" s="117"/>
      <c r="DN324" s="117"/>
      <c r="DO324" s="117"/>
      <c r="DP324" s="117"/>
      <c r="DQ324" s="117"/>
      <c r="DR324" s="117"/>
      <c r="DS324" s="117"/>
      <c r="DT324" s="117"/>
      <c r="DU324" s="117"/>
      <c r="DV324" s="117"/>
      <c r="DW324" s="117"/>
      <c r="DX324" s="117"/>
      <c r="DY324" s="117"/>
      <c r="DZ324" s="117"/>
      <c r="EA324" s="117"/>
      <c r="EB324" s="117"/>
      <c r="EC324" s="117"/>
      <c r="ED324" s="117"/>
      <c r="EE324" s="117"/>
      <c r="EF324" s="117"/>
      <c r="EG324" s="117"/>
      <c r="EH324" s="117"/>
      <c r="EI324" s="117"/>
      <c r="EJ324" s="117"/>
      <c r="EK324" s="117"/>
      <c r="EL324" s="117"/>
      <c r="EM324" s="117"/>
      <c r="EN324" s="117"/>
      <c r="EO324" s="117"/>
      <c r="EP324" s="117"/>
      <c r="EQ324" s="117"/>
      <c r="ER324" s="117"/>
      <c r="ES324" s="117"/>
      <c r="ET324" s="117"/>
      <c r="EU324" s="117"/>
      <c r="EV324" s="117"/>
      <c r="EW324" s="117"/>
      <c r="EX324" s="117"/>
      <c r="EY324" s="117"/>
      <c r="EZ324" s="117"/>
      <c r="FA324" s="117"/>
      <c r="FB324" s="117"/>
      <c r="FC324" s="117"/>
      <c r="FD324" s="117"/>
      <c r="FE324" s="117"/>
      <c r="FF324" s="117"/>
      <c r="FG324" s="117"/>
      <c r="FH324" s="117"/>
      <c r="FI324" s="117"/>
      <c r="FJ324" s="117"/>
      <c r="FK324" s="117"/>
      <c r="FL324" s="117"/>
      <c r="FM324" s="117"/>
      <c r="FN324" s="117"/>
      <c r="FO324" s="117"/>
      <c r="FP324" s="117"/>
      <c r="FQ324" s="117"/>
      <c r="FR324" s="117"/>
      <c r="FS324" s="117"/>
      <c r="FT324" s="117"/>
      <c r="FU324" s="117"/>
      <c r="FV324" s="117"/>
      <c r="FW324" s="117"/>
      <c r="FX324" s="117"/>
      <c r="FY324" s="117"/>
      <c r="FZ324" s="117"/>
      <c r="GA324" s="117"/>
      <c r="GB324" s="117"/>
      <c r="GC324" s="117"/>
      <c r="GD324" s="117"/>
      <c r="GE324" s="117"/>
      <c r="GF324" s="117"/>
      <c r="GG324" s="117"/>
      <c r="GH324" s="117"/>
      <c r="GI324" s="117"/>
      <c r="GJ324" s="117"/>
      <c r="GK324" s="117"/>
      <c r="GL324" s="117"/>
      <c r="GM324" s="117"/>
      <c r="GN324" s="117"/>
      <c r="GO324" s="117"/>
      <c r="GP324" s="117"/>
      <c r="GQ324" s="117"/>
      <c r="GR324" s="117"/>
      <c r="GS324" s="117"/>
      <c r="GT324" s="117"/>
      <c r="GU324" s="117"/>
      <c r="GV324" s="117"/>
      <c r="GW324" s="117"/>
      <c r="GX324" s="117"/>
      <c r="GY324" s="117"/>
      <c r="GZ324" s="117"/>
      <c r="HA324" s="117"/>
      <c r="HB324" s="117"/>
      <c r="HC324" s="117"/>
      <c r="HD324" s="117"/>
      <c r="HE324" s="117"/>
      <c r="HF324" s="117"/>
      <c r="HG324" s="117"/>
      <c r="HH324" s="117"/>
      <c r="HI324" s="117"/>
      <c r="HJ324" s="117"/>
      <c r="HK324" s="117"/>
      <c r="HL324" s="117"/>
      <c r="HM324" s="117"/>
      <c r="HN324" s="117"/>
      <c r="HO324" s="117"/>
      <c r="HP324" s="117"/>
      <c r="HQ324" s="117"/>
      <c r="HR324" s="117"/>
      <c r="HS324" s="117"/>
      <c r="HT324" s="117"/>
      <c r="HU324" s="117"/>
      <c r="HV324" s="117"/>
      <c r="HW324" s="117"/>
      <c r="HX324" s="117"/>
      <c r="HY324" s="117"/>
      <c r="HZ324" s="117"/>
      <c r="IA324" s="117"/>
      <c r="IB324" s="117"/>
      <c r="IC324" s="117"/>
      <c r="ID324" s="117"/>
      <c r="IE324" s="117"/>
      <c r="IF324" s="117"/>
      <c r="IG324" s="117"/>
      <c r="IH324" s="117"/>
      <c r="II324" s="117"/>
      <c r="IJ324" s="117"/>
      <c r="IK324" s="117"/>
      <c r="IL324" s="117"/>
      <c r="IM324" s="117"/>
      <c r="IN324" s="117"/>
      <c r="IO324" s="117"/>
      <c r="IP324" s="117"/>
      <c r="IQ324" s="117"/>
      <c r="IR324" s="117"/>
      <c r="IS324" s="117"/>
      <c r="IT324" s="117"/>
      <c r="IU324" s="117"/>
      <c r="IV324" s="117"/>
      <c r="IW324" s="117"/>
      <c r="IX324" s="117"/>
      <c r="IY324" s="117"/>
      <c r="IZ324" s="117"/>
      <c r="JA324" s="117"/>
      <c r="JB324" s="117"/>
      <c r="JC324" s="117"/>
      <c r="JD324" s="117"/>
      <c r="JE324" s="117"/>
      <c r="JF324" s="117"/>
      <c r="JG324" s="117"/>
      <c r="JH324" s="117"/>
      <c r="JI324" s="117"/>
      <c r="JJ324" s="117"/>
      <c r="JK324" s="117"/>
      <c r="JL324" s="117"/>
      <c r="JM324" s="117"/>
      <c r="JN324" s="117"/>
      <c r="JO324" s="117"/>
      <c r="JP324" s="117"/>
      <c r="JQ324" s="117"/>
      <c r="JR324" s="117"/>
      <c r="JS324" s="117"/>
      <c r="JT324" s="117"/>
      <c r="JU324" s="117"/>
      <c r="JV324" s="117"/>
      <c r="JW324" s="117"/>
      <c r="JX324" s="117"/>
      <c r="JY324" s="117"/>
      <c r="JZ324" s="117"/>
      <c r="KA324" s="117"/>
      <c r="KB324" s="117"/>
      <c r="KC324" s="117"/>
      <c r="KD324" s="117"/>
      <c r="KE324" s="117"/>
      <c r="KF324" s="117"/>
      <c r="KG324" s="117"/>
      <c r="KH324" s="117"/>
      <c r="KI324" s="117"/>
      <c r="KJ324" s="117"/>
      <c r="KK324" s="117"/>
      <c r="KL324" s="117"/>
      <c r="KM324" s="117"/>
      <c r="KN324" s="117"/>
      <c r="KO324" s="117"/>
      <c r="KP324" s="117"/>
      <c r="KQ324" s="117"/>
      <c r="KR324" s="117"/>
      <c r="KS324" s="117"/>
      <c r="KT324" s="117"/>
      <c r="KU324" s="117"/>
      <c r="KV324" s="117"/>
      <c r="KW324" s="117"/>
      <c r="KX324" s="117"/>
      <c r="KY324" s="117"/>
      <c r="KZ324" s="117"/>
      <c r="LA324" s="117"/>
      <c r="LB324" s="117"/>
      <c r="LC324" s="117"/>
      <c r="LD324" s="117"/>
      <c r="LE324" s="117"/>
      <c r="LF324" s="117"/>
      <c r="LG324" s="117"/>
      <c r="LH324" s="117"/>
      <c r="LI324" s="117"/>
      <c r="LJ324" s="117"/>
      <c r="LK324" s="117"/>
      <c r="LL324" s="117"/>
      <c r="LM324" s="117"/>
      <c r="LN324" s="117"/>
      <c r="LO324" s="117"/>
      <c r="LP324" s="117"/>
      <c r="LQ324" s="117"/>
      <c r="LR324" s="117"/>
      <c r="LS324" s="117"/>
      <c r="LT324" s="117"/>
      <c r="LU324" s="117"/>
      <c r="LV324" s="117"/>
      <c r="LW324" s="117"/>
      <c r="LX324" s="117"/>
      <c r="LY324" s="117"/>
      <c r="LZ324" s="117"/>
      <c r="MA324" s="117"/>
      <c r="MB324" s="117"/>
      <c r="MC324" s="117"/>
      <c r="MD324" s="117"/>
      <c r="ME324" s="117"/>
      <c r="MF324" s="117"/>
      <c r="MG324" s="117"/>
      <c r="MH324" s="117"/>
      <c r="MI324" s="117"/>
      <c r="MJ324" s="117"/>
      <c r="MK324" s="117"/>
      <c r="ML324" s="117"/>
      <c r="MM324" s="117"/>
      <c r="MN324" s="117"/>
      <c r="MO324" s="117"/>
      <c r="MP324" s="117"/>
      <c r="MQ324" s="117"/>
      <c r="MR324" s="117"/>
      <c r="MS324" s="117"/>
      <c r="MT324" s="117"/>
      <c r="MU324" s="117"/>
      <c r="MV324" s="117"/>
      <c r="MW324" s="117"/>
      <c r="MX324" s="117"/>
      <c r="MY324" s="117"/>
      <c r="MZ324" s="117"/>
      <c r="NA324" s="117"/>
      <c r="NB324" s="117"/>
      <c r="NC324" s="117"/>
      <c r="ND324" s="117"/>
      <c r="NE324" s="117"/>
      <c r="NF324" s="117"/>
      <c r="NG324" s="117"/>
      <c r="NH324" s="117"/>
      <c r="NI324" s="117"/>
      <c r="NJ324" s="117"/>
      <c r="NK324" s="117"/>
      <c r="NL324" s="117"/>
      <c r="NM324" s="117"/>
      <c r="NN324" s="117"/>
      <c r="NO324" s="117"/>
      <c r="NP324" s="117"/>
      <c r="NQ324" s="117"/>
      <c r="NR324" s="117"/>
      <c r="NS324" s="117"/>
      <c r="NT324" s="117"/>
      <c r="NU324" s="117"/>
      <c r="NV324" s="117"/>
      <c r="NW324" s="117"/>
      <c r="NX324" s="117"/>
      <c r="NY324" s="117"/>
      <c r="NZ324" s="117"/>
      <c r="OA324" s="117"/>
      <c r="OB324" s="117"/>
      <c r="OC324" s="117"/>
      <c r="OD324" s="117"/>
      <c r="OE324" s="117"/>
      <c r="OF324" s="117"/>
      <c r="OG324" s="117"/>
      <c r="OH324" s="117"/>
      <c r="OI324" s="117"/>
      <c r="OJ324" s="117"/>
      <c r="OK324" s="117"/>
      <c r="OL324" s="117"/>
      <c r="OM324" s="117"/>
      <c r="ON324" s="117"/>
      <c r="OO324" s="117"/>
      <c r="OP324" s="117"/>
      <c r="OQ324" s="117"/>
      <c r="OR324" s="117"/>
      <c r="OS324" s="117"/>
      <c r="OT324" s="117"/>
      <c r="OU324" s="117"/>
      <c r="OV324" s="117"/>
      <c r="OW324" s="117"/>
      <c r="OX324" s="117"/>
      <c r="OY324" s="117"/>
      <c r="OZ324" s="117"/>
      <c r="PA324" s="117"/>
      <c r="PB324" s="117"/>
      <c r="PC324" s="117"/>
      <c r="PD324" s="117"/>
      <c r="PE324" s="117"/>
      <c r="PF324" s="117"/>
      <c r="PG324" s="117"/>
      <c r="PH324" s="117"/>
      <c r="PI324" s="117"/>
      <c r="PJ324" s="117"/>
      <c r="PK324" s="117"/>
      <c r="PL324" s="117"/>
      <c r="PM324" s="117"/>
      <c r="PN324" s="117"/>
      <c r="PO324" s="117"/>
      <c r="PP324" s="117"/>
      <c r="PQ324" s="117"/>
      <c r="PR324" s="117"/>
      <c r="PS324" s="117"/>
      <c r="PT324" s="117"/>
      <c r="PU324" s="117"/>
      <c r="PV324" s="117"/>
      <c r="PW324" s="117"/>
      <c r="PX324" s="117"/>
      <c r="PY324" s="117"/>
      <c r="PZ324" s="117"/>
      <c r="QA324" s="117"/>
      <c r="QB324" s="117"/>
      <c r="QC324" s="117"/>
      <c r="QD324" s="117"/>
      <c r="QE324" s="117"/>
      <c r="QF324" s="117"/>
      <c r="QG324" s="117"/>
      <c r="QH324" s="117"/>
      <c r="QI324" s="117"/>
      <c r="QJ324" s="117"/>
      <c r="QK324" s="117"/>
      <c r="QL324" s="117"/>
      <c r="QM324" s="117"/>
      <c r="QN324" s="117"/>
      <c r="QO324" s="117"/>
      <c r="QP324" s="117"/>
      <c r="QQ324" s="117"/>
      <c r="QR324" s="117"/>
      <c r="QS324" s="117"/>
      <c r="QT324" s="117"/>
      <c r="QU324" s="117"/>
      <c r="QV324" s="117"/>
      <c r="QW324" s="117"/>
      <c r="QX324" s="117"/>
      <c r="QY324" s="117"/>
      <c r="QZ324" s="117"/>
      <c r="RA324" s="117"/>
      <c r="RB324" s="117"/>
      <c r="RC324" s="117"/>
      <c r="RD324" s="117"/>
      <c r="RE324" s="117"/>
      <c r="RF324" s="117"/>
      <c r="RG324" s="117"/>
      <c r="RH324" s="117"/>
      <c r="RI324" s="117"/>
      <c r="RJ324" s="117"/>
      <c r="RK324" s="117"/>
      <c r="RL324" s="117"/>
      <c r="RM324" s="117"/>
      <c r="RN324" s="117"/>
      <c r="RO324" s="117"/>
      <c r="RP324" s="117"/>
      <c r="RQ324" s="117"/>
      <c r="RR324" s="117"/>
      <c r="RS324" s="117"/>
      <c r="RT324" s="117"/>
      <c r="RU324" s="117"/>
      <c r="RV324" s="117"/>
      <c r="RW324" s="117"/>
      <c r="RX324" s="117"/>
      <c r="RY324" s="117"/>
      <c r="RZ324" s="117"/>
      <c r="SA324" s="117"/>
      <c r="SB324" s="117"/>
      <c r="SC324" s="117"/>
      <c r="SD324" s="117"/>
      <c r="SE324" s="117"/>
      <c r="SF324" s="117"/>
      <c r="SG324" s="117"/>
      <c r="SH324" s="117"/>
      <c r="SI324" s="117"/>
      <c r="SJ324" s="117"/>
      <c r="SK324" s="117"/>
      <c r="SL324" s="117"/>
      <c r="SM324" s="117"/>
      <c r="SN324" s="117"/>
      <c r="SO324" s="117"/>
      <c r="SP324" s="117"/>
      <c r="SQ324" s="117"/>
      <c r="SR324" s="117"/>
      <c r="SS324" s="117"/>
      <c r="ST324" s="117"/>
      <c r="SU324" s="117"/>
      <c r="SV324" s="117"/>
      <c r="SW324" s="117"/>
      <c r="SX324" s="117"/>
      <c r="SY324" s="117"/>
      <c r="SZ324" s="117"/>
      <c r="TA324" s="117"/>
      <c r="TB324" s="117"/>
      <c r="TC324" s="117"/>
      <c r="TD324" s="117"/>
      <c r="TE324" s="117"/>
      <c r="TF324" s="117"/>
      <c r="TG324" s="117"/>
      <c r="TH324" s="117"/>
      <c r="TI324" s="117"/>
      <c r="TJ324" s="117"/>
      <c r="TK324" s="117"/>
      <c r="TL324" s="117"/>
      <c r="TM324" s="117"/>
      <c r="TN324" s="117"/>
      <c r="TO324" s="117"/>
      <c r="TP324" s="117"/>
      <c r="TQ324" s="117"/>
      <c r="TR324" s="117"/>
      <c r="TS324" s="117"/>
      <c r="TT324" s="117"/>
      <c r="TU324" s="117"/>
      <c r="TV324" s="117"/>
      <c r="TW324" s="117"/>
      <c r="TX324" s="117"/>
      <c r="TY324" s="117"/>
      <c r="TZ324" s="117"/>
      <c r="UA324" s="117"/>
      <c r="UB324" s="117"/>
      <c r="UC324" s="117"/>
      <c r="UD324" s="117"/>
      <c r="UE324" s="117"/>
      <c r="UF324" s="117"/>
      <c r="UG324" s="117"/>
      <c r="UH324" s="117"/>
      <c r="UI324" s="117"/>
      <c r="UJ324" s="117"/>
      <c r="UK324" s="117"/>
      <c r="UL324" s="117"/>
      <c r="UM324" s="117"/>
      <c r="UN324" s="117"/>
      <c r="UO324" s="117"/>
      <c r="UP324" s="117"/>
      <c r="UQ324" s="117"/>
      <c r="UR324" s="117"/>
      <c r="US324" s="117"/>
      <c r="UT324" s="117"/>
      <c r="UU324" s="117"/>
      <c r="UV324" s="117"/>
      <c r="UW324" s="117"/>
      <c r="UX324" s="117"/>
      <c r="UY324" s="117"/>
      <c r="UZ324" s="117"/>
      <c r="VA324" s="117"/>
      <c r="VB324" s="117"/>
      <c r="VC324" s="117"/>
      <c r="VD324" s="117"/>
      <c r="VE324" s="117"/>
      <c r="VF324" s="117"/>
      <c r="VG324" s="117"/>
      <c r="VH324" s="117"/>
      <c r="VI324" s="117"/>
      <c r="VJ324" s="117"/>
      <c r="VK324" s="117"/>
      <c r="VL324" s="117"/>
      <c r="VM324" s="117"/>
      <c r="VN324" s="117"/>
      <c r="VO324" s="117"/>
      <c r="VP324" s="117"/>
      <c r="VQ324" s="117"/>
      <c r="VR324" s="117"/>
      <c r="VS324" s="117"/>
      <c r="VT324" s="117"/>
      <c r="VU324" s="117"/>
      <c r="VV324" s="117"/>
      <c r="VW324" s="117"/>
      <c r="VX324" s="117"/>
      <c r="VY324" s="117"/>
      <c r="VZ324" s="117"/>
      <c r="WA324" s="117"/>
      <c r="WB324" s="117"/>
      <c r="WC324" s="117"/>
      <c r="WD324" s="117"/>
      <c r="WE324" s="117"/>
      <c r="WF324" s="117"/>
      <c r="WG324" s="117"/>
      <c r="WH324" s="117"/>
      <c r="WI324" s="117"/>
      <c r="WJ324" s="117"/>
      <c r="WK324" s="117"/>
      <c r="WL324" s="117"/>
      <c r="WM324" s="117"/>
      <c r="WN324" s="117"/>
      <c r="WO324" s="117"/>
      <c r="WP324" s="117"/>
      <c r="WQ324" s="117"/>
      <c r="WR324" s="117"/>
      <c r="WS324" s="117"/>
      <c r="WT324" s="117"/>
      <c r="WU324" s="117"/>
      <c r="WV324" s="117"/>
      <c r="WW324" s="117"/>
      <c r="WX324" s="117"/>
      <c r="WY324" s="117"/>
      <c r="WZ324" s="117"/>
      <c r="XA324" s="117"/>
      <c r="XB324" s="117"/>
      <c r="XC324" s="117"/>
      <c r="XD324" s="117"/>
      <c r="XE324" s="117"/>
      <c r="XF324" s="117"/>
      <c r="XG324" s="117"/>
      <c r="XH324" s="117"/>
      <c r="XI324" s="117"/>
      <c r="XJ324" s="117"/>
      <c r="XK324" s="117"/>
      <c r="XL324" s="117"/>
      <c r="XM324" s="117"/>
      <c r="XN324" s="117"/>
      <c r="XO324" s="117"/>
      <c r="XP324" s="117"/>
      <c r="XQ324" s="117"/>
      <c r="XR324" s="117"/>
      <c r="XS324" s="117"/>
      <c r="XT324" s="117"/>
      <c r="XU324" s="117"/>
      <c r="XV324" s="117"/>
      <c r="XW324" s="117"/>
      <c r="XX324" s="117"/>
      <c r="XY324" s="117"/>
      <c r="XZ324" s="117"/>
      <c r="YA324" s="117"/>
      <c r="YB324" s="117"/>
      <c r="YC324" s="117"/>
      <c r="YD324" s="117"/>
      <c r="YE324" s="117"/>
      <c r="YF324" s="117"/>
      <c r="YG324" s="117"/>
      <c r="YH324" s="117"/>
      <c r="YI324" s="117"/>
      <c r="YJ324" s="117"/>
      <c r="YK324" s="117"/>
      <c r="YL324" s="117"/>
      <c r="YM324" s="117"/>
      <c r="YN324" s="117"/>
      <c r="YO324" s="117"/>
      <c r="YP324" s="117"/>
      <c r="YQ324" s="117"/>
      <c r="YR324" s="117"/>
      <c r="YS324" s="117"/>
      <c r="YT324" s="117"/>
      <c r="YU324" s="117"/>
      <c r="YV324" s="117"/>
      <c r="YW324" s="117"/>
      <c r="YX324" s="117"/>
      <c r="YY324" s="117"/>
      <c r="YZ324" s="117"/>
      <c r="ZA324" s="117"/>
      <c r="ZB324" s="117"/>
      <c r="ZC324" s="117"/>
      <c r="ZD324" s="117"/>
      <c r="ZE324" s="117"/>
      <c r="ZF324" s="117"/>
      <c r="ZG324" s="117"/>
      <c r="ZH324" s="117"/>
      <c r="ZI324" s="117"/>
      <c r="ZJ324" s="117"/>
      <c r="ZK324" s="117"/>
      <c r="ZL324" s="117"/>
      <c r="ZM324" s="117"/>
      <c r="ZN324" s="117"/>
      <c r="ZO324" s="117"/>
      <c r="ZP324" s="117"/>
      <c r="ZQ324" s="117"/>
      <c r="ZR324" s="117"/>
      <c r="ZS324" s="117"/>
      <c r="ZT324" s="117"/>
      <c r="ZU324" s="117"/>
      <c r="ZV324" s="117"/>
      <c r="ZW324" s="117"/>
      <c r="ZX324" s="117"/>
      <c r="ZY324" s="117"/>
      <c r="ZZ324" s="117"/>
      <c r="AAA324" s="117"/>
      <c r="AAB324" s="117"/>
      <c r="AAC324" s="117"/>
      <c r="AAD324" s="117"/>
      <c r="AAE324" s="117"/>
      <c r="AAF324" s="117"/>
      <c r="AAG324" s="117"/>
      <c r="AAH324" s="117"/>
      <c r="AAI324" s="117"/>
      <c r="AAJ324" s="117"/>
      <c r="AAK324" s="117"/>
      <c r="AAL324" s="117"/>
      <c r="AAM324" s="117"/>
      <c r="AAN324" s="117"/>
      <c r="AAO324" s="117"/>
      <c r="AAP324" s="117"/>
      <c r="AAQ324" s="117"/>
      <c r="AAR324" s="117"/>
      <c r="AAS324" s="117"/>
      <c r="AAT324" s="117"/>
      <c r="AAU324" s="117"/>
      <c r="AAV324" s="117"/>
      <c r="AAW324" s="117"/>
      <c r="AAX324" s="117"/>
      <c r="AAY324" s="117"/>
      <c r="AAZ324" s="117"/>
      <c r="ABA324" s="117"/>
      <c r="ABB324" s="117"/>
      <c r="ABC324" s="117"/>
      <c r="ABD324" s="117"/>
      <c r="ABE324" s="117"/>
      <c r="ABF324" s="117"/>
      <c r="ABG324" s="117"/>
      <c r="ABH324" s="117"/>
      <c r="ABI324" s="117"/>
      <c r="ABJ324" s="117"/>
      <c r="ABK324" s="117"/>
      <c r="ABL324" s="117"/>
      <c r="ABM324" s="117"/>
      <c r="ABN324" s="117"/>
      <c r="ABO324" s="117"/>
      <c r="ABP324" s="117"/>
      <c r="ABQ324" s="117"/>
      <c r="ABR324" s="117"/>
      <c r="ABS324" s="117"/>
      <c r="ABT324" s="117"/>
      <c r="ABU324" s="117"/>
      <c r="ABV324" s="117"/>
      <c r="ABW324" s="117"/>
      <c r="ABX324" s="117"/>
      <c r="ABY324" s="117"/>
      <c r="ABZ324" s="117"/>
      <c r="ACA324" s="117"/>
      <c r="ACB324" s="117"/>
      <c r="ACC324" s="117"/>
      <c r="ACD324" s="117"/>
      <c r="ACE324" s="117"/>
      <c r="ACF324" s="117"/>
      <c r="ACG324" s="117"/>
      <c r="ACH324" s="117"/>
      <c r="ACI324" s="117"/>
      <c r="ACJ324" s="117"/>
      <c r="ACK324" s="117"/>
      <c r="ACL324" s="117"/>
      <c r="ACM324" s="117"/>
      <c r="ACN324" s="117"/>
      <c r="ACO324" s="117"/>
      <c r="ACP324" s="117"/>
      <c r="ACQ324" s="117"/>
      <c r="ACR324" s="117"/>
      <c r="ACS324" s="117"/>
      <c r="ACT324" s="117"/>
      <c r="ACU324" s="117"/>
      <c r="ACV324" s="117"/>
      <c r="ACW324" s="117"/>
      <c r="ACX324" s="117"/>
      <c r="ACY324" s="117"/>
      <c r="ACZ324" s="117"/>
      <c r="ADA324" s="117"/>
      <c r="ADB324" s="117"/>
      <c r="ADC324" s="117"/>
      <c r="ADD324" s="117"/>
      <c r="ADE324" s="117"/>
      <c r="ADF324" s="117"/>
      <c r="ADG324" s="117"/>
      <c r="ADH324" s="117"/>
      <c r="ADI324" s="117"/>
      <c r="ADJ324" s="117"/>
      <c r="ADK324" s="117"/>
      <c r="ADL324" s="117"/>
      <c r="ADM324" s="117"/>
      <c r="ADN324" s="117"/>
      <c r="ADO324" s="117"/>
      <c r="ADP324" s="117"/>
      <c r="ADQ324" s="117"/>
      <c r="ADR324" s="117"/>
      <c r="ADS324" s="117"/>
      <c r="ADT324" s="117"/>
      <c r="ADU324" s="117"/>
      <c r="ADV324" s="117"/>
      <c r="ADW324" s="117"/>
      <c r="ADX324" s="117"/>
      <c r="ADY324" s="117"/>
      <c r="ADZ324" s="117"/>
      <c r="AEA324" s="117"/>
      <c r="AEB324" s="117"/>
      <c r="AEC324" s="117"/>
      <c r="AED324" s="117"/>
      <c r="AEE324" s="117"/>
      <c r="AEF324" s="117"/>
      <c r="AEG324" s="117"/>
      <c r="AEH324" s="117"/>
      <c r="AEI324" s="117"/>
      <c r="AEJ324" s="117"/>
      <c r="AEK324" s="117"/>
      <c r="AEL324" s="117"/>
      <c r="AEM324" s="117"/>
      <c r="AEN324" s="117"/>
      <c r="AEO324" s="117"/>
      <c r="AEP324" s="117"/>
      <c r="AEQ324" s="117"/>
      <c r="AER324" s="117"/>
      <c r="AES324" s="117"/>
      <c r="AET324" s="117"/>
      <c r="AEU324" s="117"/>
      <c r="AEV324" s="117"/>
      <c r="AEW324" s="117"/>
      <c r="AEX324" s="117"/>
      <c r="AEY324" s="117"/>
      <c r="AEZ324" s="117"/>
      <c r="AFA324" s="117"/>
      <c r="AFB324" s="117"/>
      <c r="AFC324" s="117"/>
      <c r="AFD324" s="117"/>
      <c r="AFE324" s="117"/>
      <c r="AFF324" s="117"/>
      <c r="AFG324" s="117"/>
      <c r="AFH324" s="117"/>
      <c r="AFI324" s="117"/>
      <c r="AFJ324" s="117"/>
      <c r="AFK324" s="117"/>
      <c r="AFL324" s="117"/>
      <c r="AFM324" s="117"/>
      <c r="AFN324" s="117"/>
      <c r="AFO324" s="117"/>
      <c r="AFP324" s="117"/>
      <c r="AFQ324" s="117"/>
      <c r="AFR324" s="117"/>
      <c r="AFS324" s="117"/>
      <c r="AFT324" s="117"/>
      <c r="AFU324" s="117"/>
      <c r="AFV324" s="117"/>
      <c r="AFW324" s="117"/>
      <c r="AFX324" s="117"/>
      <c r="AFY324" s="117"/>
      <c r="AFZ324" s="117"/>
      <c r="AGA324" s="117"/>
      <c r="AGB324" s="117"/>
      <c r="AGC324" s="117"/>
      <c r="AGD324" s="117"/>
      <c r="AGE324" s="117"/>
      <c r="AGF324" s="117"/>
      <c r="AGG324" s="117"/>
      <c r="AGH324" s="117"/>
      <c r="AGI324" s="117"/>
      <c r="AGJ324" s="117"/>
      <c r="AGK324" s="117"/>
      <c r="AGL324" s="117"/>
      <c r="AGM324" s="117"/>
      <c r="AGN324" s="117"/>
      <c r="AGO324" s="117"/>
      <c r="AGP324" s="117"/>
      <c r="AGQ324" s="117"/>
      <c r="AGR324" s="117"/>
      <c r="AGS324" s="117"/>
      <c r="AGT324" s="117"/>
      <c r="AGU324" s="117"/>
      <c r="AGV324" s="117"/>
      <c r="AGW324" s="117"/>
      <c r="AGX324" s="117"/>
      <c r="AGY324" s="117"/>
      <c r="AGZ324" s="117"/>
      <c r="AHA324" s="117"/>
      <c r="AHB324" s="117"/>
      <c r="AHC324" s="117"/>
      <c r="AHD324" s="117"/>
      <c r="AHE324" s="117"/>
      <c r="AHF324" s="117"/>
      <c r="AHG324" s="117"/>
      <c r="AHH324" s="117"/>
      <c r="AHI324" s="117"/>
      <c r="AHJ324" s="117"/>
      <c r="AHK324" s="117"/>
      <c r="AHL324" s="117"/>
      <c r="AHM324" s="117"/>
      <c r="AHN324" s="117"/>
      <c r="AHO324" s="117"/>
      <c r="AHP324" s="117"/>
      <c r="AHQ324" s="117"/>
      <c r="AHR324" s="117"/>
      <c r="AHS324" s="117"/>
      <c r="AHT324" s="117"/>
      <c r="AHU324" s="117"/>
      <c r="AHV324" s="117"/>
      <c r="AHW324" s="117"/>
      <c r="AHX324" s="117"/>
      <c r="AHY324" s="117"/>
      <c r="AHZ324" s="117"/>
      <c r="AIA324" s="117"/>
      <c r="AIB324" s="117"/>
      <c r="AIC324" s="117"/>
      <c r="AID324" s="117"/>
      <c r="AIE324" s="117"/>
      <c r="AIF324" s="117"/>
      <c r="AIG324" s="117"/>
      <c r="AIH324" s="117"/>
      <c r="AII324" s="117"/>
      <c r="AIJ324" s="117"/>
      <c r="AIK324" s="117"/>
      <c r="AIL324" s="117"/>
      <c r="AIM324" s="117"/>
      <c r="AIN324" s="117"/>
      <c r="AIO324" s="117"/>
      <c r="AIP324" s="117"/>
      <c r="AIQ324" s="117"/>
      <c r="AIR324" s="117"/>
      <c r="AIS324" s="117"/>
      <c r="AIT324" s="117"/>
      <c r="AIU324" s="117"/>
      <c r="AIV324" s="117"/>
      <c r="AIW324" s="117"/>
      <c r="AIX324" s="117"/>
      <c r="AIY324" s="117"/>
      <c r="AIZ324" s="117"/>
      <c r="AJA324" s="117"/>
      <c r="AJB324" s="117"/>
      <c r="AJC324" s="117"/>
      <c r="AJD324" s="117"/>
      <c r="AJE324" s="117"/>
      <c r="AJF324" s="117"/>
      <c r="AJG324" s="117"/>
      <c r="AJH324" s="117"/>
      <c r="AJI324" s="117"/>
      <c r="AJJ324" s="117"/>
      <c r="AJK324" s="117"/>
      <c r="AJL324" s="117"/>
      <c r="AJM324" s="117"/>
      <c r="AJN324" s="117"/>
      <c r="AJO324" s="117"/>
      <c r="AJP324" s="117"/>
      <c r="AJQ324" s="117"/>
      <c r="AJR324" s="117"/>
      <c r="AJS324" s="117"/>
      <c r="AJT324" s="117"/>
      <c r="AJU324" s="117"/>
      <c r="AJV324" s="117"/>
      <c r="AJW324" s="117"/>
      <c r="AJX324" s="117"/>
      <c r="AJY324" s="117"/>
      <c r="AJZ324" s="117"/>
      <c r="AKA324" s="117"/>
      <c r="AKB324" s="117"/>
      <c r="AKC324" s="117"/>
      <c r="AKD324" s="117"/>
      <c r="AKE324" s="117"/>
      <c r="AKF324" s="117"/>
      <c r="AKG324" s="117"/>
      <c r="AKH324" s="117"/>
      <c r="AKI324" s="117"/>
      <c r="AKJ324" s="117"/>
      <c r="AKK324" s="117"/>
      <c r="AKL324" s="117"/>
      <c r="AKM324" s="117"/>
      <c r="AKN324" s="117"/>
      <c r="AKO324" s="117"/>
      <c r="AKP324" s="117"/>
      <c r="AKQ324" s="117"/>
      <c r="AKR324" s="117"/>
      <c r="AKS324" s="117"/>
      <c r="AKT324" s="117"/>
      <c r="AKU324" s="117"/>
      <c r="AKV324" s="117"/>
      <c r="AKW324" s="117"/>
      <c r="AKX324" s="117"/>
      <c r="AKY324" s="117"/>
      <c r="AKZ324" s="117"/>
      <c r="ALA324" s="117"/>
      <c r="ALB324" s="117"/>
      <c r="ALC324" s="117"/>
      <c r="ALD324" s="117"/>
      <c r="ALE324" s="117"/>
      <c r="ALF324" s="117"/>
      <c r="ALG324" s="117"/>
      <c r="ALH324" s="117"/>
      <c r="ALI324" s="117"/>
      <c r="ALJ324" s="117"/>
      <c r="ALK324" s="117"/>
      <c r="ALL324" s="117"/>
      <c r="ALM324" s="117"/>
      <c r="ALN324" s="117"/>
      <c r="ALO324" s="117"/>
      <c r="ALP324" s="117"/>
      <c r="ALQ324" s="117"/>
      <c r="ALR324" s="117"/>
      <c r="ALS324" s="117"/>
      <c r="ALT324" s="117"/>
      <c r="ALU324" s="117"/>
      <c r="ALV324" s="117"/>
      <c r="ALW324" s="117"/>
      <c r="ALX324" s="117"/>
      <c r="ALY324" s="117"/>
      <c r="ALZ324" s="117"/>
      <c r="AMA324" s="117"/>
      <c r="AMB324" s="117"/>
      <c r="AMC324" s="117"/>
      <c r="AMD324" s="117"/>
      <c r="AME324" s="117"/>
    </row>
    <row r="325" spans="1:1019" s="191" customFormat="1" ht="11.25" customHeight="1">
      <c r="A325" s="139">
        <v>323</v>
      </c>
      <c r="B325" s="139"/>
      <c r="C325" s="193" t="s">
        <v>504</v>
      </c>
      <c r="D325" s="190">
        <v>1</v>
      </c>
      <c r="E325" s="190">
        <f t="shared" si="47"/>
        <v>40</v>
      </c>
      <c r="F325" s="173" t="s">
        <v>527</v>
      </c>
      <c r="G325" s="172">
        <v>238</v>
      </c>
      <c r="H325" s="143">
        <f>INT((G325*Valores!$C$2*100)+0.5)/100</f>
        <v>2222.85</v>
      </c>
      <c r="I325" s="161">
        <v>0</v>
      </c>
      <c r="J325" s="145">
        <f>INT((I325*Valores!$C$2*100)+0.5)/100</f>
        <v>0</v>
      </c>
      <c r="K325" s="160">
        <v>0</v>
      </c>
      <c r="L325" s="145">
        <f>INT((K325*Valores!$C$2*100)+0.5)/100</f>
        <v>0</v>
      </c>
      <c r="M325" s="158">
        <v>0</v>
      </c>
      <c r="N325" s="145">
        <f>INT((M325*Valores!$C$2*100)+0.5)/100</f>
        <v>0</v>
      </c>
      <c r="O325" s="145">
        <f t="shared" si="48"/>
        <v>0</v>
      </c>
      <c r="P325" s="145">
        <f t="shared" si="49"/>
        <v>0</v>
      </c>
      <c r="Q325" s="159">
        <v>0</v>
      </c>
      <c r="R325" s="159">
        <v>0</v>
      </c>
      <c r="S325" s="145">
        <v>0</v>
      </c>
      <c r="T325" s="148">
        <f>IF($H$5="NO",Valores!$C$47,Valores!$C$47/2)</f>
        <v>158.98</v>
      </c>
      <c r="U325" s="159">
        <v>0</v>
      </c>
      <c r="V325" s="145">
        <f t="shared" si="57"/>
        <v>0</v>
      </c>
      <c r="W325" s="145">
        <v>0</v>
      </c>
      <c r="X325" s="145">
        <v>0</v>
      </c>
      <c r="Y325" s="165">
        <v>0</v>
      </c>
      <c r="Z325" s="145">
        <v>0</v>
      </c>
      <c r="AA325" s="145">
        <v>0</v>
      </c>
      <c r="AB325" s="148">
        <f>Valores!$C$93</f>
        <v>115.38461538461542</v>
      </c>
      <c r="AC325" s="150">
        <v>0</v>
      </c>
      <c r="AD325" s="145">
        <f t="shared" si="51"/>
        <v>0</v>
      </c>
      <c r="AE325" s="145">
        <v>0</v>
      </c>
      <c r="AF325" s="149">
        <v>0</v>
      </c>
      <c r="AG325" s="145">
        <f>INT(((AF325*Valores!$C$2)*100)+0.5)/100</f>
        <v>0</v>
      </c>
      <c r="AH325" s="145">
        <f>Valores!$C$60</f>
        <v>54.2</v>
      </c>
      <c r="AI325" s="145">
        <f>Valores!$C$62</f>
        <v>15.49</v>
      </c>
      <c r="AJ325" s="151">
        <f t="shared" si="52"/>
        <v>2566.9046153846148</v>
      </c>
      <c r="AK325" s="171"/>
      <c r="AL325" s="148">
        <f>Valores!$C$12</f>
        <v>0</v>
      </c>
      <c r="AM325" s="148">
        <f>Valores!$C$88</f>
        <v>227.49999999999997</v>
      </c>
      <c r="AN325" s="148"/>
      <c r="AO325" s="150">
        <v>0</v>
      </c>
      <c r="AP325" s="152">
        <f t="shared" si="50"/>
        <v>227.49999999999997</v>
      </c>
      <c r="AQ325" s="154">
        <f>AJ325*-Valores!$C$68</f>
        <v>-282.3595076923076</v>
      </c>
      <c r="AR325" s="154">
        <f>AJ325*-Valores!$C$69</f>
        <v>0</v>
      </c>
      <c r="AS325" s="147">
        <f>AJ325*-Valores!$C$70</f>
        <v>-115.51070769230766</v>
      </c>
      <c r="AT325" s="147">
        <v>-159.43</v>
      </c>
      <c r="AU325" s="147">
        <f t="shared" si="53"/>
        <v>-53.83</v>
      </c>
      <c r="AV325" s="151">
        <f t="shared" si="54"/>
        <v>2183.2744</v>
      </c>
      <c r="AW325" s="155"/>
      <c r="AX325" s="155"/>
      <c r="AY325" s="140" t="s">
        <v>4</v>
      </c>
      <c r="AZ325" s="117"/>
      <c r="BA325" s="117"/>
      <c r="BB325" s="117"/>
      <c r="BC325" s="117"/>
      <c r="BD325" s="117"/>
      <c r="BE325" s="117"/>
      <c r="BF325" s="117"/>
      <c r="BG325" s="117"/>
      <c r="BH325" s="117"/>
      <c r="BI325" s="117"/>
      <c r="BJ325" s="117"/>
      <c r="BK325" s="117"/>
      <c r="BL325" s="117"/>
      <c r="BM325" s="117"/>
      <c r="BN325" s="117"/>
      <c r="BO325" s="117"/>
      <c r="BP325" s="117"/>
      <c r="BQ325" s="117"/>
      <c r="BR325" s="117"/>
      <c r="BS325" s="117"/>
      <c r="BT325" s="117"/>
      <c r="BU325" s="117"/>
      <c r="BV325" s="117"/>
      <c r="BW325" s="117"/>
      <c r="BX325" s="117"/>
      <c r="BY325" s="117"/>
      <c r="BZ325" s="117"/>
      <c r="CA325" s="117"/>
      <c r="CB325" s="117"/>
      <c r="CC325" s="117"/>
      <c r="CD325" s="117"/>
      <c r="CE325" s="117"/>
      <c r="CF325" s="117"/>
      <c r="CG325" s="117"/>
      <c r="CH325" s="117"/>
      <c r="CI325" s="117"/>
      <c r="CJ325" s="117"/>
      <c r="CK325" s="117"/>
      <c r="CL325" s="117"/>
      <c r="CM325" s="117"/>
      <c r="CN325" s="117"/>
      <c r="CO325" s="117"/>
      <c r="CP325" s="117"/>
      <c r="CQ325" s="117"/>
      <c r="CR325" s="117"/>
      <c r="CS325" s="117"/>
      <c r="CT325" s="117"/>
      <c r="CU325" s="117"/>
      <c r="CV325" s="117"/>
      <c r="CW325" s="117"/>
      <c r="CX325" s="117"/>
      <c r="CY325" s="117"/>
      <c r="CZ325" s="117"/>
      <c r="DA325" s="117"/>
      <c r="DB325" s="117"/>
      <c r="DC325" s="117"/>
      <c r="DD325" s="117"/>
      <c r="DE325" s="117"/>
      <c r="DF325" s="117"/>
      <c r="DG325" s="117"/>
      <c r="DH325" s="117"/>
      <c r="DI325" s="117"/>
      <c r="DJ325" s="117"/>
      <c r="DK325" s="117"/>
      <c r="DL325" s="117"/>
      <c r="DM325" s="117"/>
      <c r="DN325" s="117"/>
      <c r="DO325" s="117"/>
      <c r="DP325" s="117"/>
      <c r="DQ325" s="117"/>
      <c r="DR325" s="117"/>
      <c r="DS325" s="117"/>
      <c r="DT325" s="117"/>
      <c r="DU325" s="117"/>
      <c r="DV325" s="117"/>
      <c r="DW325" s="117"/>
      <c r="DX325" s="117"/>
      <c r="DY325" s="117"/>
      <c r="DZ325" s="117"/>
      <c r="EA325" s="117"/>
      <c r="EB325" s="117"/>
      <c r="EC325" s="117"/>
      <c r="ED325" s="117"/>
      <c r="EE325" s="117"/>
      <c r="EF325" s="117"/>
      <c r="EG325" s="117"/>
      <c r="EH325" s="117"/>
      <c r="EI325" s="117"/>
      <c r="EJ325" s="117"/>
      <c r="EK325" s="117"/>
      <c r="EL325" s="117"/>
      <c r="EM325" s="117"/>
      <c r="EN325" s="117"/>
      <c r="EO325" s="117"/>
      <c r="EP325" s="117"/>
      <c r="EQ325" s="117"/>
      <c r="ER325" s="117"/>
      <c r="ES325" s="117"/>
      <c r="ET325" s="117"/>
      <c r="EU325" s="117"/>
      <c r="EV325" s="117"/>
      <c r="EW325" s="117"/>
      <c r="EX325" s="117"/>
      <c r="EY325" s="117"/>
      <c r="EZ325" s="117"/>
      <c r="FA325" s="117"/>
      <c r="FB325" s="117"/>
      <c r="FC325" s="117"/>
      <c r="FD325" s="117"/>
      <c r="FE325" s="117"/>
      <c r="FF325" s="117"/>
      <c r="FG325" s="117"/>
      <c r="FH325" s="117"/>
      <c r="FI325" s="117"/>
      <c r="FJ325" s="117"/>
      <c r="FK325" s="117"/>
      <c r="FL325" s="117"/>
      <c r="FM325" s="117"/>
      <c r="FN325" s="117"/>
      <c r="FO325" s="117"/>
      <c r="FP325" s="117"/>
      <c r="FQ325" s="117"/>
      <c r="FR325" s="117"/>
      <c r="FS325" s="117"/>
      <c r="FT325" s="117"/>
      <c r="FU325" s="117"/>
      <c r="FV325" s="117"/>
      <c r="FW325" s="117"/>
      <c r="FX325" s="117"/>
      <c r="FY325" s="117"/>
      <c r="FZ325" s="117"/>
      <c r="GA325" s="117"/>
      <c r="GB325" s="117"/>
      <c r="GC325" s="117"/>
      <c r="GD325" s="117"/>
      <c r="GE325" s="117"/>
      <c r="GF325" s="117"/>
      <c r="GG325" s="117"/>
      <c r="GH325" s="117"/>
      <c r="GI325" s="117"/>
      <c r="GJ325" s="117"/>
      <c r="GK325" s="117"/>
      <c r="GL325" s="117"/>
      <c r="GM325" s="117"/>
      <c r="GN325" s="117"/>
      <c r="GO325" s="117"/>
      <c r="GP325" s="117"/>
      <c r="GQ325" s="117"/>
      <c r="GR325" s="117"/>
      <c r="GS325" s="117"/>
      <c r="GT325" s="117"/>
      <c r="GU325" s="117"/>
      <c r="GV325" s="117"/>
      <c r="GW325" s="117"/>
      <c r="GX325" s="117"/>
      <c r="GY325" s="117"/>
      <c r="GZ325" s="117"/>
      <c r="HA325" s="117"/>
      <c r="HB325" s="117"/>
      <c r="HC325" s="117"/>
      <c r="HD325" s="117"/>
      <c r="HE325" s="117"/>
      <c r="HF325" s="117"/>
      <c r="HG325" s="117"/>
      <c r="HH325" s="117"/>
      <c r="HI325" s="117"/>
      <c r="HJ325" s="117"/>
      <c r="HK325" s="117"/>
      <c r="HL325" s="117"/>
      <c r="HM325" s="117"/>
      <c r="HN325" s="117"/>
      <c r="HO325" s="117"/>
      <c r="HP325" s="117"/>
      <c r="HQ325" s="117"/>
      <c r="HR325" s="117"/>
      <c r="HS325" s="117"/>
      <c r="HT325" s="117"/>
      <c r="HU325" s="117"/>
      <c r="HV325" s="117"/>
      <c r="HW325" s="117"/>
      <c r="HX325" s="117"/>
      <c r="HY325" s="117"/>
      <c r="HZ325" s="117"/>
      <c r="IA325" s="117"/>
      <c r="IB325" s="117"/>
      <c r="IC325" s="117"/>
      <c r="ID325" s="117"/>
      <c r="IE325" s="117"/>
      <c r="IF325" s="117"/>
      <c r="IG325" s="117"/>
      <c r="IH325" s="117"/>
      <c r="II325" s="117"/>
      <c r="IJ325" s="117"/>
      <c r="IK325" s="117"/>
      <c r="IL325" s="117"/>
      <c r="IM325" s="117"/>
      <c r="IN325" s="117"/>
      <c r="IO325" s="117"/>
      <c r="IP325" s="117"/>
      <c r="IQ325" s="117"/>
      <c r="IR325" s="117"/>
      <c r="IS325" s="117"/>
      <c r="IT325" s="117"/>
      <c r="IU325" s="117"/>
      <c r="IV325" s="117"/>
      <c r="IW325" s="117"/>
      <c r="IX325" s="117"/>
      <c r="IY325" s="117"/>
      <c r="IZ325" s="117"/>
      <c r="JA325" s="117"/>
      <c r="JB325" s="117"/>
      <c r="JC325" s="117"/>
      <c r="JD325" s="117"/>
      <c r="JE325" s="117"/>
      <c r="JF325" s="117"/>
      <c r="JG325" s="117"/>
      <c r="JH325" s="117"/>
      <c r="JI325" s="117"/>
      <c r="JJ325" s="117"/>
      <c r="JK325" s="117"/>
      <c r="JL325" s="117"/>
      <c r="JM325" s="117"/>
      <c r="JN325" s="117"/>
      <c r="JO325" s="117"/>
      <c r="JP325" s="117"/>
      <c r="JQ325" s="117"/>
      <c r="JR325" s="117"/>
      <c r="JS325" s="117"/>
      <c r="JT325" s="117"/>
      <c r="JU325" s="117"/>
      <c r="JV325" s="117"/>
      <c r="JW325" s="117"/>
      <c r="JX325" s="117"/>
      <c r="JY325" s="117"/>
      <c r="JZ325" s="117"/>
      <c r="KA325" s="117"/>
      <c r="KB325" s="117"/>
      <c r="KC325" s="117"/>
      <c r="KD325" s="117"/>
      <c r="KE325" s="117"/>
      <c r="KF325" s="117"/>
      <c r="KG325" s="117"/>
      <c r="KH325" s="117"/>
      <c r="KI325" s="117"/>
      <c r="KJ325" s="117"/>
      <c r="KK325" s="117"/>
      <c r="KL325" s="117"/>
      <c r="KM325" s="117"/>
      <c r="KN325" s="117"/>
      <c r="KO325" s="117"/>
      <c r="KP325" s="117"/>
      <c r="KQ325" s="117"/>
      <c r="KR325" s="117"/>
      <c r="KS325" s="117"/>
      <c r="KT325" s="117"/>
      <c r="KU325" s="117"/>
      <c r="KV325" s="117"/>
      <c r="KW325" s="117"/>
      <c r="KX325" s="117"/>
      <c r="KY325" s="117"/>
      <c r="KZ325" s="117"/>
      <c r="LA325" s="117"/>
      <c r="LB325" s="117"/>
      <c r="LC325" s="117"/>
      <c r="LD325" s="117"/>
      <c r="LE325" s="117"/>
      <c r="LF325" s="117"/>
      <c r="LG325" s="117"/>
      <c r="LH325" s="117"/>
      <c r="LI325" s="117"/>
      <c r="LJ325" s="117"/>
      <c r="LK325" s="117"/>
      <c r="LL325" s="117"/>
      <c r="LM325" s="117"/>
      <c r="LN325" s="117"/>
      <c r="LO325" s="117"/>
      <c r="LP325" s="117"/>
      <c r="LQ325" s="117"/>
      <c r="LR325" s="117"/>
      <c r="LS325" s="117"/>
      <c r="LT325" s="117"/>
      <c r="LU325" s="117"/>
      <c r="LV325" s="117"/>
      <c r="LW325" s="117"/>
      <c r="LX325" s="117"/>
      <c r="LY325" s="117"/>
      <c r="LZ325" s="117"/>
      <c r="MA325" s="117"/>
      <c r="MB325" s="117"/>
      <c r="MC325" s="117"/>
      <c r="MD325" s="117"/>
      <c r="ME325" s="117"/>
      <c r="MF325" s="117"/>
      <c r="MG325" s="117"/>
      <c r="MH325" s="117"/>
      <c r="MI325" s="117"/>
      <c r="MJ325" s="117"/>
      <c r="MK325" s="117"/>
      <c r="ML325" s="117"/>
      <c r="MM325" s="117"/>
      <c r="MN325" s="117"/>
      <c r="MO325" s="117"/>
      <c r="MP325" s="117"/>
      <c r="MQ325" s="117"/>
      <c r="MR325" s="117"/>
      <c r="MS325" s="117"/>
      <c r="MT325" s="117"/>
      <c r="MU325" s="117"/>
      <c r="MV325" s="117"/>
      <c r="MW325" s="117"/>
      <c r="MX325" s="117"/>
      <c r="MY325" s="117"/>
      <c r="MZ325" s="117"/>
      <c r="NA325" s="117"/>
      <c r="NB325" s="117"/>
      <c r="NC325" s="117"/>
      <c r="ND325" s="117"/>
      <c r="NE325" s="117"/>
      <c r="NF325" s="117"/>
      <c r="NG325" s="117"/>
      <c r="NH325" s="117"/>
      <c r="NI325" s="117"/>
      <c r="NJ325" s="117"/>
      <c r="NK325" s="117"/>
      <c r="NL325" s="117"/>
      <c r="NM325" s="117"/>
      <c r="NN325" s="117"/>
      <c r="NO325" s="117"/>
      <c r="NP325" s="117"/>
      <c r="NQ325" s="117"/>
      <c r="NR325" s="117"/>
      <c r="NS325" s="117"/>
      <c r="NT325" s="117"/>
      <c r="NU325" s="117"/>
      <c r="NV325" s="117"/>
      <c r="NW325" s="117"/>
      <c r="NX325" s="117"/>
      <c r="NY325" s="117"/>
      <c r="NZ325" s="117"/>
      <c r="OA325" s="117"/>
      <c r="OB325" s="117"/>
      <c r="OC325" s="117"/>
      <c r="OD325" s="117"/>
      <c r="OE325" s="117"/>
      <c r="OF325" s="117"/>
      <c r="OG325" s="117"/>
      <c r="OH325" s="117"/>
      <c r="OI325" s="117"/>
      <c r="OJ325" s="117"/>
      <c r="OK325" s="117"/>
      <c r="OL325" s="117"/>
      <c r="OM325" s="117"/>
      <c r="ON325" s="117"/>
      <c r="OO325" s="117"/>
      <c r="OP325" s="117"/>
      <c r="OQ325" s="117"/>
      <c r="OR325" s="117"/>
      <c r="OS325" s="117"/>
      <c r="OT325" s="117"/>
      <c r="OU325" s="117"/>
      <c r="OV325" s="117"/>
      <c r="OW325" s="117"/>
      <c r="OX325" s="117"/>
      <c r="OY325" s="117"/>
      <c r="OZ325" s="117"/>
      <c r="PA325" s="117"/>
      <c r="PB325" s="117"/>
      <c r="PC325" s="117"/>
      <c r="PD325" s="117"/>
      <c r="PE325" s="117"/>
      <c r="PF325" s="117"/>
      <c r="PG325" s="117"/>
      <c r="PH325" s="117"/>
      <c r="PI325" s="117"/>
      <c r="PJ325" s="117"/>
      <c r="PK325" s="117"/>
      <c r="PL325" s="117"/>
      <c r="PM325" s="117"/>
      <c r="PN325" s="117"/>
      <c r="PO325" s="117"/>
      <c r="PP325" s="117"/>
      <c r="PQ325" s="117"/>
      <c r="PR325" s="117"/>
      <c r="PS325" s="117"/>
      <c r="PT325" s="117"/>
      <c r="PU325" s="117"/>
      <c r="PV325" s="117"/>
      <c r="PW325" s="117"/>
      <c r="PX325" s="117"/>
      <c r="PY325" s="117"/>
      <c r="PZ325" s="117"/>
      <c r="QA325" s="117"/>
      <c r="QB325" s="117"/>
      <c r="QC325" s="117"/>
      <c r="QD325" s="117"/>
      <c r="QE325" s="117"/>
      <c r="QF325" s="117"/>
      <c r="QG325" s="117"/>
      <c r="QH325" s="117"/>
      <c r="QI325" s="117"/>
      <c r="QJ325" s="117"/>
      <c r="QK325" s="117"/>
      <c r="QL325" s="117"/>
      <c r="QM325" s="117"/>
      <c r="QN325" s="117"/>
      <c r="QO325" s="117"/>
      <c r="QP325" s="117"/>
      <c r="QQ325" s="117"/>
      <c r="QR325" s="117"/>
      <c r="QS325" s="117"/>
      <c r="QT325" s="117"/>
      <c r="QU325" s="117"/>
      <c r="QV325" s="117"/>
      <c r="QW325" s="117"/>
      <c r="QX325" s="117"/>
      <c r="QY325" s="117"/>
      <c r="QZ325" s="117"/>
      <c r="RA325" s="117"/>
      <c r="RB325" s="117"/>
      <c r="RC325" s="117"/>
      <c r="RD325" s="117"/>
      <c r="RE325" s="117"/>
      <c r="RF325" s="117"/>
      <c r="RG325" s="117"/>
      <c r="RH325" s="117"/>
      <c r="RI325" s="117"/>
      <c r="RJ325" s="117"/>
      <c r="RK325" s="117"/>
      <c r="RL325" s="117"/>
      <c r="RM325" s="117"/>
      <c r="RN325" s="117"/>
      <c r="RO325" s="117"/>
      <c r="RP325" s="117"/>
      <c r="RQ325" s="117"/>
      <c r="RR325" s="117"/>
      <c r="RS325" s="117"/>
      <c r="RT325" s="117"/>
      <c r="RU325" s="117"/>
      <c r="RV325" s="117"/>
      <c r="RW325" s="117"/>
      <c r="RX325" s="117"/>
      <c r="RY325" s="117"/>
      <c r="RZ325" s="117"/>
      <c r="SA325" s="117"/>
      <c r="SB325" s="117"/>
      <c r="SC325" s="117"/>
      <c r="SD325" s="117"/>
      <c r="SE325" s="117"/>
      <c r="SF325" s="117"/>
      <c r="SG325" s="117"/>
      <c r="SH325" s="117"/>
      <c r="SI325" s="117"/>
      <c r="SJ325" s="117"/>
      <c r="SK325" s="117"/>
      <c r="SL325" s="117"/>
      <c r="SM325" s="117"/>
      <c r="SN325" s="117"/>
      <c r="SO325" s="117"/>
      <c r="SP325" s="117"/>
      <c r="SQ325" s="117"/>
      <c r="SR325" s="117"/>
      <c r="SS325" s="117"/>
      <c r="ST325" s="117"/>
      <c r="SU325" s="117"/>
      <c r="SV325" s="117"/>
      <c r="SW325" s="117"/>
      <c r="SX325" s="117"/>
      <c r="SY325" s="117"/>
      <c r="SZ325" s="117"/>
      <c r="TA325" s="117"/>
      <c r="TB325" s="117"/>
      <c r="TC325" s="117"/>
      <c r="TD325" s="117"/>
      <c r="TE325" s="117"/>
      <c r="TF325" s="117"/>
      <c r="TG325" s="117"/>
      <c r="TH325" s="117"/>
      <c r="TI325" s="117"/>
      <c r="TJ325" s="117"/>
      <c r="TK325" s="117"/>
      <c r="TL325" s="117"/>
      <c r="TM325" s="117"/>
      <c r="TN325" s="117"/>
      <c r="TO325" s="117"/>
      <c r="TP325" s="117"/>
      <c r="TQ325" s="117"/>
      <c r="TR325" s="117"/>
      <c r="TS325" s="117"/>
      <c r="TT325" s="117"/>
      <c r="TU325" s="117"/>
      <c r="TV325" s="117"/>
      <c r="TW325" s="117"/>
      <c r="TX325" s="117"/>
      <c r="TY325" s="117"/>
      <c r="TZ325" s="117"/>
      <c r="UA325" s="117"/>
      <c r="UB325" s="117"/>
      <c r="UC325" s="117"/>
      <c r="UD325" s="117"/>
      <c r="UE325" s="117"/>
      <c r="UF325" s="117"/>
      <c r="UG325" s="117"/>
      <c r="UH325" s="117"/>
      <c r="UI325" s="117"/>
      <c r="UJ325" s="117"/>
      <c r="UK325" s="117"/>
      <c r="UL325" s="117"/>
      <c r="UM325" s="117"/>
      <c r="UN325" s="117"/>
      <c r="UO325" s="117"/>
      <c r="UP325" s="117"/>
      <c r="UQ325" s="117"/>
      <c r="UR325" s="117"/>
      <c r="US325" s="117"/>
      <c r="UT325" s="117"/>
      <c r="UU325" s="117"/>
      <c r="UV325" s="117"/>
      <c r="UW325" s="117"/>
      <c r="UX325" s="117"/>
      <c r="UY325" s="117"/>
      <c r="UZ325" s="117"/>
      <c r="VA325" s="117"/>
      <c r="VB325" s="117"/>
      <c r="VC325" s="117"/>
      <c r="VD325" s="117"/>
      <c r="VE325" s="117"/>
      <c r="VF325" s="117"/>
      <c r="VG325" s="117"/>
      <c r="VH325" s="117"/>
      <c r="VI325" s="117"/>
      <c r="VJ325" s="117"/>
      <c r="VK325" s="117"/>
      <c r="VL325" s="117"/>
      <c r="VM325" s="117"/>
      <c r="VN325" s="117"/>
      <c r="VO325" s="117"/>
      <c r="VP325" s="117"/>
      <c r="VQ325" s="117"/>
      <c r="VR325" s="117"/>
      <c r="VS325" s="117"/>
      <c r="VT325" s="117"/>
      <c r="VU325" s="117"/>
      <c r="VV325" s="117"/>
      <c r="VW325" s="117"/>
      <c r="VX325" s="117"/>
      <c r="VY325" s="117"/>
      <c r="VZ325" s="117"/>
      <c r="WA325" s="117"/>
      <c r="WB325" s="117"/>
      <c r="WC325" s="117"/>
      <c r="WD325" s="117"/>
      <c r="WE325" s="117"/>
      <c r="WF325" s="117"/>
      <c r="WG325" s="117"/>
      <c r="WH325" s="117"/>
      <c r="WI325" s="117"/>
      <c r="WJ325" s="117"/>
      <c r="WK325" s="117"/>
      <c r="WL325" s="117"/>
      <c r="WM325" s="117"/>
      <c r="WN325" s="117"/>
      <c r="WO325" s="117"/>
      <c r="WP325" s="117"/>
      <c r="WQ325" s="117"/>
      <c r="WR325" s="117"/>
      <c r="WS325" s="117"/>
      <c r="WT325" s="117"/>
      <c r="WU325" s="117"/>
      <c r="WV325" s="117"/>
      <c r="WW325" s="117"/>
      <c r="WX325" s="117"/>
      <c r="WY325" s="117"/>
      <c r="WZ325" s="117"/>
      <c r="XA325" s="117"/>
      <c r="XB325" s="117"/>
      <c r="XC325" s="117"/>
      <c r="XD325" s="117"/>
      <c r="XE325" s="117"/>
      <c r="XF325" s="117"/>
      <c r="XG325" s="117"/>
      <c r="XH325" s="117"/>
      <c r="XI325" s="117"/>
      <c r="XJ325" s="117"/>
      <c r="XK325" s="117"/>
      <c r="XL325" s="117"/>
      <c r="XM325" s="117"/>
      <c r="XN325" s="117"/>
      <c r="XO325" s="117"/>
      <c r="XP325" s="117"/>
      <c r="XQ325" s="117"/>
      <c r="XR325" s="117"/>
      <c r="XS325" s="117"/>
      <c r="XT325" s="117"/>
      <c r="XU325" s="117"/>
      <c r="XV325" s="117"/>
      <c r="XW325" s="117"/>
      <c r="XX325" s="117"/>
      <c r="XY325" s="117"/>
      <c r="XZ325" s="117"/>
      <c r="YA325" s="117"/>
      <c r="YB325" s="117"/>
      <c r="YC325" s="117"/>
      <c r="YD325" s="117"/>
      <c r="YE325" s="117"/>
      <c r="YF325" s="117"/>
      <c r="YG325" s="117"/>
      <c r="YH325" s="117"/>
      <c r="YI325" s="117"/>
      <c r="YJ325" s="117"/>
      <c r="YK325" s="117"/>
      <c r="YL325" s="117"/>
      <c r="YM325" s="117"/>
      <c r="YN325" s="117"/>
      <c r="YO325" s="117"/>
      <c r="YP325" s="117"/>
      <c r="YQ325" s="117"/>
      <c r="YR325" s="117"/>
      <c r="YS325" s="117"/>
      <c r="YT325" s="117"/>
      <c r="YU325" s="117"/>
      <c r="YV325" s="117"/>
      <c r="YW325" s="117"/>
      <c r="YX325" s="117"/>
      <c r="YY325" s="117"/>
      <c r="YZ325" s="117"/>
      <c r="ZA325" s="117"/>
      <c r="ZB325" s="117"/>
      <c r="ZC325" s="117"/>
      <c r="ZD325" s="117"/>
      <c r="ZE325" s="117"/>
      <c r="ZF325" s="117"/>
      <c r="ZG325" s="117"/>
      <c r="ZH325" s="117"/>
      <c r="ZI325" s="117"/>
      <c r="ZJ325" s="117"/>
      <c r="ZK325" s="117"/>
      <c r="ZL325" s="117"/>
      <c r="ZM325" s="117"/>
      <c r="ZN325" s="117"/>
      <c r="ZO325" s="117"/>
      <c r="ZP325" s="117"/>
      <c r="ZQ325" s="117"/>
      <c r="ZR325" s="117"/>
      <c r="ZS325" s="117"/>
      <c r="ZT325" s="117"/>
      <c r="ZU325" s="117"/>
      <c r="ZV325" s="117"/>
      <c r="ZW325" s="117"/>
      <c r="ZX325" s="117"/>
      <c r="ZY325" s="117"/>
      <c r="ZZ325" s="117"/>
      <c r="AAA325" s="117"/>
      <c r="AAB325" s="117"/>
      <c r="AAC325" s="117"/>
      <c r="AAD325" s="117"/>
      <c r="AAE325" s="117"/>
      <c r="AAF325" s="117"/>
      <c r="AAG325" s="117"/>
      <c r="AAH325" s="117"/>
      <c r="AAI325" s="117"/>
      <c r="AAJ325" s="117"/>
      <c r="AAK325" s="117"/>
      <c r="AAL325" s="117"/>
      <c r="AAM325" s="117"/>
      <c r="AAN325" s="117"/>
      <c r="AAO325" s="117"/>
      <c r="AAP325" s="117"/>
      <c r="AAQ325" s="117"/>
      <c r="AAR325" s="117"/>
      <c r="AAS325" s="117"/>
      <c r="AAT325" s="117"/>
      <c r="AAU325" s="117"/>
      <c r="AAV325" s="117"/>
      <c r="AAW325" s="117"/>
      <c r="AAX325" s="117"/>
      <c r="AAY325" s="117"/>
      <c r="AAZ325" s="117"/>
      <c r="ABA325" s="117"/>
      <c r="ABB325" s="117"/>
      <c r="ABC325" s="117"/>
      <c r="ABD325" s="117"/>
      <c r="ABE325" s="117"/>
      <c r="ABF325" s="117"/>
      <c r="ABG325" s="117"/>
      <c r="ABH325" s="117"/>
      <c r="ABI325" s="117"/>
      <c r="ABJ325" s="117"/>
      <c r="ABK325" s="117"/>
      <c r="ABL325" s="117"/>
      <c r="ABM325" s="117"/>
      <c r="ABN325" s="117"/>
      <c r="ABO325" s="117"/>
      <c r="ABP325" s="117"/>
      <c r="ABQ325" s="117"/>
      <c r="ABR325" s="117"/>
      <c r="ABS325" s="117"/>
      <c r="ABT325" s="117"/>
      <c r="ABU325" s="117"/>
      <c r="ABV325" s="117"/>
      <c r="ABW325" s="117"/>
      <c r="ABX325" s="117"/>
      <c r="ABY325" s="117"/>
      <c r="ABZ325" s="117"/>
      <c r="ACA325" s="117"/>
      <c r="ACB325" s="117"/>
      <c r="ACC325" s="117"/>
      <c r="ACD325" s="117"/>
      <c r="ACE325" s="117"/>
      <c r="ACF325" s="117"/>
      <c r="ACG325" s="117"/>
      <c r="ACH325" s="117"/>
      <c r="ACI325" s="117"/>
      <c r="ACJ325" s="117"/>
      <c r="ACK325" s="117"/>
      <c r="ACL325" s="117"/>
      <c r="ACM325" s="117"/>
      <c r="ACN325" s="117"/>
      <c r="ACO325" s="117"/>
      <c r="ACP325" s="117"/>
      <c r="ACQ325" s="117"/>
      <c r="ACR325" s="117"/>
      <c r="ACS325" s="117"/>
      <c r="ACT325" s="117"/>
      <c r="ACU325" s="117"/>
      <c r="ACV325" s="117"/>
      <c r="ACW325" s="117"/>
      <c r="ACX325" s="117"/>
      <c r="ACY325" s="117"/>
      <c r="ACZ325" s="117"/>
      <c r="ADA325" s="117"/>
      <c r="ADB325" s="117"/>
      <c r="ADC325" s="117"/>
      <c r="ADD325" s="117"/>
      <c r="ADE325" s="117"/>
      <c r="ADF325" s="117"/>
      <c r="ADG325" s="117"/>
      <c r="ADH325" s="117"/>
      <c r="ADI325" s="117"/>
      <c r="ADJ325" s="117"/>
      <c r="ADK325" s="117"/>
      <c r="ADL325" s="117"/>
      <c r="ADM325" s="117"/>
      <c r="ADN325" s="117"/>
      <c r="ADO325" s="117"/>
      <c r="ADP325" s="117"/>
      <c r="ADQ325" s="117"/>
      <c r="ADR325" s="117"/>
      <c r="ADS325" s="117"/>
      <c r="ADT325" s="117"/>
      <c r="ADU325" s="117"/>
      <c r="ADV325" s="117"/>
      <c r="ADW325" s="117"/>
      <c r="ADX325" s="117"/>
      <c r="ADY325" s="117"/>
      <c r="ADZ325" s="117"/>
      <c r="AEA325" s="117"/>
      <c r="AEB325" s="117"/>
      <c r="AEC325" s="117"/>
      <c r="AED325" s="117"/>
      <c r="AEE325" s="117"/>
      <c r="AEF325" s="117"/>
      <c r="AEG325" s="117"/>
      <c r="AEH325" s="117"/>
      <c r="AEI325" s="117"/>
      <c r="AEJ325" s="117"/>
      <c r="AEK325" s="117"/>
      <c r="AEL325" s="117"/>
      <c r="AEM325" s="117"/>
      <c r="AEN325" s="117"/>
      <c r="AEO325" s="117"/>
      <c r="AEP325" s="117"/>
      <c r="AEQ325" s="117"/>
      <c r="AER325" s="117"/>
      <c r="AES325" s="117"/>
      <c r="AET325" s="117"/>
      <c r="AEU325" s="117"/>
      <c r="AEV325" s="117"/>
      <c r="AEW325" s="117"/>
      <c r="AEX325" s="117"/>
      <c r="AEY325" s="117"/>
      <c r="AEZ325" s="117"/>
      <c r="AFA325" s="117"/>
      <c r="AFB325" s="117"/>
      <c r="AFC325" s="117"/>
      <c r="AFD325" s="117"/>
      <c r="AFE325" s="117"/>
      <c r="AFF325" s="117"/>
      <c r="AFG325" s="117"/>
      <c r="AFH325" s="117"/>
      <c r="AFI325" s="117"/>
      <c r="AFJ325" s="117"/>
      <c r="AFK325" s="117"/>
      <c r="AFL325" s="117"/>
      <c r="AFM325" s="117"/>
      <c r="AFN325" s="117"/>
      <c r="AFO325" s="117"/>
      <c r="AFP325" s="117"/>
      <c r="AFQ325" s="117"/>
      <c r="AFR325" s="117"/>
      <c r="AFS325" s="117"/>
      <c r="AFT325" s="117"/>
      <c r="AFU325" s="117"/>
      <c r="AFV325" s="117"/>
      <c r="AFW325" s="117"/>
      <c r="AFX325" s="117"/>
      <c r="AFY325" s="117"/>
      <c r="AFZ325" s="117"/>
      <c r="AGA325" s="117"/>
      <c r="AGB325" s="117"/>
      <c r="AGC325" s="117"/>
      <c r="AGD325" s="117"/>
      <c r="AGE325" s="117"/>
      <c r="AGF325" s="117"/>
      <c r="AGG325" s="117"/>
      <c r="AGH325" s="117"/>
      <c r="AGI325" s="117"/>
      <c r="AGJ325" s="117"/>
      <c r="AGK325" s="117"/>
      <c r="AGL325" s="117"/>
      <c r="AGM325" s="117"/>
      <c r="AGN325" s="117"/>
      <c r="AGO325" s="117"/>
      <c r="AGP325" s="117"/>
      <c r="AGQ325" s="117"/>
      <c r="AGR325" s="117"/>
      <c r="AGS325" s="117"/>
      <c r="AGT325" s="117"/>
      <c r="AGU325" s="117"/>
      <c r="AGV325" s="117"/>
      <c r="AGW325" s="117"/>
      <c r="AGX325" s="117"/>
      <c r="AGY325" s="117"/>
      <c r="AGZ325" s="117"/>
      <c r="AHA325" s="117"/>
      <c r="AHB325" s="117"/>
      <c r="AHC325" s="117"/>
      <c r="AHD325" s="117"/>
      <c r="AHE325" s="117"/>
      <c r="AHF325" s="117"/>
      <c r="AHG325" s="117"/>
      <c r="AHH325" s="117"/>
      <c r="AHI325" s="117"/>
      <c r="AHJ325" s="117"/>
      <c r="AHK325" s="117"/>
      <c r="AHL325" s="117"/>
      <c r="AHM325" s="117"/>
      <c r="AHN325" s="117"/>
      <c r="AHO325" s="117"/>
      <c r="AHP325" s="117"/>
      <c r="AHQ325" s="117"/>
      <c r="AHR325" s="117"/>
      <c r="AHS325" s="117"/>
      <c r="AHT325" s="117"/>
      <c r="AHU325" s="117"/>
      <c r="AHV325" s="117"/>
      <c r="AHW325" s="117"/>
      <c r="AHX325" s="117"/>
      <c r="AHY325" s="117"/>
      <c r="AHZ325" s="117"/>
      <c r="AIA325" s="117"/>
      <c r="AIB325" s="117"/>
      <c r="AIC325" s="117"/>
      <c r="AID325" s="117"/>
      <c r="AIE325" s="117"/>
      <c r="AIF325" s="117"/>
      <c r="AIG325" s="117"/>
      <c r="AIH325" s="117"/>
      <c r="AII325" s="117"/>
      <c r="AIJ325" s="117"/>
      <c r="AIK325" s="117"/>
      <c r="AIL325" s="117"/>
      <c r="AIM325" s="117"/>
      <c r="AIN325" s="117"/>
      <c r="AIO325" s="117"/>
      <c r="AIP325" s="117"/>
      <c r="AIQ325" s="117"/>
      <c r="AIR325" s="117"/>
      <c r="AIS325" s="117"/>
      <c r="AIT325" s="117"/>
      <c r="AIU325" s="117"/>
      <c r="AIV325" s="117"/>
      <c r="AIW325" s="117"/>
      <c r="AIX325" s="117"/>
      <c r="AIY325" s="117"/>
      <c r="AIZ325" s="117"/>
      <c r="AJA325" s="117"/>
      <c r="AJB325" s="117"/>
      <c r="AJC325" s="117"/>
      <c r="AJD325" s="117"/>
      <c r="AJE325" s="117"/>
      <c r="AJF325" s="117"/>
      <c r="AJG325" s="117"/>
      <c r="AJH325" s="117"/>
      <c r="AJI325" s="117"/>
      <c r="AJJ325" s="117"/>
      <c r="AJK325" s="117"/>
      <c r="AJL325" s="117"/>
      <c r="AJM325" s="117"/>
      <c r="AJN325" s="117"/>
      <c r="AJO325" s="117"/>
      <c r="AJP325" s="117"/>
      <c r="AJQ325" s="117"/>
      <c r="AJR325" s="117"/>
      <c r="AJS325" s="117"/>
      <c r="AJT325" s="117"/>
      <c r="AJU325" s="117"/>
      <c r="AJV325" s="117"/>
      <c r="AJW325" s="117"/>
      <c r="AJX325" s="117"/>
      <c r="AJY325" s="117"/>
      <c r="AJZ325" s="117"/>
      <c r="AKA325" s="117"/>
      <c r="AKB325" s="117"/>
      <c r="AKC325" s="117"/>
      <c r="AKD325" s="117"/>
      <c r="AKE325" s="117"/>
      <c r="AKF325" s="117"/>
      <c r="AKG325" s="117"/>
      <c r="AKH325" s="117"/>
      <c r="AKI325" s="117"/>
      <c r="AKJ325" s="117"/>
      <c r="AKK325" s="117"/>
      <c r="AKL325" s="117"/>
      <c r="AKM325" s="117"/>
      <c r="AKN325" s="117"/>
      <c r="AKO325" s="117"/>
      <c r="AKP325" s="117"/>
      <c r="AKQ325" s="117"/>
      <c r="AKR325" s="117"/>
      <c r="AKS325" s="117"/>
      <c r="AKT325" s="117"/>
      <c r="AKU325" s="117"/>
      <c r="AKV325" s="117"/>
      <c r="AKW325" s="117"/>
      <c r="AKX325" s="117"/>
      <c r="AKY325" s="117"/>
      <c r="AKZ325" s="117"/>
      <c r="ALA325" s="117"/>
      <c r="ALB325" s="117"/>
      <c r="ALC325" s="117"/>
      <c r="ALD325" s="117"/>
      <c r="ALE325" s="117"/>
      <c r="ALF325" s="117"/>
      <c r="ALG325" s="117"/>
      <c r="ALH325" s="117"/>
      <c r="ALI325" s="117"/>
      <c r="ALJ325" s="117"/>
      <c r="ALK325" s="117"/>
      <c r="ALL325" s="117"/>
      <c r="ALM325" s="117"/>
      <c r="ALN325" s="117"/>
      <c r="ALO325" s="117"/>
      <c r="ALP325" s="117"/>
      <c r="ALQ325" s="117"/>
      <c r="ALR325" s="117"/>
      <c r="ALS325" s="117"/>
      <c r="ALT325" s="117"/>
      <c r="ALU325" s="117"/>
      <c r="ALV325" s="117"/>
      <c r="ALW325" s="117"/>
      <c r="ALX325" s="117"/>
      <c r="ALY325" s="117"/>
      <c r="ALZ325" s="117"/>
      <c r="AMA325" s="117"/>
      <c r="AMB325" s="117"/>
      <c r="AMC325" s="117"/>
      <c r="AMD325" s="117"/>
      <c r="AME325" s="117"/>
    </row>
    <row r="326" spans="1:1019" s="191" customFormat="1" ht="11.25" customHeight="1">
      <c r="A326" s="139">
        <v>324</v>
      </c>
      <c r="B326" s="139"/>
      <c r="C326" s="193" t="s">
        <v>504</v>
      </c>
      <c r="D326" s="190">
        <v>1</v>
      </c>
      <c r="E326" s="190">
        <f t="shared" si="47"/>
        <v>40</v>
      </c>
      <c r="F326" s="173" t="s">
        <v>528</v>
      </c>
      <c r="G326" s="172">
        <v>242</v>
      </c>
      <c r="H326" s="143">
        <f>INT((G326*Valores!$C$2*100)+0.5)/100</f>
        <v>2260.21</v>
      </c>
      <c r="I326" s="161">
        <v>0</v>
      </c>
      <c r="J326" s="145">
        <f>INT((I326*Valores!$C$2*100)+0.5)/100</f>
        <v>0</v>
      </c>
      <c r="K326" s="160">
        <v>0</v>
      </c>
      <c r="L326" s="145">
        <f>INT((K326*Valores!$C$2*100)+0.5)/100</f>
        <v>0</v>
      </c>
      <c r="M326" s="158">
        <v>0</v>
      </c>
      <c r="N326" s="145">
        <f>INT((M326*Valores!$C$2*100)+0.5)/100</f>
        <v>0</v>
      </c>
      <c r="O326" s="145">
        <f t="shared" si="48"/>
        <v>0</v>
      </c>
      <c r="P326" s="145">
        <f t="shared" si="49"/>
        <v>0</v>
      </c>
      <c r="Q326" s="159">
        <v>0</v>
      </c>
      <c r="R326" s="159">
        <v>0</v>
      </c>
      <c r="S326" s="145">
        <v>0</v>
      </c>
      <c r="T326" s="148">
        <f>IF($H$5="NO",Valores!$C$47,Valores!$C$47/2)</f>
        <v>158.98</v>
      </c>
      <c r="U326" s="148">
        <v>0</v>
      </c>
      <c r="V326" s="145">
        <f t="shared" si="57"/>
        <v>0</v>
      </c>
      <c r="W326" s="145">
        <v>0</v>
      </c>
      <c r="X326" s="145">
        <v>0</v>
      </c>
      <c r="Y326" s="165">
        <v>0</v>
      </c>
      <c r="Z326" s="145">
        <v>0</v>
      </c>
      <c r="AA326" s="145">
        <v>0</v>
      </c>
      <c r="AB326" s="148">
        <f>Valores!$C$93</f>
        <v>115.38461538461542</v>
      </c>
      <c r="AC326" s="150">
        <v>0</v>
      </c>
      <c r="AD326" s="145">
        <f t="shared" si="51"/>
        <v>0</v>
      </c>
      <c r="AE326" s="145">
        <v>0</v>
      </c>
      <c r="AF326" s="149">
        <v>0</v>
      </c>
      <c r="AG326" s="145">
        <f>INT(((AF326*Valores!$C$2)*100)+0.5)/100</f>
        <v>0</v>
      </c>
      <c r="AH326" s="145">
        <f>Valores!$C$60</f>
        <v>54.2</v>
      </c>
      <c r="AI326" s="145">
        <f>Valores!$C$62</f>
        <v>15.49</v>
      </c>
      <c r="AJ326" s="151">
        <f t="shared" si="52"/>
        <v>2604.264615384615</v>
      </c>
      <c r="AK326" s="171"/>
      <c r="AL326" s="148">
        <f>Valores!$C$12</f>
        <v>0</v>
      </c>
      <c r="AM326" s="148">
        <f>Valores!$C$88</f>
        <v>227.49999999999997</v>
      </c>
      <c r="AN326" s="148"/>
      <c r="AO326" s="150">
        <v>0</v>
      </c>
      <c r="AP326" s="152">
        <f t="shared" si="50"/>
        <v>227.49999999999997</v>
      </c>
      <c r="AQ326" s="154">
        <f>AJ326*-Valores!$C$68</f>
        <v>-286.46910769230766</v>
      </c>
      <c r="AR326" s="154">
        <f>AJ326*-Valores!$C$69</f>
        <v>0</v>
      </c>
      <c r="AS326" s="147">
        <f>AJ326*-Valores!$C$70</f>
        <v>-117.19190769230767</v>
      </c>
      <c r="AT326" s="147">
        <v>-159.43</v>
      </c>
      <c r="AU326" s="147">
        <f t="shared" si="53"/>
        <v>-53.83</v>
      </c>
      <c r="AV326" s="151">
        <f t="shared" si="54"/>
        <v>2214.8435999999997</v>
      </c>
      <c r="AW326" s="155"/>
      <c r="AX326" s="155"/>
      <c r="AY326" s="140" t="s">
        <v>4</v>
      </c>
      <c r="AZ326" s="117"/>
      <c r="BA326" s="117"/>
      <c r="BB326" s="117"/>
      <c r="BC326" s="117"/>
      <c r="BD326" s="117"/>
      <c r="BE326" s="117"/>
      <c r="BF326" s="117"/>
      <c r="BG326" s="117"/>
      <c r="BH326" s="117"/>
      <c r="BI326" s="117"/>
      <c r="BJ326" s="117"/>
      <c r="BK326" s="117"/>
      <c r="BL326" s="117"/>
      <c r="BM326" s="117"/>
      <c r="BN326" s="117"/>
      <c r="BO326" s="117"/>
      <c r="BP326" s="117"/>
      <c r="BQ326" s="117"/>
      <c r="BR326" s="117"/>
      <c r="BS326" s="117"/>
      <c r="BT326" s="117"/>
      <c r="BU326" s="117"/>
      <c r="BV326" s="117"/>
      <c r="BW326" s="117"/>
      <c r="BX326" s="117"/>
      <c r="BY326" s="117"/>
      <c r="BZ326" s="117"/>
      <c r="CA326" s="117"/>
      <c r="CB326" s="117"/>
      <c r="CC326" s="117"/>
      <c r="CD326" s="117"/>
      <c r="CE326" s="117"/>
      <c r="CF326" s="117"/>
      <c r="CG326" s="117"/>
      <c r="CH326" s="117"/>
      <c r="CI326" s="117"/>
      <c r="CJ326" s="117"/>
      <c r="CK326" s="117"/>
      <c r="CL326" s="117"/>
      <c r="CM326" s="117"/>
      <c r="CN326" s="117"/>
      <c r="CO326" s="117"/>
      <c r="CP326" s="117"/>
      <c r="CQ326" s="117"/>
      <c r="CR326" s="117"/>
      <c r="CS326" s="117"/>
      <c r="CT326" s="117"/>
      <c r="CU326" s="117"/>
      <c r="CV326" s="117"/>
      <c r="CW326" s="117"/>
      <c r="CX326" s="117"/>
      <c r="CY326" s="117"/>
      <c r="CZ326" s="117"/>
      <c r="DA326" s="117"/>
      <c r="DB326" s="117"/>
      <c r="DC326" s="117"/>
      <c r="DD326" s="117"/>
      <c r="DE326" s="117"/>
      <c r="DF326" s="117"/>
      <c r="DG326" s="117"/>
      <c r="DH326" s="117"/>
      <c r="DI326" s="117"/>
      <c r="DJ326" s="117"/>
      <c r="DK326" s="117"/>
      <c r="DL326" s="117"/>
      <c r="DM326" s="117"/>
      <c r="DN326" s="117"/>
      <c r="DO326" s="117"/>
      <c r="DP326" s="117"/>
      <c r="DQ326" s="117"/>
      <c r="DR326" s="117"/>
      <c r="DS326" s="117"/>
      <c r="DT326" s="117"/>
      <c r="DU326" s="117"/>
      <c r="DV326" s="117"/>
      <c r="DW326" s="117"/>
      <c r="DX326" s="117"/>
      <c r="DY326" s="117"/>
      <c r="DZ326" s="117"/>
      <c r="EA326" s="117"/>
      <c r="EB326" s="117"/>
      <c r="EC326" s="117"/>
      <c r="ED326" s="117"/>
      <c r="EE326" s="117"/>
      <c r="EF326" s="117"/>
      <c r="EG326" s="117"/>
      <c r="EH326" s="117"/>
      <c r="EI326" s="117"/>
      <c r="EJ326" s="117"/>
      <c r="EK326" s="117"/>
      <c r="EL326" s="117"/>
      <c r="EM326" s="117"/>
      <c r="EN326" s="117"/>
      <c r="EO326" s="117"/>
      <c r="EP326" s="117"/>
      <c r="EQ326" s="117"/>
      <c r="ER326" s="117"/>
      <c r="ES326" s="117"/>
      <c r="ET326" s="117"/>
      <c r="EU326" s="117"/>
      <c r="EV326" s="117"/>
      <c r="EW326" s="117"/>
      <c r="EX326" s="117"/>
      <c r="EY326" s="117"/>
      <c r="EZ326" s="117"/>
      <c r="FA326" s="117"/>
      <c r="FB326" s="117"/>
      <c r="FC326" s="117"/>
      <c r="FD326" s="117"/>
      <c r="FE326" s="117"/>
      <c r="FF326" s="117"/>
      <c r="FG326" s="117"/>
      <c r="FH326" s="117"/>
      <c r="FI326" s="117"/>
      <c r="FJ326" s="117"/>
      <c r="FK326" s="117"/>
      <c r="FL326" s="117"/>
      <c r="FM326" s="117"/>
      <c r="FN326" s="117"/>
      <c r="FO326" s="117"/>
      <c r="FP326" s="117"/>
      <c r="FQ326" s="117"/>
      <c r="FR326" s="117"/>
      <c r="FS326" s="117"/>
      <c r="FT326" s="117"/>
      <c r="FU326" s="117"/>
      <c r="FV326" s="117"/>
      <c r="FW326" s="117"/>
      <c r="FX326" s="117"/>
      <c r="FY326" s="117"/>
      <c r="FZ326" s="117"/>
      <c r="GA326" s="117"/>
      <c r="GB326" s="117"/>
      <c r="GC326" s="117"/>
      <c r="GD326" s="117"/>
      <c r="GE326" s="117"/>
      <c r="GF326" s="117"/>
      <c r="GG326" s="117"/>
      <c r="GH326" s="117"/>
      <c r="GI326" s="117"/>
      <c r="GJ326" s="117"/>
      <c r="GK326" s="117"/>
      <c r="GL326" s="117"/>
      <c r="GM326" s="117"/>
      <c r="GN326" s="117"/>
      <c r="GO326" s="117"/>
      <c r="GP326" s="117"/>
      <c r="GQ326" s="117"/>
      <c r="GR326" s="117"/>
      <c r="GS326" s="117"/>
      <c r="GT326" s="117"/>
      <c r="GU326" s="117"/>
      <c r="GV326" s="117"/>
      <c r="GW326" s="117"/>
      <c r="GX326" s="117"/>
      <c r="GY326" s="117"/>
      <c r="GZ326" s="117"/>
      <c r="HA326" s="117"/>
      <c r="HB326" s="117"/>
      <c r="HC326" s="117"/>
      <c r="HD326" s="117"/>
      <c r="HE326" s="117"/>
      <c r="HF326" s="117"/>
      <c r="HG326" s="117"/>
      <c r="HH326" s="117"/>
      <c r="HI326" s="117"/>
      <c r="HJ326" s="117"/>
      <c r="HK326" s="117"/>
      <c r="HL326" s="117"/>
      <c r="HM326" s="117"/>
      <c r="HN326" s="117"/>
      <c r="HO326" s="117"/>
      <c r="HP326" s="117"/>
      <c r="HQ326" s="117"/>
      <c r="HR326" s="117"/>
      <c r="HS326" s="117"/>
      <c r="HT326" s="117"/>
      <c r="HU326" s="117"/>
      <c r="HV326" s="117"/>
      <c r="HW326" s="117"/>
      <c r="HX326" s="117"/>
      <c r="HY326" s="117"/>
      <c r="HZ326" s="117"/>
      <c r="IA326" s="117"/>
      <c r="IB326" s="117"/>
      <c r="IC326" s="117"/>
      <c r="ID326" s="117"/>
      <c r="IE326" s="117"/>
      <c r="IF326" s="117"/>
      <c r="IG326" s="117"/>
      <c r="IH326" s="117"/>
      <c r="II326" s="117"/>
      <c r="IJ326" s="117"/>
      <c r="IK326" s="117"/>
      <c r="IL326" s="117"/>
      <c r="IM326" s="117"/>
      <c r="IN326" s="117"/>
      <c r="IO326" s="117"/>
      <c r="IP326" s="117"/>
      <c r="IQ326" s="117"/>
      <c r="IR326" s="117"/>
      <c r="IS326" s="117"/>
      <c r="IT326" s="117"/>
      <c r="IU326" s="117"/>
      <c r="IV326" s="117"/>
      <c r="IW326" s="117"/>
      <c r="IX326" s="117"/>
      <c r="IY326" s="117"/>
      <c r="IZ326" s="117"/>
      <c r="JA326" s="117"/>
      <c r="JB326" s="117"/>
      <c r="JC326" s="117"/>
      <c r="JD326" s="117"/>
      <c r="JE326" s="117"/>
      <c r="JF326" s="117"/>
      <c r="JG326" s="117"/>
      <c r="JH326" s="117"/>
      <c r="JI326" s="117"/>
      <c r="JJ326" s="117"/>
      <c r="JK326" s="117"/>
      <c r="JL326" s="117"/>
      <c r="JM326" s="117"/>
      <c r="JN326" s="117"/>
      <c r="JO326" s="117"/>
      <c r="JP326" s="117"/>
      <c r="JQ326" s="117"/>
      <c r="JR326" s="117"/>
      <c r="JS326" s="117"/>
      <c r="JT326" s="117"/>
      <c r="JU326" s="117"/>
      <c r="JV326" s="117"/>
      <c r="JW326" s="117"/>
      <c r="JX326" s="117"/>
      <c r="JY326" s="117"/>
      <c r="JZ326" s="117"/>
      <c r="KA326" s="117"/>
      <c r="KB326" s="117"/>
      <c r="KC326" s="117"/>
      <c r="KD326" s="117"/>
      <c r="KE326" s="117"/>
      <c r="KF326" s="117"/>
      <c r="KG326" s="117"/>
      <c r="KH326" s="117"/>
      <c r="KI326" s="117"/>
      <c r="KJ326" s="117"/>
      <c r="KK326" s="117"/>
      <c r="KL326" s="117"/>
      <c r="KM326" s="117"/>
      <c r="KN326" s="117"/>
      <c r="KO326" s="117"/>
      <c r="KP326" s="117"/>
      <c r="KQ326" s="117"/>
      <c r="KR326" s="117"/>
      <c r="KS326" s="117"/>
      <c r="KT326" s="117"/>
      <c r="KU326" s="117"/>
      <c r="KV326" s="117"/>
      <c r="KW326" s="117"/>
      <c r="KX326" s="117"/>
      <c r="KY326" s="117"/>
      <c r="KZ326" s="117"/>
      <c r="LA326" s="117"/>
      <c r="LB326" s="117"/>
      <c r="LC326" s="117"/>
      <c r="LD326" s="117"/>
      <c r="LE326" s="117"/>
      <c r="LF326" s="117"/>
      <c r="LG326" s="117"/>
      <c r="LH326" s="117"/>
      <c r="LI326" s="117"/>
      <c r="LJ326" s="117"/>
      <c r="LK326" s="117"/>
      <c r="LL326" s="117"/>
      <c r="LM326" s="117"/>
      <c r="LN326" s="117"/>
      <c r="LO326" s="117"/>
      <c r="LP326" s="117"/>
      <c r="LQ326" s="117"/>
      <c r="LR326" s="117"/>
      <c r="LS326" s="117"/>
      <c r="LT326" s="117"/>
      <c r="LU326" s="117"/>
      <c r="LV326" s="117"/>
      <c r="LW326" s="117"/>
      <c r="LX326" s="117"/>
      <c r="LY326" s="117"/>
      <c r="LZ326" s="117"/>
      <c r="MA326" s="117"/>
      <c r="MB326" s="117"/>
      <c r="MC326" s="117"/>
      <c r="MD326" s="117"/>
      <c r="ME326" s="117"/>
      <c r="MF326" s="117"/>
      <c r="MG326" s="117"/>
      <c r="MH326" s="117"/>
      <c r="MI326" s="117"/>
      <c r="MJ326" s="117"/>
      <c r="MK326" s="117"/>
      <c r="ML326" s="117"/>
      <c r="MM326" s="117"/>
      <c r="MN326" s="117"/>
      <c r="MO326" s="117"/>
      <c r="MP326" s="117"/>
      <c r="MQ326" s="117"/>
      <c r="MR326" s="117"/>
      <c r="MS326" s="117"/>
      <c r="MT326" s="117"/>
      <c r="MU326" s="117"/>
      <c r="MV326" s="117"/>
      <c r="MW326" s="117"/>
      <c r="MX326" s="117"/>
      <c r="MY326" s="117"/>
      <c r="MZ326" s="117"/>
      <c r="NA326" s="117"/>
      <c r="NB326" s="117"/>
      <c r="NC326" s="117"/>
      <c r="ND326" s="117"/>
      <c r="NE326" s="117"/>
      <c r="NF326" s="117"/>
      <c r="NG326" s="117"/>
      <c r="NH326" s="117"/>
      <c r="NI326" s="117"/>
      <c r="NJ326" s="117"/>
      <c r="NK326" s="117"/>
      <c r="NL326" s="117"/>
      <c r="NM326" s="117"/>
      <c r="NN326" s="117"/>
      <c r="NO326" s="117"/>
      <c r="NP326" s="117"/>
      <c r="NQ326" s="117"/>
      <c r="NR326" s="117"/>
      <c r="NS326" s="117"/>
      <c r="NT326" s="117"/>
      <c r="NU326" s="117"/>
      <c r="NV326" s="117"/>
      <c r="NW326" s="117"/>
      <c r="NX326" s="117"/>
      <c r="NY326" s="117"/>
      <c r="NZ326" s="117"/>
      <c r="OA326" s="117"/>
      <c r="OB326" s="117"/>
      <c r="OC326" s="117"/>
      <c r="OD326" s="117"/>
      <c r="OE326" s="117"/>
      <c r="OF326" s="117"/>
      <c r="OG326" s="117"/>
      <c r="OH326" s="117"/>
      <c r="OI326" s="117"/>
      <c r="OJ326" s="117"/>
      <c r="OK326" s="117"/>
      <c r="OL326" s="117"/>
      <c r="OM326" s="117"/>
      <c r="ON326" s="117"/>
      <c r="OO326" s="117"/>
      <c r="OP326" s="117"/>
      <c r="OQ326" s="117"/>
      <c r="OR326" s="117"/>
      <c r="OS326" s="117"/>
      <c r="OT326" s="117"/>
      <c r="OU326" s="117"/>
      <c r="OV326" s="117"/>
      <c r="OW326" s="117"/>
      <c r="OX326" s="117"/>
      <c r="OY326" s="117"/>
      <c r="OZ326" s="117"/>
      <c r="PA326" s="117"/>
      <c r="PB326" s="117"/>
      <c r="PC326" s="117"/>
      <c r="PD326" s="117"/>
      <c r="PE326" s="117"/>
      <c r="PF326" s="117"/>
      <c r="PG326" s="117"/>
      <c r="PH326" s="117"/>
      <c r="PI326" s="117"/>
      <c r="PJ326" s="117"/>
      <c r="PK326" s="117"/>
      <c r="PL326" s="117"/>
      <c r="PM326" s="117"/>
      <c r="PN326" s="117"/>
      <c r="PO326" s="117"/>
      <c r="PP326" s="117"/>
      <c r="PQ326" s="117"/>
      <c r="PR326" s="117"/>
      <c r="PS326" s="117"/>
      <c r="PT326" s="117"/>
      <c r="PU326" s="117"/>
      <c r="PV326" s="117"/>
      <c r="PW326" s="117"/>
      <c r="PX326" s="117"/>
      <c r="PY326" s="117"/>
      <c r="PZ326" s="117"/>
      <c r="QA326" s="117"/>
      <c r="QB326" s="117"/>
      <c r="QC326" s="117"/>
      <c r="QD326" s="117"/>
      <c r="QE326" s="117"/>
      <c r="QF326" s="117"/>
      <c r="QG326" s="117"/>
      <c r="QH326" s="117"/>
      <c r="QI326" s="117"/>
      <c r="QJ326" s="117"/>
      <c r="QK326" s="117"/>
      <c r="QL326" s="117"/>
      <c r="QM326" s="117"/>
      <c r="QN326" s="117"/>
      <c r="QO326" s="117"/>
      <c r="QP326" s="117"/>
      <c r="QQ326" s="117"/>
      <c r="QR326" s="117"/>
      <c r="QS326" s="117"/>
      <c r="QT326" s="117"/>
      <c r="QU326" s="117"/>
      <c r="QV326" s="117"/>
      <c r="QW326" s="117"/>
      <c r="QX326" s="117"/>
      <c r="QY326" s="117"/>
      <c r="QZ326" s="117"/>
      <c r="RA326" s="117"/>
      <c r="RB326" s="117"/>
      <c r="RC326" s="117"/>
      <c r="RD326" s="117"/>
      <c r="RE326" s="117"/>
      <c r="RF326" s="117"/>
      <c r="RG326" s="117"/>
      <c r="RH326" s="117"/>
      <c r="RI326" s="117"/>
      <c r="RJ326" s="117"/>
      <c r="RK326" s="117"/>
      <c r="RL326" s="117"/>
      <c r="RM326" s="117"/>
      <c r="RN326" s="117"/>
      <c r="RO326" s="117"/>
      <c r="RP326" s="117"/>
      <c r="RQ326" s="117"/>
      <c r="RR326" s="117"/>
      <c r="RS326" s="117"/>
      <c r="RT326" s="117"/>
      <c r="RU326" s="117"/>
      <c r="RV326" s="117"/>
      <c r="RW326" s="117"/>
      <c r="RX326" s="117"/>
      <c r="RY326" s="117"/>
      <c r="RZ326" s="117"/>
      <c r="SA326" s="117"/>
      <c r="SB326" s="117"/>
      <c r="SC326" s="117"/>
      <c r="SD326" s="117"/>
      <c r="SE326" s="117"/>
      <c r="SF326" s="117"/>
      <c r="SG326" s="117"/>
      <c r="SH326" s="117"/>
      <c r="SI326" s="117"/>
      <c r="SJ326" s="117"/>
      <c r="SK326" s="117"/>
      <c r="SL326" s="117"/>
      <c r="SM326" s="117"/>
      <c r="SN326" s="117"/>
      <c r="SO326" s="117"/>
      <c r="SP326" s="117"/>
      <c r="SQ326" s="117"/>
      <c r="SR326" s="117"/>
      <c r="SS326" s="117"/>
      <c r="ST326" s="117"/>
      <c r="SU326" s="117"/>
      <c r="SV326" s="117"/>
      <c r="SW326" s="117"/>
      <c r="SX326" s="117"/>
      <c r="SY326" s="117"/>
      <c r="SZ326" s="117"/>
      <c r="TA326" s="117"/>
      <c r="TB326" s="117"/>
      <c r="TC326" s="117"/>
      <c r="TD326" s="117"/>
      <c r="TE326" s="117"/>
      <c r="TF326" s="117"/>
      <c r="TG326" s="117"/>
      <c r="TH326" s="117"/>
      <c r="TI326" s="117"/>
      <c r="TJ326" s="117"/>
      <c r="TK326" s="117"/>
      <c r="TL326" s="117"/>
      <c r="TM326" s="117"/>
      <c r="TN326" s="117"/>
      <c r="TO326" s="117"/>
      <c r="TP326" s="117"/>
      <c r="TQ326" s="117"/>
      <c r="TR326" s="117"/>
      <c r="TS326" s="117"/>
      <c r="TT326" s="117"/>
      <c r="TU326" s="117"/>
      <c r="TV326" s="117"/>
      <c r="TW326" s="117"/>
      <c r="TX326" s="117"/>
      <c r="TY326" s="117"/>
      <c r="TZ326" s="117"/>
      <c r="UA326" s="117"/>
      <c r="UB326" s="117"/>
      <c r="UC326" s="117"/>
      <c r="UD326" s="117"/>
      <c r="UE326" s="117"/>
      <c r="UF326" s="117"/>
      <c r="UG326" s="117"/>
      <c r="UH326" s="117"/>
      <c r="UI326" s="117"/>
      <c r="UJ326" s="117"/>
      <c r="UK326" s="117"/>
      <c r="UL326" s="117"/>
      <c r="UM326" s="117"/>
      <c r="UN326" s="117"/>
      <c r="UO326" s="117"/>
      <c r="UP326" s="117"/>
      <c r="UQ326" s="117"/>
      <c r="UR326" s="117"/>
      <c r="US326" s="117"/>
      <c r="UT326" s="117"/>
      <c r="UU326" s="117"/>
      <c r="UV326" s="117"/>
      <c r="UW326" s="117"/>
      <c r="UX326" s="117"/>
      <c r="UY326" s="117"/>
      <c r="UZ326" s="117"/>
      <c r="VA326" s="117"/>
      <c r="VB326" s="117"/>
      <c r="VC326" s="117"/>
      <c r="VD326" s="117"/>
      <c r="VE326" s="117"/>
      <c r="VF326" s="117"/>
      <c r="VG326" s="117"/>
      <c r="VH326" s="117"/>
      <c r="VI326" s="117"/>
      <c r="VJ326" s="117"/>
      <c r="VK326" s="117"/>
      <c r="VL326" s="117"/>
      <c r="VM326" s="117"/>
      <c r="VN326" s="117"/>
      <c r="VO326" s="117"/>
      <c r="VP326" s="117"/>
      <c r="VQ326" s="117"/>
      <c r="VR326" s="117"/>
      <c r="VS326" s="117"/>
      <c r="VT326" s="117"/>
      <c r="VU326" s="117"/>
      <c r="VV326" s="117"/>
      <c r="VW326" s="117"/>
      <c r="VX326" s="117"/>
      <c r="VY326" s="117"/>
      <c r="VZ326" s="117"/>
      <c r="WA326" s="117"/>
      <c r="WB326" s="117"/>
      <c r="WC326" s="117"/>
      <c r="WD326" s="117"/>
      <c r="WE326" s="117"/>
      <c r="WF326" s="117"/>
      <c r="WG326" s="117"/>
      <c r="WH326" s="117"/>
      <c r="WI326" s="117"/>
      <c r="WJ326" s="117"/>
      <c r="WK326" s="117"/>
      <c r="WL326" s="117"/>
      <c r="WM326" s="117"/>
      <c r="WN326" s="117"/>
      <c r="WO326" s="117"/>
      <c r="WP326" s="117"/>
      <c r="WQ326" s="117"/>
      <c r="WR326" s="117"/>
      <c r="WS326" s="117"/>
      <c r="WT326" s="117"/>
      <c r="WU326" s="117"/>
      <c r="WV326" s="117"/>
      <c r="WW326" s="117"/>
      <c r="WX326" s="117"/>
      <c r="WY326" s="117"/>
      <c r="WZ326" s="117"/>
      <c r="XA326" s="117"/>
      <c r="XB326" s="117"/>
      <c r="XC326" s="117"/>
      <c r="XD326" s="117"/>
      <c r="XE326" s="117"/>
      <c r="XF326" s="117"/>
      <c r="XG326" s="117"/>
      <c r="XH326" s="117"/>
      <c r="XI326" s="117"/>
      <c r="XJ326" s="117"/>
      <c r="XK326" s="117"/>
      <c r="XL326" s="117"/>
      <c r="XM326" s="117"/>
      <c r="XN326" s="117"/>
      <c r="XO326" s="117"/>
      <c r="XP326" s="117"/>
      <c r="XQ326" s="117"/>
      <c r="XR326" s="117"/>
      <c r="XS326" s="117"/>
      <c r="XT326" s="117"/>
      <c r="XU326" s="117"/>
      <c r="XV326" s="117"/>
      <c r="XW326" s="117"/>
      <c r="XX326" s="117"/>
      <c r="XY326" s="117"/>
      <c r="XZ326" s="117"/>
      <c r="YA326" s="117"/>
      <c r="YB326" s="117"/>
      <c r="YC326" s="117"/>
      <c r="YD326" s="117"/>
      <c r="YE326" s="117"/>
      <c r="YF326" s="117"/>
      <c r="YG326" s="117"/>
      <c r="YH326" s="117"/>
      <c r="YI326" s="117"/>
      <c r="YJ326" s="117"/>
      <c r="YK326" s="117"/>
      <c r="YL326" s="117"/>
      <c r="YM326" s="117"/>
      <c r="YN326" s="117"/>
      <c r="YO326" s="117"/>
      <c r="YP326" s="117"/>
      <c r="YQ326" s="117"/>
      <c r="YR326" s="117"/>
      <c r="YS326" s="117"/>
      <c r="YT326" s="117"/>
      <c r="YU326" s="117"/>
      <c r="YV326" s="117"/>
      <c r="YW326" s="117"/>
      <c r="YX326" s="117"/>
      <c r="YY326" s="117"/>
      <c r="YZ326" s="117"/>
      <c r="ZA326" s="117"/>
      <c r="ZB326" s="117"/>
      <c r="ZC326" s="117"/>
      <c r="ZD326" s="117"/>
      <c r="ZE326" s="117"/>
      <c r="ZF326" s="117"/>
      <c r="ZG326" s="117"/>
      <c r="ZH326" s="117"/>
      <c r="ZI326" s="117"/>
      <c r="ZJ326" s="117"/>
      <c r="ZK326" s="117"/>
      <c r="ZL326" s="117"/>
      <c r="ZM326" s="117"/>
      <c r="ZN326" s="117"/>
      <c r="ZO326" s="117"/>
      <c r="ZP326" s="117"/>
      <c r="ZQ326" s="117"/>
      <c r="ZR326" s="117"/>
      <c r="ZS326" s="117"/>
      <c r="ZT326" s="117"/>
      <c r="ZU326" s="117"/>
      <c r="ZV326" s="117"/>
      <c r="ZW326" s="117"/>
      <c r="ZX326" s="117"/>
      <c r="ZY326" s="117"/>
      <c r="ZZ326" s="117"/>
      <c r="AAA326" s="117"/>
      <c r="AAB326" s="117"/>
      <c r="AAC326" s="117"/>
      <c r="AAD326" s="117"/>
      <c r="AAE326" s="117"/>
      <c r="AAF326" s="117"/>
      <c r="AAG326" s="117"/>
      <c r="AAH326" s="117"/>
      <c r="AAI326" s="117"/>
      <c r="AAJ326" s="117"/>
      <c r="AAK326" s="117"/>
      <c r="AAL326" s="117"/>
      <c r="AAM326" s="117"/>
      <c r="AAN326" s="117"/>
      <c r="AAO326" s="117"/>
      <c r="AAP326" s="117"/>
      <c r="AAQ326" s="117"/>
      <c r="AAR326" s="117"/>
      <c r="AAS326" s="117"/>
      <c r="AAT326" s="117"/>
      <c r="AAU326" s="117"/>
      <c r="AAV326" s="117"/>
      <c r="AAW326" s="117"/>
      <c r="AAX326" s="117"/>
      <c r="AAY326" s="117"/>
      <c r="AAZ326" s="117"/>
      <c r="ABA326" s="117"/>
      <c r="ABB326" s="117"/>
      <c r="ABC326" s="117"/>
      <c r="ABD326" s="117"/>
      <c r="ABE326" s="117"/>
      <c r="ABF326" s="117"/>
      <c r="ABG326" s="117"/>
      <c r="ABH326" s="117"/>
      <c r="ABI326" s="117"/>
      <c r="ABJ326" s="117"/>
      <c r="ABK326" s="117"/>
      <c r="ABL326" s="117"/>
      <c r="ABM326" s="117"/>
      <c r="ABN326" s="117"/>
      <c r="ABO326" s="117"/>
      <c r="ABP326" s="117"/>
      <c r="ABQ326" s="117"/>
      <c r="ABR326" s="117"/>
      <c r="ABS326" s="117"/>
      <c r="ABT326" s="117"/>
      <c r="ABU326" s="117"/>
      <c r="ABV326" s="117"/>
      <c r="ABW326" s="117"/>
      <c r="ABX326" s="117"/>
      <c r="ABY326" s="117"/>
      <c r="ABZ326" s="117"/>
      <c r="ACA326" s="117"/>
      <c r="ACB326" s="117"/>
      <c r="ACC326" s="117"/>
      <c r="ACD326" s="117"/>
      <c r="ACE326" s="117"/>
      <c r="ACF326" s="117"/>
      <c r="ACG326" s="117"/>
      <c r="ACH326" s="117"/>
      <c r="ACI326" s="117"/>
      <c r="ACJ326" s="117"/>
      <c r="ACK326" s="117"/>
      <c r="ACL326" s="117"/>
      <c r="ACM326" s="117"/>
      <c r="ACN326" s="117"/>
      <c r="ACO326" s="117"/>
      <c r="ACP326" s="117"/>
      <c r="ACQ326" s="117"/>
      <c r="ACR326" s="117"/>
      <c r="ACS326" s="117"/>
      <c r="ACT326" s="117"/>
      <c r="ACU326" s="117"/>
      <c r="ACV326" s="117"/>
      <c r="ACW326" s="117"/>
      <c r="ACX326" s="117"/>
      <c r="ACY326" s="117"/>
      <c r="ACZ326" s="117"/>
      <c r="ADA326" s="117"/>
      <c r="ADB326" s="117"/>
      <c r="ADC326" s="117"/>
      <c r="ADD326" s="117"/>
      <c r="ADE326" s="117"/>
      <c r="ADF326" s="117"/>
      <c r="ADG326" s="117"/>
      <c r="ADH326" s="117"/>
      <c r="ADI326" s="117"/>
      <c r="ADJ326" s="117"/>
      <c r="ADK326" s="117"/>
      <c r="ADL326" s="117"/>
      <c r="ADM326" s="117"/>
      <c r="ADN326" s="117"/>
      <c r="ADO326" s="117"/>
      <c r="ADP326" s="117"/>
      <c r="ADQ326" s="117"/>
      <c r="ADR326" s="117"/>
      <c r="ADS326" s="117"/>
      <c r="ADT326" s="117"/>
      <c r="ADU326" s="117"/>
      <c r="ADV326" s="117"/>
      <c r="ADW326" s="117"/>
      <c r="ADX326" s="117"/>
      <c r="ADY326" s="117"/>
      <c r="ADZ326" s="117"/>
      <c r="AEA326" s="117"/>
      <c r="AEB326" s="117"/>
      <c r="AEC326" s="117"/>
      <c r="AED326" s="117"/>
      <c r="AEE326" s="117"/>
      <c r="AEF326" s="117"/>
      <c r="AEG326" s="117"/>
      <c r="AEH326" s="117"/>
      <c r="AEI326" s="117"/>
      <c r="AEJ326" s="117"/>
      <c r="AEK326" s="117"/>
      <c r="AEL326" s="117"/>
      <c r="AEM326" s="117"/>
      <c r="AEN326" s="117"/>
      <c r="AEO326" s="117"/>
      <c r="AEP326" s="117"/>
      <c r="AEQ326" s="117"/>
      <c r="AER326" s="117"/>
      <c r="AES326" s="117"/>
      <c r="AET326" s="117"/>
      <c r="AEU326" s="117"/>
      <c r="AEV326" s="117"/>
      <c r="AEW326" s="117"/>
      <c r="AEX326" s="117"/>
      <c r="AEY326" s="117"/>
      <c r="AEZ326" s="117"/>
      <c r="AFA326" s="117"/>
      <c r="AFB326" s="117"/>
      <c r="AFC326" s="117"/>
      <c r="AFD326" s="117"/>
      <c r="AFE326" s="117"/>
      <c r="AFF326" s="117"/>
      <c r="AFG326" s="117"/>
      <c r="AFH326" s="117"/>
      <c r="AFI326" s="117"/>
      <c r="AFJ326" s="117"/>
      <c r="AFK326" s="117"/>
      <c r="AFL326" s="117"/>
      <c r="AFM326" s="117"/>
      <c r="AFN326" s="117"/>
      <c r="AFO326" s="117"/>
      <c r="AFP326" s="117"/>
      <c r="AFQ326" s="117"/>
      <c r="AFR326" s="117"/>
      <c r="AFS326" s="117"/>
      <c r="AFT326" s="117"/>
      <c r="AFU326" s="117"/>
      <c r="AFV326" s="117"/>
      <c r="AFW326" s="117"/>
      <c r="AFX326" s="117"/>
      <c r="AFY326" s="117"/>
      <c r="AFZ326" s="117"/>
      <c r="AGA326" s="117"/>
      <c r="AGB326" s="117"/>
      <c r="AGC326" s="117"/>
      <c r="AGD326" s="117"/>
      <c r="AGE326" s="117"/>
      <c r="AGF326" s="117"/>
      <c r="AGG326" s="117"/>
      <c r="AGH326" s="117"/>
      <c r="AGI326" s="117"/>
      <c r="AGJ326" s="117"/>
      <c r="AGK326" s="117"/>
      <c r="AGL326" s="117"/>
      <c r="AGM326" s="117"/>
      <c r="AGN326" s="117"/>
      <c r="AGO326" s="117"/>
      <c r="AGP326" s="117"/>
      <c r="AGQ326" s="117"/>
      <c r="AGR326" s="117"/>
      <c r="AGS326" s="117"/>
      <c r="AGT326" s="117"/>
      <c r="AGU326" s="117"/>
      <c r="AGV326" s="117"/>
      <c r="AGW326" s="117"/>
      <c r="AGX326" s="117"/>
      <c r="AGY326" s="117"/>
      <c r="AGZ326" s="117"/>
      <c r="AHA326" s="117"/>
      <c r="AHB326" s="117"/>
      <c r="AHC326" s="117"/>
      <c r="AHD326" s="117"/>
      <c r="AHE326" s="117"/>
      <c r="AHF326" s="117"/>
      <c r="AHG326" s="117"/>
      <c r="AHH326" s="117"/>
      <c r="AHI326" s="117"/>
      <c r="AHJ326" s="117"/>
      <c r="AHK326" s="117"/>
      <c r="AHL326" s="117"/>
      <c r="AHM326" s="117"/>
      <c r="AHN326" s="117"/>
      <c r="AHO326" s="117"/>
      <c r="AHP326" s="117"/>
      <c r="AHQ326" s="117"/>
      <c r="AHR326" s="117"/>
      <c r="AHS326" s="117"/>
      <c r="AHT326" s="117"/>
      <c r="AHU326" s="117"/>
      <c r="AHV326" s="117"/>
      <c r="AHW326" s="117"/>
      <c r="AHX326" s="117"/>
      <c r="AHY326" s="117"/>
      <c r="AHZ326" s="117"/>
      <c r="AIA326" s="117"/>
      <c r="AIB326" s="117"/>
      <c r="AIC326" s="117"/>
      <c r="AID326" s="117"/>
      <c r="AIE326" s="117"/>
      <c r="AIF326" s="117"/>
      <c r="AIG326" s="117"/>
      <c r="AIH326" s="117"/>
      <c r="AII326" s="117"/>
      <c r="AIJ326" s="117"/>
      <c r="AIK326" s="117"/>
      <c r="AIL326" s="117"/>
      <c r="AIM326" s="117"/>
      <c r="AIN326" s="117"/>
      <c r="AIO326" s="117"/>
      <c r="AIP326" s="117"/>
      <c r="AIQ326" s="117"/>
      <c r="AIR326" s="117"/>
      <c r="AIS326" s="117"/>
      <c r="AIT326" s="117"/>
      <c r="AIU326" s="117"/>
      <c r="AIV326" s="117"/>
      <c r="AIW326" s="117"/>
      <c r="AIX326" s="117"/>
      <c r="AIY326" s="117"/>
      <c r="AIZ326" s="117"/>
      <c r="AJA326" s="117"/>
      <c r="AJB326" s="117"/>
      <c r="AJC326" s="117"/>
      <c r="AJD326" s="117"/>
      <c r="AJE326" s="117"/>
      <c r="AJF326" s="117"/>
      <c r="AJG326" s="117"/>
      <c r="AJH326" s="117"/>
      <c r="AJI326" s="117"/>
      <c r="AJJ326" s="117"/>
      <c r="AJK326" s="117"/>
      <c r="AJL326" s="117"/>
      <c r="AJM326" s="117"/>
      <c r="AJN326" s="117"/>
      <c r="AJO326" s="117"/>
      <c r="AJP326" s="117"/>
      <c r="AJQ326" s="117"/>
      <c r="AJR326" s="117"/>
      <c r="AJS326" s="117"/>
      <c r="AJT326" s="117"/>
      <c r="AJU326" s="117"/>
      <c r="AJV326" s="117"/>
      <c r="AJW326" s="117"/>
      <c r="AJX326" s="117"/>
      <c r="AJY326" s="117"/>
      <c r="AJZ326" s="117"/>
      <c r="AKA326" s="117"/>
      <c r="AKB326" s="117"/>
      <c r="AKC326" s="117"/>
      <c r="AKD326" s="117"/>
      <c r="AKE326" s="117"/>
      <c r="AKF326" s="117"/>
      <c r="AKG326" s="117"/>
      <c r="AKH326" s="117"/>
      <c r="AKI326" s="117"/>
      <c r="AKJ326" s="117"/>
      <c r="AKK326" s="117"/>
      <c r="AKL326" s="117"/>
      <c r="AKM326" s="117"/>
      <c r="AKN326" s="117"/>
      <c r="AKO326" s="117"/>
      <c r="AKP326" s="117"/>
      <c r="AKQ326" s="117"/>
      <c r="AKR326" s="117"/>
      <c r="AKS326" s="117"/>
      <c r="AKT326" s="117"/>
      <c r="AKU326" s="117"/>
      <c r="AKV326" s="117"/>
      <c r="AKW326" s="117"/>
      <c r="AKX326" s="117"/>
      <c r="AKY326" s="117"/>
      <c r="AKZ326" s="117"/>
      <c r="ALA326" s="117"/>
      <c r="ALB326" s="117"/>
      <c r="ALC326" s="117"/>
      <c r="ALD326" s="117"/>
      <c r="ALE326" s="117"/>
      <c r="ALF326" s="117"/>
      <c r="ALG326" s="117"/>
      <c r="ALH326" s="117"/>
      <c r="ALI326" s="117"/>
      <c r="ALJ326" s="117"/>
      <c r="ALK326" s="117"/>
      <c r="ALL326" s="117"/>
      <c r="ALM326" s="117"/>
      <c r="ALN326" s="117"/>
      <c r="ALO326" s="117"/>
      <c r="ALP326" s="117"/>
      <c r="ALQ326" s="117"/>
      <c r="ALR326" s="117"/>
      <c r="ALS326" s="117"/>
      <c r="ALT326" s="117"/>
      <c r="ALU326" s="117"/>
      <c r="ALV326" s="117"/>
      <c r="ALW326" s="117"/>
      <c r="ALX326" s="117"/>
      <c r="ALY326" s="117"/>
      <c r="ALZ326" s="117"/>
      <c r="AMA326" s="117"/>
      <c r="AMB326" s="117"/>
      <c r="AMC326" s="117"/>
      <c r="AMD326" s="117"/>
      <c r="AME326" s="117"/>
    </row>
    <row r="327" spans="1:1019" s="191" customFormat="1" ht="11.25" customHeight="1">
      <c r="A327" s="157">
        <v>325</v>
      </c>
      <c r="B327" s="157" t="s">
        <v>143</v>
      </c>
      <c r="C327" s="192" t="s">
        <v>504</v>
      </c>
      <c r="D327" s="190">
        <v>1</v>
      </c>
      <c r="E327" s="190">
        <f t="shared" si="47"/>
        <v>43</v>
      </c>
      <c r="F327" s="173" t="s">
        <v>529</v>
      </c>
      <c r="G327" s="172">
        <v>237</v>
      </c>
      <c r="H327" s="143">
        <f>INT((G327*Valores!$C$2*100)+0.5)/100</f>
        <v>2213.51</v>
      </c>
      <c r="I327" s="161">
        <v>0</v>
      </c>
      <c r="J327" s="145">
        <f>INT((I327*Valores!$C$2*100)+0.5)/100</f>
        <v>0</v>
      </c>
      <c r="K327" s="160">
        <v>0</v>
      </c>
      <c r="L327" s="145">
        <f>INT((K327*Valores!$C$2*100)+0.5)/100</f>
        <v>0</v>
      </c>
      <c r="M327" s="158">
        <v>0</v>
      </c>
      <c r="N327" s="145">
        <f>INT((M327*Valores!$C$2*100)+0.5)/100</f>
        <v>0</v>
      </c>
      <c r="O327" s="145">
        <f t="shared" si="48"/>
        <v>0</v>
      </c>
      <c r="P327" s="145">
        <f t="shared" si="49"/>
        <v>0</v>
      </c>
      <c r="Q327" s="159">
        <v>0</v>
      </c>
      <c r="R327" s="159">
        <v>0</v>
      </c>
      <c r="S327" s="145">
        <v>0</v>
      </c>
      <c r="T327" s="148">
        <f>IF($H$5="NO",Valores!$C$47,Valores!$C$47/2)</f>
        <v>158.98</v>
      </c>
      <c r="U327" s="159">
        <v>0</v>
      </c>
      <c r="V327" s="145">
        <f t="shared" si="57"/>
        <v>0</v>
      </c>
      <c r="W327" s="145">
        <v>0</v>
      </c>
      <c r="X327" s="145">
        <v>0</v>
      </c>
      <c r="Y327" s="165">
        <v>0</v>
      </c>
      <c r="Z327" s="145">
        <v>0</v>
      </c>
      <c r="AA327" s="145">
        <v>0</v>
      </c>
      <c r="AB327" s="148">
        <f>Valores!$C$93</f>
        <v>115.38461538461542</v>
      </c>
      <c r="AC327" s="150">
        <v>0</v>
      </c>
      <c r="AD327" s="145">
        <f t="shared" si="51"/>
        <v>0</v>
      </c>
      <c r="AE327" s="145">
        <v>0</v>
      </c>
      <c r="AF327" s="149">
        <v>0</v>
      </c>
      <c r="AG327" s="145">
        <f>INT(((AF327*Valores!$C$2)*100)+0.5)/100</f>
        <v>0</v>
      </c>
      <c r="AH327" s="145">
        <f>Valores!$C$60</f>
        <v>54.2</v>
      </c>
      <c r="AI327" s="145">
        <f>Valores!$C$62</f>
        <v>15.49</v>
      </c>
      <c r="AJ327" s="151">
        <f t="shared" si="52"/>
        <v>2557.564615384615</v>
      </c>
      <c r="AK327" s="171"/>
      <c r="AL327" s="148">
        <f>Valores!$C$12</f>
        <v>0</v>
      </c>
      <c r="AM327" s="148">
        <f>Valores!$C$88</f>
        <v>227.49999999999997</v>
      </c>
      <c r="AN327" s="148"/>
      <c r="AO327" s="150">
        <v>0</v>
      </c>
      <c r="AP327" s="152">
        <f t="shared" si="50"/>
        <v>227.49999999999997</v>
      </c>
      <c r="AQ327" s="154">
        <f>AJ327*-Valores!$C$68</f>
        <v>-281.33210769230766</v>
      </c>
      <c r="AR327" s="154">
        <f>AJ327*-Valores!$C$69</f>
        <v>0</v>
      </c>
      <c r="AS327" s="147">
        <f>AJ327*-Valores!$C$70</f>
        <v>-115.09040769230768</v>
      </c>
      <c r="AT327" s="147">
        <v>-159.43</v>
      </c>
      <c r="AU327" s="147">
        <f t="shared" si="53"/>
        <v>-53.83</v>
      </c>
      <c r="AV327" s="151">
        <f t="shared" si="54"/>
        <v>2175.3821000000003</v>
      </c>
      <c r="AW327" s="155"/>
      <c r="AX327" s="155"/>
      <c r="AY327" s="140" t="s">
        <v>4</v>
      </c>
      <c r="AZ327" s="117"/>
      <c r="BA327" s="117"/>
      <c r="BB327" s="117"/>
      <c r="BC327" s="117"/>
      <c r="BD327" s="117"/>
      <c r="BE327" s="117"/>
      <c r="BF327" s="117"/>
      <c r="BG327" s="117"/>
      <c r="BH327" s="117"/>
      <c r="BI327" s="117"/>
      <c r="BJ327" s="117"/>
      <c r="BK327" s="117"/>
      <c r="BL327" s="117"/>
      <c r="BM327" s="117"/>
      <c r="BN327" s="117"/>
      <c r="BO327" s="117"/>
      <c r="BP327" s="117"/>
      <c r="BQ327" s="117"/>
      <c r="BR327" s="117"/>
      <c r="BS327" s="117"/>
      <c r="BT327" s="117"/>
      <c r="BU327" s="117"/>
      <c r="BV327" s="117"/>
      <c r="BW327" s="117"/>
      <c r="BX327" s="117"/>
      <c r="BY327" s="117"/>
      <c r="BZ327" s="117"/>
      <c r="CA327" s="117"/>
      <c r="CB327" s="117"/>
      <c r="CC327" s="117"/>
      <c r="CD327" s="117"/>
      <c r="CE327" s="117"/>
      <c r="CF327" s="117"/>
      <c r="CG327" s="117"/>
      <c r="CH327" s="117"/>
      <c r="CI327" s="117"/>
      <c r="CJ327" s="117"/>
      <c r="CK327" s="117"/>
      <c r="CL327" s="117"/>
      <c r="CM327" s="117"/>
      <c r="CN327" s="117"/>
      <c r="CO327" s="117"/>
      <c r="CP327" s="117"/>
      <c r="CQ327" s="117"/>
      <c r="CR327" s="117"/>
      <c r="CS327" s="117"/>
      <c r="CT327" s="117"/>
      <c r="CU327" s="117"/>
      <c r="CV327" s="117"/>
      <c r="CW327" s="117"/>
      <c r="CX327" s="117"/>
      <c r="CY327" s="117"/>
      <c r="CZ327" s="117"/>
      <c r="DA327" s="117"/>
      <c r="DB327" s="117"/>
      <c r="DC327" s="117"/>
      <c r="DD327" s="117"/>
      <c r="DE327" s="117"/>
      <c r="DF327" s="117"/>
      <c r="DG327" s="117"/>
      <c r="DH327" s="117"/>
      <c r="DI327" s="117"/>
      <c r="DJ327" s="117"/>
      <c r="DK327" s="117"/>
      <c r="DL327" s="117"/>
      <c r="DM327" s="117"/>
      <c r="DN327" s="117"/>
      <c r="DO327" s="117"/>
      <c r="DP327" s="117"/>
      <c r="DQ327" s="117"/>
      <c r="DR327" s="117"/>
      <c r="DS327" s="117"/>
      <c r="DT327" s="117"/>
      <c r="DU327" s="117"/>
      <c r="DV327" s="117"/>
      <c r="DW327" s="117"/>
      <c r="DX327" s="117"/>
      <c r="DY327" s="117"/>
      <c r="DZ327" s="117"/>
      <c r="EA327" s="117"/>
      <c r="EB327" s="117"/>
      <c r="EC327" s="117"/>
      <c r="ED327" s="117"/>
      <c r="EE327" s="117"/>
      <c r="EF327" s="117"/>
      <c r="EG327" s="117"/>
      <c r="EH327" s="117"/>
      <c r="EI327" s="117"/>
      <c r="EJ327" s="117"/>
      <c r="EK327" s="117"/>
      <c r="EL327" s="117"/>
      <c r="EM327" s="117"/>
      <c r="EN327" s="117"/>
      <c r="EO327" s="117"/>
      <c r="EP327" s="117"/>
      <c r="EQ327" s="117"/>
      <c r="ER327" s="117"/>
      <c r="ES327" s="117"/>
      <c r="ET327" s="117"/>
      <c r="EU327" s="117"/>
      <c r="EV327" s="117"/>
      <c r="EW327" s="117"/>
      <c r="EX327" s="117"/>
      <c r="EY327" s="117"/>
      <c r="EZ327" s="117"/>
      <c r="FA327" s="117"/>
      <c r="FB327" s="117"/>
      <c r="FC327" s="117"/>
      <c r="FD327" s="117"/>
      <c r="FE327" s="117"/>
      <c r="FF327" s="117"/>
      <c r="FG327" s="117"/>
      <c r="FH327" s="117"/>
      <c r="FI327" s="117"/>
      <c r="FJ327" s="117"/>
      <c r="FK327" s="117"/>
      <c r="FL327" s="117"/>
      <c r="FM327" s="117"/>
      <c r="FN327" s="117"/>
      <c r="FO327" s="117"/>
      <c r="FP327" s="117"/>
      <c r="FQ327" s="117"/>
      <c r="FR327" s="117"/>
      <c r="FS327" s="117"/>
      <c r="FT327" s="117"/>
      <c r="FU327" s="117"/>
      <c r="FV327" s="117"/>
      <c r="FW327" s="117"/>
      <c r="FX327" s="117"/>
      <c r="FY327" s="117"/>
      <c r="FZ327" s="117"/>
      <c r="GA327" s="117"/>
      <c r="GB327" s="117"/>
      <c r="GC327" s="117"/>
      <c r="GD327" s="117"/>
      <c r="GE327" s="117"/>
      <c r="GF327" s="117"/>
      <c r="GG327" s="117"/>
      <c r="GH327" s="117"/>
      <c r="GI327" s="117"/>
      <c r="GJ327" s="117"/>
      <c r="GK327" s="117"/>
      <c r="GL327" s="117"/>
      <c r="GM327" s="117"/>
      <c r="GN327" s="117"/>
      <c r="GO327" s="117"/>
      <c r="GP327" s="117"/>
      <c r="GQ327" s="117"/>
      <c r="GR327" s="117"/>
      <c r="GS327" s="117"/>
      <c r="GT327" s="117"/>
      <c r="GU327" s="117"/>
      <c r="GV327" s="117"/>
      <c r="GW327" s="117"/>
      <c r="GX327" s="117"/>
      <c r="GY327" s="117"/>
      <c r="GZ327" s="117"/>
      <c r="HA327" s="117"/>
      <c r="HB327" s="117"/>
      <c r="HC327" s="117"/>
      <c r="HD327" s="117"/>
      <c r="HE327" s="117"/>
      <c r="HF327" s="117"/>
      <c r="HG327" s="117"/>
      <c r="HH327" s="117"/>
      <c r="HI327" s="117"/>
      <c r="HJ327" s="117"/>
      <c r="HK327" s="117"/>
      <c r="HL327" s="117"/>
      <c r="HM327" s="117"/>
      <c r="HN327" s="117"/>
      <c r="HO327" s="117"/>
      <c r="HP327" s="117"/>
      <c r="HQ327" s="117"/>
      <c r="HR327" s="117"/>
      <c r="HS327" s="117"/>
      <c r="HT327" s="117"/>
      <c r="HU327" s="117"/>
      <c r="HV327" s="117"/>
      <c r="HW327" s="117"/>
      <c r="HX327" s="117"/>
      <c r="HY327" s="117"/>
      <c r="HZ327" s="117"/>
      <c r="IA327" s="117"/>
      <c r="IB327" s="117"/>
      <c r="IC327" s="117"/>
      <c r="ID327" s="117"/>
      <c r="IE327" s="117"/>
      <c r="IF327" s="117"/>
      <c r="IG327" s="117"/>
      <c r="IH327" s="117"/>
      <c r="II327" s="117"/>
      <c r="IJ327" s="117"/>
      <c r="IK327" s="117"/>
      <c r="IL327" s="117"/>
      <c r="IM327" s="117"/>
      <c r="IN327" s="117"/>
      <c r="IO327" s="117"/>
      <c r="IP327" s="117"/>
      <c r="IQ327" s="117"/>
      <c r="IR327" s="117"/>
      <c r="IS327" s="117"/>
      <c r="IT327" s="117"/>
      <c r="IU327" s="117"/>
      <c r="IV327" s="117"/>
      <c r="IW327" s="117"/>
      <c r="IX327" s="117"/>
      <c r="IY327" s="117"/>
      <c r="IZ327" s="117"/>
      <c r="JA327" s="117"/>
      <c r="JB327" s="117"/>
      <c r="JC327" s="117"/>
      <c r="JD327" s="117"/>
      <c r="JE327" s="117"/>
      <c r="JF327" s="117"/>
      <c r="JG327" s="117"/>
      <c r="JH327" s="117"/>
      <c r="JI327" s="117"/>
      <c r="JJ327" s="117"/>
      <c r="JK327" s="117"/>
      <c r="JL327" s="117"/>
      <c r="JM327" s="117"/>
      <c r="JN327" s="117"/>
      <c r="JO327" s="117"/>
      <c r="JP327" s="117"/>
      <c r="JQ327" s="117"/>
      <c r="JR327" s="117"/>
      <c r="JS327" s="117"/>
      <c r="JT327" s="117"/>
      <c r="JU327" s="117"/>
      <c r="JV327" s="117"/>
      <c r="JW327" s="117"/>
      <c r="JX327" s="117"/>
      <c r="JY327" s="117"/>
      <c r="JZ327" s="117"/>
      <c r="KA327" s="117"/>
      <c r="KB327" s="117"/>
      <c r="KC327" s="117"/>
      <c r="KD327" s="117"/>
      <c r="KE327" s="117"/>
      <c r="KF327" s="117"/>
      <c r="KG327" s="117"/>
      <c r="KH327" s="117"/>
      <c r="KI327" s="117"/>
      <c r="KJ327" s="117"/>
      <c r="KK327" s="117"/>
      <c r="KL327" s="117"/>
      <c r="KM327" s="117"/>
      <c r="KN327" s="117"/>
      <c r="KO327" s="117"/>
      <c r="KP327" s="117"/>
      <c r="KQ327" s="117"/>
      <c r="KR327" s="117"/>
      <c r="KS327" s="117"/>
      <c r="KT327" s="117"/>
      <c r="KU327" s="117"/>
      <c r="KV327" s="117"/>
      <c r="KW327" s="117"/>
      <c r="KX327" s="117"/>
      <c r="KY327" s="117"/>
      <c r="KZ327" s="117"/>
      <c r="LA327" s="117"/>
      <c r="LB327" s="117"/>
      <c r="LC327" s="117"/>
      <c r="LD327" s="117"/>
      <c r="LE327" s="117"/>
      <c r="LF327" s="117"/>
      <c r="LG327" s="117"/>
      <c r="LH327" s="117"/>
      <c r="LI327" s="117"/>
      <c r="LJ327" s="117"/>
      <c r="LK327" s="117"/>
      <c r="LL327" s="117"/>
      <c r="LM327" s="117"/>
      <c r="LN327" s="117"/>
      <c r="LO327" s="117"/>
      <c r="LP327" s="117"/>
      <c r="LQ327" s="117"/>
      <c r="LR327" s="117"/>
      <c r="LS327" s="117"/>
      <c r="LT327" s="117"/>
      <c r="LU327" s="117"/>
      <c r="LV327" s="117"/>
      <c r="LW327" s="117"/>
      <c r="LX327" s="117"/>
      <c r="LY327" s="117"/>
      <c r="LZ327" s="117"/>
      <c r="MA327" s="117"/>
      <c r="MB327" s="117"/>
      <c r="MC327" s="117"/>
      <c r="MD327" s="117"/>
      <c r="ME327" s="117"/>
      <c r="MF327" s="117"/>
      <c r="MG327" s="117"/>
      <c r="MH327" s="117"/>
      <c r="MI327" s="117"/>
      <c r="MJ327" s="117"/>
      <c r="MK327" s="117"/>
      <c r="ML327" s="117"/>
      <c r="MM327" s="117"/>
      <c r="MN327" s="117"/>
      <c r="MO327" s="117"/>
      <c r="MP327" s="117"/>
      <c r="MQ327" s="117"/>
      <c r="MR327" s="117"/>
      <c r="MS327" s="117"/>
      <c r="MT327" s="117"/>
      <c r="MU327" s="117"/>
      <c r="MV327" s="117"/>
      <c r="MW327" s="117"/>
      <c r="MX327" s="117"/>
      <c r="MY327" s="117"/>
      <c r="MZ327" s="117"/>
      <c r="NA327" s="117"/>
      <c r="NB327" s="117"/>
      <c r="NC327" s="117"/>
      <c r="ND327" s="117"/>
      <c r="NE327" s="117"/>
      <c r="NF327" s="117"/>
      <c r="NG327" s="117"/>
      <c r="NH327" s="117"/>
      <c r="NI327" s="117"/>
      <c r="NJ327" s="117"/>
      <c r="NK327" s="117"/>
      <c r="NL327" s="117"/>
      <c r="NM327" s="117"/>
      <c r="NN327" s="117"/>
      <c r="NO327" s="117"/>
      <c r="NP327" s="117"/>
      <c r="NQ327" s="117"/>
      <c r="NR327" s="117"/>
      <c r="NS327" s="117"/>
      <c r="NT327" s="117"/>
      <c r="NU327" s="117"/>
      <c r="NV327" s="117"/>
      <c r="NW327" s="117"/>
      <c r="NX327" s="117"/>
      <c r="NY327" s="117"/>
      <c r="NZ327" s="117"/>
      <c r="OA327" s="117"/>
      <c r="OB327" s="117"/>
      <c r="OC327" s="117"/>
      <c r="OD327" s="117"/>
      <c r="OE327" s="117"/>
      <c r="OF327" s="117"/>
      <c r="OG327" s="117"/>
      <c r="OH327" s="117"/>
      <c r="OI327" s="117"/>
      <c r="OJ327" s="117"/>
      <c r="OK327" s="117"/>
      <c r="OL327" s="117"/>
      <c r="OM327" s="117"/>
      <c r="ON327" s="117"/>
      <c r="OO327" s="117"/>
      <c r="OP327" s="117"/>
      <c r="OQ327" s="117"/>
      <c r="OR327" s="117"/>
      <c r="OS327" s="117"/>
      <c r="OT327" s="117"/>
      <c r="OU327" s="117"/>
      <c r="OV327" s="117"/>
      <c r="OW327" s="117"/>
      <c r="OX327" s="117"/>
      <c r="OY327" s="117"/>
      <c r="OZ327" s="117"/>
      <c r="PA327" s="117"/>
      <c r="PB327" s="117"/>
      <c r="PC327" s="117"/>
      <c r="PD327" s="117"/>
      <c r="PE327" s="117"/>
      <c r="PF327" s="117"/>
      <c r="PG327" s="117"/>
      <c r="PH327" s="117"/>
      <c r="PI327" s="117"/>
      <c r="PJ327" s="117"/>
      <c r="PK327" s="117"/>
      <c r="PL327" s="117"/>
      <c r="PM327" s="117"/>
      <c r="PN327" s="117"/>
      <c r="PO327" s="117"/>
      <c r="PP327" s="117"/>
      <c r="PQ327" s="117"/>
      <c r="PR327" s="117"/>
      <c r="PS327" s="117"/>
      <c r="PT327" s="117"/>
      <c r="PU327" s="117"/>
      <c r="PV327" s="117"/>
      <c r="PW327" s="117"/>
      <c r="PX327" s="117"/>
      <c r="PY327" s="117"/>
      <c r="PZ327" s="117"/>
      <c r="QA327" s="117"/>
      <c r="QB327" s="117"/>
      <c r="QC327" s="117"/>
      <c r="QD327" s="117"/>
      <c r="QE327" s="117"/>
      <c r="QF327" s="117"/>
      <c r="QG327" s="117"/>
      <c r="QH327" s="117"/>
      <c r="QI327" s="117"/>
      <c r="QJ327" s="117"/>
      <c r="QK327" s="117"/>
      <c r="QL327" s="117"/>
      <c r="QM327" s="117"/>
      <c r="QN327" s="117"/>
      <c r="QO327" s="117"/>
      <c r="QP327" s="117"/>
      <c r="QQ327" s="117"/>
      <c r="QR327" s="117"/>
      <c r="QS327" s="117"/>
      <c r="QT327" s="117"/>
      <c r="QU327" s="117"/>
      <c r="QV327" s="117"/>
      <c r="QW327" s="117"/>
      <c r="QX327" s="117"/>
      <c r="QY327" s="117"/>
      <c r="QZ327" s="117"/>
      <c r="RA327" s="117"/>
      <c r="RB327" s="117"/>
      <c r="RC327" s="117"/>
      <c r="RD327" s="117"/>
      <c r="RE327" s="117"/>
      <c r="RF327" s="117"/>
      <c r="RG327" s="117"/>
      <c r="RH327" s="117"/>
      <c r="RI327" s="117"/>
      <c r="RJ327" s="117"/>
      <c r="RK327" s="117"/>
      <c r="RL327" s="117"/>
      <c r="RM327" s="117"/>
      <c r="RN327" s="117"/>
      <c r="RO327" s="117"/>
      <c r="RP327" s="117"/>
      <c r="RQ327" s="117"/>
      <c r="RR327" s="117"/>
      <c r="RS327" s="117"/>
      <c r="RT327" s="117"/>
      <c r="RU327" s="117"/>
      <c r="RV327" s="117"/>
      <c r="RW327" s="117"/>
      <c r="RX327" s="117"/>
      <c r="RY327" s="117"/>
      <c r="RZ327" s="117"/>
      <c r="SA327" s="117"/>
      <c r="SB327" s="117"/>
      <c r="SC327" s="117"/>
      <c r="SD327" s="117"/>
      <c r="SE327" s="117"/>
      <c r="SF327" s="117"/>
      <c r="SG327" s="117"/>
      <c r="SH327" s="117"/>
      <c r="SI327" s="117"/>
      <c r="SJ327" s="117"/>
      <c r="SK327" s="117"/>
      <c r="SL327" s="117"/>
      <c r="SM327" s="117"/>
      <c r="SN327" s="117"/>
      <c r="SO327" s="117"/>
      <c r="SP327" s="117"/>
      <c r="SQ327" s="117"/>
      <c r="SR327" s="117"/>
      <c r="SS327" s="117"/>
      <c r="ST327" s="117"/>
      <c r="SU327" s="117"/>
      <c r="SV327" s="117"/>
      <c r="SW327" s="117"/>
      <c r="SX327" s="117"/>
      <c r="SY327" s="117"/>
      <c r="SZ327" s="117"/>
      <c r="TA327" s="117"/>
      <c r="TB327" s="117"/>
      <c r="TC327" s="117"/>
      <c r="TD327" s="117"/>
      <c r="TE327" s="117"/>
      <c r="TF327" s="117"/>
      <c r="TG327" s="117"/>
      <c r="TH327" s="117"/>
      <c r="TI327" s="117"/>
      <c r="TJ327" s="117"/>
      <c r="TK327" s="117"/>
      <c r="TL327" s="117"/>
      <c r="TM327" s="117"/>
      <c r="TN327" s="117"/>
      <c r="TO327" s="117"/>
      <c r="TP327" s="117"/>
      <c r="TQ327" s="117"/>
      <c r="TR327" s="117"/>
      <c r="TS327" s="117"/>
      <c r="TT327" s="117"/>
      <c r="TU327" s="117"/>
      <c r="TV327" s="117"/>
      <c r="TW327" s="117"/>
      <c r="TX327" s="117"/>
      <c r="TY327" s="117"/>
      <c r="TZ327" s="117"/>
      <c r="UA327" s="117"/>
      <c r="UB327" s="117"/>
      <c r="UC327" s="117"/>
      <c r="UD327" s="117"/>
      <c r="UE327" s="117"/>
      <c r="UF327" s="117"/>
      <c r="UG327" s="117"/>
      <c r="UH327" s="117"/>
      <c r="UI327" s="117"/>
      <c r="UJ327" s="117"/>
      <c r="UK327" s="117"/>
      <c r="UL327" s="117"/>
      <c r="UM327" s="117"/>
      <c r="UN327" s="117"/>
      <c r="UO327" s="117"/>
      <c r="UP327" s="117"/>
      <c r="UQ327" s="117"/>
      <c r="UR327" s="117"/>
      <c r="US327" s="117"/>
      <c r="UT327" s="117"/>
      <c r="UU327" s="117"/>
      <c r="UV327" s="117"/>
      <c r="UW327" s="117"/>
      <c r="UX327" s="117"/>
      <c r="UY327" s="117"/>
      <c r="UZ327" s="117"/>
      <c r="VA327" s="117"/>
      <c r="VB327" s="117"/>
      <c r="VC327" s="117"/>
      <c r="VD327" s="117"/>
      <c r="VE327" s="117"/>
      <c r="VF327" s="117"/>
      <c r="VG327" s="117"/>
      <c r="VH327" s="117"/>
      <c r="VI327" s="117"/>
      <c r="VJ327" s="117"/>
      <c r="VK327" s="117"/>
      <c r="VL327" s="117"/>
      <c r="VM327" s="117"/>
      <c r="VN327" s="117"/>
      <c r="VO327" s="117"/>
      <c r="VP327" s="117"/>
      <c r="VQ327" s="117"/>
      <c r="VR327" s="117"/>
      <c r="VS327" s="117"/>
      <c r="VT327" s="117"/>
      <c r="VU327" s="117"/>
      <c r="VV327" s="117"/>
      <c r="VW327" s="117"/>
      <c r="VX327" s="117"/>
      <c r="VY327" s="117"/>
      <c r="VZ327" s="117"/>
      <c r="WA327" s="117"/>
      <c r="WB327" s="117"/>
      <c r="WC327" s="117"/>
      <c r="WD327" s="117"/>
      <c r="WE327" s="117"/>
      <c r="WF327" s="117"/>
      <c r="WG327" s="117"/>
      <c r="WH327" s="117"/>
      <c r="WI327" s="117"/>
      <c r="WJ327" s="117"/>
      <c r="WK327" s="117"/>
      <c r="WL327" s="117"/>
      <c r="WM327" s="117"/>
      <c r="WN327" s="117"/>
      <c r="WO327" s="117"/>
      <c r="WP327" s="117"/>
      <c r="WQ327" s="117"/>
      <c r="WR327" s="117"/>
      <c r="WS327" s="117"/>
      <c r="WT327" s="117"/>
      <c r="WU327" s="117"/>
      <c r="WV327" s="117"/>
      <c r="WW327" s="117"/>
      <c r="WX327" s="117"/>
      <c r="WY327" s="117"/>
      <c r="WZ327" s="117"/>
      <c r="XA327" s="117"/>
      <c r="XB327" s="117"/>
      <c r="XC327" s="117"/>
      <c r="XD327" s="117"/>
      <c r="XE327" s="117"/>
      <c r="XF327" s="117"/>
      <c r="XG327" s="117"/>
      <c r="XH327" s="117"/>
      <c r="XI327" s="117"/>
      <c r="XJ327" s="117"/>
      <c r="XK327" s="117"/>
      <c r="XL327" s="117"/>
      <c r="XM327" s="117"/>
      <c r="XN327" s="117"/>
      <c r="XO327" s="117"/>
      <c r="XP327" s="117"/>
      <c r="XQ327" s="117"/>
      <c r="XR327" s="117"/>
      <c r="XS327" s="117"/>
      <c r="XT327" s="117"/>
      <c r="XU327" s="117"/>
      <c r="XV327" s="117"/>
      <c r="XW327" s="117"/>
      <c r="XX327" s="117"/>
      <c r="XY327" s="117"/>
      <c r="XZ327" s="117"/>
      <c r="YA327" s="117"/>
      <c r="YB327" s="117"/>
      <c r="YC327" s="117"/>
      <c r="YD327" s="117"/>
      <c r="YE327" s="117"/>
      <c r="YF327" s="117"/>
      <c r="YG327" s="117"/>
      <c r="YH327" s="117"/>
      <c r="YI327" s="117"/>
      <c r="YJ327" s="117"/>
      <c r="YK327" s="117"/>
      <c r="YL327" s="117"/>
      <c r="YM327" s="117"/>
      <c r="YN327" s="117"/>
      <c r="YO327" s="117"/>
      <c r="YP327" s="117"/>
      <c r="YQ327" s="117"/>
      <c r="YR327" s="117"/>
      <c r="YS327" s="117"/>
      <c r="YT327" s="117"/>
      <c r="YU327" s="117"/>
      <c r="YV327" s="117"/>
      <c r="YW327" s="117"/>
      <c r="YX327" s="117"/>
      <c r="YY327" s="117"/>
      <c r="YZ327" s="117"/>
      <c r="ZA327" s="117"/>
      <c r="ZB327" s="117"/>
      <c r="ZC327" s="117"/>
      <c r="ZD327" s="117"/>
      <c r="ZE327" s="117"/>
      <c r="ZF327" s="117"/>
      <c r="ZG327" s="117"/>
      <c r="ZH327" s="117"/>
      <c r="ZI327" s="117"/>
      <c r="ZJ327" s="117"/>
      <c r="ZK327" s="117"/>
      <c r="ZL327" s="117"/>
      <c r="ZM327" s="117"/>
      <c r="ZN327" s="117"/>
      <c r="ZO327" s="117"/>
      <c r="ZP327" s="117"/>
      <c r="ZQ327" s="117"/>
      <c r="ZR327" s="117"/>
      <c r="ZS327" s="117"/>
      <c r="ZT327" s="117"/>
      <c r="ZU327" s="117"/>
      <c r="ZV327" s="117"/>
      <c r="ZW327" s="117"/>
      <c r="ZX327" s="117"/>
      <c r="ZY327" s="117"/>
      <c r="ZZ327" s="117"/>
      <c r="AAA327" s="117"/>
      <c r="AAB327" s="117"/>
      <c r="AAC327" s="117"/>
      <c r="AAD327" s="117"/>
      <c r="AAE327" s="117"/>
      <c r="AAF327" s="117"/>
      <c r="AAG327" s="117"/>
      <c r="AAH327" s="117"/>
      <c r="AAI327" s="117"/>
      <c r="AAJ327" s="117"/>
      <c r="AAK327" s="117"/>
      <c r="AAL327" s="117"/>
      <c r="AAM327" s="117"/>
      <c r="AAN327" s="117"/>
      <c r="AAO327" s="117"/>
      <c r="AAP327" s="117"/>
      <c r="AAQ327" s="117"/>
      <c r="AAR327" s="117"/>
      <c r="AAS327" s="117"/>
      <c r="AAT327" s="117"/>
      <c r="AAU327" s="117"/>
      <c r="AAV327" s="117"/>
      <c r="AAW327" s="117"/>
      <c r="AAX327" s="117"/>
      <c r="AAY327" s="117"/>
      <c r="AAZ327" s="117"/>
      <c r="ABA327" s="117"/>
      <c r="ABB327" s="117"/>
      <c r="ABC327" s="117"/>
      <c r="ABD327" s="117"/>
      <c r="ABE327" s="117"/>
      <c r="ABF327" s="117"/>
      <c r="ABG327" s="117"/>
      <c r="ABH327" s="117"/>
      <c r="ABI327" s="117"/>
      <c r="ABJ327" s="117"/>
      <c r="ABK327" s="117"/>
      <c r="ABL327" s="117"/>
      <c r="ABM327" s="117"/>
      <c r="ABN327" s="117"/>
      <c r="ABO327" s="117"/>
      <c r="ABP327" s="117"/>
      <c r="ABQ327" s="117"/>
      <c r="ABR327" s="117"/>
      <c r="ABS327" s="117"/>
      <c r="ABT327" s="117"/>
      <c r="ABU327" s="117"/>
      <c r="ABV327" s="117"/>
      <c r="ABW327" s="117"/>
      <c r="ABX327" s="117"/>
      <c r="ABY327" s="117"/>
      <c r="ABZ327" s="117"/>
      <c r="ACA327" s="117"/>
      <c r="ACB327" s="117"/>
      <c r="ACC327" s="117"/>
      <c r="ACD327" s="117"/>
      <c r="ACE327" s="117"/>
      <c r="ACF327" s="117"/>
      <c r="ACG327" s="117"/>
      <c r="ACH327" s="117"/>
      <c r="ACI327" s="117"/>
      <c r="ACJ327" s="117"/>
      <c r="ACK327" s="117"/>
      <c r="ACL327" s="117"/>
      <c r="ACM327" s="117"/>
      <c r="ACN327" s="117"/>
      <c r="ACO327" s="117"/>
      <c r="ACP327" s="117"/>
      <c r="ACQ327" s="117"/>
      <c r="ACR327" s="117"/>
      <c r="ACS327" s="117"/>
      <c r="ACT327" s="117"/>
      <c r="ACU327" s="117"/>
      <c r="ACV327" s="117"/>
      <c r="ACW327" s="117"/>
      <c r="ACX327" s="117"/>
      <c r="ACY327" s="117"/>
      <c r="ACZ327" s="117"/>
      <c r="ADA327" s="117"/>
      <c r="ADB327" s="117"/>
      <c r="ADC327" s="117"/>
      <c r="ADD327" s="117"/>
      <c r="ADE327" s="117"/>
      <c r="ADF327" s="117"/>
      <c r="ADG327" s="117"/>
      <c r="ADH327" s="117"/>
      <c r="ADI327" s="117"/>
      <c r="ADJ327" s="117"/>
      <c r="ADK327" s="117"/>
      <c r="ADL327" s="117"/>
      <c r="ADM327" s="117"/>
      <c r="ADN327" s="117"/>
      <c r="ADO327" s="117"/>
      <c r="ADP327" s="117"/>
      <c r="ADQ327" s="117"/>
      <c r="ADR327" s="117"/>
      <c r="ADS327" s="117"/>
      <c r="ADT327" s="117"/>
      <c r="ADU327" s="117"/>
      <c r="ADV327" s="117"/>
      <c r="ADW327" s="117"/>
      <c r="ADX327" s="117"/>
      <c r="ADY327" s="117"/>
      <c r="ADZ327" s="117"/>
      <c r="AEA327" s="117"/>
      <c r="AEB327" s="117"/>
      <c r="AEC327" s="117"/>
      <c r="AED327" s="117"/>
      <c r="AEE327" s="117"/>
      <c r="AEF327" s="117"/>
      <c r="AEG327" s="117"/>
      <c r="AEH327" s="117"/>
      <c r="AEI327" s="117"/>
      <c r="AEJ327" s="117"/>
      <c r="AEK327" s="117"/>
      <c r="AEL327" s="117"/>
      <c r="AEM327" s="117"/>
      <c r="AEN327" s="117"/>
      <c r="AEO327" s="117"/>
      <c r="AEP327" s="117"/>
      <c r="AEQ327" s="117"/>
      <c r="AER327" s="117"/>
      <c r="AES327" s="117"/>
      <c r="AET327" s="117"/>
      <c r="AEU327" s="117"/>
      <c r="AEV327" s="117"/>
      <c r="AEW327" s="117"/>
      <c r="AEX327" s="117"/>
      <c r="AEY327" s="117"/>
      <c r="AEZ327" s="117"/>
      <c r="AFA327" s="117"/>
      <c r="AFB327" s="117"/>
      <c r="AFC327" s="117"/>
      <c r="AFD327" s="117"/>
      <c r="AFE327" s="117"/>
      <c r="AFF327" s="117"/>
      <c r="AFG327" s="117"/>
      <c r="AFH327" s="117"/>
      <c r="AFI327" s="117"/>
      <c r="AFJ327" s="117"/>
      <c r="AFK327" s="117"/>
      <c r="AFL327" s="117"/>
      <c r="AFM327" s="117"/>
      <c r="AFN327" s="117"/>
      <c r="AFO327" s="117"/>
      <c r="AFP327" s="117"/>
      <c r="AFQ327" s="117"/>
      <c r="AFR327" s="117"/>
      <c r="AFS327" s="117"/>
      <c r="AFT327" s="117"/>
      <c r="AFU327" s="117"/>
      <c r="AFV327" s="117"/>
      <c r="AFW327" s="117"/>
      <c r="AFX327" s="117"/>
      <c r="AFY327" s="117"/>
      <c r="AFZ327" s="117"/>
      <c r="AGA327" s="117"/>
      <c r="AGB327" s="117"/>
      <c r="AGC327" s="117"/>
      <c r="AGD327" s="117"/>
      <c r="AGE327" s="117"/>
      <c r="AGF327" s="117"/>
      <c r="AGG327" s="117"/>
      <c r="AGH327" s="117"/>
      <c r="AGI327" s="117"/>
      <c r="AGJ327" s="117"/>
      <c r="AGK327" s="117"/>
      <c r="AGL327" s="117"/>
      <c r="AGM327" s="117"/>
      <c r="AGN327" s="117"/>
      <c r="AGO327" s="117"/>
      <c r="AGP327" s="117"/>
      <c r="AGQ327" s="117"/>
      <c r="AGR327" s="117"/>
      <c r="AGS327" s="117"/>
      <c r="AGT327" s="117"/>
      <c r="AGU327" s="117"/>
      <c r="AGV327" s="117"/>
      <c r="AGW327" s="117"/>
      <c r="AGX327" s="117"/>
      <c r="AGY327" s="117"/>
      <c r="AGZ327" s="117"/>
      <c r="AHA327" s="117"/>
      <c r="AHB327" s="117"/>
      <c r="AHC327" s="117"/>
      <c r="AHD327" s="117"/>
      <c r="AHE327" s="117"/>
      <c r="AHF327" s="117"/>
      <c r="AHG327" s="117"/>
      <c r="AHH327" s="117"/>
      <c r="AHI327" s="117"/>
      <c r="AHJ327" s="117"/>
      <c r="AHK327" s="117"/>
      <c r="AHL327" s="117"/>
      <c r="AHM327" s="117"/>
      <c r="AHN327" s="117"/>
      <c r="AHO327" s="117"/>
      <c r="AHP327" s="117"/>
      <c r="AHQ327" s="117"/>
      <c r="AHR327" s="117"/>
      <c r="AHS327" s="117"/>
      <c r="AHT327" s="117"/>
      <c r="AHU327" s="117"/>
      <c r="AHV327" s="117"/>
      <c r="AHW327" s="117"/>
      <c r="AHX327" s="117"/>
      <c r="AHY327" s="117"/>
      <c r="AHZ327" s="117"/>
      <c r="AIA327" s="117"/>
      <c r="AIB327" s="117"/>
      <c r="AIC327" s="117"/>
      <c r="AID327" s="117"/>
      <c r="AIE327" s="117"/>
      <c r="AIF327" s="117"/>
      <c r="AIG327" s="117"/>
      <c r="AIH327" s="117"/>
      <c r="AII327" s="117"/>
      <c r="AIJ327" s="117"/>
      <c r="AIK327" s="117"/>
      <c r="AIL327" s="117"/>
      <c r="AIM327" s="117"/>
      <c r="AIN327" s="117"/>
      <c r="AIO327" s="117"/>
      <c r="AIP327" s="117"/>
      <c r="AIQ327" s="117"/>
      <c r="AIR327" s="117"/>
      <c r="AIS327" s="117"/>
      <c r="AIT327" s="117"/>
      <c r="AIU327" s="117"/>
      <c r="AIV327" s="117"/>
      <c r="AIW327" s="117"/>
      <c r="AIX327" s="117"/>
      <c r="AIY327" s="117"/>
      <c r="AIZ327" s="117"/>
      <c r="AJA327" s="117"/>
      <c r="AJB327" s="117"/>
      <c r="AJC327" s="117"/>
      <c r="AJD327" s="117"/>
      <c r="AJE327" s="117"/>
      <c r="AJF327" s="117"/>
      <c r="AJG327" s="117"/>
      <c r="AJH327" s="117"/>
      <c r="AJI327" s="117"/>
      <c r="AJJ327" s="117"/>
      <c r="AJK327" s="117"/>
      <c r="AJL327" s="117"/>
      <c r="AJM327" s="117"/>
      <c r="AJN327" s="117"/>
      <c r="AJO327" s="117"/>
      <c r="AJP327" s="117"/>
      <c r="AJQ327" s="117"/>
      <c r="AJR327" s="117"/>
      <c r="AJS327" s="117"/>
      <c r="AJT327" s="117"/>
      <c r="AJU327" s="117"/>
      <c r="AJV327" s="117"/>
      <c r="AJW327" s="117"/>
      <c r="AJX327" s="117"/>
      <c r="AJY327" s="117"/>
      <c r="AJZ327" s="117"/>
      <c r="AKA327" s="117"/>
      <c r="AKB327" s="117"/>
      <c r="AKC327" s="117"/>
      <c r="AKD327" s="117"/>
      <c r="AKE327" s="117"/>
      <c r="AKF327" s="117"/>
      <c r="AKG327" s="117"/>
      <c r="AKH327" s="117"/>
      <c r="AKI327" s="117"/>
      <c r="AKJ327" s="117"/>
      <c r="AKK327" s="117"/>
      <c r="AKL327" s="117"/>
      <c r="AKM327" s="117"/>
      <c r="AKN327" s="117"/>
      <c r="AKO327" s="117"/>
      <c r="AKP327" s="117"/>
      <c r="AKQ327" s="117"/>
      <c r="AKR327" s="117"/>
      <c r="AKS327" s="117"/>
      <c r="AKT327" s="117"/>
      <c r="AKU327" s="117"/>
      <c r="AKV327" s="117"/>
      <c r="AKW327" s="117"/>
      <c r="AKX327" s="117"/>
      <c r="AKY327" s="117"/>
      <c r="AKZ327" s="117"/>
      <c r="ALA327" s="117"/>
      <c r="ALB327" s="117"/>
      <c r="ALC327" s="117"/>
      <c r="ALD327" s="117"/>
      <c r="ALE327" s="117"/>
      <c r="ALF327" s="117"/>
      <c r="ALG327" s="117"/>
      <c r="ALH327" s="117"/>
      <c r="ALI327" s="117"/>
      <c r="ALJ327" s="117"/>
      <c r="ALK327" s="117"/>
      <c r="ALL327" s="117"/>
      <c r="ALM327" s="117"/>
      <c r="ALN327" s="117"/>
      <c r="ALO327" s="117"/>
      <c r="ALP327" s="117"/>
      <c r="ALQ327" s="117"/>
      <c r="ALR327" s="117"/>
      <c r="ALS327" s="117"/>
      <c r="ALT327" s="117"/>
      <c r="ALU327" s="117"/>
      <c r="ALV327" s="117"/>
      <c r="ALW327" s="117"/>
      <c r="ALX327" s="117"/>
      <c r="ALY327" s="117"/>
      <c r="ALZ327" s="117"/>
      <c r="AMA327" s="117"/>
      <c r="AMB327" s="117"/>
      <c r="AMC327" s="117"/>
      <c r="AMD327" s="117"/>
      <c r="AME327" s="117"/>
    </row>
    <row r="328" spans="1:1019" s="191" customFormat="1" ht="11.25" customHeight="1">
      <c r="A328" s="139">
        <v>326</v>
      </c>
      <c r="B328" s="139"/>
      <c r="C328" s="192" t="s">
        <v>504</v>
      </c>
      <c r="D328" s="140"/>
      <c r="E328" s="190">
        <f>LEN(F328)</f>
        <v>46</v>
      </c>
      <c r="F328" s="173" t="s">
        <v>530</v>
      </c>
      <c r="G328" s="172">
        <v>230</v>
      </c>
      <c r="H328" s="143">
        <f>INT((G328*Valores!$C$2*100)+0.5)/100</f>
        <v>2148.13</v>
      </c>
      <c r="I328" s="161">
        <v>0</v>
      </c>
      <c r="J328" s="145">
        <f>INT((I328*Valores!$C$2*100)+0.5)/100</f>
        <v>0</v>
      </c>
      <c r="K328" s="160">
        <v>0</v>
      </c>
      <c r="L328" s="145">
        <f>INT((K328*Valores!$C$2*100)+0.5)/100</f>
        <v>0</v>
      </c>
      <c r="M328" s="158">
        <v>0</v>
      </c>
      <c r="N328" s="145">
        <f>INT((M328*Valores!$C$2*100)+0.5)/100</f>
        <v>0</v>
      </c>
      <c r="O328" s="145">
        <f>IF($J$2=0,IF(C328&lt;&gt;"13-930",(SUM(H328,J328,L328,N328,Z328,U328,T328)*$O$2),0),0)</f>
        <v>0</v>
      </c>
      <c r="P328" s="145">
        <f t="shared" si="49"/>
        <v>0</v>
      </c>
      <c r="Q328" s="159">
        <v>0</v>
      </c>
      <c r="R328" s="159">
        <v>0</v>
      </c>
      <c r="S328" s="145">
        <v>0</v>
      </c>
      <c r="T328" s="148">
        <f>IF($H$5="NO",Valores!$C$47,Valores!$C$47/2)</f>
        <v>158.98</v>
      </c>
      <c r="U328" s="159">
        <v>0</v>
      </c>
      <c r="V328" s="145">
        <f t="shared" si="57"/>
        <v>0</v>
      </c>
      <c r="W328" s="145">
        <v>0</v>
      </c>
      <c r="X328" s="145">
        <v>0</v>
      </c>
      <c r="Y328" s="165">
        <v>0</v>
      </c>
      <c r="Z328" s="145">
        <v>0</v>
      </c>
      <c r="AA328" s="145">
        <v>0</v>
      </c>
      <c r="AB328" s="148">
        <f>Valores!$C$93</f>
        <v>115.38461538461542</v>
      </c>
      <c r="AC328" s="150">
        <v>0</v>
      </c>
      <c r="AD328" s="145">
        <f t="shared" si="51"/>
        <v>0</v>
      </c>
      <c r="AE328" s="145">
        <v>0</v>
      </c>
      <c r="AF328" s="149">
        <v>0</v>
      </c>
      <c r="AG328" s="145">
        <f>INT(((AF328*Valores!$C$2)*100)+0.5)/100</f>
        <v>0</v>
      </c>
      <c r="AH328" s="145">
        <f>Valores!$C$60</f>
        <v>54.2</v>
      </c>
      <c r="AI328" s="145">
        <f>Valores!$C$62</f>
        <v>15.49</v>
      </c>
      <c r="AJ328" s="151">
        <f t="shared" si="52"/>
        <v>2492.184615384615</v>
      </c>
      <c r="AK328" s="171"/>
      <c r="AL328" s="148">
        <f>Valores!$C$12</f>
        <v>0</v>
      </c>
      <c r="AM328" s="148">
        <f>Valores!$C$88</f>
        <v>227.49999999999997</v>
      </c>
      <c r="AN328" s="148"/>
      <c r="AO328" s="150">
        <v>0</v>
      </c>
      <c r="AP328" s="152">
        <f aca="true" t="shared" si="59" ref="AP328">IF($H$4="SI",SUM(AK328:AO328),SUM(AK328:AM328))</f>
        <v>227.49999999999997</v>
      </c>
      <c r="AQ328" s="154">
        <f>AJ328*-Valores!$C$68</f>
        <v>-274.14030769230766</v>
      </c>
      <c r="AR328" s="154">
        <f>AJ328*-Valores!$C$69</f>
        <v>0</v>
      </c>
      <c r="AS328" s="147">
        <f>AJ328*-Valores!$C$70</f>
        <v>-112.14830769230767</v>
      </c>
      <c r="AT328" s="147">
        <v>-159.43</v>
      </c>
      <c r="AU328" s="147">
        <f t="shared" si="53"/>
        <v>-53.83</v>
      </c>
      <c r="AV328" s="151">
        <f t="shared" si="54"/>
        <v>2120.136</v>
      </c>
      <c r="AW328" s="155"/>
      <c r="AX328" s="155"/>
      <c r="AY328" s="140" t="s">
        <v>4</v>
      </c>
      <c r="AZ328" s="117"/>
      <c r="BA328" s="117"/>
      <c r="BB328" s="117"/>
      <c r="BC328" s="117"/>
      <c r="BD328" s="117"/>
      <c r="BE328" s="117"/>
      <c r="BF328" s="117"/>
      <c r="BG328" s="117"/>
      <c r="BH328" s="117"/>
      <c r="BI328" s="117"/>
      <c r="BJ328" s="117"/>
      <c r="BK328" s="117"/>
      <c r="BL328" s="117"/>
      <c r="BM328" s="117"/>
      <c r="BN328" s="117"/>
      <c r="BO328" s="117"/>
      <c r="BP328" s="117"/>
      <c r="BQ328" s="117"/>
      <c r="BR328" s="117"/>
      <c r="BS328" s="117"/>
      <c r="BT328" s="117"/>
      <c r="BU328" s="117"/>
      <c r="BV328" s="117"/>
      <c r="BW328" s="117"/>
      <c r="BX328" s="117"/>
      <c r="BY328" s="117"/>
      <c r="BZ328" s="117"/>
      <c r="CA328" s="117"/>
      <c r="CB328" s="117"/>
      <c r="CC328" s="117"/>
      <c r="CD328" s="117"/>
      <c r="CE328" s="117"/>
      <c r="CF328" s="117"/>
      <c r="CG328" s="117"/>
      <c r="CH328" s="117"/>
      <c r="CI328" s="117"/>
      <c r="CJ328" s="117"/>
      <c r="CK328" s="117"/>
      <c r="CL328" s="117"/>
      <c r="CM328" s="117"/>
      <c r="CN328" s="117"/>
      <c r="CO328" s="117"/>
      <c r="CP328" s="117"/>
      <c r="CQ328" s="117"/>
      <c r="CR328" s="117"/>
      <c r="CS328" s="117"/>
      <c r="CT328" s="117"/>
      <c r="CU328" s="117"/>
      <c r="CV328" s="117"/>
      <c r="CW328" s="117"/>
      <c r="CX328" s="117"/>
      <c r="CY328" s="117"/>
      <c r="CZ328" s="117"/>
      <c r="DA328" s="117"/>
      <c r="DB328" s="117"/>
      <c r="DC328" s="117"/>
      <c r="DD328" s="117"/>
      <c r="DE328" s="117"/>
      <c r="DF328" s="117"/>
      <c r="DG328" s="117"/>
      <c r="DH328" s="117"/>
      <c r="DI328" s="117"/>
      <c r="DJ328" s="117"/>
      <c r="DK328" s="117"/>
      <c r="DL328" s="117"/>
      <c r="DM328" s="117"/>
      <c r="DN328" s="117"/>
      <c r="DO328" s="117"/>
      <c r="DP328" s="117"/>
      <c r="DQ328" s="117"/>
      <c r="DR328" s="117"/>
      <c r="DS328" s="117"/>
      <c r="DT328" s="117"/>
      <c r="DU328" s="117"/>
      <c r="DV328" s="117"/>
      <c r="DW328" s="117"/>
      <c r="DX328" s="117"/>
      <c r="DY328" s="117"/>
      <c r="DZ328" s="117"/>
      <c r="EA328" s="117"/>
      <c r="EB328" s="117"/>
      <c r="EC328" s="117"/>
      <c r="ED328" s="117"/>
      <c r="EE328" s="117"/>
      <c r="EF328" s="117"/>
      <c r="EG328" s="117"/>
      <c r="EH328" s="117"/>
      <c r="EI328" s="117"/>
      <c r="EJ328" s="117"/>
      <c r="EK328" s="117"/>
      <c r="EL328" s="117"/>
      <c r="EM328" s="117"/>
      <c r="EN328" s="117"/>
      <c r="EO328" s="117"/>
      <c r="EP328" s="117"/>
      <c r="EQ328" s="117"/>
      <c r="ER328" s="117"/>
      <c r="ES328" s="117"/>
      <c r="ET328" s="117"/>
      <c r="EU328" s="117"/>
      <c r="EV328" s="117"/>
      <c r="EW328" s="117"/>
      <c r="EX328" s="117"/>
      <c r="EY328" s="117"/>
      <c r="EZ328" s="117"/>
      <c r="FA328" s="117"/>
      <c r="FB328" s="117"/>
      <c r="FC328" s="117"/>
      <c r="FD328" s="117"/>
      <c r="FE328" s="117"/>
      <c r="FF328" s="117"/>
      <c r="FG328" s="117"/>
      <c r="FH328" s="117"/>
      <c r="FI328" s="117"/>
      <c r="FJ328" s="117"/>
      <c r="FK328" s="117"/>
      <c r="FL328" s="117"/>
      <c r="FM328" s="117"/>
      <c r="FN328" s="117"/>
      <c r="FO328" s="117"/>
      <c r="FP328" s="117"/>
      <c r="FQ328" s="117"/>
      <c r="FR328" s="117"/>
      <c r="FS328" s="117"/>
      <c r="FT328" s="117"/>
      <c r="FU328" s="117"/>
      <c r="FV328" s="117"/>
      <c r="FW328" s="117"/>
      <c r="FX328" s="117"/>
      <c r="FY328" s="117"/>
      <c r="FZ328" s="117"/>
      <c r="GA328" s="117"/>
      <c r="GB328" s="117"/>
      <c r="GC328" s="117"/>
      <c r="GD328" s="117"/>
      <c r="GE328" s="117"/>
      <c r="GF328" s="117"/>
      <c r="GG328" s="117"/>
      <c r="GH328" s="117"/>
      <c r="GI328" s="117"/>
      <c r="GJ328" s="117"/>
      <c r="GK328" s="117"/>
      <c r="GL328" s="117"/>
      <c r="GM328" s="117"/>
      <c r="GN328" s="117"/>
      <c r="GO328" s="117"/>
      <c r="GP328" s="117"/>
      <c r="GQ328" s="117"/>
      <c r="GR328" s="117"/>
      <c r="GS328" s="117"/>
      <c r="GT328" s="117"/>
      <c r="GU328" s="117"/>
      <c r="GV328" s="117"/>
      <c r="GW328" s="117"/>
      <c r="GX328" s="117"/>
      <c r="GY328" s="117"/>
      <c r="GZ328" s="117"/>
      <c r="HA328" s="117"/>
      <c r="HB328" s="117"/>
      <c r="HC328" s="117"/>
      <c r="HD328" s="117"/>
      <c r="HE328" s="117"/>
      <c r="HF328" s="117"/>
      <c r="HG328" s="117"/>
      <c r="HH328" s="117"/>
      <c r="HI328" s="117"/>
      <c r="HJ328" s="117"/>
      <c r="HK328" s="117"/>
      <c r="HL328" s="117"/>
      <c r="HM328" s="117"/>
      <c r="HN328" s="117"/>
      <c r="HO328" s="117"/>
      <c r="HP328" s="117"/>
      <c r="HQ328" s="117"/>
      <c r="HR328" s="117"/>
      <c r="HS328" s="117"/>
      <c r="HT328" s="117"/>
      <c r="HU328" s="117"/>
      <c r="HV328" s="117"/>
      <c r="HW328" s="117"/>
      <c r="HX328" s="117"/>
      <c r="HY328" s="117"/>
      <c r="HZ328" s="117"/>
      <c r="IA328" s="117"/>
      <c r="IB328" s="117"/>
      <c r="IC328" s="117"/>
      <c r="ID328" s="117"/>
      <c r="IE328" s="117"/>
      <c r="IF328" s="117"/>
      <c r="IG328" s="117"/>
      <c r="IH328" s="117"/>
      <c r="II328" s="117"/>
      <c r="IJ328" s="117"/>
      <c r="IK328" s="117"/>
      <c r="IL328" s="117"/>
      <c r="IM328" s="117"/>
      <c r="IN328" s="117"/>
      <c r="IO328" s="117"/>
      <c r="IP328" s="117"/>
      <c r="IQ328" s="117"/>
      <c r="IR328" s="117"/>
      <c r="IS328" s="117"/>
      <c r="IT328" s="117"/>
      <c r="IU328" s="117"/>
      <c r="IV328" s="117"/>
      <c r="IW328" s="117"/>
      <c r="IX328" s="117"/>
      <c r="IY328" s="117"/>
      <c r="IZ328" s="117"/>
      <c r="JA328" s="117"/>
      <c r="JB328" s="117"/>
      <c r="JC328" s="117"/>
      <c r="JD328" s="117"/>
      <c r="JE328" s="117"/>
      <c r="JF328" s="117"/>
      <c r="JG328" s="117"/>
      <c r="JH328" s="117"/>
      <c r="JI328" s="117"/>
      <c r="JJ328" s="117"/>
      <c r="JK328" s="117"/>
      <c r="JL328" s="117"/>
      <c r="JM328" s="117"/>
      <c r="JN328" s="117"/>
      <c r="JO328" s="117"/>
      <c r="JP328" s="117"/>
      <c r="JQ328" s="117"/>
      <c r="JR328" s="117"/>
      <c r="JS328" s="117"/>
      <c r="JT328" s="117"/>
      <c r="JU328" s="117"/>
      <c r="JV328" s="117"/>
      <c r="JW328" s="117"/>
      <c r="JX328" s="117"/>
      <c r="JY328" s="117"/>
      <c r="JZ328" s="117"/>
      <c r="KA328" s="117"/>
      <c r="KB328" s="117"/>
      <c r="KC328" s="117"/>
      <c r="KD328" s="117"/>
      <c r="KE328" s="117"/>
      <c r="KF328" s="117"/>
      <c r="KG328" s="117"/>
      <c r="KH328" s="117"/>
      <c r="KI328" s="117"/>
      <c r="KJ328" s="117"/>
      <c r="KK328" s="117"/>
      <c r="KL328" s="117"/>
      <c r="KM328" s="117"/>
      <c r="KN328" s="117"/>
      <c r="KO328" s="117"/>
      <c r="KP328" s="117"/>
      <c r="KQ328" s="117"/>
      <c r="KR328" s="117"/>
      <c r="KS328" s="117"/>
      <c r="KT328" s="117"/>
      <c r="KU328" s="117"/>
      <c r="KV328" s="117"/>
      <c r="KW328" s="117"/>
      <c r="KX328" s="117"/>
      <c r="KY328" s="117"/>
      <c r="KZ328" s="117"/>
      <c r="LA328" s="117"/>
      <c r="LB328" s="117"/>
      <c r="LC328" s="117"/>
      <c r="LD328" s="117"/>
      <c r="LE328" s="117"/>
      <c r="LF328" s="117"/>
      <c r="LG328" s="117"/>
      <c r="LH328" s="117"/>
      <c r="LI328" s="117"/>
      <c r="LJ328" s="117"/>
      <c r="LK328" s="117"/>
      <c r="LL328" s="117"/>
      <c r="LM328" s="117"/>
      <c r="LN328" s="117"/>
      <c r="LO328" s="117"/>
      <c r="LP328" s="117"/>
      <c r="LQ328" s="117"/>
      <c r="LR328" s="117"/>
      <c r="LS328" s="117"/>
      <c r="LT328" s="117"/>
      <c r="LU328" s="117"/>
      <c r="LV328" s="117"/>
      <c r="LW328" s="117"/>
      <c r="LX328" s="117"/>
      <c r="LY328" s="117"/>
      <c r="LZ328" s="117"/>
      <c r="MA328" s="117"/>
      <c r="MB328" s="117"/>
      <c r="MC328" s="117"/>
      <c r="MD328" s="117"/>
      <c r="ME328" s="117"/>
      <c r="MF328" s="117"/>
      <c r="MG328" s="117"/>
      <c r="MH328" s="117"/>
      <c r="MI328" s="117"/>
      <c r="MJ328" s="117"/>
      <c r="MK328" s="117"/>
      <c r="ML328" s="117"/>
      <c r="MM328" s="117"/>
      <c r="MN328" s="117"/>
      <c r="MO328" s="117"/>
      <c r="MP328" s="117"/>
      <c r="MQ328" s="117"/>
      <c r="MR328" s="117"/>
      <c r="MS328" s="117"/>
      <c r="MT328" s="117"/>
      <c r="MU328" s="117"/>
      <c r="MV328" s="117"/>
      <c r="MW328" s="117"/>
      <c r="MX328" s="117"/>
      <c r="MY328" s="117"/>
      <c r="MZ328" s="117"/>
      <c r="NA328" s="117"/>
      <c r="NB328" s="117"/>
      <c r="NC328" s="117"/>
      <c r="ND328" s="117"/>
      <c r="NE328" s="117"/>
      <c r="NF328" s="117"/>
      <c r="NG328" s="117"/>
      <c r="NH328" s="117"/>
      <c r="NI328" s="117"/>
      <c r="NJ328" s="117"/>
      <c r="NK328" s="117"/>
      <c r="NL328" s="117"/>
      <c r="NM328" s="117"/>
      <c r="NN328" s="117"/>
      <c r="NO328" s="117"/>
      <c r="NP328" s="117"/>
      <c r="NQ328" s="117"/>
      <c r="NR328" s="117"/>
      <c r="NS328" s="117"/>
      <c r="NT328" s="117"/>
      <c r="NU328" s="117"/>
      <c r="NV328" s="117"/>
      <c r="NW328" s="117"/>
      <c r="NX328" s="117"/>
      <c r="NY328" s="117"/>
      <c r="NZ328" s="117"/>
      <c r="OA328" s="117"/>
      <c r="OB328" s="117"/>
      <c r="OC328" s="117"/>
      <c r="OD328" s="117"/>
      <c r="OE328" s="117"/>
      <c r="OF328" s="117"/>
      <c r="OG328" s="117"/>
      <c r="OH328" s="117"/>
      <c r="OI328" s="117"/>
      <c r="OJ328" s="117"/>
      <c r="OK328" s="117"/>
      <c r="OL328" s="117"/>
      <c r="OM328" s="117"/>
      <c r="ON328" s="117"/>
      <c r="OO328" s="117"/>
      <c r="OP328" s="117"/>
      <c r="OQ328" s="117"/>
      <c r="OR328" s="117"/>
      <c r="OS328" s="117"/>
      <c r="OT328" s="117"/>
      <c r="OU328" s="117"/>
      <c r="OV328" s="117"/>
      <c r="OW328" s="117"/>
      <c r="OX328" s="117"/>
      <c r="OY328" s="117"/>
      <c r="OZ328" s="117"/>
      <c r="PA328" s="117"/>
      <c r="PB328" s="117"/>
      <c r="PC328" s="117"/>
      <c r="PD328" s="117"/>
      <c r="PE328" s="117"/>
      <c r="PF328" s="117"/>
      <c r="PG328" s="117"/>
      <c r="PH328" s="117"/>
      <c r="PI328" s="117"/>
      <c r="PJ328" s="117"/>
      <c r="PK328" s="117"/>
      <c r="PL328" s="117"/>
      <c r="PM328" s="117"/>
      <c r="PN328" s="117"/>
      <c r="PO328" s="117"/>
      <c r="PP328" s="117"/>
      <c r="PQ328" s="117"/>
      <c r="PR328" s="117"/>
      <c r="PS328" s="117"/>
      <c r="PT328" s="117"/>
      <c r="PU328" s="117"/>
      <c r="PV328" s="117"/>
      <c r="PW328" s="117"/>
      <c r="PX328" s="117"/>
      <c r="PY328" s="117"/>
      <c r="PZ328" s="117"/>
      <c r="QA328" s="117"/>
      <c r="QB328" s="117"/>
      <c r="QC328" s="117"/>
      <c r="QD328" s="117"/>
      <c r="QE328" s="117"/>
      <c r="QF328" s="117"/>
      <c r="QG328" s="117"/>
      <c r="QH328" s="117"/>
      <c r="QI328" s="117"/>
      <c r="QJ328" s="117"/>
      <c r="QK328" s="117"/>
      <c r="QL328" s="117"/>
      <c r="QM328" s="117"/>
      <c r="QN328" s="117"/>
      <c r="QO328" s="117"/>
      <c r="QP328" s="117"/>
      <c r="QQ328" s="117"/>
      <c r="QR328" s="117"/>
      <c r="QS328" s="117"/>
      <c r="QT328" s="117"/>
      <c r="QU328" s="117"/>
      <c r="QV328" s="117"/>
      <c r="QW328" s="117"/>
      <c r="QX328" s="117"/>
      <c r="QY328" s="117"/>
      <c r="QZ328" s="117"/>
      <c r="RA328" s="117"/>
      <c r="RB328" s="117"/>
      <c r="RC328" s="117"/>
      <c r="RD328" s="117"/>
      <c r="RE328" s="117"/>
      <c r="RF328" s="117"/>
      <c r="RG328" s="117"/>
      <c r="RH328" s="117"/>
      <c r="RI328" s="117"/>
      <c r="RJ328" s="117"/>
      <c r="RK328" s="117"/>
      <c r="RL328" s="117"/>
      <c r="RM328" s="117"/>
      <c r="RN328" s="117"/>
      <c r="RO328" s="117"/>
      <c r="RP328" s="117"/>
      <c r="RQ328" s="117"/>
      <c r="RR328" s="117"/>
      <c r="RS328" s="117"/>
      <c r="RT328" s="117"/>
      <c r="RU328" s="117"/>
      <c r="RV328" s="117"/>
      <c r="RW328" s="117"/>
      <c r="RX328" s="117"/>
      <c r="RY328" s="117"/>
      <c r="RZ328" s="117"/>
      <c r="SA328" s="117"/>
      <c r="SB328" s="117"/>
      <c r="SC328" s="117"/>
      <c r="SD328" s="117"/>
      <c r="SE328" s="117"/>
      <c r="SF328" s="117"/>
      <c r="SG328" s="117"/>
      <c r="SH328" s="117"/>
      <c r="SI328" s="117"/>
      <c r="SJ328" s="117"/>
      <c r="SK328" s="117"/>
      <c r="SL328" s="117"/>
      <c r="SM328" s="117"/>
      <c r="SN328" s="117"/>
      <c r="SO328" s="117"/>
      <c r="SP328" s="117"/>
      <c r="SQ328" s="117"/>
      <c r="SR328" s="117"/>
      <c r="SS328" s="117"/>
      <c r="ST328" s="117"/>
      <c r="SU328" s="117"/>
      <c r="SV328" s="117"/>
      <c r="SW328" s="117"/>
      <c r="SX328" s="117"/>
      <c r="SY328" s="117"/>
      <c r="SZ328" s="117"/>
      <c r="TA328" s="117"/>
      <c r="TB328" s="117"/>
      <c r="TC328" s="117"/>
      <c r="TD328" s="117"/>
      <c r="TE328" s="117"/>
      <c r="TF328" s="117"/>
      <c r="TG328" s="117"/>
      <c r="TH328" s="117"/>
      <c r="TI328" s="117"/>
      <c r="TJ328" s="117"/>
      <c r="TK328" s="117"/>
      <c r="TL328" s="117"/>
      <c r="TM328" s="117"/>
      <c r="TN328" s="117"/>
      <c r="TO328" s="117"/>
      <c r="TP328" s="117"/>
      <c r="TQ328" s="117"/>
      <c r="TR328" s="117"/>
      <c r="TS328" s="117"/>
      <c r="TT328" s="117"/>
      <c r="TU328" s="117"/>
      <c r="TV328" s="117"/>
      <c r="TW328" s="117"/>
      <c r="TX328" s="117"/>
      <c r="TY328" s="117"/>
      <c r="TZ328" s="117"/>
      <c r="UA328" s="117"/>
      <c r="UB328" s="117"/>
      <c r="UC328" s="117"/>
      <c r="UD328" s="117"/>
      <c r="UE328" s="117"/>
      <c r="UF328" s="117"/>
      <c r="UG328" s="117"/>
      <c r="UH328" s="117"/>
      <c r="UI328" s="117"/>
      <c r="UJ328" s="117"/>
      <c r="UK328" s="117"/>
      <c r="UL328" s="117"/>
      <c r="UM328" s="117"/>
      <c r="UN328" s="117"/>
      <c r="UO328" s="117"/>
      <c r="UP328" s="117"/>
      <c r="UQ328" s="117"/>
      <c r="UR328" s="117"/>
      <c r="US328" s="117"/>
      <c r="UT328" s="117"/>
      <c r="UU328" s="117"/>
      <c r="UV328" s="117"/>
      <c r="UW328" s="117"/>
      <c r="UX328" s="117"/>
      <c r="UY328" s="117"/>
      <c r="UZ328" s="117"/>
      <c r="VA328" s="117"/>
      <c r="VB328" s="117"/>
      <c r="VC328" s="117"/>
      <c r="VD328" s="117"/>
      <c r="VE328" s="117"/>
      <c r="VF328" s="117"/>
      <c r="VG328" s="117"/>
      <c r="VH328" s="117"/>
      <c r="VI328" s="117"/>
      <c r="VJ328" s="117"/>
      <c r="VK328" s="117"/>
      <c r="VL328" s="117"/>
      <c r="VM328" s="117"/>
      <c r="VN328" s="117"/>
      <c r="VO328" s="117"/>
      <c r="VP328" s="117"/>
      <c r="VQ328" s="117"/>
      <c r="VR328" s="117"/>
      <c r="VS328" s="117"/>
      <c r="VT328" s="117"/>
      <c r="VU328" s="117"/>
      <c r="VV328" s="117"/>
      <c r="VW328" s="117"/>
      <c r="VX328" s="117"/>
      <c r="VY328" s="117"/>
      <c r="VZ328" s="117"/>
      <c r="WA328" s="117"/>
      <c r="WB328" s="117"/>
      <c r="WC328" s="117"/>
      <c r="WD328" s="117"/>
      <c r="WE328" s="117"/>
      <c r="WF328" s="117"/>
      <c r="WG328" s="117"/>
      <c r="WH328" s="117"/>
      <c r="WI328" s="117"/>
      <c r="WJ328" s="117"/>
      <c r="WK328" s="117"/>
      <c r="WL328" s="117"/>
      <c r="WM328" s="117"/>
      <c r="WN328" s="117"/>
      <c r="WO328" s="117"/>
      <c r="WP328" s="117"/>
      <c r="WQ328" s="117"/>
      <c r="WR328" s="117"/>
      <c r="WS328" s="117"/>
      <c r="WT328" s="117"/>
      <c r="WU328" s="117"/>
      <c r="WV328" s="117"/>
      <c r="WW328" s="117"/>
      <c r="WX328" s="117"/>
      <c r="WY328" s="117"/>
      <c r="WZ328" s="117"/>
      <c r="XA328" s="117"/>
      <c r="XB328" s="117"/>
      <c r="XC328" s="117"/>
      <c r="XD328" s="117"/>
      <c r="XE328" s="117"/>
      <c r="XF328" s="117"/>
      <c r="XG328" s="117"/>
      <c r="XH328" s="117"/>
      <c r="XI328" s="117"/>
      <c r="XJ328" s="117"/>
      <c r="XK328" s="117"/>
      <c r="XL328" s="117"/>
      <c r="XM328" s="117"/>
      <c r="XN328" s="117"/>
      <c r="XO328" s="117"/>
      <c r="XP328" s="117"/>
      <c r="XQ328" s="117"/>
      <c r="XR328" s="117"/>
      <c r="XS328" s="117"/>
      <c r="XT328" s="117"/>
      <c r="XU328" s="117"/>
      <c r="XV328" s="117"/>
      <c r="XW328" s="117"/>
      <c r="XX328" s="117"/>
      <c r="XY328" s="117"/>
      <c r="XZ328" s="117"/>
      <c r="YA328" s="117"/>
      <c r="YB328" s="117"/>
      <c r="YC328" s="117"/>
      <c r="YD328" s="117"/>
      <c r="YE328" s="117"/>
      <c r="YF328" s="117"/>
      <c r="YG328" s="117"/>
      <c r="YH328" s="117"/>
      <c r="YI328" s="117"/>
      <c r="YJ328" s="117"/>
      <c r="YK328" s="117"/>
      <c r="YL328" s="117"/>
      <c r="YM328" s="117"/>
      <c r="YN328" s="117"/>
      <c r="YO328" s="117"/>
      <c r="YP328" s="117"/>
      <c r="YQ328" s="117"/>
      <c r="YR328" s="117"/>
      <c r="YS328" s="117"/>
      <c r="YT328" s="117"/>
      <c r="YU328" s="117"/>
      <c r="YV328" s="117"/>
      <c r="YW328" s="117"/>
      <c r="YX328" s="117"/>
      <c r="YY328" s="117"/>
      <c r="YZ328" s="117"/>
      <c r="ZA328" s="117"/>
      <c r="ZB328" s="117"/>
      <c r="ZC328" s="117"/>
      <c r="ZD328" s="117"/>
      <c r="ZE328" s="117"/>
      <c r="ZF328" s="117"/>
      <c r="ZG328" s="117"/>
      <c r="ZH328" s="117"/>
      <c r="ZI328" s="117"/>
      <c r="ZJ328" s="117"/>
      <c r="ZK328" s="117"/>
      <c r="ZL328" s="117"/>
      <c r="ZM328" s="117"/>
      <c r="ZN328" s="117"/>
      <c r="ZO328" s="117"/>
      <c r="ZP328" s="117"/>
      <c r="ZQ328" s="117"/>
      <c r="ZR328" s="117"/>
      <c r="ZS328" s="117"/>
      <c r="ZT328" s="117"/>
      <c r="ZU328" s="117"/>
      <c r="ZV328" s="117"/>
      <c r="ZW328" s="117"/>
      <c r="ZX328" s="117"/>
      <c r="ZY328" s="117"/>
      <c r="ZZ328" s="117"/>
      <c r="AAA328" s="117"/>
      <c r="AAB328" s="117"/>
      <c r="AAC328" s="117"/>
      <c r="AAD328" s="117"/>
      <c r="AAE328" s="117"/>
      <c r="AAF328" s="117"/>
      <c r="AAG328" s="117"/>
      <c r="AAH328" s="117"/>
      <c r="AAI328" s="117"/>
      <c r="AAJ328" s="117"/>
      <c r="AAK328" s="117"/>
      <c r="AAL328" s="117"/>
      <c r="AAM328" s="117"/>
      <c r="AAN328" s="117"/>
      <c r="AAO328" s="117"/>
      <c r="AAP328" s="117"/>
      <c r="AAQ328" s="117"/>
      <c r="AAR328" s="117"/>
      <c r="AAS328" s="117"/>
      <c r="AAT328" s="117"/>
      <c r="AAU328" s="117"/>
      <c r="AAV328" s="117"/>
      <c r="AAW328" s="117"/>
      <c r="AAX328" s="117"/>
      <c r="AAY328" s="117"/>
      <c r="AAZ328" s="117"/>
      <c r="ABA328" s="117"/>
      <c r="ABB328" s="117"/>
      <c r="ABC328" s="117"/>
      <c r="ABD328" s="117"/>
      <c r="ABE328" s="117"/>
      <c r="ABF328" s="117"/>
      <c r="ABG328" s="117"/>
      <c r="ABH328" s="117"/>
      <c r="ABI328" s="117"/>
      <c r="ABJ328" s="117"/>
      <c r="ABK328" s="117"/>
      <c r="ABL328" s="117"/>
      <c r="ABM328" s="117"/>
      <c r="ABN328" s="117"/>
      <c r="ABO328" s="117"/>
      <c r="ABP328" s="117"/>
      <c r="ABQ328" s="117"/>
      <c r="ABR328" s="117"/>
      <c r="ABS328" s="117"/>
      <c r="ABT328" s="117"/>
      <c r="ABU328" s="117"/>
      <c r="ABV328" s="117"/>
      <c r="ABW328" s="117"/>
      <c r="ABX328" s="117"/>
      <c r="ABY328" s="117"/>
      <c r="ABZ328" s="117"/>
      <c r="ACA328" s="117"/>
      <c r="ACB328" s="117"/>
      <c r="ACC328" s="117"/>
      <c r="ACD328" s="117"/>
      <c r="ACE328" s="117"/>
      <c r="ACF328" s="117"/>
      <c r="ACG328" s="117"/>
      <c r="ACH328" s="117"/>
      <c r="ACI328" s="117"/>
      <c r="ACJ328" s="117"/>
      <c r="ACK328" s="117"/>
      <c r="ACL328" s="117"/>
      <c r="ACM328" s="117"/>
      <c r="ACN328" s="117"/>
      <c r="ACO328" s="117"/>
      <c r="ACP328" s="117"/>
      <c r="ACQ328" s="117"/>
      <c r="ACR328" s="117"/>
      <c r="ACS328" s="117"/>
      <c r="ACT328" s="117"/>
      <c r="ACU328" s="117"/>
      <c r="ACV328" s="117"/>
      <c r="ACW328" s="117"/>
      <c r="ACX328" s="117"/>
      <c r="ACY328" s="117"/>
      <c r="ACZ328" s="117"/>
      <c r="ADA328" s="117"/>
      <c r="ADB328" s="117"/>
      <c r="ADC328" s="117"/>
      <c r="ADD328" s="117"/>
      <c r="ADE328" s="117"/>
      <c r="ADF328" s="117"/>
      <c r="ADG328" s="117"/>
      <c r="ADH328" s="117"/>
      <c r="ADI328" s="117"/>
      <c r="ADJ328" s="117"/>
      <c r="ADK328" s="117"/>
      <c r="ADL328" s="117"/>
      <c r="ADM328" s="117"/>
      <c r="ADN328" s="117"/>
      <c r="ADO328" s="117"/>
      <c r="ADP328" s="117"/>
      <c r="ADQ328" s="117"/>
      <c r="ADR328" s="117"/>
      <c r="ADS328" s="117"/>
      <c r="ADT328" s="117"/>
      <c r="ADU328" s="117"/>
      <c r="ADV328" s="117"/>
      <c r="ADW328" s="117"/>
      <c r="ADX328" s="117"/>
      <c r="ADY328" s="117"/>
      <c r="ADZ328" s="117"/>
      <c r="AEA328" s="117"/>
      <c r="AEB328" s="117"/>
      <c r="AEC328" s="117"/>
      <c r="AED328" s="117"/>
      <c r="AEE328" s="117"/>
      <c r="AEF328" s="117"/>
      <c r="AEG328" s="117"/>
      <c r="AEH328" s="117"/>
      <c r="AEI328" s="117"/>
      <c r="AEJ328" s="117"/>
      <c r="AEK328" s="117"/>
      <c r="AEL328" s="117"/>
      <c r="AEM328" s="117"/>
      <c r="AEN328" s="117"/>
      <c r="AEO328" s="117"/>
      <c r="AEP328" s="117"/>
      <c r="AEQ328" s="117"/>
      <c r="AER328" s="117"/>
      <c r="AES328" s="117"/>
      <c r="AET328" s="117"/>
      <c r="AEU328" s="117"/>
      <c r="AEV328" s="117"/>
      <c r="AEW328" s="117"/>
      <c r="AEX328" s="117"/>
      <c r="AEY328" s="117"/>
      <c r="AEZ328" s="117"/>
      <c r="AFA328" s="117"/>
      <c r="AFB328" s="117"/>
      <c r="AFC328" s="117"/>
      <c r="AFD328" s="117"/>
      <c r="AFE328" s="117"/>
      <c r="AFF328" s="117"/>
      <c r="AFG328" s="117"/>
      <c r="AFH328" s="117"/>
      <c r="AFI328" s="117"/>
      <c r="AFJ328" s="117"/>
      <c r="AFK328" s="117"/>
      <c r="AFL328" s="117"/>
      <c r="AFM328" s="117"/>
      <c r="AFN328" s="117"/>
      <c r="AFO328" s="117"/>
      <c r="AFP328" s="117"/>
      <c r="AFQ328" s="117"/>
      <c r="AFR328" s="117"/>
      <c r="AFS328" s="117"/>
      <c r="AFT328" s="117"/>
      <c r="AFU328" s="117"/>
      <c r="AFV328" s="117"/>
      <c r="AFW328" s="117"/>
      <c r="AFX328" s="117"/>
      <c r="AFY328" s="117"/>
      <c r="AFZ328" s="117"/>
      <c r="AGA328" s="117"/>
      <c r="AGB328" s="117"/>
      <c r="AGC328" s="117"/>
      <c r="AGD328" s="117"/>
      <c r="AGE328" s="117"/>
      <c r="AGF328" s="117"/>
      <c r="AGG328" s="117"/>
      <c r="AGH328" s="117"/>
      <c r="AGI328" s="117"/>
      <c r="AGJ328" s="117"/>
      <c r="AGK328" s="117"/>
      <c r="AGL328" s="117"/>
      <c r="AGM328" s="117"/>
      <c r="AGN328" s="117"/>
      <c r="AGO328" s="117"/>
      <c r="AGP328" s="117"/>
      <c r="AGQ328" s="117"/>
      <c r="AGR328" s="117"/>
      <c r="AGS328" s="117"/>
      <c r="AGT328" s="117"/>
      <c r="AGU328" s="117"/>
      <c r="AGV328" s="117"/>
      <c r="AGW328" s="117"/>
      <c r="AGX328" s="117"/>
      <c r="AGY328" s="117"/>
      <c r="AGZ328" s="117"/>
      <c r="AHA328" s="117"/>
      <c r="AHB328" s="117"/>
      <c r="AHC328" s="117"/>
      <c r="AHD328" s="117"/>
      <c r="AHE328" s="117"/>
      <c r="AHF328" s="117"/>
      <c r="AHG328" s="117"/>
      <c r="AHH328" s="117"/>
      <c r="AHI328" s="117"/>
      <c r="AHJ328" s="117"/>
      <c r="AHK328" s="117"/>
      <c r="AHL328" s="117"/>
      <c r="AHM328" s="117"/>
      <c r="AHN328" s="117"/>
      <c r="AHO328" s="117"/>
      <c r="AHP328" s="117"/>
      <c r="AHQ328" s="117"/>
      <c r="AHR328" s="117"/>
      <c r="AHS328" s="117"/>
      <c r="AHT328" s="117"/>
      <c r="AHU328" s="117"/>
      <c r="AHV328" s="117"/>
      <c r="AHW328" s="117"/>
      <c r="AHX328" s="117"/>
      <c r="AHY328" s="117"/>
      <c r="AHZ328" s="117"/>
      <c r="AIA328" s="117"/>
      <c r="AIB328" s="117"/>
      <c r="AIC328" s="117"/>
      <c r="AID328" s="117"/>
      <c r="AIE328" s="117"/>
      <c r="AIF328" s="117"/>
      <c r="AIG328" s="117"/>
      <c r="AIH328" s="117"/>
      <c r="AII328" s="117"/>
      <c r="AIJ328" s="117"/>
      <c r="AIK328" s="117"/>
      <c r="AIL328" s="117"/>
      <c r="AIM328" s="117"/>
      <c r="AIN328" s="117"/>
      <c r="AIO328" s="117"/>
      <c r="AIP328" s="117"/>
      <c r="AIQ328" s="117"/>
      <c r="AIR328" s="117"/>
      <c r="AIS328" s="117"/>
      <c r="AIT328" s="117"/>
      <c r="AIU328" s="117"/>
      <c r="AIV328" s="117"/>
      <c r="AIW328" s="117"/>
      <c r="AIX328" s="117"/>
      <c r="AIY328" s="117"/>
      <c r="AIZ328" s="117"/>
      <c r="AJA328" s="117"/>
      <c r="AJB328" s="117"/>
      <c r="AJC328" s="117"/>
      <c r="AJD328" s="117"/>
      <c r="AJE328" s="117"/>
      <c r="AJF328" s="117"/>
      <c r="AJG328" s="117"/>
      <c r="AJH328" s="117"/>
      <c r="AJI328" s="117"/>
      <c r="AJJ328" s="117"/>
      <c r="AJK328" s="117"/>
      <c r="AJL328" s="117"/>
      <c r="AJM328" s="117"/>
      <c r="AJN328" s="117"/>
      <c r="AJO328" s="117"/>
      <c r="AJP328" s="117"/>
      <c r="AJQ328" s="117"/>
      <c r="AJR328" s="117"/>
      <c r="AJS328" s="117"/>
      <c r="AJT328" s="117"/>
      <c r="AJU328" s="117"/>
      <c r="AJV328" s="117"/>
      <c r="AJW328" s="117"/>
      <c r="AJX328" s="117"/>
      <c r="AJY328" s="117"/>
      <c r="AJZ328" s="117"/>
      <c r="AKA328" s="117"/>
      <c r="AKB328" s="117"/>
      <c r="AKC328" s="117"/>
      <c r="AKD328" s="117"/>
      <c r="AKE328" s="117"/>
      <c r="AKF328" s="117"/>
      <c r="AKG328" s="117"/>
      <c r="AKH328" s="117"/>
      <c r="AKI328" s="117"/>
      <c r="AKJ328" s="117"/>
      <c r="AKK328" s="117"/>
      <c r="AKL328" s="117"/>
      <c r="AKM328" s="117"/>
      <c r="AKN328" s="117"/>
      <c r="AKO328" s="117"/>
      <c r="AKP328" s="117"/>
      <c r="AKQ328" s="117"/>
      <c r="AKR328" s="117"/>
      <c r="AKS328" s="117"/>
      <c r="AKT328" s="117"/>
      <c r="AKU328" s="117"/>
      <c r="AKV328" s="117"/>
      <c r="AKW328" s="117"/>
      <c r="AKX328" s="117"/>
      <c r="AKY328" s="117"/>
      <c r="AKZ328" s="117"/>
      <c r="ALA328" s="117"/>
      <c r="ALB328" s="117"/>
      <c r="ALC328" s="117"/>
      <c r="ALD328" s="117"/>
      <c r="ALE328" s="117"/>
      <c r="ALF328" s="117"/>
      <c r="ALG328" s="117"/>
      <c r="ALH328" s="117"/>
      <c r="ALI328" s="117"/>
      <c r="ALJ328" s="117"/>
      <c r="ALK328" s="117"/>
      <c r="ALL328" s="117"/>
      <c r="ALM328" s="117"/>
      <c r="ALN328" s="117"/>
      <c r="ALO328" s="117"/>
      <c r="ALP328" s="117"/>
      <c r="ALQ328" s="117"/>
      <c r="ALR328" s="117"/>
      <c r="ALS328" s="117"/>
      <c r="ALT328" s="117"/>
      <c r="ALU328" s="117"/>
      <c r="ALV328" s="117"/>
      <c r="ALW328" s="117"/>
      <c r="ALX328" s="117"/>
      <c r="ALY328" s="117"/>
      <c r="ALZ328" s="117"/>
      <c r="AMA328" s="117"/>
      <c r="AMB328" s="117"/>
      <c r="AMC328" s="117"/>
      <c r="AMD328" s="117"/>
      <c r="AME328" s="117"/>
    </row>
    <row r="330" spans="10:37" ht="11.25" customHeight="1">
      <c r="J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5">
        <f>Y49-Y56</f>
        <v>0</v>
      </c>
      <c r="Z330" s="174"/>
      <c r="AA330" s="174"/>
      <c r="AB330" s="174"/>
      <c r="AC330" s="174"/>
      <c r="AD330" s="174"/>
      <c r="AE330" s="174"/>
      <c r="AJ330" s="176"/>
      <c r="AK330" s="177"/>
    </row>
  </sheetData>
  <autoFilter ref="A8:AY328"/>
  <mergeCells count="14">
    <mergeCell ref="C1:AO1"/>
    <mergeCell ref="AO2:AO3"/>
    <mergeCell ref="I3:J3"/>
    <mergeCell ref="K3:L3"/>
    <mergeCell ref="G7:H7"/>
    <mergeCell ref="I7:J7"/>
    <mergeCell ref="K7:L7"/>
    <mergeCell ref="M7:N7"/>
    <mergeCell ref="Y7:Z7"/>
    <mergeCell ref="AF7:AG7"/>
    <mergeCell ref="AN7:AN8"/>
    <mergeCell ref="C6:F6"/>
    <mergeCell ref="Q2:X2"/>
    <mergeCell ref="C5:F5"/>
  </mergeCells>
  <dataValidations count="2">
    <dataValidation type="list" allowBlank="1" showInputMessage="1" showErrorMessage="1" error="VALOR INCORRECTO" sqref="AO4:AO6 H4:H5">
      <formula1>$AP$3:$AP$4</formula1>
      <formula2>0</formula2>
    </dataValidation>
    <dataValidation type="list" allowBlank="1" showInputMessage="1" showErrorMessage="1" error="VALOR INCORRECTO" sqref="H6">
      <formula1>Valores!$L$1:$L$10</formula1>
    </dataValidation>
  </dataValidations>
  <printOptions/>
  <pageMargins left="0" right="0" top="0.747916666666667" bottom="0.314583333333333" header="0.39375" footer="0"/>
  <pageSetup horizontalDpi="600" verticalDpi="600" orientation="landscape" paperSize="9" scale="110" r:id="rId2"/>
  <headerFooter>
    <oddHeader>&amp;LMinisterio de EducaciónDirección de Recursos Humanos&amp;C&amp;F&amp;RValor del Punto:</oddHeader>
    <oddFooter>&amp;L&amp;D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hidden="1" customWidth="1"/>
    <col min="13" max="13" width="6.28125" style="0" hidden="1" customWidth="1"/>
    <col min="14" max="15" width="11.57421875" style="0" hidden="1" customWidth="1"/>
    <col min="16" max="16" width="2.5742187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6" t="str">
        <f ca="1">MID(CELL("FILENAME",L41),FIND("[",CELL("FILENAME",L41))+1,FIND("]",CELL("FILENAME",L41))-FIND("[",CELL("FILENAME",L41))-1)</f>
        <v>ESCALA NOVIEMBRE 2020.xlsx</v>
      </c>
      <c r="B1" s="236"/>
      <c r="C1" s="236"/>
      <c r="D1" s="236"/>
      <c r="E1" s="236"/>
      <c r="F1" s="236"/>
      <c r="G1" s="236"/>
      <c r="H1" s="236"/>
      <c r="I1" s="236"/>
      <c r="J1" s="236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37" t="s">
        <v>69</v>
      </c>
      <c r="B2" s="237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38" t="s">
        <v>531</v>
      </c>
      <c r="R3" s="238"/>
      <c r="S3" s="238"/>
      <c r="T3" s="239" t="s">
        <v>532</v>
      </c>
      <c r="U3" s="239"/>
      <c r="V3" s="239"/>
      <c r="W3" s="239"/>
      <c r="Y3" s="17"/>
    </row>
    <row r="4" spans="1:25" ht="19.5">
      <c r="A4" s="13"/>
      <c r="B4" s="13"/>
      <c r="C4" s="29" t="s">
        <v>533</v>
      </c>
      <c r="D4" s="30" t="s">
        <v>77</v>
      </c>
      <c r="E4" s="30" t="s">
        <v>534</v>
      </c>
      <c r="F4" s="30" t="s">
        <v>535</v>
      </c>
      <c r="G4" s="31" t="s">
        <v>78</v>
      </c>
      <c r="H4" s="32" t="s">
        <v>79</v>
      </c>
      <c r="I4" s="33" t="s">
        <v>536</v>
      </c>
      <c r="J4" s="34" t="s">
        <v>537</v>
      </c>
      <c r="K4" s="35" t="s">
        <v>536</v>
      </c>
      <c r="Q4" s="36" t="s">
        <v>538</v>
      </c>
      <c r="R4" s="37" t="s">
        <v>539</v>
      </c>
      <c r="S4" s="37" t="s">
        <v>540</v>
      </c>
      <c r="T4" s="38" t="s">
        <v>541</v>
      </c>
      <c r="U4" s="39" t="s">
        <v>542</v>
      </c>
      <c r="V4" s="39" t="s">
        <v>543</v>
      </c>
      <c r="W4" s="39" t="s">
        <v>540</v>
      </c>
      <c r="X4" s="40" t="s">
        <v>544</v>
      </c>
      <c r="Y4" s="40" t="s">
        <v>545</v>
      </c>
    </row>
    <row r="5" spans="1:25" ht="12.75">
      <c r="A5" s="14" t="s">
        <v>99</v>
      </c>
      <c r="B5" s="15" t="s">
        <v>100</v>
      </c>
      <c r="C5" s="41" t="s">
        <v>102</v>
      </c>
      <c r="D5" s="42" t="s">
        <v>109</v>
      </c>
      <c r="E5" s="42" t="s">
        <v>546</v>
      </c>
      <c r="F5" s="43"/>
      <c r="G5" s="43" t="s">
        <v>110</v>
      </c>
      <c r="H5" s="43" t="s">
        <v>111</v>
      </c>
      <c r="I5" s="44" t="s">
        <v>547</v>
      </c>
      <c r="J5" s="45" t="s">
        <v>548</v>
      </c>
      <c r="K5" s="44" t="s">
        <v>549</v>
      </c>
      <c r="L5" s="46" t="s">
        <v>550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551</v>
      </c>
      <c r="B6" s="16" t="s">
        <v>552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C6*VLOOKUP($C$2,Valores!$I$1:$J$54,2,0)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553</v>
      </c>
      <c r="B7" s="16" t="s">
        <v>554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C7*VLOOKUP($C$2,Valores!$I$1:$J$54,2,0)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533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555</v>
      </c>
      <c r="B8" s="16" t="s">
        <v>556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C8*VLOOKUP($C$2,Valores!$I$1:$J$54,2,0)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557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558</v>
      </c>
      <c r="B9" s="56" t="s">
        <v>559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C9*VLOOKUP($C$2,Valores!$I$1:$J$54,2,0)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560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561</v>
      </c>
      <c r="B10" s="56" t="s">
        <v>562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C10*VLOOKUP($C$2,Valores!$I$1:$J$54,2,0)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563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564</v>
      </c>
      <c r="B11" s="16" t="s">
        <v>565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C11*VLOOKUP($C$2,Valores!$I$1:$J$54,2,0)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566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567</v>
      </c>
      <c r="B12" s="16" t="s">
        <v>568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C12*VLOOKUP($C$2,Valores!$I$1:$J$54,2,0)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569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570</v>
      </c>
      <c r="B13" s="16" t="s">
        <v>571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C13*VLOOKUP($C$2,Valores!$I$1:$J$54,2,0)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572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573</v>
      </c>
      <c r="B14" s="16" t="s">
        <v>574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C14*VLOOKUP($C$2,Valores!$I$1:$J$54,2,0)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575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576</v>
      </c>
      <c r="B15" s="16" t="s">
        <v>577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C15*VLOOKUP($C$2,Valores!$I$1:$J$54,2,0)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578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579</v>
      </c>
      <c r="B16" s="16" t="s">
        <v>580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C16*VLOOKUP($C$2,Valores!$I$1:$J$54,2,0)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88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581</v>
      </c>
      <c r="B17" s="16" t="s">
        <v>582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C17*VLOOKUP($C$2,Valores!$I$1:$J$54,2,0)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583</v>
      </c>
      <c r="B18" s="16" t="s">
        <v>584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C18*VLOOKUP($C$2,Valores!$I$1:$J$54,2,0)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585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586</v>
      </c>
      <c r="B19" s="16" t="s">
        <v>587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C19*VLOOKUP($C$2,Valores!$I$1:$J$54,2,0)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588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589</v>
      </c>
      <c r="B20" s="16" t="s">
        <v>590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C20*VLOOKUP($C$2,Valores!$I$1:$J$54,2,0)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90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591</v>
      </c>
      <c r="B21" s="16" t="s">
        <v>592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C21*VLOOKUP($C$2,Valores!$I$1:$J$54,2,0)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591</v>
      </c>
      <c r="B22" s="16" t="s">
        <v>593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C22*VLOOKUP($C$2,Valores!$I$1:$J$54,2,0)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591</v>
      </c>
      <c r="B23" s="16" t="s">
        <v>594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C23*VLOOKUP($C$2,Valores!$I$1:$J$54,2,0)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591</v>
      </c>
      <c r="B24" s="16" t="s">
        <v>595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C24*VLOOKUP($C$2,Valores!$I$1:$J$54,2,0)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591</v>
      </c>
      <c r="B25" s="16" t="s">
        <v>596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C25*VLOOKUP($C$2,Valores!$I$1:$J$54,2,0)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591</v>
      </c>
      <c r="B26" s="16" t="s">
        <v>597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C26*VLOOKUP($C$2,Valores!$I$1:$J$54,2,0)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591</v>
      </c>
      <c r="B27" s="16" t="s">
        <v>598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C27*VLOOKUP($C$2,Valores!$I$1:$J$54,2,0)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591</v>
      </c>
      <c r="B28" s="16" t="s">
        <v>599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C28*VLOOKUP($C$2,Valores!$I$1:$J$54,2,0)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591</v>
      </c>
      <c r="B29" s="16" t="s">
        <v>600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C29*VLOOKUP($C$2,Valores!$I$1:$J$54,2,0)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591</v>
      </c>
      <c r="B30" s="16" t="s">
        <v>601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C30*VLOOKUP($C$2,Valores!$I$1:$J$54,2,0)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591</v>
      </c>
      <c r="B31" s="16" t="s">
        <v>602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C31*VLOOKUP($C$2,Valores!$I$1:$J$54,2,0)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591</v>
      </c>
      <c r="B32" s="16" t="s">
        <v>603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C32*VLOOKUP($C$2,Valores!$I$1:$J$54,2,0)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604</v>
      </c>
      <c r="Y34" s="17"/>
    </row>
    <row r="35" spans="1:25" ht="12.75" customHeight="1">
      <c r="A35" s="53" t="s">
        <v>605</v>
      </c>
      <c r="B35" s="16" t="s">
        <v>606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607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608</v>
      </c>
      <c r="B36" s="16" t="s">
        <v>609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610</v>
      </c>
      <c r="M36" s="16" t="s">
        <v>611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612</v>
      </c>
      <c r="B37" s="16" t="s">
        <v>613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614</v>
      </c>
      <c r="M37" s="16" t="s">
        <v>615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616</v>
      </c>
      <c r="B38" s="16" t="s">
        <v>617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618</v>
      </c>
      <c r="B39" s="16" t="s">
        <v>619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607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620</v>
      </c>
      <c r="B40" s="16" t="s">
        <v>621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607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622</v>
      </c>
      <c r="B41" s="16" t="s">
        <v>623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607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624</v>
      </c>
      <c r="B42" s="16" t="s">
        <v>625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607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626</v>
      </c>
      <c r="B43" s="16" t="s">
        <v>627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628</v>
      </c>
      <c r="B44" s="16" t="s">
        <v>629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610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630</v>
      </c>
      <c r="B45" s="16" t="s">
        <v>631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610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632</v>
      </c>
      <c r="B46" s="16" t="s">
        <v>633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610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634</v>
      </c>
      <c r="B47" s="16" t="s">
        <v>635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610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Carolina Contreras Roque</cp:lastModifiedBy>
  <cp:lastPrinted>2019-05-28T12:56:59Z</cp:lastPrinted>
  <dcterms:created xsi:type="dcterms:W3CDTF">2005-08-10T23:49:01Z</dcterms:created>
  <dcterms:modified xsi:type="dcterms:W3CDTF">2020-11-13T18:55:10Z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